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showHorizontalScroll="0" showVerticalScroll="0" showSheetTabs="0" xWindow="4440" yWindow="5760" windowWidth="9570" windowHeight="2955" tabRatio="557"/>
  </bookViews>
  <sheets>
    <sheet name="MENU" sheetId="35" r:id="rId1"/>
    <sheet name="BASE" sheetId="8" state="veryHidden" r:id="rId2"/>
    <sheet name="CONSOLIDA" sheetId="33" state="veryHidden" r:id="rId3"/>
    <sheet name="Modelo 6" sheetId="12" state="veryHidden" r:id="rId4"/>
    <sheet name="Modelo 7" sheetId="19" state="veryHidden" r:id="rId5"/>
    <sheet name="Modelo 8" sheetId="7" state="veryHidden" r:id="rId6"/>
    <sheet name="Modelo 9" sheetId="30" state="veryHidden" r:id="rId7"/>
    <sheet name="OFICIO" sheetId="20" state="veryHidden" r:id="rId8"/>
    <sheet name="ATA" sheetId="26" state="veryHidden" r:id="rId9"/>
    <sheet name="LAUDA" sheetId="34" state="veryHidden" r:id="rId10"/>
    <sheet name="transporte" sheetId="41" state="veryHidden" r:id="rId11"/>
    <sheet name="formacao" sheetId="46" state="veryHidden" r:id="rId12"/>
    <sheet name="mais_escola" sheetId="47" state="veryHidden" r:id="rId13"/>
    <sheet name="livre_aplicacao" sheetId="48" state="veryHidden" r:id="rId14"/>
    <sheet name="imprensa" sheetId="40" state="veryHidden" r:id="rId15"/>
    <sheet name="gremio" sheetId="44" state="veryHidden" r:id="rId16"/>
    <sheet name="basico" sheetId="49" state="veryHidden" r:id="rId17"/>
    <sheet name="volta_aulas" sheetId="36" state="veryHidden" r:id="rId18"/>
    <sheet name="futuro" sheetId="38" state="veryHidden" r:id="rId19"/>
  </sheets>
  <functionGroups builtInGroupCount="17"/>
  <externalReferences>
    <externalReference r:id="rId20"/>
    <externalReference r:id="rId21"/>
    <externalReference r:id="rId22"/>
    <externalReference r:id="rId23"/>
    <externalReference r:id="rId24"/>
  </externalReferences>
  <definedNames>
    <definedName name="ano_extenso">ATA!$CR$1:$CS$7</definedName>
    <definedName name="_xlnm.Print_Area" localSheetId="8">ATA!$B$10:$CG$693</definedName>
    <definedName name="_xlnm.Print_Area" localSheetId="1">BASE!$B$1:$G$17</definedName>
    <definedName name="_xlnm.Print_Area" localSheetId="16">basico!$B$1:$N$205</definedName>
    <definedName name="_xlnm.Print_Area" localSheetId="2">CONSOLIDA!$B$2:$AA$179</definedName>
    <definedName name="_xlnm.Print_Area" localSheetId="11">formacao!$B$1:$I$205</definedName>
    <definedName name="_xlnm.Print_Area" localSheetId="18">futuro!$B$1:$I$205</definedName>
    <definedName name="_xlnm.Print_Area" localSheetId="15">gremio!$B$1:$M$205</definedName>
    <definedName name="_xlnm.Print_Area" localSheetId="14">imprensa!$B$1:$M$205</definedName>
    <definedName name="_xlnm.Print_Area" localSheetId="9">LAUDA!$B$2:$J$208</definedName>
    <definedName name="_xlnm.Print_Area" localSheetId="13">livre_aplicacao!$B$1:$I$205</definedName>
    <definedName name="_xlnm.Print_Area" localSheetId="12">mais_escola!$B$1:$I$205</definedName>
    <definedName name="_xlnm.Print_Area" localSheetId="0">MENU!$B$2:$H$15</definedName>
    <definedName name="_xlnm.Print_Area" localSheetId="3">'Modelo 6'!$B$4:$R$40</definedName>
    <definedName name="_xlnm.Print_Area" localSheetId="4">'Modelo 7'!$B$4:$N$44</definedName>
    <definedName name="_xlnm.Print_Area" localSheetId="5">'Modelo 8'!$B$4:$N$55</definedName>
    <definedName name="_xlnm.Print_Area" localSheetId="6">'Modelo 9'!$B$4:$N$48</definedName>
    <definedName name="_xlnm.Print_Area" localSheetId="7">OFICIO!$B$2:$BF$1048576</definedName>
    <definedName name="_xlnm.Print_Area" localSheetId="10">transporte!$B$1:$I$205</definedName>
    <definedName name="_xlnm.Print_Area" localSheetId="17">volta_aulas!$B$1:$I$205</definedName>
    <definedName name="hora_extenso">ATA!$CX$1:$CY$24</definedName>
    <definedName name="mes_extenso">ATA!$CU$1:$CV$31</definedName>
    <definedName name="minuto_extenso">ATA!$DA$1:$DB$60</definedName>
    <definedName name="publicado">CONSOLIDA!$Q$4:$Q$207</definedName>
    <definedName name="rec_repasse_c">CONSOLIDA!$HI$4:$HI$207</definedName>
    <definedName name="rec_repasse_k">CONSOLIDA!$IT$4:$IT$207</definedName>
    <definedName name="saldo_correto">CONSOLIDA!$IU$4:$IU$207</definedName>
    <definedName name="status">CONSOLIDA!$P$4:$P$207</definedName>
    <definedName name="stop">CONSOLIDA!$GV$4:$GV$207</definedName>
    <definedName name="_xlnm.Print_Titles" localSheetId="16">basico!$7:$7</definedName>
    <definedName name="_xlnm.Print_Titles" localSheetId="2">CONSOLIDA!$2:$3</definedName>
    <definedName name="_xlnm.Print_Titles" localSheetId="11">formacao!$7:$7</definedName>
    <definedName name="_xlnm.Print_Titles" localSheetId="18">futuro!$7:$7</definedName>
    <definedName name="_xlnm.Print_Titles" localSheetId="15">gremio!$7:$7</definedName>
    <definedName name="_xlnm.Print_Titles" localSheetId="14">imprensa!$7:$7</definedName>
    <definedName name="_xlnm.Print_Titles" localSheetId="13">livre_aplicacao!$7:$7</definedName>
    <definedName name="_xlnm.Print_Titles" localSheetId="12">mais_escola!$7:$7</definedName>
    <definedName name="_xlnm.Print_Titles" localSheetId="10">transporte!$7:$7</definedName>
    <definedName name="_xlnm.Print_Titles" localSheetId="17">volta_aulas!$7:$7</definedName>
  </definedNames>
  <calcPr calcId="145621"/>
</workbook>
</file>

<file path=xl/calcChain.xml><?xml version="1.0" encoding="utf-8"?>
<calcChain xmlns="http://schemas.openxmlformats.org/spreadsheetml/2006/main">
  <c r="L12" i="40" l="1"/>
  <c r="L11" i="40"/>
  <c r="L10" i="40"/>
  <c r="L9" i="40"/>
  <c r="I12" i="48" l="1"/>
  <c r="I11" i="48"/>
  <c r="I10" i="48"/>
  <c r="I9" i="48"/>
  <c r="I8" i="48"/>
  <c r="I12" i="38"/>
  <c r="I11" i="38"/>
  <c r="I10" i="38"/>
  <c r="I9" i="38"/>
  <c r="I8" i="38"/>
  <c r="G8" i="48" l="1"/>
  <c r="F8" i="48"/>
  <c r="E8" i="48"/>
  <c r="D8" i="48"/>
  <c r="C8" i="48"/>
  <c r="G9" i="48"/>
  <c r="F9" i="48"/>
  <c r="E9" i="48"/>
  <c r="D9" i="48"/>
  <c r="C9" i="48"/>
  <c r="G10" i="48"/>
  <c r="F10" i="48"/>
  <c r="E10" i="48"/>
  <c r="D10" i="48"/>
  <c r="C10" i="48"/>
  <c r="G11" i="48"/>
  <c r="F11" i="48"/>
  <c r="E11" i="48"/>
  <c r="D11" i="48"/>
  <c r="C11" i="48"/>
  <c r="G12" i="48"/>
  <c r="F12" i="48"/>
  <c r="E12" i="48"/>
  <c r="D12" i="48"/>
  <c r="C12" i="48"/>
  <c r="I12" i="47"/>
  <c r="G12" i="47"/>
  <c r="F12" i="47"/>
  <c r="E12" i="47"/>
  <c r="D12" i="47"/>
  <c r="C12" i="47"/>
  <c r="I11" i="47"/>
  <c r="G11" i="47"/>
  <c r="F11" i="47"/>
  <c r="E11" i="47"/>
  <c r="D11" i="47"/>
  <c r="C11" i="47"/>
  <c r="I10" i="47"/>
  <c r="G10" i="47"/>
  <c r="F10" i="47"/>
  <c r="E10" i="47"/>
  <c r="D10" i="47"/>
  <c r="C10" i="47"/>
  <c r="I9" i="47"/>
  <c r="G9" i="47"/>
  <c r="F9" i="47"/>
  <c r="E9" i="47"/>
  <c r="D9" i="47"/>
  <c r="C9" i="47"/>
  <c r="I8" i="47"/>
  <c r="G8" i="47"/>
  <c r="F8" i="47"/>
  <c r="E8" i="47"/>
  <c r="D8" i="47"/>
  <c r="C8" i="47"/>
  <c r="I8" i="46"/>
  <c r="G8" i="46"/>
  <c r="F8" i="46"/>
  <c r="E8" i="46"/>
  <c r="D8" i="46"/>
  <c r="C8" i="46"/>
  <c r="I9" i="46"/>
  <c r="G9" i="46"/>
  <c r="F9" i="46"/>
  <c r="E9" i="46"/>
  <c r="D9" i="46"/>
  <c r="C9" i="46"/>
  <c r="I10" i="46"/>
  <c r="G10" i="46"/>
  <c r="F10" i="46"/>
  <c r="E10" i="46"/>
  <c r="D10" i="46"/>
  <c r="C10" i="46"/>
  <c r="I11" i="46"/>
  <c r="G11" i="46"/>
  <c r="F11" i="46"/>
  <c r="E11" i="46"/>
  <c r="D11" i="46"/>
  <c r="C11" i="46"/>
  <c r="I12" i="46"/>
  <c r="G12" i="46"/>
  <c r="F12" i="46"/>
  <c r="E12" i="46"/>
  <c r="H12" i="46" s="1"/>
  <c r="D12" i="46"/>
  <c r="C12" i="46"/>
  <c r="M12" i="44"/>
  <c r="K12" i="44"/>
  <c r="J12" i="44"/>
  <c r="I12" i="44"/>
  <c r="G12" i="44"/>
  <c r="F12" i="44"/>
  <c r="E12" i="44"/>
  <c r="D12" i="44"/>
  <c r="C12" i="44"/>
  <c r="M11" i="44"/>
  <c r="K11" i="44"/>
  <c r="J11" i="44"/>
  <c r="I11" i="44"/>
  <c r="G11" i="44"/>
  <c r="F11" i="44"/>
  <c r="E11" i="44"/>
  <c r="D11" i="44"/>
  <c r="C11" i="44"/>
  <c r="M10" i="44"/>
  <c r="K10" i="44"/>
  <c r="J10" i="44"/>
  <c r="I10" i="44"/>
  <c r="G10" i="44"/>
  <c r="F10" i="44"/>
  <c r="E10" i="44"/>
  <c r="D10" i="44"/>
  <c r="C10" i="44"/>
  <c r="M9" i="44"/>
  <c r="K9" i="44"/>
  <c r="J9" i="44"/>
  <c r="I9" i="44"/>
  <c r="G9" i="44"/>
  <c r="F9" i="44"/>
  <c r="E9" i="44"/>
  <c r="D9" i="44"/>
  <c r="C9" i="44"/>
  <c r="M8" i="44"/>
  <c r="K8" i="44"/>
  <c r="J8" i="44"/>
  <c r="I8" i="44"/>
  <c r="G8" i="44"/>
  <c r="F8" i="44"/>
  <c r="E8" i="44"/>
  <c r="D8" i="44"/>
  <c r="C8" i="44"/>
  <c r="M8" i="40"/>
  <c r="K8" i="40"/>
  <c r="J8" i="40"/>
  <c r="I8" i="40"/>
  <c r="G8" i="40"/>
  <c r="F8" i="40"/>
  <c r="E8" i="40"/>
  <c r="D8" i="40"/>
  <c r="C8" i="40"/>
  <c r="M9" i="40"/>
  <c r="K9" i="40"/>
  <c r="J9" i="40"/>
  <c r="I9" i="40"/>
  <c r="G9" i="40"/>
  <c r="F9" i="40"/>
  <c r="E9" i="40"/>
  <c r="D9" i="40"/>
  <c r="C9" i="40"/>
  <c r="M10" i="40"/>
  <c r="K10" i="40"/>
  <c r="J10" i="40"/>
  <c r="I10" i="40"/>
  <c r="G10" i="40"/>
  <c r="F10" i="40"/>
  <c r="E10" i="40"/>
  <c r="D10" i="40"/>
  <c r="C10" i="40"/>
  <c r="M11" i="40"/>
  <c r="K11" i="40"/>
  <c r="J11" i="40"/>
  <c r="I11" i="40"/>
  <c r="G11" i="40"/>
  <c r="F11" i="40"/>
  <c r="E11" i="40"/>
  <c r="D11" i="40"/>
  <c r="C11" i="40"/>
  <c r="M12" i="40"/>
  <c r="K12" i="40"/>
  <c r="J12" i="40"/>
  <c r="I12" i="40"/>
  <c r="G12" i="40"/>
  <c r="F12" i="40"/>
  <c r="E12" i="40"/>
  <c r="D12" i="40"/>
  <c r="C12" i="40"/>
  <c r="I12" i="41"/>
  <c r="G12" i="41"/>
  <c r="F12" i="41"/>
  <c r="E12" i="41"/>
  <c r="D12" i="41"/>
  <c r="C12" i="41"/>
  <c r="I11" i="41"/>
  <c r="G11" i="41"/>
  <c r="F11" i="41"/>
  <c r="E11" i="41"/>
  <c r="D11" i="41"/>
  <c r="C11" i="41"/>
  <c r="I10" i="41"/>
  <c r="G10" i="41"/>
  <c r="F10" i="41"/>
  <c r="E10" i="41"/>
  <c r="D10" i="41"/>
  <c r="C10" i="41"/>
  <c r="I9" i="41"/>
  <c r="G9" i="41"/>
  <c r="F9" i="41"/>
  <c r="E9" i="41"/>
  <c r="D9" i="41"/>
  <c r="C9" i="41"/>
  <c r="I8" i="41"/>
  <c r="G8" i="41"/>
  <c r="F8" i="41"/>
  <c r="E8" i="41"/>
  <c r="D8" i="41"/>
  <c r="C8" i="41"/>
  <c r="G8" i="38"/>
  <c r="F8" i="38"/>
  <c r="E8" i="38"/>
  <c r="D8" i="38"/>
  <c r="C8" i="38"/>
  <c r="G9" i="38"/>
  <c r="F9" i="38"/>
  <c r="E9" i="38"/>
  <c r="D9" i="38"/>
  <c r="C9" i="38"/>
  <c r="G10" i="38"/>
  <c r="F10" i="38"/>
  <c r="E10" i="38"/>
  <c r="D10" i="38"/>
  <c r="C10" i="38"/>
  <c r="G11" i="38"/>
  <c r="F11" i="38"/>
  <c r="E11" i="38"/>
  <c r="D11" i="38"/>
  <c r="C11" i="38"/>
  <c r="G12" i="38"/>
  <c r="F12" i="38"/>
  <c r="E12" i="38"/>
  <c r="D12" i="38"/>
  <c r="C12" i="38"/>
  <c r="I12" i="36"/>
  <c r="G12" i="36"/>
  <c r="F12" i="36"/>
  <c r="E12" i="36"/>
  <c r="D12" i="36"/>
  <c r="C12" i="36"/>
  <c r="I11" i="36"/>
  <c r="G11" i="36"/>
  <c r="F11" i="36"/>
  <c r="E11" i="36"/>
  <c r="D11" i="36"/>
  <c r="C11" i="36"/>
  <c r="I10" i="36"/>
  <c r="G10" i="36"/>
  <c r="F10" i="36"/>
  <c r="E10" i="36"/>
  <c r="D10" i="36"/>
  <c r="C10" i="36"/>
  <c r="I9" i="36"/>
  <c r="G9" i="36"/>
  <c r="F9" i="36"/>
  <c r="E9" i="36"/>
  <c r="D9" i="36"/>
  <c r="C9" i="36"/>
  <c r="I8" i="36"/>
  <c r="G8" i="36"/>
  <c r="F8" i="36"/>
  <c r="E8" i="36"/>
  <c r="D8" i="36"/>
  <c r="C8" i="36"/>
  <c r="N8" i="49"/>
  <c r="L8" i="49"/>
  <c r="K8" i="49"/>
  <c r="J8" i="49"/>
  <c r="H8" i="49"/>
  <c r="G8" i="49"/>
  <c r="F8" i="49"/>
  <c r="E8" i="49"/>
  <c r="D8" i="49"/>
  <c r="C8" i="49"/>
  <c r="N9" i="49"/>
  <c r="L9" i="49"/>
  <c r="K9" i="49"/>
  <c r="J9" i="49"/>
  <c r="H9" i="49"/>
  <c r="G9" i="49"/>
  <c r="F9" i="49"/>
  <c r="E9" i="49"/>
  <c r="D9" i="49"/>
  <c r="C9" i="49"/>
  <c r="N10" i="49"/>
  <c r="L10" i="49"/>
  <c r="K10" i="49"/>
  <c r="J10" i="49"/>
  <c r="H10" i="49"/>
  <c r="G10" i="49"/>
  <c r="F10" i="49"/>
  <c r="E10" i="49"/>
  <c r="D10" i="49"/>
  <c r="C10" i="49"/>
  <c r="N11" i="49"/>
  <c r="L11" i="49"/>
  <c r="K11" i="49"/>
  <c r="J11" i="49"/>
  <c r="H11" i="49"/>
  <c r="G11" i="49"/>
  <c r="F11" i="49"/>
  <c r="E11" i="49"/>
  <c r="D11" i="49"/>
  <c r="C11" i="49"/>
  <c r="N12" i="49"/>
  <c r="L12" i="49"/>
  <c r="K12" i="49"/>
  <c r="J12" i="49"/>
  <c r="H12" i="49"/>
  <c r="G12" i="49"/>
  <c r="F12" i="49"/>
  <c r="E12" i="49"/>
  <c r="D12" i="49"/>
  <c r="C12" i="49"/>
  <c r="IY8" i="33"/>
  <c r="IX8" i="33"/>
  <c r="IV8" i="33"/>
  <c r="IU8" i="33"/>
  <c r="IT8" i="33"/>
  <c r="HL8" i="33"/>
  <c r="HI8" i="33"/>
  <c r="HH8" i="33"/>
  <c r="HG8" i="33"/>
  <c r="HF8" i="33"/>
  <c r="HE8" i="33"/>
  <c r="HD8" i="33"/>
  <c r="GU8" i="33"/>
  <c r="GH8" i="33"/>
  <c r="GG8" i="33"/>
  <c r="O8" i="33"/>
  <c r="N8" i="33"/>
  <c r="L8" i="33"/>
  <c r="K8" i="33"/>
  <c r="J8" i="33"/>
  <c r="H8" i="33"/>
  <c r="G8" i="33"/>
  <c r="F8" i="33"/>
  <c r="E8" i="33"/>
  <c r="D8" i="33"/>
  <c r="C8" i="33"/>
  <c r="IY7" i="33"/>
  <c r="IX7" i="33"/>
  <c r="IV7" i="33"/>
  <c r="IU7" i="33"/>
  <c r="IT7" i="33"/>
  <c r="HL7" i="33"/>
  <c r="HI7" i="33"/>
  <c r="HH7" i="33"/>
  <c r="HG7" i="33"/>
  <c r="HF7" i="33"/>
  <c r="HE7" i="33"/>
  <c r="HD7" i="33"/>
  <c r="GU7" i="33"/>
  <c r="GH7" i="33"/>
  <c r="GG7" i="33"/>
  <c r="O7" i="33"/>
  <c r="N7" i="33"/>
  <c r="L7" i="33"/>
  <c r="K7" i="33"/>
  <c r="J7" i="33"/>
  <c r="H7" i="33"/>
  <c r="G7" i="33"/>
  <c r="F7" i="33"/>
  <c r="E7" i="33"/>
  <c r="D7" i="33"/>
  <c r="C7" i="33"/>
  <c r="IY5" i="33"/>
  <c r="IX5" i="33"/>
  <c r="IV5" i="33"/>
  <c r="IU5" i="33"/>
  <c r="IT5" i="33"/>
  <c r="HL5" i="33"/>
  <c r="HI5" i="33"/>
  <c r="HH5" i="33"/>
  <c r="HG5" i="33"/>
  <c r="HF5" i="33"/>
  <c r="HE5" i="33"/>
  <c r="HD5" i="33"/>
  <c r="GU5" i="33"/>
  <c r="GH5" i="33"/>
  <c r="GG5" i="33"/>
  <c r="O5" i="33"/>
  <c r="N5" i="33"/>
  <c r="L5" i="33"/>
  <c r="K5" i="33"/>
  <c r="J5" i="33"/>
  <c r="H5" i="33"/>
  <c r="G5" i="33"/>
  <c r="F5" i="33"/>
  <c r="E5" i="33"/>
  <c r="D5" i="33"/>
  <c r="C5" i="33"/>
  <c r="IY6" i="33"/>
  <c r="IX6" i="33"/>
  <c r="IV6" i="33"/>
  <c r="IU6" i="33"/>
  <c r="IT6" i="33"/>
  <c r="HL6" i="33"/>
  <c r="HI6" i="33"/>
  <c r="HH6" i="33"/>
  <c r="HG6" i="33"/>
  <c r="HF6" i="33"/>
  <c r="HE6" i="33"/>
  <c r="HD6" i="33"/>
  <c r="GU6" i="33"/>
  <c r="GH6" i="33"/>
  <c r="GG6" i="33"/>
  <c r="O6" i="33"/>
  <c r="N6" i="33"/>
  <c r="L6" i="33"/>
  <c r="K6" i="33"/>
  <c r="J6" i="33"/>
  <c r="H6" i="33"/>
  <c r="G6" i="33"/>
  <c r="F6" i="33"/>
  <c r="E6" i="33"/>
  <c r="D6" i="33"/>
  <c r="C6" i="33"/>
  <c r="IY4" i="33"/>
  <c r="IX4" i="33"/>
  <c r="IV4" i="33"/>
  <c r="IU4" i="33"/>
  <c r="IT4" i="33"/>
  <c r="HL4" i="33"/>
  <c r="HI4" i="33"/>
  <c r="HH4" i="33"/>
  <c r="HG4" i="33"/>
  <c r="HF4" i="33"/>
  <c r="HE4" i="33"/>
  <c r="HD4" i="33"/>
  <c r="GU4" i="33"/>
  <c r="GH4" i="33"/>
  <c r="GG4" i="33"/>
  <c r="O4" i="33"/>
  <c r="N4" i="33"/>
  <c r="L4" i="33"/>
  <c r="K4" i="33"/>
  <c r="J4" i="33"/>
  <c r="H4" i="33"/>
  <c r="G4" i="33"/>
  <c r="F4" i="33"/>
  <c r="E4" i="33"/>
  <c r="D4" i="33"/>
  <c r="C4" i="33"/>
  <c r="B8" i="48" l="1"/>
  <c r="B8" i="47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B38" i="47" s="1"/>
  <c r="B39" i="47" s="1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B58" i="47" s="1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B69" i="47" s="1"/>
  <c r="B70" i="47" s="1"/>
  <c r="B71" i="47" s="1"/>
  <c r="B72" i="47" s="1"/>
  <c r="B73" i="47" s="1"/>
  <c r="B74" i="47" s="1"/>
  <c r="B75" i="47" s="1"/>
  <c r="B76" i="47" s="1"/>
  <c r="B77" i="47" s="1"/>
  <c r="B78" i="47" s="1"/>
  <c r="B79" i="47" s="1"/>
  <c r="B80" i="47" s="1"/>
  <c r="B81" i="47" s="1"/>
  <c r="B82" i="47" s="1"/>
  <c r="B83" i="47" s="1"/>
  <c r="B84" i="47" s="1"/>
  <c r="B85" i="47" s="1"/>
  <c r="B86" i="47" s="1"/>
  <c r="B87" i="47" s="1"/>
  <c r="B88" i="47" s="1"/>
  <c r="B89" i="47" s="1"/>
  <c r="B90" i="47" s="1"/>
  <c r="B91" i="47" s="1"/>
  <c r="B92" i="47" s="1"/>
  <c r="B93" i="47" s="1"/>
  <c r="B94" i="47" s="1"/>
  <c r="B95" i="47" s="1"/>
  <c r="B96" i="47" s="1"/>
  <c r="B97" i="47" s="1"/>
  <c r="B98" i="47" s="1"/>
  <c r="B99" i="47" s="1"/>
  <c r="B100" i="47" s="1"/>
  <c r="B101" i="47" s="1"/>
  <c r="B102" i="47" s="1"/>
  <c r="B103" i="47" s="1"/>
  <c r="B104" i="47" s="1"/>
  <c r="B105" i="47" s="1"/>
  <c r="B106" i="47" s="1"/>
  <c r="B107" i="47" s="1"/>
  <c r="B108" i="47" s="1"/>
  <c r="B109" i="47" s="1"/>
  <c r="B110" i="47" s="1"/>
  <c r="B111" i="47" s="1"/>
  <c r="B112" i="47" s="1"/>
  <c r="B113" i="47" s="1"/>
  <c r="B114" i="47" s="1"/>
  <c r="B115" i="47" s="1"/>
  <c r="B116" i="47" s="1"/>
  <c r="B117" i="47" s="1"/>
  <c r="B118" i="47" s="1"/>
  <c r="B119" i="47" s="1"/>
  <c r="B120" i="47" s="1"/>
  <c r="B8" i="46"/>
  <c r="L12" i="44"/>
  <c r="H12" i="44"/>
  <c r="H11" i="44"/>
  <c r="H10" i="44"/>
  <c r="H9" i="44"/>
  <c r="H8" i="44"/>
  <c r="L11" i="44"/>
  <c r="B8" i="44"/>
  <c r="B8" i="40"/>
  <c r="B8" i="41"/>
  <c r="H11" i="38"/>
  <c r="H9" i="38"/>
  <c r="H8" i="38"/>
  <c r="B8" i="38"/>
  <c r="H12" i="38"/>
  <c r="H10" i="38"/>
  <c r="H12" i="36"/>
  <c r="H11" i="36"/>
  <c r="H10" i="36"/>
  <c r="H9" i="36"/>
  <c r="H8" i="36"/>
  <c r="B8" i="36"/>
  <c r="M9" i="49"/>
  <c r="G5" i="49"/>
  <c r="I11" i="49"/>
  <c r="I8" i="49"/>
  <c r="M12" i="49"/>
  <c r="M11" i="49"/>
  <c r="M10" i="49"/>
  <c r="I9" i="49"/>
  <c r="B8" i="49"/>
  <c r="HQ201" i="33"/>
  <c r="HP201" i="33"/>
  <c r="HO201" i="33"/>
  <c r="HQ200" i="33"/>
  <c r="HP200" i="33"/>
  <c r="HO200" i="33"/>
  <c r="HQ199" i="33"/>
  <c r="HP199" i="33"/>
  <c r="HO199" i="33"/>
  <c r="HQ198" i="33"/>
  <c r="HP198" i="33"/>
  <c r="HO198" i="33"/>
  <c r="HQ197" i="33"/>
  <c r="HP197" i="33"/>
  <c r="HO197" i="33"/>
  <c r="HQ196" i="33"/>
  <c r="HP196" i="33"/>
  <c r="HO196" i="33"/>
  <c r="HQ195" i="33"/>
  <c r="HP195" i="33"/>
  <c r="HO195" i="33"/>
  <c r="HQ194" i="33"/>
  <c r="HP194" i="33"/>
  <c r="HO194" i="33"/>
  <c r="HQ193" i="33"/>
  <c r="HP193" i="33"/>
  <c r="HO193" i="33"/>
  <c r="HQ192" i="33"/>
  <c r="HP192" i="33"/>
  <c r="HO192" i="33"/>
  <c r="HQ191" i="33"/>
  <c r="HP191" i="33"/>
  <c r="HO191" i="33"/>
  <c r="HQ190" i="33"/>
  <c r="HP190" i="33"/>
  <c r="HO190" i="33"/>
  <c r="HQ189" i="33"/>
  <c r="HP189" i="33"/>
  <c r="HO189" i="33"/>
  <c r="HQ188" i="33"/>
  <c r="HP188" i="33"/>
  <c r="HO188" i="33"/>
  <c r="HQ187" i="33"/>
  <c r="HP187" i="33"/>
  <c r="HO187" i="33"/>
  <c r="HQ186" i="33"/>
  <c r="HP186" i="33"/>
  <c r="HO186" i="33"/>
  <c r="HQ185" i="33"/>
  <c r="HP185" i="33"/>
  <c r="HO185" i="33"/>
  <c r="HQ184" i="33"/>
  <c r="HP184" i="33"/>
  <c r="HO184" i="33"/>
  <c r="HQ183" i="33"/>
  <c r="HP183" i="33"/>
  <c r="HO183" i="33"/>
  <c r="HQ182" i="33"/>
  <c r="HP182" i="33"/>
  <c r="HO182" i="33"/>
  <c r="HQ181" i="33"/>
  <c r="HP181" i="33"/>
  <c r="HO181" i="33"/>
  <c r="HQ180" i="33"/>
  <c r="HP180" i="33"/>
  <c r="HO180" i="33"/>
  <c r="HQ179" i="33"/>
  <c r="HP179" i="33"/>
  <c r="HO179" i="33"/>
  <c r="HQ178" i="33"/>
  <c r="HP178" i="33"/>
  <c r="HO178" i="33"/>
  <c r="HQ177" i="33"/>
  <c r="HP177" i="33"/>
  <c r="HO177" i="33"/>
  <c r="HQ176" i="33"/>
  <c r="HP176" i="33"/>
  <c r="HO176" i="33"/>
  <c r="HQ175" i="33"/>
  <c r="HP175" i="33"/>
  <c r="HO175" i="33"/>
  <c r="HQ174" i="33"/>
  <c r="HP174" i="33"/>
  <c r="HO174" i="33"/>
  <c r="HQ173" i="33"/>
  <c r="HP173" i="33"/>
  <c r="HO173" i="33"/>
  <c r="HQ172" i="33"/>
  <c r="HP172" i="33"/>
  <c r="HO172" i="33"/>
  <c r="HQ171" i="33"/>
  <c r="HP171" i="33"/>
  <c r="HO171" i="33"/>
  <c r="HQ170" i="33"/>
  <c r="HP170" i="33"/>
  <c r="HO170" i="33"/>
  <c r="HQ169" i="33"/>
  <c r="HP169" i="33"/>
  <c r="HO169" i="33"/>
  <c r="HQ168" i="33"/>
  <c r="HP168" i="33"/>
  <c r="HO168" i="33"/>
  <c r="HQ167" i="33"/>
  <c r="HP167" i="33"/>
  <c r="HO167" i="33"/>
  <c r="HQ166" i="33"/>
  <c r="HP166" i="33"/>
  <c r="HO166" i="33"/>
  <c r="HQ165" i="33"/>
  <c r="HP165" i="33"/>
  <c r="HO165" i="33"/>
  <c r="HQ164" i="33"/>
  <c r="HP164" i="33"/>
  <c r="HO164" i="33"/>
  <c r="HQ163" i="33"/>
  <c r="HP163" i="33"/>
  <c r="HO163" i="33"/>
  <c r="HQ162" i="33"/>
  <c r="HP162" i="33"/>
  <c r="HO162" i="33"/>
  <c r="HQ161" i="33"/>
  <c r="HP161" i="33"/>
  <c r="HO161" i="33"/>
  <c r="HQ160" i="33"/>
  <c r="HP160" i="33"/>
  <c r="HO160" i="33"/>
  <c r="HQ159" i="33"/>
  <c r="HP159" i="33"/>
  <c r="HO159" i="33"/>
  <c r="HQ158" i="33"/>
  <c r="HP158" i="33"/>
  <c r="HO158" i="33"/>
  <c r="HQ157" i="33"/>
  <c r="HP157" i="33"/>
  <c r="HO157" i="33"/>
  <c r="HQ156" i="33"/>
  <c r="HP156" i="33"/>
  <c r="HO156" i="33"/>
  <c r="HQ155" i="33"/>
  <c r="HP155" i="33"/>
  <c r="HO155" i="33"/>
  <c r="HQ154" i="33"/>
  <c r="HP154" i="33"/>
  <c r="HO154" i="33"/>
  <c r="HQ153" i="33"/>
  <c r="HP153" i="33"/>
  <c r="HO153" i="33"/>
  <c r="HQ152" i="33"/>
  <c r="HP152" i="33"/>
  <c r="HO152" i="33"/>
  <c r="HQ151" i="33"/>
  <c r="HP151" i="33"/>
  <c r="HO151" i="33"/>
  <c r="HQ150" i="33"/>
  <c r="HP150" i="33"/>
  <c r="HO150" i="33"/>
  <c r="HQ149" i="33"/>
  <c r="HP149" i="33"/>
  <c r="HO149" i="33"/>
  <c r="HQ148" i="33"/>
  <c r="HP148" i="33"/>
  <c r="HO148" i="33"/>
  <c r="HQ147" i="33"/>
  <c r="HP147" i="33"/>
  <c r="HO147" i="33"/>
  <c r="HQ146" i="33"/>
  <c r="HP146" i="33"/>
  <c r="HO146" i="33"/>
  <c r="HQ145" i="33"/>
  <c r="HP145" i="33"/>
  <c r="HO145" i="33"/>
  <c r="HQ144" i="33"/>
  <c r="HP144" i="33"/>
  <c r="HO144" i="33"/>
  <c r="HQ143" i="33"/>
  <c r="HP143" i="33"/>
  <c r="HO143" i="33"/>
  <c r="HQ142" i="33"/>
  <c r="HP142" i="33"/>
  <c r="HO142" i="33"/>
  <c r="HQ141" i="33"/>
  <c r="HP141" i="33"/>
  <c r="HO141" i="33"/>
  <c r="HQ140" i="33"/>
  <c r="HP140" i="33"/>
  <c r="HO140" i="33"/>
  <c r="HQ139" i="33"/>
  <c r="HP139" i="33"/>
  <c r="HO139" i="33"/>
  <c r="HQ138" i="33"/>
  <c r="HP138" i="33"/>
  <c r="HO138" i="33"/>
  <c r="HQ137" i="33"/>
  <c r="HP137" i="33"/>
  <c r="HO137" i="33"/>
  <c r="HQ136" i="33"/>
  <c r="HP136" i="33"/>
  <c r="HO136" i="33"/>
  <c r="HQ135" i="33"/>
  <c r="HP135" i="33"/>
  <c r="HO135" i="33"/>
  <c r="HQ134" i="33"/>
  <c r="HP134" i="33"/>
  <c r="HO134" i="33"/>
  <c r="HQ133" i="33"/>
  <c r="HP133" i="33"/>
  <c r="HO133" i="33"/>
  <c r="HQ132" i="33"/>
  <c r="HP132" i="33"/>
  <c r="HO132" i="33"/>
  <c r="HQ131" i="33"/>
  <c r="HP131" i="33"/>
  <c r="HO131" i="33"/>
  <c r="HQ130" i="33"/>
  <c r="HP130" i="33"/>
  <c r="HO130" i="33"/>
  <c r="HQ129" i="33"/>
  <c r="HP129" i="33"/>
  <c r="HO129" i="33"/>
  <c r="HQ128" i="33"/>
  <c r="HP128" i="33"/>
  <c r="HO128" i="33"/>
  <c r="HQ127" i="33"/>
  <c r="HP127" i="33"/>
  <c r="HO127" i="33"/>
  <c r="HQ126" i="33"/>
  <c r="HP126" i="33"/>
  <c r="HO126" i="33"/>
  <c r="HQ125" i="33"/>
  <c r="HP125" i="33"/>
  <c r="HO125" i="33"/>
  <c r="HQ124" i="33"/>
  <c r="HP124" i="33"/>
  <c r="HO124" i="33"/>
  <c r="HQ123" i="33"/>
  <c r="HP123" i="33"/>
  <c r="HO123" i="33"/>
  <c r="HQ122" i="33"/>
  <c r="HP122" i="33"/>
  <c r="HO122" i="33"/>
  <c r="HQ121" i="33"/>
  <c r="HP121" i="33"/>
  <c r="HO121" i="33"/>
  <c r="HQ120" i="33"/>
  <c r="HP120" i="33"/>
  <c r="HO120" i="33"/>
  <c r="HQ119" i="33"/>
  <c r="HP119" i="33"/>
  <c r="HO119" i="33"/>
  <c r="HQ118" i="33"/>
  <c r="HP118" i="33"/>
  <c r="HO118" i="33"/>
  <c r="HQ117" i="33"/>
  <c r="HP117" i="33"/>
  <c r="HO117" i="33"/>
  <c r="HQ116" i="33"/>
  <c r="HP116" i="33"/>
  <c r="HO116" i="33"/>
  <c r="HQ115" i="33"/>
  <c r="HP115" i="33"/>
  <c r="HO115" i="33"/>
  <c r="HQ114" i="33"/>
  <c r="HP114" i="33"/>
  <c r="HO114" i="33"/>
  <c r="HQ113" i="33"/>
  <c r="HP113" i="33"/>
  <c r="HO113" i="33"/>
  <c r="HQ112" i="33"/>
  <c r="HP112" i="33"/>
  <c r="HO112" i="33"/>
  <c r="HQ111" i="33"/>
  <c r="HP111" i="33"/>
  <c r="HO111" i="33"/>
  <c r="HQ110" i="33"/>
  <c r="HP110" i="33"/>
  <c r="HO110" i="33"/>
  <c r="HQ109" i="33"/>
  <c r="HP109" i="33"/>
  <c r="HO109" i="33"/>
  <c r="HQ108" i="33"/>
  <c r="HP108" i="33"/>
  <c r="HO108" i="33"/>
  <c r="HQ107" i="33"/>
  <c r="HP107" i="33"/>
  <c r="HO107" i="33"/>
  <c r="HQ106" i="33"/>
  <c r="HP106" i="33"/>
  <c r="HO106" i="33"/>
  <c r="HQ105" i="33"/>
  <c r="HP105" i="33"/>
  <c r="HO105" i="33"/>
  <c r="HQ104" i="33"/>
  <c r="HP104" i="33"/>
  <c r="HO104" i="33"/>
  <c r="HQ103" i="33"/>
  <c r="HP103" i="33"/>
  <c r="HO103" i="33"/>
  <c r="HQ102" i="33"/>
  <c r="HP102" i="33"/>
  <c r="HO102" i="33"/>
  <c r="HQ101" i="33"/>
  <c r="HP101" i="33"/>
  <c r="HO101" i="33"/>
  <c r="HQ100" i="33"/>
  <c r="HP100" i="33"/>
  <c r="HO100" i="33"/>
  <c r="HQ99" i="33"/>
  <c r="HP99" i="33"/>
  <c r="HO99" i="33"/>
  <c r="HQ98" i="33"/>
  <c r="HP98" i="33"/>
  <c r="HO98" i="33"/>
  <c r="HQ97" i="33"/>
  <c r="HP97" i="33"/>
  <c r="HO97" i="33"/>
  <c r="HQ96" i="33"/>
  <c r="HP96" i="33"/>
  <c r="HO96" i="33"/>
  <c r="HQ95" i="33"/>
  <c r="HP95" i="33"/>
  <c r="HO95" i="33"/>
  <c r="HQ94" i="33"/>
  <c r="HP94" i="33"/>
  <c r="HO94" i="33"/>
  <c r="HQ93" i="33"/>
  <c r="HP93" i="33"/>
  <c r="HO93" i="33"/>
  <c r="HQ92" i="33"/>
  <c r="HP92" i="33"/>
  <c r="HO92" i="33"/>
  <c r="HQ91" i="33"/>
  <c r="HP91" i="33"/>
  <c r="HO91" i="33"/>
  <c r="HQ90" i="33"/>
  <c r="HP90" i="33"/>
  <c r="HO90" i="33"/>
  <c r="HQ89" i="33"/>
  <c r="HP89" i="33"/>
  <c r="HO89" i="33"/>
  <c r="HQ88" i="33"/>
  <c r="HP88" i="33"/>
  <c r="HO88" i="33"/>
  <c r="HQ87" i="33"/>
  <c r="HP87" i="33"/>
  <c r="HO87" i="33"/>
  <c r="HQ86" i="33"/>
  <c r="HP86" i="33"/>
  <c r="HO86" i="33"/>
  <c r="HQ85" i="33"/>
  <c r="HP85" i="33"/>
  <c r="HO85" i="33"/>
  <c r="HQ84" i="33"/>
  <c r="HP84" i="33"/>
  <c r="HO84" i="33"/>
  <c r="HQ83" i="33"/>
  <c r="HP83" i="33"/>
  <c r="HO83" i="33"/>
  <c r="HQ82" i="33"/>
  <c r="HP82" i="33"/>
  <c r="HO82" i="33"/>
  <c r="HQ81" i="33"/>
  <c r="HP81" i="33"/>
  <c r="HO81" i="33"/>
  <c r="HQ80" i="33"/>
  <c r="HP80" i="33"/>
  <c r="HO80" i="33"/>
  <c r="HQ79" i="33"/>
  <c r="HP79" i="33"/>
  <c r="HO79" i="33"/>
  <c r="HQ78" i="33"/>
  <c r="HP78" i="33"/>
  <c r="HO78" i="33"/>
  <c r="HQ77" i="33"/>
  <c r="HP77" i="33"/>
  <c r="HO77" i="33"/>
  <c r="HQ76" i="33"/>
  <c r="HP76" i="33"/>
  <c r="HO76" i="33"/>
  <c r="HQ75" i="33"/>
  <c r="HP75" i="33"/>
  <c r="HO75" i="33"/>
  <c r="HQ74" i="33"/>
  <c r="HP74" i="33"/>
  <c r="HO74" i="33"/>
  <c r="HQ73" i="33"/>
  <c r="HP73" i="33"/>
  <c r="HO73" i="33"/>
  <c r="HQ72" i="33"/>
  <c r="HP72" i="33"/>
  <c r="HO72" i="33"/>
  <c r="HQ71" i="33"/>
  <c r="HP71" i="33"/>
  <c r="HO71" i="33"/>
  <c r="HQ70" i="33"/>
  <c r="HP70" i="33"/>
  <c r="HO70" i="33"/>
  <c r="HQ69" i="33"/>
  <c r="HP69" i="33"/>
  <c r="HO69" i="33"/>
  <c r="HQ68" i="33"/>
  <c r="HP68" i="33"/>
  <c r="HO68" i="33"/>
  <c r="HQ67" i="33"/>
  <c r="HP67" i="33"/>
  <c r="HO67" i="33"/>
  <c r="HQ66" i="33"/>
  <c r="HP66" i="33"/>
  <c r="HO66" i="33"/>
  <c r="HQ65" i="33"/>
  <c r="HP65" i="33"/>
  <c r="HO65" i="33"/>
  <c r="HQ64" i="33"/>
  <c r="HP64" i="33"/>
  <c r="HO64" i="33"/>
  <c r="HQ63" i="33"/>
  <c r="HP63" i="33"/>
  <c r="HO63" i="33"/>
  <c r="HQ62" i="33"/>
  <c r="HP62" i="33"/>
  <c r="HO62" i="33"/>
  <c r="HQ61" i="33"/>
  <c r="HP61" i="33"/>
  <c r="HO61" i="33"/>
  <c r="HQ60" i="33"/>
  <c r="HP60" i="33"/>
  <c r="HO60" i="33"/>
  <c r="HQ59" i="33"/>
  <c r="HP59" i="33"/>
  <c r="HO59" i="33"/>
  <c r="HQ58" i="33"/>
  <c r="HP58" i="33"/>
  <c r="HO58" i="33"/>
  <c r="HQ57" i="33"/>
  <c r="HP57" i="33"/>
  <c r="HO57" i="33"/>
  <c r="HQ56" i="33"/>
  <c r="HP56" i="33"/>
  <c r="HO56" i="33"/>
  <c r="HQ55" i="33"/>
  <c r="HP55" i="33"/>
  <c r="HO55" i="33"/>
  <c r="HQ54" i="33"/>
  <c r="HP54" i="33"/>
  <c r="HO54" i="33"/>
  <c r="HQ53" i="33"/>
  <c r="HP53" i="33"/>
  <c r="HO53" i="33"/>
  <c r="HQ52" i="33"/>
  <c r="HP52" i="33"/>
  <c r="HO52" i="33"/>
  <c r="HQ51" i="33"/>
  <c r="HP51" i="33"/>
  <c r="HO51" i="33"/>
  <c r="HQ50" i="33"/>
  <c r="HP50" i="33"/>
  <c r="HO50" i="33"/>
  <c r="HQ49" i="33"/>
  <c r="HP49" i="33"/>
  <c r="HO49" i="33"/>
  <c r="HQ48" i="33"/>
  <c r="HP48" i="33"/>
  <c r="HO48" i="33"/>
  <c r="HQ47" i="33"/>
  <c r="HP47" i="33"/>
  <c r="HO47" i="33"/>
  <c r="HQ46" i="33"/>
  <c r="HP46" i="33"/>
  <c r="HO46" i="33"/>
  <c r="HQ45" i="33"/>
  <c r="HP45" i="33"/>
  <c r="HO45" i="33"/>
  <c r="HQ44" i="33"/>
  <c r="HP44" i="33"/>
  <c r="HO44" i="33"/>
  <c r="HQ43" i="33"/>
  <c r="HP43" i="33"/>
  <c r="HO43" i="33"/>
  <c r="HQ42" i="33"/>
  <c r="HP42" i="33"/>
  <c r="HO42" i="33"/>
  <c r="HQ41" i="33"/>
  <c r="HP41" i="33"/>
  <c r="HO41" i="33"/>
  <c r="HQ40" i="33"/>
  <c r="HP40" i="33"/>
  <c r="HO40" i="33"/>
  <c r="HQ39" i="33"/>
  <c r="HP39" i="33"/>
  <c r="HO39" i="33"/>
  <c r="HQ38" i="33"/>
  <c r="HP38" i="33"/>
  <c r="HO38" i="33"/>
  <c r="HQ37" i="33"/>
  <c r="HP37" i="33"/>
  <c r="HO37" i="33"/>
  <c r="HQ36" i="33"/>
  <c r="HP36" i="33"/>
  <c r="HO36" i="33"/>
  <c r="HQ35" i="33"/>
  <c r="HP35" i="33"/>
  <c r="HO35" i="33"/>
  <c r="HQ34" i="33"/>
  <c r="HP34" i="33"/>
  <c r="HO34" i="33"/>
  <c r="HQ33" i="33"/>
  <c r="HP33" i="33"/>
  <c r="HO33" i="33"/>
  <c r="HQ32" i="33"/>
  <c r="HP32" i="33"/>
  <c r="HO32" i="33"/>
  <c r="HQ31" i="33"/>
  <c r="HP31" i="33"/>
  <c r="HO31" i="33"/>
  <c r="HQ30" i="33"/>
  <c r="HP30" i="33"/>
  <c r="HO30" i="33"/>
  <c r="HQ29" i="33"/>
  <c r="HP29" i="33"/>
  <c r="HO29" i="33"/>
  <c r="HQ28" i="33"/>
  <c r="HP28" i="33"/>
  <c r="HO28" i="33"/>
  <c r="HQ27" i="33"/>
  <c r="HP27" i="33"/>
  <c r="HO27" i="33"/>
  <c r="HQ26" i="33"/>
  <c r="HP26" i="33"/>
  <c r="HO26" i="33"/>
  <c r="HQ25" i="33"/>
  <c r="HP25" i="33"/>
  <c r="HO25" i="33"/>
  <c r="HQ24" i="33"/>
  <c r="HP24" i="33"/>
  <c r="HO24" i="33"/>
  <c r="HQ23" i="33"/>
  <c r="HP23" i="33"/>
  <c r="HO23" i="33"/>
  <c r="HQ22" i="33"/>
  <c r="HP22" i="33"/>
  <c r="HO22" i="33"/>
  <c r="HQ21" i="33"/>
  <c r="HP21" i="33"/>
  <c r="HO21" i="33"/>
  <c r="HQ20" i="33"/>
  <c r="HP20" i="33"/>
  <c r="HO20" i="33"/>
  <c r="HQ19" i="33"/>
  <c r="HP19" i="33"/>
  <c r="HO19" i="33"/>
  <c r="HQ18" i="33"/>
  <c r="HP18" i="33"/>
  <c r="HO18" i="33"/>
  <c r="HQ17" i="33"/>
  <c r="HP17" i="33"/>
  <c r="HO17" i="33"/>
  <c r="HQ16" i="33"/>
  <c r="HP16" i="33"/>
  <c r="HO16" i="33"/>
  <c r="HQ15" i="33"/>
  <c r="HP15" i="33"/>
  <c r="HO15" i="33"/>
  <c r="HQ14" i="33"/>
  <c r="HP14" i="33"/>
  <c r="HO14" i="33"/>
  <c r="HQ13" i="33"/>
  <c r="HP13" i="33"/>
  <c r="HO13" i="33"/>
  <c r="HQ12" i="33"/>
  <c r="HP12" i="33"/>
  <c r="HO12" i="33"/>
  <c r="HQ11" i="33"/>
  <c r="HP11" i="33"/>
  <c r="HO11" i="33"/>
  <c r="HQ10" i="33"/>
  <c r="HP10" i="33"/>
  <c r="HO10" i="33"/>
  <c r="HQ9" i="33"/>
  <c r="HP9" i="33"/>
  <c r="HO9" i="33"/>
  <c r="HQ8" i="33"/>
  <c r="HP8" i="33"/>
  <c r="HO8" i="33"/>
  <c r="HQ7" i="33"/>
  <c r="HP7" i="33"/>
  <c r="HO7" i="33"/>
  <c r="HQ6" i="33"/>
  <c r="HP6" i="33"/>
  <c r="HO6" i="33"/>
  <c r="HQ5" i="33"/>
  <c r="HP5" i="33"/>
  <c r="HO5" i="33"/>
  <c r="HJ201" i="33"/>
  <c r="HJ200" i="33"/>
  <c r="HJ199" i="33"/>
  <c r="HJ198" i="33"/>
  <c r="HJ197" i="33"/>
  <c r="HJ196" i="33"/>
  <c r="HJ195" i="33"/>
  <c r="HJ194" i="33"/>
  <c r="HJ193" i="33"/>
  <c r="HJ192" i="33"/>
  <c r="HJ191" i="33"/>
  <c r="HJ190" i="33"/>
  <c r="HJ189" i="33"/>
  <c r="HJ188" i="33"/>
  <c r="HJ187" i="33"/>
  <c r="HJ186" i="33"/>
  <c r="HJ185" i="33"/>
  <c r="HJ184" i="33"/>
  <c r="HJ183" i="33"/>
  <c r="HJ182" i="33"/>
  <c r="HJ181" i="33"/>
  <c r="HJ180" i="33"/>
  <c r="HJ179" i="33"/>
  <c r="HJ178" i="33"/>
  <c r="HJ177" i="33"/>
  <c r="HJ176" i="33"/>
  <c r="HJ175" i="33"/>
  <c r="HJ174" i="33"/>
  <c r="HJ173" i="33"/>
  <c r="HJ172" i="33"/>
  <c r="HJ171" i="33"/>
  <c r="HJ170" i="33"/>
  <c r="HJ169" i="33"/>
  <c r="HJ168" i="33"/>
  <c r="HJ167" i="33"/>
  <c r="HJ166" i="33"/>
  <c r="HJ165" i="33"/>
  <c r="HJ164" i="33"/>
  <c r="HJ163" i="33"/>
  <c r="HJ162" i="33"/>
  <c r="HJ161" i="33"/>
  <c r="HJ160" i="33"/>
  <c r="HJ159" i="33"/>
  <c r="HJ158" i="33"/>
  <c r="HJ157" i="33"/>
  <c r="HJ156" i="33"/>
  <c r="HJ155" i="33"/>
  <c r="HJ154" i="33"/>
  <c r="HJ153" i="33"/>
  <c r="HJ152" i="33"/>
  <c r="HJ151" i="33"/>
  <c r="HJ150" i="33"/>
  <c r="HJ149" i="33"/>
  <c r="HJ148" i="33"/>
  <c r="HJ147" i="33"/>
  <c r="HJ146" i="33"/>
  <c r="HJ145" i="33"/>
  <c r="HJ144" i="33"/>
  <c r="HJ143" i="33"/>
  <c r="HJ142" i="33"/>
  <c r="HJ141" i="33"/>
  <c r="HJ140" i="33"/>
  <c r="HJ139" i="33"/>
  <c r="HJ138" i="33"/>
  <c r="HJ137" i="33"/>
  <c r="HJ136" i="33"/>
  <c r="HJ135" i="33"/>
  <c r="HJ134" i="33"/>
  <c r="HJ133" i="33"/>
  <c r="HJ132" i="33"/>
  <c r="HJ131" i="33"/>
  <c r="HJ130" i="33"/>
  <c r="HJ129" i="33"/>
  <c r="HJ128" i="33"/>
  <c r="HJ127" i="33"/>
  <c r="HJ126" i="33"/>
  <c r="HJ125" i="33"/>
  <c r="HJ124" i="33"/>
  <c r="HJ123" i="33"/>
  <c r="HJ122" i="33"/>
  <c r="HJ121" i="33"/>
  <c r="HJ120" i="33"/>
  <c r="HJ119" i="33"/>
  <c r="HJ118" i="33"/>
  <c r="HJ117" i="33"/>
  <c r="HJ116" i="33"/>
  <c r="HJ115" i="33"/>
  <c r="HJ114" i="33"/>
  <c r="HJ113" i="33"/>
  <c r="HJ112" i="33"/>
  <c r="HJ111" i="33"/>
  <c r="HJ110" i="33"/>
  <c r="HJ109" i="33"/>
  <c r="HJ108" i="33"/>
  <c r="HJ107" i="33"/>
  <c r="HJ106" i="33"/>
  <c r="HJ105" i="33"/>
  <c r="HJ104" i="33"/>
  <c r="HJ103" i="33"/>
  <c r="HJ102" i="33"/>
  <c r="HJ101" i="33"/>
  <c r="HJ100" i="33"/>
  <c r="HJ99" i="33"/>
  <c r="HJ98" i="33"/>
  <c r="HJ97" i="33"/>
  <c r="HJ96" i="33"/>
  <c r="HJ95" i="33"/>
  <c r="HJ94" i="33"/>
  <c r="HJ93" i="33"/>
  <c r="HJ92" i="33"/>
  <c r="HJ91" i="33"/>
  <c r="HJ90" i="33"/>
  <c r="HJ89" i="33"/>
  <c r="HJ88" i="33"/>
  <c r="HJ87" i="33"/>
  <c r="HJ86" i="33"/>
  <c r="HJ85" i="33"/>
  <c r="HJ84" i="33"/>
  <c r="HJ83" i="33"/>
  <c r="HJ82" i="33"/>
  <c r="HJ81" i="33"/>
  <c r="HJ80" i="33"/>
  <c r="HJ79" i="33"/>
  <c r="HJ78" i="33"/>
  <c r="HJ77" i="33"/>
  <c r="HJ76" i="33"/>
  <c r="HJ75" i="33"/>
  <c r="HJ74" i="33"/>
  <c r="HJ73" i="33"/>
  <c r="HJ72" i="33"/>
  <c r="HJ71" i="33"/>
  <c r="HJ70" i="33"/>
  <c r="HJ69" i="33"/>
  <c r="HJ68" i="33"/>
  <c r="HJ67" i="33"/>
  <c r="HJ66" i="33"/>
  <c r="HJ65" i="33"/>
  <c r="HJ64" i="33"/>
  <c r="HJ63" i="33"/>
  <c r="HJ62" i="33"/>
  <c r="HJ61" i="33"/>
  <c r="HJ60" i="33"/>
  <c r="HJ59" i="33"/>
  <c r="HJ58" i="33"/>
  <c r="HJ57" i="33"/>
  <c r="HJ56" i="33"/>
  <c r="HJ55" i="33"/>
  <c r="HJ54" i="33"/>
  <c r="HJ53" i="33"/>
  <c r="HJ52" i="33"/>
  <c r="HJ51" i="33"/>
  <c r="HJ50" i="33"/>
  <c r="HJ49" i="33"/>
  <c r="HJ48" i="33"/>
  <c r="HJ47" i="33"/>
  <c r="HJ46" i="33"/>
  <c r="HJ45" i="33"/>
  <c r="HJ44" i="33"/>
  <c r="HJ43" i="33"/>
  <c r="HJ42" i="33"/>
  <c r="HJ41" i="33"/>
  <c r="HJ40" i="33"/>
  <c r="HJ39" i="33"/>
  <c r="HJ38" i="33"/>
  <c r="HJ37" i="33"/>
  <c r="HJ36" i="33"/>
  <c r="HJ35" i="33"/>
  <c r="HJ34" i="33"/>
  <c r="HJ33" i="33"/>
  <c r="HJ32" i="33"/>
  <c r="HJ31" i="33"/>
  <c r="HJ30" i="33"/>
  <c r="HJ29" i="33"/>
  <c r="HJ28" i="33"/>
  <c r="HJ27" i="33"/>
  <c r="HJ26" i="33"/>
  <c r="HJ25" i="33"/>
  <c r="HJ24" i="33"/>
  <c r="HJ23" i="33"/>
  <c r="HJ22" i="33"/>
  <c r="HJ21" i="33"/>
  <c r="HJ20" i="33"/>
  <c r="HJ19" i="33"/>
  <c r="HJ18" i="33"/>
  <c r="HJ17" i="33"/>
  <c r="HJ16" i="33"/>
  <c r="HJ15" i="33"/>
  <c r="HJ14" i="33"/>
  <c r="HJ13" i="33"/>
  <c r="HJ12" i="33"/>
  <c r="HJ11" i="33"/>
  <c r="HJ10" i="33"/>
  <c r="HJ9" i="33"/>
  <c r="B9" i="40" l="1"/>
  <c r="B10" i="40" s="1"/>
  <c r="B11" i="40" s="1"/>
  <c r="B12" i="40" s="1"/>
  <c r="B13" i="40" s="1"/>
  <c r="B14" i="40" s="1"/>
  <c r="B15" i="40" s="1"/>
  <c r="B16" i="40" s="1"/>
  <c r="B17" i="40" s="1"/>
  <c r="B18" i="40" s="1"/>
  <c r="B19" i="40" s="1"/>
  <c r="B20" i="40" s="1"/>
  <c r="B21" i="40" s="1"/>
  <c r="B22" i="40" s="1"/>
  <c r="B23" i="40" s="1"/>
  <c r="B24" i="40" s="1"/>
  <c r="B25" i="40" s="1"/>
  <c r="B26" i="40" s="1"/>
  <c r="B27" i="40" s="1"/>
  <c r="B28" i="40" s="1"/>
  <c r="B29" i="40" s="1"/>
  <c r="B30" i="40" s="1"/>
  <c r="B31" i="40" s="1"/>
  <c r="B32" i="40" s="1"/>
  <c r="B33" i="40" s="1"/>
  <c r="B34" i="40" s="1"/>
  <c r="B35" i="40" s="1"/>
  <c r="B36" i="40" s="1"/>
  <c r="B37" i="40" s="1"/>
  <c r="B38" i="40" s="1"/>
  <c r="B39" i="40" s="1"/>
  <c r="B40" i="40" s="1"/>
  <c r="B41" i="40" s="1"/>
  <c r="B42" i="40" s="1"/>
  <c r="B43" i="40" s="1"/>
  <c r="B44" i="40" s="1"/>
  <c r="B45" i="40" s="1"/>
  <c r="B46" i="40" s="1"/>
  <c r="B47" i="40" s="1"/>
  <c r="B48" i="40" s="1"/>
  <c r="B49" i="40" s="1"/>
  <c r="B50" i="40" s="1"/>
  <c r="H8" i="40"/>
  <c r="B9" i="44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B28" i="44" s="1"/>
  <c r="B29" i="44" s="1"/>
  <c r="B30" i="44" s="1"/>
  <c r="B31" i="44" s="1"/>
  <c r="B32" i="44" s="1"/>
  <c r="B33" i="44" s="1"/>
  <c r="B34" i="44" s="1"/>
  <c r="B35" i="44" s="1"/>
  <c r="B36" i="44" s="1"/>
  <c r="B37" i="44" s="1"/>
  <c r="B38" i="44" s="1"/>
  <c r="B39" i="44" s="1"/>
  <c r="B40" i="44" s="1"/>
  <c r="B41" i="44" s="1"/>
  <c r="B42" i="44" s="1"/>
  <c r="B43" i="44" s="1"/>
  <c r="B44" i="44" s="1"/>
  <c r="B45" i="44" s="1"/>
  <c r="B46" i="44" s="1"/>
  <c r="B47" i="44" s="1"/>
  <c r="B48" i="44" s="1"/>
  <c r="B49" i="44" s="1"/>
  <c r="B50" i="44" s="1"/>
  <c r="B51" i="44" s="1"/>
  <c r="B52" i="44" s="1"/>
  <c r="B53" i="44" s="1"/>
  <c r="B54" i="44" s="1"/>
  <c r="B55" i="44" s="1"/>
  <c r="B56" i="44" s="1"/>
  <c r="B57" i="44" s="1"/>
  <c r="B58" i="44" s="1"/>
  <c r="B59" i="44" s="1"/>
  <c r="B60" i="44" s="1"/>
  <c r="B61" i="44" s="1"/>
  <c r="B62" i="44" s="1"/>
  <c r="B63" i="44" s="1"/>
  <c r="B64" i="44" s="1"/>
  <c r="B65" i="44" s="1"/>
  <c r="B66" i="44" s="1"/>
  <c r="B67" i="44" s="1"/>
  <c r="B68" i="44" s="1"/>
  <c r="B69" i="44" s="1"/>
  <c r="B70" i="44" s="1"/>
  <c r="B71" i="44" s="1"/>
  <c r="B72" i="44" s="1"/>
  <c r="B73" i="44" s="1"/>
  <c r="B74" i="44" s="1"/>
  <c r="B75" i="44" s="1"/>
  <c r="B76" i="44" s="1"/>
  <c r="B77" i="44" s="1"/>
  <c r="B78" i="44" s="1"/>
  <c r="L8" i="44"/>
  <c r="L9" i="44"/>
  <c r="L10" i="44"/>
  <c r="L8" i="40"/>
  <c r="H8" i="41"/>
  <c r="I10" i="49"/>
  <c r="I12" i="49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9" i="48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B58" i="48" s="1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B69" i="48" s="1"/>
  <c r="B70" i="48" s="1"/>
  <c r="B71" i="48" s="1"/>
  <c r="B72" i="48" s="1"/>
  <c r="B73" i="48" s="1"/>
  <c r="B74" i="48" s="1"/>
  <c r="B75" i="48" s="1"/>
  <c r="B76" i="48" s="1"/>
  <c r="B77" i="48" s="1"/>
  <c r="B78" i="48" s="1"/>
  <c r="B79" i="48" s="1"/>
  <c r="B80" i="48" s="1"/>
  <c r="B81" i="48" s="1"/>
  <c r="B82" i="48" s="1"/>
  <c r="B83" i="48" s="1"/>
  <c r="B84" i="48" s="1"/>
  <c r="B85" i="48" s="1"/>
  <c r="B86" i="48" s="1"/>
  <c r="B87" i="48" s="1"/>
  <c r="B88" i="48" s="1"/>
  <c r="B89" i="48" s="1"/>
  <c r="B90" i="48" s="1"/>
  <c r="B91" i="48" s="1"/>
  <c r="B92" i="48" s="1"/>
  <c r="B93" i="48" s="1"/>
  <c r="B94" i="48" s="1"/>
  <c r="B95" i="48" s="1"/>
  <c r="B96" i="48" s="1"/>
  <c r="B97" i="48" s="1"/>
  <c r="B98" i="48" s="1"/>
  <c r="B99" i="48" s="1"/>
  <c r="B100" i="48" s="1"/>
  <c r="B101" i="48" s="1"/>
  <c r="B102" i="48" s="1"/>
  <c r="B103" i="48" s="1"/>
  <c r="B104" i="48" s="1"/>
  <c r="B105" i="48" s="1"/>
  <c r="B106" i="48" s="1"/>
  <c r="B107" i="48" s="1"/>
  <c r="B108" i="48" s="1"/>
  <c r="B109" i="48" s="1"/>
  <c r="B110" i="48" s="1"/>
  <c r="B111" i="48" s="1"/>
  <c r="B112" i="48" s="1"/>
  <c r="B113" i="48" s="1"/>
  <c r="B114" i="48" s="1"/>
  <c r="B115" i="48" s="1"/>
  <c r="B116" i="48" s="1"/>
  <c r="B117" i="48" s="1"/>
  <c r="B118" i="48" s="1"/>
  <c r="B119" i="48" s="1"/>
  <c r="B120" i="48" s="1"/>
  <c r="B121" i="48" s="1"/>
  <c r="B122" i="48" s="1"/>
  <c r="B123" i="48" s="1"/>
  <c r="B124" i="48" s="1"/>
  <c r="B125" i="48" s="1"/>
  <c r="B126" i="48" s="1"/>
  <c r="B127" i="48" s="1"/>
  <c r="B128" i="48" s="1"/>
  <c r="B129" i="48" s="1"/>
  <c r="B130" i="48" s="1"/>
  <c r="B131" i="48" s="1"/>
  <c r="B132" i="48" s="1"/>
  <c r="B133" i="48" s="1"/>
  <c r="B134" i="48" s="1"/>
  <c r="B135" i="48" s="1"/>
  <c r="B136" i="48" s="1"/>
  <c r="B137" i="48" s="1"/>
  <c r="B138" i="48" s="1"/>
  <c r="B139" i="48" s="1"/>
  <c r="B140" i="48" s="1"/>
  <c r="B141" i="48" s="1"/>
  <c r="B142" i="48" s="1"/>
  <c r="B143" i="48" s="1"/>
  <c r="B144" i="48" s="1"/>
  <c r="B145" i="48" s="1"/>
  <c r="B146" i="48" s="1"/>
  <c r="B147" i="48" s="1"/>
  <c r="B148" i="48" s="1"/>
  <c r="B149" i="48" s="1"/>
  <c r="B150" i="48" s="1"/>
  <c r="B151" i="48" s="1"/>
  <c r="B152" i="48" s="1"/>
  <c r="B153" i="48" s="1"/>
  <c r="B154" i="48" s="1"/>
  <c r="B155" i="48" s="1"/>
  <c r="B156" i="48" s="1"/>
  <c r="B157" i="48" s="1"/>
  <c r="B158" i="48" s="1"/>
  <c r="B159" i="48" s="1"/>
  <c r="B160" i="48" s="1"/>
  <c r="B161" i="48" s="1"/>
  <c r="B162" i="48" s="1"/>
  <c r="B163" i="48" s="1"/>
  <c r="B164" i="48" s="1"/>
  <c r="B165" i="48" s="1"/>
  <c r="B166" i="48" s="1"/>
  <c r="B167" i="48" s="1"/>
  <c r="B168" i="48" s="1"/>
  <c r="B169" i="48" s="1"/>
  <c r="B170" i="48" s="1"/>
  <c r="B171" i="48" s="1"/>
  <c r="B172" i="48" s="1"/>
  <c r="B173" i="48" s="1"/>
  <c r="B174" i="48" s="1"/>
  <c r="B175" i="48" s="1"/>
  <c r="B176" i="48" s="1"/>
  <c r="B177" i="48" s="1"/>
  <c r="B178" i="48" s="1"/>
  <c r="B179" i="48" s="1"/>
  <c r="B180" i="48" s="1"/>
  <c r="B181" i="48" s="1"/>
  <c r="B182" i="48" s="1"/>
  <c r="B183" i="48" s="1"/>
  <c r="B184" i="48" s="1"/>
  <c r="B185" i="48" s="1"/>
  <c r="B186" i="48" s="1"/>
  <c r="B187" i="48" s="1"/>
  <c r="B188" i="48" s="1"/>
  <c r="B189" i="48" s="1"/>
  <c r="B190" i="48" s="1"/>
  <c r="B191" i="48" s="1"/>
  <c r="B192" i="48" s="1"/>
  <c r="B193" i="48" s="1"/>
  <c r="B194" i="48" s="1"/>
  <c r="B195" i="48" s="1"/>
  <c r="B196" i="48" s="1"/>
  <c r="B197" i="48" s="1"/>
  <c r="B198" i="48" s="1"/>
  <c r="B199" i="48" s="1"/>
  <c r="B200" i="48" s="1"/>
  <c r="B201" i="48" s="1"/>
  <c r="B202" i="48" s="1"/>
  <c r="B203" i="48" s="1"/>
  <c r="B204" i="48" s="1"/>
  <c r="B205" i="48" s="1"/>
  <c r="B9" i="46"/>
  <c r="B10" i="46" s="1"/>
  <c r="B11" i="46" s="1"/>
  <c r="B12" i="46" s="1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B69" i="46" s="1"/>
  <c r="B70" i="46" s="1"/>
  <c r="B71" i="46" s="1"/>
  <c r="B72" i="46" s="1"/>
  <c r="B73" i="46" s="1"/>
  <c r="B74" i="46" s="1"/>
  <c r="B75" i="46" s="1"/>
  <c r="B76" i="46" s="1"/>
  <c r="B77" i="46" s="1"/>
  <c r="B78" i="46" s="1"/>
  <c r="B79" i="46" s="1"/>
  <c r="B80" i="46" s="1"/>
  <c r="B81" i="46" s="1"/>
  <c r="B82" i="46" s="1"/>
  <c r="B83" i="46" s="1"/>
  <c r="B84" i="46" s="1"/>
  <c r="B85" i="46" s="1"/>
  <c r="B86" i="46" s="1"/>
  <c r="B87" i="46" s="1"/>
  <c r="B88" i="46" s="1"/>
  <c r="B89" i="46" s="1"/>
  <c r="B90" i="46" s="1"/>
  <c r="B91" i="46" s="1"/>
  <c r="B92" i="46" s="1"/>
  <c r="B93" i="46" s="1"/>
  <c r="B94" i="46" s="1"/>
  <c r="B95" i="46" s="1"/>
  <c r="B96" i="46" s="1"/>
  <c r="B97" i="46" s="1"/>
  <c r="B98" i="46" s="1"/>
  <c r="B99" i="46" s="1"/>
  <c r="B100" i="46" s="1"/>
  <c r="B101" i="46" s="1"/>
  <c r="B102" i="46" s="1"/>
  <c r="B103" i="46" s="1"/>
  <c r="B104" i="46" s="1"/>
  <c r="B105" i="46" s="1"/>
  <c r="B106" i="46" s="1"/>
  <c r="B107" i="46" s="1"/>
  <c r="B108" i="46" s="1"/>
  <c r="B109" i="46" s="1"/>
  <c r="B110" i="46" s="1"/>
  <c r="B111" i="46" s="1"/>
  <c r="B112" i="46" s="1"/>
  <c r="B113" i="46" s="1"/>
  <c r="B114" i="46" s="1"/>
  <c r="B115" i="46" s="1"/>
  <c r="B116" i="46" s="1"/>
  <c r="B117" i="46" s="1"/>
  <c r="B118" i="46" s="1"/>
  <c r="B119" i="46" s="1"/>
  <c r="B120" i="46" s="1"/>
  <c r="B121" i="46" s="1"/>
  <c r="B122" i="46" s="1"/>
  <c r="B123" i="46" s="1"/>
  <c r="B124" i="46" s="1"/>
  <c r="B125" i="46" s="1"/>
  <c r="B126" i="46" s="1"/>
  <c r="B127" i="46" s="1"/>
  <c r="B128" i="46" s="1"/>
  <c r="B129" i="46" s="1"/>
  <c r="B130" i="46" s="1"/>
  <c r="B131" i="46" s="1"/>
  <c r="B132" i="46" s="1"/>
  <c r="B133" i="46" s="1"/>
  <c r="B134" i="46" s="1"/>
  <c r="B135" i="46" s="1"/>
  <c r="B136" i="46" s="1"/>
  <c r="B137" i="46" s="1"/>
  <c r="B138" i="46" s="1"/>
  <c r="B139" i="46" s="1"/>
  <c r="B140" i="46" s="1"/>
  <c r="B141" i="46" s="1"/>
  <c r="B142" i="46" s="1"/>
  <c r="B143" i="46" s="1"/>
  <c r="B144" i="46" s="1"/>
  <c r="B145" i="46" s="1"/>
  <c r="B146" i="46" s="1"/>
  <c r="B147" i="46" s="1"/>
  <c r="B148" i="46" s="1"/>
  <c r="B149" i="46" s="1"/>
  <c r="B150" i="46" s="1"/>
  <c r="B151" i="46" s="1"/>
  <c r="B152" i="46" s="1"/>
  <c r="B153" i="46" s="1"/>
  <c r="B154" i="46" s="1"/>
  <c r="B155" i="46" s="1"/>
  <c r="B156" i="46" s="1"/>
  <c r="B157" i="46" s="1"/>
  <c r="B158" i="46" s="1"/>
  <c r="B159" i="46" s="1"/>
  <c r="B160" i="46" s="1"/>
  <c r="B161" i="46" s="1"/>
  <c r="B162" i="46" s="1"/>
  <c r="B163" i="46" s="1"/>
  <c r="B164" i="46" s="1"/>
  <c r="B165" i="46" s="1"/>
  <c r="B166" i="46" s="1"/>
  <c r="B167" i="46" s="1"/>
  <c r="B168" i="46" s="1"/>
  <c r="B169" i="46" s="1"/>
  <c r="B170" i="46" s="1"/>
  <c r="B171" i="46" s="1"/>
  <c r="B172" i="46" s="1"/>
  <c r="B173" i="46" s="1"/>
  <c r="B174" i="46" s="1"/>
  <c r="B175" i="46" s="1"/>
  <c r="B176" i="46" s="1"/>
  <c r="B177" i="46" s="1"/>
  <c r="B178" i="46" s="1"/>
  <c r="B179" i="46" s="1"/>
  <c r="B180" i="46" s="1"/>
  <c r="B181" i="46" s="1"/>
  <c r="B182" i="46" s="1"/>
  <c r="B183" i="46" s="1"/>
  <c r="B184" i="46" s="1"/>
  <c r="B185" i="46" s="1"/>
  <c r="B186" i="46" s="1"/>
  <c r="B187" i="46" s="1"/>
  <c r="B188" i="46" s="1"/>
  <c r="B189" i="46" s="1"/>
  <c r="B190" i="46" s="1"/>
  <c r="B191" i="46" s="1"/>
  <c r="B192" i="46" s="1"/>
  <c r="B193" i="46" s="1"/>
  <c r="B194" i="46" s="1"/>
  <c r="B195" i="46" s="1"/>
  <c r="B196" i="46" s="1"/>
  <c r="B197" i="46" s="1"/>
  <c r="B198" i="46" s="1"/>
  <c r="B199" i="46" s="1"/>
  <c r="B200" i="46" s="1"/>
  <c r="B201" i="46" s="1"/>
  <c r="B202" i="46" s="1"/>
  <c r="B203" i="46" s="1"/>
  <c r="B204" i="46" s="1"/>
  <c r="B205" i="46" s="1"/>
  <c r="B9" i="38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B51" i="38" s="1"/>
  <c r="B52" i="38" s="1"/>
  <c r="B53" i="38" s="1"/>
  <c r="B54" i="38" s="1"/>
  <c r="B55" i="38" s="1"/>
  <c r="B56" i="38" s="1"/>
  <c r="B57" i="38" s="1"/>
  <c r="B58" i="38" s="1"/>
  <c r="B59" i="38" s="1"/>
  <c r="B60" i="38" s="1"/>
  <c r="B61" i="38" s="1"/>
  <c r="B62" i="38" s="1"/>
  <c r="B63" i="38" s="1"/>
  <c r="B64" i="38" s="1"/>
  <c r="B65" i="38" s="1"/>
  <c r="B66" i="38" s="1"/>
  <c r="B67" i="38" s="1"/>
  <c r="B68" i="38" s="1"/>
  <c r="B69" i="38" s="1"/>
  <c r="B70" i="38" s="1"/>
  <c r="B71" i="38" s="1"/>
  <c r="B72" i="38" s="1"/>
  <c r="B73" i="38" s="1"/>
  <c r="B74" i="38" s="1"/>
  <c r="B75" i="38" s="1"/>
  <c r="B76" i="38" s="1"/>
  <c r="B77" i="38" s="1"/>
  <c r="B78" i="38" s="1"/>
  <c r="B79" i="38" s="1"/>
  <c r="B80" i="38" s="1"/>
  <c r="B81" i="38" s="1"/>
  <c r="B82" i="38" s="1"/>
  <c r="B83" i="38" s="1"/>
  <c r="B84" i="38" s="1"/>
  <c r="B85" i="38" s="1"/>
  <c r="B86" i="38" s="1"/>
  <c r="B87" i="38" s="1"/>
  <c r="B88" i="38" s="1"/>
  <c r="B89" i="38" s="1"/>
  <c r="B90" i="38" s="1"/>
  <c r="B91" i="38" s="1"/>
  <c r="B92" i="38" s="1"/>
  <c r="B93" i="38" s="1"/>
  <c r="B94" i="38" s="1"/>
  <c r="B95" i="38" s="1"/>
  <c r="B96" i="38" s="1"/>
  <c r="B97" i="38" s="1"/>
  <c r="B98" i="38" s="1"/>
  <c r="B99" i="38" s="1"/>
  <c r="B100" i="38" s="1"/>
  <c r="B101" i="38" s="1"/>
  <c r="B102" i="38" s="1"/>
  <c r="B103" i="38" s="1"/>
  <c r="B104" i="38" s="1"/>
  <c r="B105" i="38" s="1"/>
  <c r="B106" i="38" s="1"/>
  <c r="B107" i="38" s="1"/>
  <c r="B108" i="38" s="1"/>
  <c r="B109" i="38" s="1"/>
  <c r="B110" i="38" s="1"/>
  <c r="B111" i="38" s="1"/>
  <c r="B112" i="38" s="1"/>
  <c r="B113" i="38" s="1"/>
  <c r="B114" i="38" s="1"/>
  <c r="B115" i="38" s="1"/>
  <c r="B116" i="38" s="1"/>
  <c r="B117" i="38" s="1"/>
  <c r="B118" i="38" s="1"/>
  <c r="B119" i="38" s="1"/>
  <c r="B120" i="38" s="1"/>
  <c r="B121" i="38" s="1"/>
  <c r="B122" i="38" s="1"/>
  <c r="B123" i="38" s="1"/>
  <c r="B124" i="38" s="1"/>
  <c r="B125" i="38" s="1"/>
  <c r="B126" i="38" s="1"/>
  <c r="B127" i="38" s="1"/>
  <c r="B128" i="38" s="1"/>
  <c r="B129" i="38" s="1"/>
  <c r="B130" i="38" s="1"/>
  <c r="B131" i="38" s="1"/>
  <c r="B132" i="38" s="1"/>
  <c r="B133" i="38" s="1"/>
  <c r="B134" i="38" s="1"/>
  <c r="B135" i="38" s="1"/>
  <c r="B136" i="38" s="1"/>
  <c r="B137" i="38" s="1"/>
  <c r="B138" i="38" s="1"/>
  <c r="B139" i="38" s="1"/>
  <c r="B140" i="38" s="1"/>
  <c r="B141" i="38" s="1"/>
  <c r="B142" i="38" s="1"/>
  <c r="B143" i="38" s="1"/>
  <c r="B144" i="38" s="1"/>
  <c r="B145" i="38" s="1"/>
  <c r="B146" i="38" s="1"/>
  <c r="B147" i="38" s="1"/>
  <c r="B148" i="38" s="1"/>
  <c r="B149" i="38" s="1"/>
  <c r="B150" i="38" s="1"/>
  <c r="B151" i="38" s="1"/>
  <c r="B152" i="38" s="1"/>
  <c r="B153" i="38" s="1"/>
  <c r="B154" i="38" s="1"/>
  <c r="B155" i="38" s="1"/>
  <c r="B156" i="38" s="1"/>
  <c r="B157" i="38" s="1"/>
  <c r="B158" i="38" s="1"/>
  <c r="B159" i="38" s="1"/>
  <c r="B160" i="38" s="1"/>
  <c r="B161" i="38" s="1"/>
  <c r="B162" i="38" s="1"/>
  <c r="B163" i="38" s="1"/>
  <c r="B164" i="38" s="1"/>
  <c r="B165" i="38" s="1"/>
  <c r="B166" i="38" s="1"/>
  <c r="B167" i="38" s="1"/>
  <c r="B168" i="38" s="1"/>
  <c r="B169" i="38" s="1"/>
  <c r="B170" i="38" s="1"/>
  <c r="B171" i="38" s="1"/>
  <c r="B172" i="38" s="1"/>
  <c r="B173" i="38" s="1"/>
  <c r="B174" i="38" s="1"/>
  <c r="B175" i="38" s="1"/>
  <c r="B176" i="38" s="1"/>
  <c r="B177" i="38" s="1"/>
  <c r="B178" i="38" s="1"/>
  <c r="B179" i="38" s="1"/>
  <c r="B180" i="38" s="1"/>
  <c r="B181" i="38" s="1"/>
  <c r="B182" i="38" s="1"/>
  <c r="B183" i="38" s="1"/>
  <c r="B184" i="38" s="1"/>
  <c r="B185" i="38" s="1"/>
  <c r="B186" i="38" s="1"/>
  <c r="B187" i="38" s="1"/>
  <c r="B188" i="38" s="1"/>
  <c r="B189" i="38" s="1"/>
  <c r="B190" i="38" s="1"/>
  <c r="B191" i="38" s="1"/>
  <c r="B192" i="38" s="1"/>
  <c r="B193" i="38" s="1"/>
  <c r="B194" i="38" s="1"/>
  <c r="B195" i="38" s="1"/>
  <c r="B196" i="38" s="1"/>
  <c r="B197" i="38" s="1"/>
  <c r="B198" i="38" s="1"/>
  <c r="B199" i="38" s="1"/>
  <c r="B200" i="38" s="1"/>
  <c r="B201" i="38" s="1"/>
  <c r="B202" i="38" s="1"/>
  <c r="B203" i="38" s="1"/>
  <c r="B204" i="38" s="1"/>
  <c r="B205" i="38" s="1"/>
  <c r="B9" i="41"/>
  <c r="B10" i="41" s="1"/>
  <c r="B11" i="41" s="1"/>
  <c r="B12" i="41" s="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B28" i="41" s="1"/>
  <c r="B29" i="41" s="1"/>
  <c r="B30" i="41" s="1"/>
  <c r="B31" i="41" s="1"/>
  <c r="B32" i="41" s="1"/>
  <c r="B33" i="41" s="1"/>
  <c r="B34" i="41" s="1"/>
  <c r="B35" i="41" s="1"/>
  <c r="B36" i="41" s="1"/>
  <c r="B37" i="41" s="1"/>
  <c r="B38" i="41" s="1"/>
  <c r="B39" i="41" s="1"/>
  <c r="B40" i="41" s="1"/>
  <c r="B41" i="41" s="1"/>
  <c r="B42" i="41" s="1"/>
  <c r="B43" i="41" s="1"/>
  <c r="B44" i="41" s="1"/>
  <c r="B45" i="41" s="1"/>
  <c r="B46" i="41" s="1"/>
  <c r="B47" i="41" s="1"/>
  <c r="B48" i="41" s="1"/>
  <c r="B49" i="41" s="1"/>
  <c r="B50" i="41" s="1"/>
  <c r="B51" i="41" s="1"/>
  <c r="B52" i="41" s="1"/>
  <c r="B53" i="41" s="1"/>
  <c r="B54" i="41" s="1"/>
  <c r="B55" i="41" s="1"/>
  <c r="B56" i="41" s="1"/>
  <c r="B57" i="41" s="1"/>
  <c r="B58" i="41" s="1"/>
  <c r="B59" i="41" s="1"/>
  <c r="B60" i="41" s="1"/>
  <c r="B61" i="41" s="1"/>
  <c r="B62" i="41" s="1"/>
  <c r="B63" i="41" s="1"/>
  <c r="B64" i="41" s="1"/>
  <c r="B65" i="41" s="1"/>
  <c r="B66" i="41" s="1"/>
  <c r="B67" i="41" s="1"/>
  <c r="B68" i="41" s="1"/>
  <c r="B69" i="41" s="1"/>
  <c r="B70" i="41" s="1"/>
  <c r="B71" i="41" s="1"/>
  <c r="B72" i="41" s="1"/>
  <c r="B73" i="41" s="1"/>
  <c r="B74" i="41" s="1"/>
  <c r="B75" i="41" s="1"/>
  <c r="B76" i="41" s="1"/>
  <c r="B77" i="41" s="1"/>
  <c r="B78" i="41" s="1"/>
  <c r="B79" i="41" s="1"/>
  <c r="B80" i="41" s="1"/>
  <c r="B81" i="41" s="1"/>
  <c r="B82" i="41" s="1"/>
  <c r="B83" i="41" s="1"/>
  <c r="B84" i="41" s="1"/>
  <c r="B85" i="41" s="1"/>
  <c r="B86" i="41" s="1"/>
  <c r="B87" i="41" s="1"/>
  <c r="B88" i="41" s="1"/>
  <c r="B89" i="41" s="1"/>
  <c r="B90" i="41" s="1"/>
  <c r="B91" i="41" s="1"/>
  <c r="B92" i="41" s="1"/>
  <c r="B93" i="41" s="1"/>
  <c r="B94" i="41" s="1"/>
  <c r="B95" i="41" s="1"/>
  <c r="B96" i="41" s="1"/>
  <c r="B97" i="41" s="1"/>
  <c r="B98" i="41" s="1"/>
  <c r="B99" i="41" s="1"/>
  <c r="B100" i="41" s="1"/>
  <c r="B101" i="41" s="1"/>
  <c r="B102" i="41" s="1"/>
  <c r="B103" i="41" s="1"/>
  <c r="B104" i="41" s="1"/>
  <c r="B105" i="41" s="1"/>
  <c r="B106" i="41" s="1"/>
  <c r="B107" i="41" s="1"/>
  <c r="B108" i="41" s="1"/>
  <c r="B109" i="41" s="1"/>
  <c r="B110" i="41" s="1"/>
  <c r="B111" i="41" s="1"/>
  <c r="B112" i="41" s="1"/>
  <c r="B113" i="41" s="1"/>
  <c r="B114" i="41" s="1"/>
  <c r="B115" i="41" s="1"/>
  <c r="B116" i="41" s="1"/>
  <c r="B117" i="41" s="1"/>
  <c r="B118" i="41" s="1"/>
  <c r="B119" i="41" s="1"/>
  <c r="B120" i="41" s="1"/>
  <c r="B121" i="41" s="1"/>
  <c r="B122" i="41" s="1"/>
  <c r="B123" i="41" s="1"/>
  <c r="B124" i="41" s="1"/>
  <c r="B125" i="41" s="1"/>
  <c r="B126" i="41" s="1"/>
  <c r="B127" i="41" s="1"/>
  <c r="B128" i="41" s="1"/>
  <c r="B129" i="41" s="1"/>
  <c r="B130" i="41" s="1"/>
  <c r="B131" i="41" s="1"/>
  <c r="B132" i="41" s="1"/>
  <c r="B133" i="41" s="1"/>
  <c r="B134" i="41" s="1"/>
  <c r="B135" i="41" s="1"/>
  <c r="B136" i="41" s="1"/>
  <c r="B137" i="41" s="1"/>
  <c r="B138" i="41" s="1"/>
  <c r="B139" i="41" s="1"/>
  <c r="B140" i="41" s="1"/>
  <c r="B141" i="41" s="1"/>
  <c r="B142" i="41" s="1"/>
  <c r="B143" i="41" s="1"/>
  <c r="B144" i="41" s="1"/>
  <c r="B145" i="41" s="1"/>
  <c r="B146" i="41" s="1"/>
  <c r="B147" i="41" s="1"/>
  <c r="B148" i="41" s="1"/>
  <c r="B149" i="41" s="1"/>
  <c r="B150" i="41" s="1"/>
  <c r="B151" i="41" s="1"/>
  <c r="B152" i="41" s="1"/>
  <c r="B153" i="41" s="1"/>
  <c r="B154" i="41" s="1"/>
  <c r="B155" i="41" s="1"/>
  <c r="B156" i="41" s="1"/>
  <c r="B157" i="41" s="1"/>
  <c r="B158" i="41" s="1"/>
  <c r="B159" i="41" s="1"/>
  <c r="B160" i="41" s="1"/>
  <c r="B161" i="41" s="1"/>
  <c r="B162" i="41" s="1"/>
  <c r="B163" i="41" s="1"/>
  <c r="B164" i="41" s="1"/>
  <c r="B165" i="41" s="1"/>
  <c r="B166" i="41" s="1"/>
  <c r="B167" i="41" s="1"/>
  <c r="B168" i="41" s="1"/>
  <c r="B169" i="41" s="1"/>
  <c r="B170" i="41" s="1"/>
  <c r="B171" i="41" s="1"/>
  <c r="B172" i="41" s="1"/>
  <c r="B173" i="41" s="1"/>
  <c r="B174" i="41" s="1"/>
  <c r="B175" i="41" s="1"/>
  <c r="B176" i="41" s="1"/>
  <c r="B177" i="41" s="1"/>
  <c r="B178" i="41" s="1"/>
  <c r="B179" i="41" s="1"/>
  <c r="B180" i="41" s="1"/>
  <c r="B181" i="41" s="1"/>
  <c r="B182" i="41" s="1"/>
  <c r="B183" i="41" s="1"/>
  <c r="B184" i="41" s="1"/>
  <c r="B185" i="41" s="1"/>
  <c r="B186" i="41" s="1"/>
  <c r="B187" i="41" s="1"/>
  <c r="B188" i="41" s="1"/>
  <c r="B189" i="41" s="1"/>
  <c r="B190" i="41" s="1"/>
  <c r="B191" i="41" s="1"/>
  <c r="B192" i="41" s="1"/>
  <c r="B193" i="41" s="1"/>
  <c r="B194" i="41" s="1"/>
  <c r="B195" i="41" s="1"/>
  <c r="B196" i="41" s="1"/>
  <c r="B197" i="41" s="1"/>
  <c r="B198" i="41" s="1"/>
  <c r="B199" i="41" s="1"/>
  <c r="B200" i="41" s="1"/>
  <c r="B201" i="41" s="1"/>
  <c r="B202" i="41" s="1"/>
  <c r="B203" i="41" s="1"/>
  <c r="B204" i="41" s="1"/>
  <c r="B205" i="41" s="1"/>
  <c r="B121" i="47"/>
  <c r="B122" i="47" s="1"/>
  <c r="B123" i="47" s="1"/>
  <c r="B124" i="47" s="1"/>
  <c r="B125" i="47" s="1"/>
  <c r="B126" i="47" s="1"/>
  <c r="B127" i="47" s="1"/>
  <c r="B128" i="47" s="1"/>
  <c r="B129" i="47" s="1"/>
  <c r="B130" i="47" s="1"/>
  <c r="B131" i="47" s="1"/>
  <c r="B132" i="47" s="1"/>
  <c r="B133" i="47" s="1"/>
  <c r="B134" i="47" s="1"/>
  <c r="B135" i="47" s="1"/>
  <c r="B136" i="47" s="1"/>
  <c r="B137" i="47" s="1"/>
  <c r="B138" i="47" s="1"/>
  <c r="B139" i="47" s="1"/>
  <c r="B140" i="47" s="1"/>
  <c r="B141" i="47" s="1"/>
  <c r="B142" i="47" s="1"/>
  <c r="B143" i="47" s="1"/>
  <c r="B144" i="47" s="1"/>
  <c r="B145" i="47" s="1"/>
  <c r="B146" i="47" s="1"/>
  <c r="B147" i="47" s="1"/>
  <c r="B148" i="47" s="1"/>
  <c r="B149" i="47" s="1"/>
  <c r="B150" i="47" s="1"/>
  <c r="B151" i="47" s="1"/>
  <c r="B152" i="47" s="1"/>
  <c r="B153" i="47" s="1"/>
  <c r="B154" i="47" s="1"/>
  <c r="B155" i="47" s="1"/>
  <c r="B156" i="47" s="1"/>
  <c r="B157" i="47" s="1"/>
  <c r="B158" i="47" s="1"/>
  <c r="B159" i="47" s="1"/>
  <c r="B160" i="47" s="1"/>
  <c r="B161" i="47" s="1"/>
  <c r="B162" i="47" s="1"/>
  <c r="B163" i="47" s="1"/>
  <c r="B164" i="47" s="1"/>
  <c r="B165" i="47" s="1"/>
  <c r="B166" i="47" s="1"/>
  <c r="B167" i="47" s="1"/>
  <c r="B168" i="47" s="1"/>
  <c r="B169" i="47" s="1"/>
  <c r="B170" i="47" s="1"/>
  <c r="B171" i="47" s="1"/>
  <c r="B172" i="47" s="1"/>
  <c r="B173" i="47" s="1"/>
  <c r="B174" i="47" s="1"/>
  <c r="B175" i="47" s="1"/>
  <c r="B176" i="47" s="1"/>
  <c r="B177" i="47" s="1"/>
  <c r="B178" i="47" s="1"/>
  <c r="B179" i="47" s="1"/>
  <c r="B180" i="47" s="1"/>
  <c r="B181" i="47" s="1"/>
  <c r="B182" i="47" s="1"/>
  <c r="B183" i="47" s="1"/>
  <c r="B184" i="47" s="1"/>
  <c r="B185" i="47" s="1"/>
  <c r="B186" i="47" s="1"/>
  <c r="B187" i="47" s="1"/>
  <c r="B188" i="47" s="1"/>
  <c r="B189" i="47" s="1"/>
  <c r="B190" i="47" s="1"/>
  <c r="B191" i="47" s="1"/>
  <c r="B192" i="47" s="1"/>
  <c r="B193" i="47" s="1"/>
  <c r="B194" i="47" s="1"/>
  <c r="B195" i="47" s="1"/>
  <c r="B196" i="47" s="1"/>
  <c r="B197" i="47" s="1"/>
  <c r="B198" i="47" s="1"/>
  <c r="B199" i="47" s="1"/>
  <c r="B200" i="47" s="1"/>
  <c r="B201" i="47" s="1"/>
  <c r="B202" i="47" s="1"/>
  <c r="B203" i="47" s="1"/>
  <c r="B204" i="47" s="1"/>
  <c r="B205" i="47" s="1"/>
  <c r="B79" i="44"/>
  <c r="B80" i="44" s="1"/>
  <c r="B81" i="44" s="1"/>
  <c r="B82" i="44" s="1"/>
  <c r="B83" i="44" s="1"/>
  <c r="B84" i="44" s="1"/>
  <c r="B85" i="44" s="1"/>
  <c r="B86" i="44" s="1"/>
  <c r="B87" i="44" s="1"/>
  <c r="B88" i="44" s="1"/>
  <c r="B89" i="44" s="1"/>
  <c r="B90" i="44" s="1"/>
  <c r="B91" i="44" s="1"/>
  <c r="B92" i="44" s="1"/>
  <c r="B93" i="44" s="1"/>
  <c r="B94" i="44" s="1"/>
  <c r="B95" i="44" s="1"/>
  <c r="B96" i="44" s="1"/>
  <c r="B97" i="44" s="1"/>
  <c r="B98" i="44" s="1"/>
  <c r="B99" i="44" s="1"/>
  <c r="B100" i="44" s="1"/>
  <c r="B101" i="44" s="1"/>
  <c r="B102" i="44" s="1"/>
  <c r="B103" i="44" s="1"/>
  <c r="B104" i="44" s="1"/>
  <c r="B105" i="44" s="1"/>
  <c r="B106" i="44" s="1"/>
  <c r="B107" i="44" s="1"/>
  <c r="B108" i="44" s="1"/>
  <c r="B109" i="44" s="1"/>
  <c r="B110" i="44" s="1"/>
  <c r="B111" i="44" s="1"/>
  <c r="B112" i="44" s="1"/>
  <c r="B113" i="44" s="1"/>
  <c r="B114" i="44" s="1"/>
  <c r="B115" i="44" s="1"/>
  <c r="B116" i="44" s="1"/>
  <c r="B117" i="44" s="1"/>
  <c r="B118" i="44" s="1"/>
  <c r="B119" i="44" s="1"/>
  <c r="B120" i="44" s="1"/>
  <c r="B121" i="44" s="1"/>
  <c r="B122" i="44" s="1"/>
  <c r="B123" i="44" s="1"/>
  <c r="B124" i="44" s="1"/>
  <c r="B125" i="44" s="1"/>
  <c r="B126" i="44" s="1"/>
  <c r="B127" i="44" s="1"/>
  <c r="B128" i="44" s="1"/>
  <c r="B129" i="44" s="1"/>
  <c r="B130" i="44" s="1"/>
  <c r="B131" i="44" s="1"/>
  <c r="B132" i="44" s="1"/>
  <c r="B133" i="44" s="1"/>
  <c r="B134" i="44" s="1"/>
  <c r="B135" i="44" s="1"/>
  <c r="B136" i="44" s="1"/>
  <c r="B137" i="44" s="1"/>
  <c r="B138" i="44" s="1"/>
  <c r="B139" i="44" s="1"/>
  <c r="B140" i="44" s="1"/>
  <c r="B141" i="44" s="1"/>
  <c r="B142" i="44" s="1"/>
  <c r="B143" i="44" s="1"/>
  <c r="B144" i="44" s="1"/>
  <c r="B145" i="44" s="1"/>
  <c r="B146" i="44" s="1"/>
  <c r="B147" i="44" s="1"/>
  <c r="B148" i="44" s="1"/>
  <c r="B149" i="44" s="1"/>
  <c r="B150" i="44" s="1"/>
  <c r="B151" i="44" s="1"/>
  <c r="B152" i="44" s="1"/>
  <c r="B153" i="44" s="1"/>
  <c r="B154" i="44" s="1"/>
  <c r="B155" i="44" s="1"/>
  <c r="B156" i="44" s="1"/>
  <c r="B157" i="44" s="1"/>
  <c r="B158" i="44" s="1"/>
  <c r="B159" i="44" s="1"/>
  <c r="B160" i="44" s="1"/>
  <c r="B161" i="44" s="1"/>
  <c r="B162" i="44" s="1"/>
  <c r="B163" i="44" s="1"/>
  <c r="B164" i="44" s="1"/>
  <c r="B165" i="44" s="1"/>
  <c r="B166" i="44" s="1"/>
  <c r="B167" i="44" s="1"/>
  <c r="B168" i="44" s="1"/>
  <c r="B169" i="44" s="1"/>
  <c r="B170" i="44" s="1"/>
  <c r="B171" i="44" s="1"/>
  <c r="B172" i="44" s="1"/>
  <c r="B173" i="44" s="1"/>
  <c r="B174" i="44" s="1"/>
  <c r="B175" i="44" s="1"/>
  <c r="B176" i="44" s="1"/>
  <c r="B177" i="44" s="1"/>
  <c r="B178" i="44" s="1"/>
  <c r="B179" i="44" s="1"/>
  <c r="B180" i="44" s="1"/>
  <c r="B181" i="44" s="1"/>
  <c r="B182" i="44" s="1"/>
  <c r="B183" i="44" s="1"/>
  <c r="B184" i="44" s="1"/>
  <c r="B185" i="44" s="1"/>
  <c r="B186" i="44" s="1"/>
  <c r="B187" i="44" s="1"/>
  <c r="B188" i="44" s="1"/>
  <c r="B189" i="44" s="1"/>
  <c r="B190" i="44" s="1"/>
  <c r="B191" i="44" s="1"/>
  <c r="B192" i="44" s="1"/>
  <c r="B193" i="44" s="1"/>
  <c r="B194" i="44" s="1"/>
  <c r="B195" i="44" s="1"/>
  <c r="B196" i="44" s="1"/>
  <c r="B197" i="44" s="1"/>
  <c r="B198" i="44" s="1"/>
  <c r="B199" i="44" s="1"/>
  <c r="B200" i="44" s="1"/>
  <c r="B201" i="44" s="1"/>
  <c r="B202" i="44" s="1"/>
  <c r="B203" i="44" s="1"/>
  <c r="B204" i="44" s="1"/>
  <c r="B205" i="44" s="1"/>
  <c r="B51" i="40"/>
  <c r="B52" i="40" s="1"/>
  <c r="B53" i="40" s="1"/>
  <c r="B54" i="40" s="1"/>
  <c r="B55" i="40" s="1"/>
  <c r="B56" i="40" s="1"/>
  <c r="B57" i="40" s="1"/>
  <c r="B58" i="40" s="1"/>
  <c r="B59" i="40" s="1"/>
  <c r="B60" i="40" s="1"/>
  <c r="B61" i="40" s="1"/>
  <c r="B62" i="40" s="1"/>
  <c r="B63" i="40" s="1"/>
  <c r="B64" i="40" s="1"/>
  <c r="B65" i="40" s="1"/>
  <c r="B66" i="40" s="1"/>
  <c r="B67" i="40" s="1"/>
  <c r="B68" i="40" s="1"/>
  <c r="B69" i="40" s="1"/>
  <c r="B70" i="40" s="1"/>
  <c r="B71" i="40" s="1"/>
  <c r="B72" i="40" s="1"/>
  <c r="B73" i="40" s="1"/>
  <c r="B74" i="40" s="1"/>
  <c r="B75" i="40" s="1"/>
  <c r="B76" i="40" s="1"/>
  <c r="B77" i="40" s="1"/>
  <c r="B78" i="40" s="1"/>
  <c r="B79" i="40" s="1"/>
  <c r="B80" i="40" s="1"/>
  <c r="B81" i="40" s="1"/>
  <c r="B82" i="40" s="1"/>
  <c r="B83" i="40" s="1"/>
  <c r="B84" i="40" s="1"/>
  <c r="B85" i="40" s="1"/>
  <c r="B86" i="40" s="1"/>
  <c r="B87" i="40" s="1"/>
  <c r="B88" i="40" s="1"/>
  <c r="B89" i="40" s="1"/>
  <c r="B90" i="40" s="1"/>
  <c r="B91" i="40" s="1"/>
  <c r="B92" i="40" s="1"/>
  <c r="B93" i="40" s="1"/>
  <c r="B94" i="40" s="1"/>
  <c r="B95" i="40" s="1"/>
  <c r="B96" i="40" s="1"/>
  <c r="B97" i="40" s="1"/>
  <c r="B98" i="40" s="1"/>
  <c r="B99" i="40" s="1"/>
  <c r="B100" i="40" s="1"/>
  <c r="B101" i="40" s="1"/>
  <c r="B102" i="40" s="1"/>
  <c r="B103" i="40" s="1"/>
  <c r="B104" i="40" s="1"/>
  <c r="B105" i="40" s="1"/>
  <c r="B106" i="40" s="1"/>
  <c r="B107" i="40" s="1"/>
  <c r="B108" i="40" s="1"/>
  <c r="B109" i="40" s="1"/>
  <c r="B110" i="40" s="1"/>
  <c r="B111" i="40" s="1"/>
  <c r="B112" i="40" s="1"/>
  <c r="B113" i="40" s="1"/>
  <c r="B114" i="40" s="1"/>
  <c r="B115" i="40" s="1"/>
  <c r="B116" i="40" s="1"/>
  <c r="B117" i="40" s="1"/>
  <c r="B118" i="40" s="1"/>
  <c r="B119" i="40" s="1"/>
  <c r="B120" i="40" s="1"/>
  <c r="B121" i="40" s="1"/>
  <c r="B122" i="40" s="1"/>
  <c r="B123" i="40" s="1"/>
  <c r="B124" i="40" s="1"/>
  <c r="B125" i="40" s="1"/>
  <c r="B126" i="40" s="1"/>
  <c r="B127" i="40" s="1"/>
  <c r="B128" i="40" s="1"/>
  <c r="B129" i="40" s="1"/>
  <c r="B130" i="40" s="1"/>
  <c r="B131" i="40" s="1"/>
  <c r="B132" i="40" s="1"/>
  <c r="B133" i="40" s="1"/>
  <c r="B134" i="40" s="1"/>
  <c r="B135" i="40" s="1"/>
  <c r="B136" i="40" s="1"/>
  <c r="B137" i="40" s="1"/>
  <c r="B138" i="40" s="1"/>
  <c r="B139" i="40" s="1"/>
  <c r="B140" i="40" s="1"/>
  <c r="B141" i="40" s="1"/>
  <c r="B142" i="40" s="1"/>
  <c r="B143" i="40" s="1"/>
  <c r="B144" i="40" s="1"/>
  <c r="B145" i="40" s="1"/>
  <c r="B146" i="40" s="1"/>
  <c r="B147" i="40" s="1"/>
  <c r="B148" i="40" s="1"/>
  <c r="B149" i="40" s="1"/>
  <c r="B150" i="40" s="1"/>
  <c r="B151" i="40" s="1"/>
  <c r="B152" i="40" s="1"/>
  <c r="B153" i="40" s="1"/>
  <c r="B154" i="40" s="1"/>
  <c r="B155" i="40" s="1"/>
  <c r="B156" i="40" s="1"/>
  <c r="B157" i="40" s="1"/>
  <c r="B158" i="40" s="1"/>
  <c r="B159" i="40" s="1"/>
  <c r="B160" i="40" s="1"/>
  <c r="B161" i="40" s="1"/>
  <c r="B162" i="40" s="1"/>
  <c r="B163" i="40" s="1"/>
  <c r="B164" i="40" s="1"/>
  <c r="B165" i="40" s="1"/>
  <c r="B166" i="40" s="1"/>
  <c r="B167" i="40" s="1"/>
  <c r="B168" i="40" s="1"/>
  <c r="B169" i="40" s="1"/>
  <c r="B170" i="40" s="1"/>
  <c r="B171" i="40" s="1"/>
  <c r="B172" i="40" s="1"/>
  <c r="B173" i="40" s="1"/>
  <c r="B174" i="40" s="1"/>
  <c r="B175" i="40" s="1"/>
  <c r="B176" i="40" s="1"/>
  <c r="B177" i="40" s="1"/>
  <c r="B178" i="40" s="1"/>
  <c r="B179" i="40" s="1"/>
  <c r="B180" i="40" s="1"/>
  <c r="B181" i="40" s="1"/>
  <c r="B182" i="40" s="1"/>
  <c r="B183" i="40" s="1"/>
  <c r="B184" i="40" s="1"/>
  <c r="B185" i="40" s="1"/>
  <c r="B186" i="40" s="1"/>
  <c r="B187" i="40" s="1"/>
  <c r="B188" i="40" s="1"/>
  <c r="B189" i="40" s="1"/>
  <c r="B190" i="40" s="1"/>
  <c r="B191" i="40" s="1"/>
  <c r="B192" i="40" s="1"/>
  <c r="B193" i="40" s="1"/>
  <c r="B194" i="40" s="1"/>
  <c r="B195" i="40" s="1"/>
  <c r="B196" i="40" s="1"/>
  <c r="B197" i="40" s="1"/>
  <c r="B198" i="40" s="1"/>
  <c r="B199" i="40" s="1"/>
  <c r="B200" i="40" s="1"/>
  <c r="B201" i="40" s="1"/>
  <c r="B202" i="40" s="1"/>
  <c r="B203" i="40" s="1"/>
  <c r="B204" i="40" s="1"/>
  <c r="B205" i="40" s="1"/>
  <c r="B51" i="36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9" i="49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B42" i="49" s="1"/>
  <c r="B43" i="49" s="1"/>
  <c r="B44" i="49" s="1"/>
  <c r="B45" i="49" s="1"/>
  <c r="B46" i="49" s="1"/>
  <c r="B47" i="49" s="1"/>
  <c r="B48" i="49" s="1"/>
  <c r="B49" i="49" s="1"/>
  <c r="B50" i="49" s="1"/>
  <c r="B51" i="49" s="1"/>
  <c r="B52" i="49" s="1"/>
  <c r="B53" i="49" s="1"/>
  <c r="B54" i="49" s="1"/>
  <c r="B55" i="49" s="1"/>
  <c r="B56" i="49" s="1"/>
  <c r="B57" i="49" s="1"/>
  <c r="B58" i="49" s="1"/>
  <c r="B59" i="49" s="1"/>
  <c r="B60" i="49" s="1"/>
  <c r="B61" i="49" s="1"/>
  <c r="B62" i="49" s="1"/>
  <c r="B63" i="49" s="1"/>
  <c r="B64" i="49" s="1"/>
  <c r="B65" i="49" s="1"/>
  <c r="B66" i="49" s="1"/>
  <c r="B67" i="49" s="1"/>
  <c r="B68" i="49" s="1"/>
  <c r="B69" i="49" s="1"/>
  <c r="B70" i="49" s="1"/>
  <c r="B71" i="49" s="1"/>
  <c r="B72" i="49" s="1"/>
  <c r="B73" i="49" s="1"/>
  <c r="B74" i="49" s="1"/>
  <c r="B75" i="49" s="1"/>
  <c r="B76" i="49" s="1"/>
  <c r="B77" i="49" s="1"/>
  <c r="B78" i="49" s="1"/>
  <c r="B79" i="49" s="1"/>
  <c r="B80" i="49" s="1"/>
  <c r="B81" i="49" s="1"/>
  <c r="B82" i="49" s="1"/>
  <c r="B83" i="49" s="1"/>
  <c r="B84" i="49" s="1"/>
  <c r="B85" i="49" s="1"/>
  <c r="B86" i="49" s="1"/>
  <c r="B87" i="49" s="1"/>
  <c r="B88" i="49" s="1"/>
  <c r="B89" i="49" s="1"/>
  <c r="B90" i="49" s="1"/>
  <c r="B91" i="49" s="1"/>
  <c r="B92" i="49" s="1"/>
  <c r="B93" i="49" s="1"/>
  <c r="B94" i="49" s="1"/>
  <c r="B95" i="49" s="1"/>
  <c r="B96" i="49" s="1"/>
  <c r="B97" i="49" s="1"/>
  <c r="B98" i="49" s="1"/>
  <c r="B99" i="49" s="1"/>
  <c r="B100" i="49" s="1"/>
  <c r="B101" i="49" s="1"/>
  <c r="B102" i="49" s="1"/>
  <c r="B103" i="49" s="1"/>
  <c r="B104" i="49" s="1"/>
  <c r="B105" i="49" s="1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139" i="49" s="1"/>
  <c r="B140" i="49" s="1"/>
  <c r="B141" i="49" s="1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B196" i="49" s="1"/>
  <c r="B197" i="49" s="1"/>
  <c r="B198" i="49" s="1"/>
  <c r="B199" i="49" s="1"/>
  <c r="B200" i="49" s="1"/>
  <c r="B201" i="49" s="1"/>
  <c r="B202" i="49" s="1"/>
  <c r="B203" i="49" s="1"/>
  <c r="B204" i="49" s="1"/>
  <c r="B205" i="49" s="1"/>
  <c r="GB201" i="33" l="1"/>
  <c r="GA201" i="33"/>
  <c r="GB200" i="33"/>
  <c r="GA200" i="33"/>
  <c r="GB199" i="33"/>
  <c r="GA199" i="33"/>
  <c r="GB198" i="33"/>
  <c r="GA198" i="33"/>
  <c r="GB197" i="33"/>
  <c r="GA197" i="33"/>
  <c r="GB196" i="33"/>
  <c r="GA196" i="33"/>
  <c r="GB195" i="33"/>
  <c r="GA195" i="33"/>
  <c r="GB194" i="33"/>
  <c r="GA194" i="33"/>
  <c r="GB193" i="33"/>
  <c r="GA193" i="33"/>
  <c r="GB192" i="33"/>
  <c r="GA192" i="33"/>
  <c r="GB191" i="33"/>
  <c r="GA191" i="33"/>
  <c r="GB190" i="33"/>
  <c r="GA190" i="33"/>
  <c r="GB189" i="33"/>
  <c r="GA189" i="33"/>
  <c r="GB188" i="33"/>
  <c r="GA188" i="33"/>
  <c r="GB187" i="33"/>
  <c r="GA187" i="33"/>
  <c r="GB186" i="33"/>
  <c r="GA186" i="33"/>
  <c r="GB185" i="33"/>
  <c r="GA185" i="33"/>
  <c r="GB184" i="33"/>
  <c r="GA184" i="33"/>
  <c r="GB183" i="33"/>
  <c r="GA183" i="33"/>
  <c r="GB182" i="33"/>
  <c r="GA182" i="33"/>
  <c r="GB181" i="33"/>
  <c r="GA181" i="33"/>
  <c r="GB180" i="33"/>
  <c r="GA180" i="33"/>
  <c r="GB179" i="33"/>
  <c r="GA179" i="33"/>
  <c r="GB178" i="33"/>
  <c r="GA178" i="33"/>
  <c r="GB177" i="33"/>
  <c r="GA177" i="33"/>
  <c r="GB176" i="33"/>
  <c r="GA176" i="33"/>
  <c r="GB175" i="33"/>
  <c r="GA175" i="33"/>
  <c r="GB174" i="33"/>
  <c r="GA174" i="33"/>
  <c r="GB173" i="33"/>
  <c r="GA173" i="33"/>
  <c r="GB172" i="33"/>
  <c r="GA172" i="33"/>
  <c r="GB171" i="33"/>
  <c r="GA171" i="33"/>
  <c r="GB170" i="33"/>
  <c r="GA170" i="33"/>
  <c r="GB169" i="33"/>
  <c r="GA169" i="33"/>
  <c r="GB168" i="33"/>
  <c r="GA168" i="33"/>
  <c r="GB167" i="33"/>
  <c r="GA167" i="33"/>
  <c r="GB166" i="33"/>
  <c r="GA166" i="33"/>
  <c r="GB165" i="33"/>
  <c r="GA165" i="33"/>
  <c r="GB164" i="33"/>
  <c r="GA164" i="33"/>
  <c r="GB163" i="33"/>
  <c r="GA163" i="33"/>
  <c r="GB162" i="33"/>
  <c r="GA162" i="33"/>
  <c r="GB161" i="33"/>
  <c r="GA161" i="33"/>
  <c r="GB160" i="33"/>
  <c r="GA160" i="33"/>
  <c r="GB159" i="33"/>
  <c r="GA159" i="33"/>
  <c r="GB158" i="33"/>
  <c r="GA158" i="33"/>
  <c r="GB157" i="33"/>
  <c r="GA157" i="33"/>
  <c r="GB156" i="33"/>
  <c r="GA156" i="33"/>
  <c r="GB155" i="33"/>
  <c r="GA155" i="33"/>
  <c r="GB154" i="33"/>
  <c r="GA154" i="33"/>
  <c r="GB153" i="33"/>
  <c r="GA153" i="33"/>
  <c r="GB152" i="33"/>
  <c r="GA152" i="33"/>
  <c r="GB151" i="33"/>
  <c r="GA151" i="33"/>
  <c r="GB150" i="33"/>
  <c r="GA150" i="33"/>
  <c r="GB149" i="33"/>
  <c r="GA149" i="33"/>
  <c r="GB148" i="33"/>
  <c r="GA148" i="33"/>
  <c r="GB147" i="33"/>
  <c r="GA147" i="33"/>
  <c r="GB146" i="33"/>
  <c r="GA146" i="33"/>
  <c r="GB145" i="33"/>
  <c r="GA145" i="33"/>
  <c r="GB144" i="33"/>
  <c r="GA144" i="33"/>
  <c r="GB143" i="33"/>
  <c r="GA143" i="33"/>
  <c r="GB142" i="33"/>
  <c r="GA142" i="33"/>
  <c r="GB141" i="33"/>
  <c r="GA141" i="33"/>
  <c r="GB140" i="33"/>
  <c r="GA140" i="33"/>
  <c r="GB139" i="33"/>
  <c r="GA139" i="33"/>
  <c r="GB138" i="33"/>
  <c r="GA138" i="33"/>
  <c r="GB137" i="33"/>
  <c r="GA137" i="33"/>
  <c r="GB136" i="33"/>
  <c r="GA136" i="33"/>
  <c r="GB135" i="33"/>
  <c r="GA135" i="33"/>
  <c r="GB134" i="33"/>
  <c r="GA134" i="33"/>
  <c r="GB133" i="33"/>
  <c r="GA133" i="33"/>
  <c r="GB132" i="33"/>
  <c r="GA132" i="33"/>
  <c r="GB131" i="33"/>
  <c r="GA131" i="33"/>
  <c r="GB130" i="33"/>
  <c r="GA130" i="33"/>
  <c r="GB129" i="33"/>
  <c r="GA129" i="33"/>
  <c r="GB128" i="33"/>
  <c r="GA128" i="33"/>
  <c r="GB127" i="33"/>
  <c r="GA127" i="33"/>
  <c r="GB126" i="33"/>
  <c r="GA126" i="33"/>
  <c r="GB125" i="33"/>
  <c r="GA125" i="33"/>
  <c r="GB124" i="33"/>
  <c r="GA124" i="33"/>
  <c r="GB123" i="33"/>
  <c r="GA123" i="33"/>
  <c r="GB122" i="33"/>
  <c r="GA122" i="33"/>
  <c r="GB121" i="33"/>
  <c r="GA121" i="33"/>
  <c r="GB120" i="33"/>
  <c r="GA120" i="33"/>
  <c r="GB119" i="33"/>
  <c r="GA119" i="33"/>
  <c r="GB118" i="33"/>
  <c r="GA118" i="33"/>
  <c r="GB117" i="33"/>
  <c r="GA117" i="33"/>
  <c r="GB116" i="33"/>
  <c r="GA116" i="33"/>
  <c r="GB115" i="33"/>
  <c r="GA115" i="33"/>
  <c r="GB114" i="33"/>
  <c r="GA114" i="33"/>
  <c r="GB113" i="33"/>
  <c r="GA113" i="33"/>
  <c r="GB112" i="33"/>
  <c r="GA112" i="33"/>
  <c r="GB111" i="33"/>
  <c r="GA111" i="33"/>
  <c r="GB110" i="33"/>
  <c r="GA110" i="33"/>
  <c r="GB109" i="33"/>
  <c r="GA109" i="33"/>
  <c r="GB108" i="33"/>
  <c r="GA108" i="33"/>
  <c r="GB107" i="33"/>
  <c r="GA107" i="33"/>
  <c r="GB106" i="33"/>
  <c r="GA106" i="33"/>
  <c r="GB105" i="33"/>
  <c r="GA105" i="33"/>
  <c r="GB104" i="33"/>
  <c r="GA104" i="33"/>
  <c r="GB103" i="33"/>
  <c r="GA103" i="33"/>
  <c r="GB102" i="33"/>
  <c r="GA102" i="33"/>
  <c r="GB101" i="33"/>
  <c r="GA101" i="33"/>
  <c r="GB100" i="33"/>
  <c r="GA100" i="33"/>
  <c r="GB99" i="33"/>
  <c r="GA99" i="33"/>
  <c r="GB98" i="33"/>
  <c r="GA98" i="33"/>
  <c r="GB97" i="33"/>
  <c r="GA97" i="33"/>
  <c r="GB96" i="33"/>
  <c r="GA96" i="33"/>
  <c r="GB95" i="33"/>
  <c r="GA95" i="33"/>
  <c r="GB94" i="33"/>
  <c r="GA94" i="33"/>
  <c r="GB93" i="33"/>
  <c r="GA93" i="33"/>
  <c r="GB92" i="33"/>
  <c r="GA92" i="33"/>
  <c r="GB91" i="33"/>
  <c r="GA91" i="33"/>
  <c r="GB90" i="33"/>
  <c r="GA90" i="33"/>
  <c r="GB89" i="33"/>
  <c r="GA89" i="33"/>
  <c r="GB88" i="33"/>
  <c r="GA88" i="33"/>
  <c r="GB87" i="33"/>
  <c r="GA87" i="33"/>
  <c r="GB86" i="33"/>
  <c r="GA86" i="33"/>
  <c r="GB85" i="33"/>
  <c r="GA85" i="33"/>
  <c r="GB84" i="33"/>
  <c r="GA84" i="33"/>
  <c r="GB83" i="33"/>
  <c r="GA83" i="33"/>
  <c r="GB82" i="33"/>
  <c r="GA82" i="33"/>
  <c r="GB81" i="33"/>
  <c r="GA81" i="33"/>
  <c r="GB80" i="33"/>
  <c r="GA80" i="33"/>
  <c r="GB79" i="33"/>
  <c r="GA79" i="33"/>
  <c r="GB78" i="33"/>
  <c r="GA78" i="33"/>
  <c r="GB77" i="33"/>
  <c r="GA77" i="33"/>
  <c r="GB76" i="33"/>
  <c r="GA76" i="33"/>
  <c r="GB75" i="33"/>
  <c r="GA75" i="33"/>
  <c r="GB74" i="33"/>
  <c r="GA74" i="33"/>
  <c r="GB73" i="33"/>
  <c r="GA73" i="33"/>
  <c r="GB72" i="33"/>
  <c r="GA72" i="33"/>
  <c r="GB71" i="33"/>
  <c r="GA71" i="33"/>
  <c r="GB70" i="33"/>
  <c r="GA70" i="33"/>
  <c r="GB69" i="33"/>
  <c r="GA69" i="33"/>
  <c r="GB68" i="33"/>
  <c r="GA68" i="33"/>
  <c r="GB67" i="33"/>
  <c r="GA67" i="33"/>
  <c r="GB66" i="33"/>
  <c r="GA66" i="33"/>
  <c r="GB65" i="33"/>
  <c r="GA65" i="33"/>
  <c r="GB64" i="33"/>
  <c r="GA64" i="33"/>
  <c r="GB63" i="33"/>
  <c r="GA63" i="33"/>
  <c r="GB62" i="33"/>
  <c r="GA62" i="33"/>
  <c r="GB61" i="33"/>
  <c r="GA61" i="33"/>
  <c r="GB60" i="33"/>
  <c r="GA60" i="33"/>
  <c r="GB59" i="33"/>
  <c r="GA59" i="33"/>
  <c r="GB58" i="33"/>
  <c r="GA58" i="33"/>
  <c r="GB57" i="33"/>
  <c r="GA57" i="33"/>
  <c r="GB56" i="33"/>
  <c r="GA56" i="33"/>
  <c r="GB55" i="33"/>
  <c r="GA55" i="33"/>
  <c r="GB54" i="33"/>
  <c r="GA54" i="33"/>
  <c r="GB53" i="33"/>
  <c r="GA53" i="33"/>
  <c r="GB52" i="33"/>
  <c r="GA52" i="33"/>
  <c r="GB51" i="33"/>
  <c r="GA51" i="33"/>
  <c r="GB50" i="33"/>
  <c r="GA50" i="33"/>
  <c r="GB49" i="33"/>
  <c r="GA49" i="33"/>
  <c r="GB48" i="33"/>
  <c r="GA48" i="33"/>
  <c r="GB47" i="33"/>
  <c r="GA47" i="33"/>
  <c r="GB46" i="33"/>
  <c r="GA46" i="33"/>
  <c r="GB45" i="33"/>
  <c r="GA45" i="33"/>
  <c r="GB44" i="33"/>
  <c r="GA44" i="33"/>
  <c r="GB43" i="33"/>
  <c r="GA43" i="33"/>
  <c r="GB42" i="33"/>
  <c r="GA42" i="33"/>
  <c r="GB41" i="33"/>
  <c r="GA41" i="33"/>
  <c r="GB40" i="33"/>
  <c r="GA40" i="33"/>
  <c r="GB39" i="33"/>
  <c r="GA39" i="33"/>
  <c r="GB38" i="33"/>
  <c r="GA38" i="33"/>
  <c r="GB37" i="33"/>
  <c r="GA37" i="33"/>
  <c r="GB36" i="33"/>
  <c r="GA36" i="33"/>
  <c r="GB35" i="33"/>
  <c r="GA35" i="33"/>
  <c r="GB34" i="33"/>
  <c r="GA34" i="33"/>
  <c r="GB33" i="33"/>
  <c r="GA33" i="33"/>
  <c r="GB32" i="33"/>
  <c r="GA32" i="33"/>
  <c r="GB31" i="33"/>
  <c r="GA31" i="33"/>
  <c r="GB30" i="33"/>
  <c r="GA30" i="33"/>
  <c r="GB29" i="33"/>
  <c r="GA29" i="33"/>
  <c r="GB28" i="33"/>
  <c r="GA28" i="33"/>
  <c r="GB27" i="33"/>
  <c r="GA27" i="33"/>
  <c r="GB26" i="33"/>
  <c r="GA26" i="33"/>
  <c r="GB25" i="33"/>
  <c r="GA25" i="33"/>
  <c r="GB24" i="33"/>
  <c r="GA24" i="33"/>
  <c r="GB23" i="33"/>
  <c r="GA23" i="33"/>
  <c r="GB22" i="33"/>
  <c r="GA22" i="33"/>
  <c r="GB21" i="33"/>
  <c r="GA21" i="33"/>
  <c r="GB20" i="33"/>
  <c r="GA20" i="33"/>
  <c r="GB19" i="33"/>
  <c r="GA19" i="33"/>
  <c r="GB18" i="33"/>
  <c r="GA18" i="33"/>
  <c r="GB17" i="33"/>
  <c r="GA17" i="33"/>
  <c r="GB16" i="33"/>
  <c r="GA16" i="33"/>
  <c r="GB15" i="33"/>
  <c r="GA15" i="33"/>
  <c r="GB14" i="33"/>
  <c r="GA14" i="33"/>
  <c r="GB13" i="33"/>
  <c r="GA13" i="33"/>
  <c r="GB12" i="33"/>
  <c r="GA12" i="33"/>
  <c r="GB11" i="33"/>
  <c r="GA11" i="33"/>
  <c r="GB10" i="33"/>
  <c r="GA10" i="33"/>
  <c r="GB9" i="33"/>
  <c r="GA9" i="33"/>
  <c r="FW11" i="33"/>
  <c r="FV11" i="33"/>
  <c r="FU11" i="33"/>
  <c r="FT11" i="33"/>
  <c r="FS11" i="33"/>
  <c r="FR11" i="33"/>
  <c r="FQ11" i="33"/>
  <c r="FP11" i="33"/>
  <c r="FO11" i="33"/>
  <c r="FW10" i="33"/>
  <c r="FV10" i="33"/>
  <c r="FU10" i="33"/>
  <c r="FT10" i="33"/>
  <c r="FS10" i="33"/>
  <c r="FR10" i="33"/>
  <c r="FQ10" i="33"/>
  <c r="FP10" i="33"/>
  <c r="FO10" i="33"/>
  <c r="FW9" i="33"/>
  <c r="FV9" i="33"/>
  <c r="FU9" i="33"/>
  <c r="FT9" i="33"/>
  <c r="FS9" i="33"/>
  <c r="FR9" i="33"/>
  <c r="FQ9" i="33"/>
  <c r="FP9" i="33"/>
  <c r="FO9" i="33"/>
  <c r="FW8" i="33"/>
  <c r="FV8" i="33"/>
  <c r="FU8" i="33"/>
  <c r="FT8" i="33"/>
  <c r="FS8" i="33"/>
  <c r="FR8" i="33"/>
  <c r="FQ8" i="33"/>
  <c r="FP8" i="33"/>
  <c r="FO8" i="33"/>
  <c r="FW7" i="33"/>
  <c r="FV7" i="33"/>
  <c r="FU7" i="33"/>
  <c r="FT7" i="33"/>
  <c r="FS7" i="33"/>
  <c r="FR7" i="33"/>
  <c r="FQ7" i="33"/>
  <c r="FP7" i="33"/>
  <c r="FO7" i="33"/>
  <c r="FW6" i="33"/>
  <c r="FV6" i="33"/>
  <c r="FU6" i="33"/>
  <c r="FT6" i="33"/>
  <c r="FS6" i="33"/>
  <c r="FR6" i="33"/>
  <c r="FQ6" i="33"/>
  <c r="FP6" i="33"/>
  <c r="FO6" i="33"/>
  <c r="FW5" i="33"/>
  <c r="FV5" i="33"/>
  <c r="FU5" i="33"/>
  <c r="FT5" i="33"/>
  <c r="FS5" i="33"/>
  <c r="FR5" i="33"/>
  <c r="FQ5" i="33"/>
  <c r="FP5" i="33"/>
  <c r="FO5" i="33"/>
  <c r="FW4" i="33"/>
  <c r="FV4" i="33"/>
  <c r="FU4" i="33"/>
  <c r="FT4" i="33"/>
  <c r="FS4" i="33"/>
  <c r="FR4" i="33"/>
  <c r="FQ4" i="33"/>
  <c r="FP4" i="33"/>
  <c r="FO4" i="33"/>
  <c r="FN201" i="33"/>
  <c r="FM201" i="33"/>
  <c r="FN200" i="33"/>
  <c r="FM200" i="33"/>
  <c r="FN199" i="33"/>
  <c r="FM199" i="33"/>
  <c r="FN198" i="33"/>
  <c r="FM198" i="33"/>
  <c r="FN197" i="33"/>
  <c r="FM197" i="33"/>
  <c r="FN196" i="33"/>
  <c r="FM196" i="33"/>
  <c r="FN195" i="33"/>
  <c r="FM195" i="33"/>
  <c r="FN194" i="33"/>
  <c r="FM194" i="33"/>
  <c r="FN193" i="33"/>
  <c r="FM193" i="33"/>
  <c r="FN192" i="33"/>
  <c r="FM192" i="33"/>
  <c r="FN191" i="33"/>
  <c r="FM191" i="33"/>
  <c r="FN190" i="33"/>
  <c r="FM190" i="33"/>
  <c r="FN189" i="33"/>
  <c r="FM189" i="33"/>
  <c r="FN188" i="33"/>
  <c r="FM188" i="33"/>
  <c r="FN187" i="33"/>
  <c r="FM187" i="33"/>
  <c r="FN186" i="33"/>
  <c r="FM186" i="33"/>
  <c r="FN185" i="33"/>
  <c r="FM185" i="33"/>
  <c r="FN184" i="33"/>
  <c r="FM184" i="33"/>
  <c r="FN183" i="33"/>
  <c r="FM183" i="33"/>
  <c r="FN182" i="33"/>
  <c r="FM182" i="33"/>
  <c r="FN181" i="33"/>
  <c r="FM181" i="33"/>
  <c r="FN180" i="33"/>
  <c r="FM180" i="33"/>
  <c r="FN179" i="33"/>
  <c r="FM179" i="33"/>
  <c r="FN178" i="33"/>
  <c r="FM178" i="33"/>
  <c r="FN177" i="33"/>
  <c r="FM177" i="33"/>
  <c r="FN176" i="33"/>
  <c r="FM176" i="33"/>
  <c r="FN175" i="33"/>
  <c r="FM175" i="33"/>
  <c r="FN174" i="33"/>
  <c r="FM174" i="33"/>
  <c r="FN173" i="33"/>
  <c r="FM173" i="33"/>
  <c r="FN172" i="33"/>
  <c r="FM172" i="33"/>
  <c r="FN171" i="33"/>
  <c r="FM171" i="33"/>
  <c r="FN170" i="33"/>
  <c r="FM170" i="33"/>
  <c r="FN169" i="33"/>
  <c r="FM169" i="33"/>
  <c r="FN168" i="33"/>
  <c r="FM168" i="33"/>
  <c r="FN167" i="33"/>
  <c r="FM167" i="33"/>
  <c r="FN166" i="33"/>
  <c r="FM166" i="33"/>
  <c r="FN165" i="33"/>
  <c r="FM165" i="33"/>
  <c r="FN164" i="33"/>
  <c r="FM164" i="33"/>
  <c r="FN163" i="33"/>
  <c r="FM163" i="33"/>
  <c r="FN162" i="33"/>
  <c r="FM162" i="33"/>
  <c r="FN161" i="33"/>
  <c r="FM161" i="33"/>
  <c r="FN160" i="33"/>
  <c r="FM160" i="33"/>
  <c r="FN159" i="33"/>
  <c r="FM159" i="33"/>
  <c r="FN158" i="33"/>
  <c r="FM158" i="33"/>
  <c r="FN157" i="33"/>
  <c r="FM157" i="33"/>
  <c r="FN156" i="33"/>
  <c r="FM156" i="33"/>
  <c r="FN155" i="33"/>
  <c r="FM155" i="33"/>
  <c r="FN154" i="33"/>
  <c r="FM154" i="33"/>
  <c r="FN153" i="33"/>
  <c r="FM153" i="33"/>
  <c r="FN152" i="33"/>
  <c r="FM152" i="33"/>
  <c r="FN151" i="33"/>
  <c r="FM151" i="33"/>
  <c r="FN150" i="33"/>
  <c r="FM150" i="33"/>
  <c r="FN149" i="33"/>
  <c r="FM149" i="33"/>
  <c r="FN148" i="33"/>
  <c r="FM148" i="33"/>
  <c r="FN147" i="33"/>
  <c r="FM147" i="33"/>
  <c r="FN146" i="33"/>
  <c r="FM146" i="33"/>
  <c r="FN145" i="33"/>
  <c r="FM145" i="33"/>
  <c r="FN144" i="33"/>
  <c r="FM144" i="33"/>
  <c r="FN143" i="33"/>
  <c r="FM143" i="33"/>
  <c r="FN142" i="33"/>
  <c r="FM142" i="33"/>
  <c r="FN141" i="33"/>
  <c r="FM141" i="33"/>
  <c r="FN140" i="33"/>
  <c r="FM140" i="33"/>
  <c r="FN139" i="33"/>
  <c r="FM139" i="33"/>
  <c r="FN138" i="33"/>
  <c r="FM138" i="33"/>
  <c r="FN137" i="33"/>
  <c r="FM137" i="33"/>
  <c r="FN136" i="33"/>
  <c r="FM136" i="33"/>
  <c r="FN135" i="33"/>
  <c r="FM135" i="33"/>
  <c r="FN134" i="33"/>
  <c r="FM134" i="33"/>
  <c r="FN133" i="33"/>
  <c r="FM133" i="33"/>
  <c r="FN132" i="33"/>
  <c r="FM132" i="33"/>
  <c r="FN131" i="33"/>
  <c r="FM131" i="33"/>
  <c r="FN130" i="33"/>
  <c r="FM130" i="33"/>
  <c r="FN129" i="33"/>
  <c r="FM129" i="33"/>
  <c r="FN128" i="33"/>
  <c r="FM128" i="33"/>
  <c r="FN127" i="33"/>
  <c r="FM127" i="33"/>
  <c r="FN126" i="33"/>
  <c r="FM126" i="33"/>
  <c r="FN125" i="33"/>
  <c r="FM125" i="33"/>
  <c r="FN124" i="33"/>
  <c r="FM124" i="33"/>
  <c r="FN123" i="33"/>
  <c r="FM123" i="33"/>
  <c r="FN122" i="33"/>
  <c r="FM122" i="33"/>
  <c r="FN121" i="33"/>
  <c r="FM121" i="33"/>
  <c r="FN120" i="33"/>
  <c r="FM120" i="33"/>
  <c r="FN119" i="33"/>
  <c r="FM119" i="33"/>
  <c r="FN118" i="33"/>
  <c r="FM118" i="33"/>
  <c r="FN117" i="33"/>
  <c r="FM117" i="33"/>
  <c r="FN116" i="33"/>
  <c r="FM116" i="33"/>
  <c r="FN115" i="33"/>
  <c r="FM115" i="33"/>
  <c r="FN114" i="33"/>
  <c r="FM114" i="33"/>
  <c r="FN113" i="33"/>
  <c r="FM113" i="33"/>
  <c r="FN112" i="33"/>
  <c r="FM112" i="33"/>
  <c r="FN111" i="33"/>
  <c r="FM111" i="33"/>
  <c r="FN110" i="33"/>
  <c r="FM110" i="33"/>
  <c r="FN109" i="33"/>
  <c r="FM109" i="33"/>
  <c r="FN108" i="33"/>
  <c r="FM108" i="33"/>
  <c r="FN107" i="33"/>
  <c r="FM107" i="33"/>
  <c r="FN106" i="33"/>
  <c r="FM106" i="33"/>
  <c r="FN105" i="33"/>
  <c r="FM105" i="33"/>
  <c r="FN104" i="33"/>
  <c r="FM104" i="33"/>
  <c r="FN103" i="33"/>
  <c r="FM103" i="33"/>
  <c r="FN102" i="33"/>
  <c r="FM102" i="33"/>
  <c r="FN101" i="33"/>
  <c r="FM101" i="33"/>
  <c r="FN100" i="33"/>
  <c r="FM100" i="33"/>
  <c r="FN99" i="33"/>
  <c r="FM99" i="33"/>
  <c r="FN98" i="33"/>
  <c r="FM98" i="33"/>
  <c r="FN97" i="33"/>
  <c r="FM97" i="33"/>
  <c r="FN96" i="33"/>
  <c r="FM96" i="33"/>
  <c r="FN95" i="33"/>
  <c r="FM95" i="33"/>
  <c r="FN94" i="33"/>
  <c r="FM94" i="33"/>
  <c r="FN93" i="33"/>
  <c r="FM93" i="33"/>
  <c r="FN92" i="33"/>
  <c r="FM92" i="33"/>
  <c r="FN91" i="33"/>
  <c r="FM91" i="33"/>
  <c r="FN90" i="33"/>
  <c r="FM90" i="33"/>
  <c r="FN89" i="33"/>
  <c r="FM89" i="33"/>
  <c r="FN88" i="33"/>
  <c r="FM88" i="33"/>
  <c r="FN87" i="33"/>
  <c r="FM87" i="33"/>
  <c r="FN86" i="33"/>
  <c r="FM86" i="33"/>
  <c r="FN85" i="33"/>
  <c r="FM85" i="33"/>
  <c r="FN84" i="33"/>
  <c r="FM84" i="33"/>
  <c r="FN83" i="33"/>
  <c r="FM83" i="33"/>
  <c r="FN82" i="33"/>
  <c r="FM82" i="33"/>
  <c r="FN81" i="33"/>
  <c r="FM81" i="33"/>
  <c r="FN80" i="33"/>
  <c r="FM80" i="33"/>
  <c r="FN79" i="33"/>
  <c r="FM79" i="33"/>
  <c r="FN78" i="33"/>
  <c r="FM78" i="33"/>
  <c r="FN77" i="33"/>
  <c r="FM77" i="33"/>
  <c r="FN76" i="33"/>
  <c r="FM76" i="33"/>
  <c r="FN75" i="33"/>
  <c r="FM75" i="33"/>
  <c r="FN74" i="33"/>
  <c r="FM74" i="33"/>
  <c r="FN73" i="33"/>
  <c r="FM73" i="33"/>
  <c r="FN72" i="33"/>
  <c r="FM72" i="33"/>
  <c r="FN71" i="33"/>
  <c r="FM71" i="33"/>
  <c r="FN70" i="33"/>
  <c r="FM70" i="33"/>
  <c r="FN69" i="33"/>
  <c r="FM69" i="33"/>
  <c r="FN68" i="33"/>
  <c r="FM68" i="33"/>
  <c r="FN67" i="33"/>
  <c r="FM67" i="33"/>
  <c r="FN66" i="33"/>
  <c r="FM66" i="33"/>
  <c r="FN65" i="33"/>
  <c r="FM65" i="33"/>
  <c r="FN64" i="33"/>
  <c r="FM64" i="33"/>
  <c r="FN63" i="33"/>
  <c r="FM63" i="33"/>
  <c r="FN62" i="33"/>
  <c r="FM62" i="33"/>
  <c r="FN61" i="33"/>
  <c r="FM61" i="33"/>
  <c r="FN60" i="33"/>
  <c r="FM60" i="33"/>
  <c r="FN59" i="33"/>
  <c r="FM59" i="33"/>
  <c r="FN58" i="33"/>
  <c r="FM58" i="33"/>
  <c r="FN57" i="33"/>
  <c r="FM57" i="33"/>
  <c r="FN56" i="33"/>
  <c r="FM56" i="33"/>
  <c r="FN55" i="33"/>
  <c r="FM55" i="33"/>
  <c r="FN54" i="33"/>
  <c r="FM54" i="33"/>
  <c r="FN53" i="33"/>
  <c r="FM53" i="33"/>
  <c r="FN52" i="33"/>
  <c r="FM52" i="33"/>
  <c r="FN51" i="33"/>
  <c r="FM51" i="33"/>
  <c r="FN50" i="33"/>
  <c r="FM50" i="33"/>
  <c r="FN49" i="33"/>
  <c r="FM49" i="33"/>
  <c r="FN48" i="33"/>
  <c r="FM48" i="33"/>
  <c r="FN47" i="33"/>
  <c r="FM47" i="33"/>
  <c r="FN46" i="33"/>
  <c r="FM46" i="33"/>
  <c r="FN45" i="33"/>
  <c r="FM45" i="33"/>
  <c r="FN44" i="33"/>
  <c r="FM44" i="33"/>
  <c r="FN43" i="33"/>
  <c r="FM43" i="33"/>
  <c r="FN42" i="33"/>
  <c r="FM42" i="33"/>
  <c r="FN41" i="33"/>
  <c r="FM41" i="33"/>
  <c r="FN40" i="33"/>
  <c r="FM40" i="33"/>
  <c r="FN39" i="33"/>
  <c r="FM39" i="33"/>
  <c r="FN38" i="33"/>
  <c r="FM38" i="33"/>
  <c r="FN37" i="33"/>
  <c r="FM37" i="33"/>
  <c r="FN36" i="33"/>
  <c r="FM36" i="33"/>
  <c r="FN35" i="33"/>
  <c r="FM35" i="33"/>
  <c r="FN34" i="33"/>
  <c r="FM34" i="33"/>
  <c r="FN33" i="33"/>
  <c r="FM33" i="33"/>
  <c r="FN32" i="33"/>
  <c r="FM32" i="33"/>
  <c r="FN31" i="33"/>
  <c r="FM31" i="33"/>
  <c r="FN30" i="33"/>
  <c r="FM30" i="33"/>
  <c r="FN29" i="33"/>
  <c r="FM29" i="33"/>
  <c r="FN28" i="33"/>
  <c r="FM28" i="33"/>
  <c r="FN27" i="33"/>
  <c r="FM27" i="33"/>
  <c r="FN26" i="33"/>
  <c r="FM26" i="33"/>
  <c r="FN25" i="33"/>
  <c r="FM25" i="33"/>
  <c r="FN24" i="33"/>
  <c r="FM24" i="33"/>
  <c r="FN23" i="33"/>
  <c r="FM23" i="33"/>
  <c r="FN22" i="33"/>
  <c r="FM22" i="33"/>
  <c r="FN21" i="33"/>
  <c r="FM21" i="33"/>
  <c r="FN20" i="33"/>
  <c r="FM20" i="33"/>
  <c r="FN19" i="33"/>
  <c r="FM19" i="33"/>
  <c r="FN18" i="33"/>
  <c r="FM18" i="33"/>
  <c r="FN17" i="33"/>
  <c r="FM17" i="33"/>
  <c r="FN16" i="33"/>
  <c r="FM16" i="33"/>
  <c r="FN15" i="33"/>
  <c r="FM15" i="33"/>
  <c r="FN14" i="33"/>
  <c r="FM14" i="33"/>
  <c r="FN13" i="33"/>
  <c r="FM13" i="33"/>
  <c r="FN12" i="33"/>
  <c r="FM12" i="33"/>
  <c r="FN11" i="33"/>
  <c r="FM11" i="33"/>
  <c r="FN10" i="33"/>
  <c r="FM10" i="33"/>
  <c r="FN9" i="33"/>
  <c r="FM9" i="33"/>
  <c r="EV201" i="33"/>
  <c r="EU201" i="33"/>
  <c r="EV200" i="33"/>
  <c r="EU200" i="33"/>
  <c r="EV199" i="33"/>
  <c r="EU199" i="33"/>
  <c r="EV198" i="33"/>
  <c r="EU198" i="33"/>
  <c r="EV197" i="33"/>
  <c r="EU197" i="33"/>
  <c r="EV196" i="33"/>
  <c r="EU196" i="33"/>
  <c r="EV195" i="33"/>
  <c r="EU195" i="33"/>
  <c r="EV194" i="33"/>
  <c r="EU194" i="33"/>
  <c r="EV193" i="33"/>
  <c r="EU193" i="33"/>
  <c r="EV192" i="33"/>
  <c r="EU192" i="33"/>
  <c r="EV191" i="33"/>
  <c r="EU191" i="33"/>
  <c r="EV190" i="33"/>
  <c r="EU190" i="33"/>
  <c r="EV189" i="33"/>
  <c r="EU189" i="33"/>
  <c r="EV188" i="33"/>
  <c r="EU188" i="33"/>
  <c r="EV187" i="33"/>
  <c r="EU187" i="33"/>
  <c r="EV186" i="33"/>
  <c r="EU186" i="33"/>
  <c r="EV185" i="33"/>
  <c r="EU185" i="33"/>
  <c r="EV184" i="33"/>
  <c r="EU184" i="33"/>
  <c r="EV183" i="33"/>
  <c r="EU183" i="33"/>
  <c r="EV182" i="33"/>
  <c r="EU182" i="33"/>
  <c r="EV181" i="33"/>
  <c r="EU181" i="33"/>
  <c r="EV180" i="33"/>
  <c r="EU180" i="33"/>
  <c r="EV179" i="33"/>
  <c r="EU179" i="33"/>
  <c r="EV178" i="33"/>
  <c r="EU178" i="33"/>
  <c r="EV177" i="33"/>
  <c r="EU177" i="33"/>
  <c r="EV176" i="33"/>
  <c r="EU176" i="33"/>
  <c r="EV175" i="33"/>
  <c r="EU175" i="33"/>
  <c r="EV174" i="33"/>
  <c r="EU174" i="33"/>
  <c r="EV173" i="33"/>
  <c r="EU173" i="33"/>
  <c r="EV172" i="33"/>
  <c r="EU172" i="33"/>
  <c r="EV171" i="33"/>
  <c r="EU171" i="33"/>
  <c r="EV170" i="33"/>
  <c r="EU170" i="33"/>
  <c r="EV169" i="33"/>
  <c r="EU169" i="33"/>
  <c r="EV168" i="33"/>
  <c r="EU168" i="33"/>
  <c r="EV167" i="33"/>
  <c r="EU167" i="33"/>
  <c r="EV166" i="33"/>
  <c r="EU166" i="33"/>
  <c r="EV165" i="33"/>
  <c r="EU165" i="33"/>
  <c r="EV164" i="33"/>
  <c r="EU164" i="33"/>
  <c r="EV163" i="33"/>
  <c r="EU163" i="33"/>
  <c r="EV162" i="33"/>
  <c r="EU162" i="33"/>
  <c r="EV161" i="33"/>
  <c r="EU161" i="33"/>
  <c r="EV160" i="33"/>
  <c r="EU160" i="33"/>
  <c r="EV159" i="33"/>
  <c r="EU159" i="33"/>
  <c r="EV158" i="33"/>
  <c r="EU158" i="33"/>
  <c r="EV157" i="33"/>
  <c r="EU157" i="33"/>
  <c r="EV156" i="33"/>
  <c r="EU156" i="33"/>
  <c r="EV155" i="33"/>
  <c r="EU155" i="33"/>
  <c r="EV154" i="33"/>
  <c r="EU154" i="33"/>
  <c r="EV153" i="33"/>
  <c r="EU153" i="33"/>
  <c r="EV152" i="33"/>
  <c r="EU152" i="33"/>
  <c r="EV151" i="33"/>
  <c r="EU151" i="33"/>
  <c r="EV150" i="33"/>
  <c r="EU150" i="33"/>
  <c r="EV149" i="33"/>
  <c r="EU149" i="33"/>
  <c r="EV148" i="33"/>
  <c r="EU148" i="33"/>
  <c r="EV147" i="33"/>
  <c r="EU147" i="33"/>
  <c r="EV146" i="33"/>
  <c r="EU146" i="33"/>
  <c r="EV145" i="33"/>
  <c r="EU145" i="33"/>
  <c r="EV144" i="33"/>
  <c r="EU144" i="33"/>
  <c r="EV143" i="33"/>
  <c r="EU143" i="33"/>
  <c r="EV142" i="33"/>
  <c r="EU142" i="33"/>
  <c r="EV141" i="33"/>
  <c r="EU141" i="33"/>
  <c r="EV140" i="33"/>
  <c r="EU140" i="33"/>
  <c r="EV139" i="33"/>
  <c r="EU139" i="33"/>
  <c r="EV138" i="33"/>
  <c r="EU138" i="33"/>
  <c r="EV137" i="33"/>
  <c r="EU137" i="33"/>
  <c r="EV136" i="33"/>
  <c r="EU136" i="33"/>
  <c r="EV135" i="33"/>
  <c r="EU135" i="33"/>
  <c r="EV134" i="33"/>
  <c r="EU134" i="33"/>
  <c r="EV133" i="33"/>
  <c r="EU133" i="33"/>
  <c r="EV132" i="33"/>
  <c r="EU132" i="33"/>
  <c r="EV131" i="33"/>
  <c r="EU131" i="33"/>
  <c r="EV130" i="33"/>
  <c r="EU130" i="33"/>
  <c r="EV129" i="33"/>
  <c r="EU129" i="33"/>
  <c r="EV128" i="33"/>
  <c r="EU128" i="33"/>
  <c r="EV127" i="33"/>
  <c r="EU127" i="33"/>
  <c r="EV126" i="33"/>
  <c r="EU126" i="33"/>
  <c r="EV125" i="33"/>
  <c r="EU125" i="33"/>
  <c r="EV124" i="33"/>
  <c r="EU124" i="33"/>
  <c r="EV123" i="33"/>
  <c r="EU123" i="33"/>
  <c r="EV122" i="33"/>
  <c r="EU122" i="33"/>
  <c r="EV121" i="33"/>
  <c r="EU121" i="33"/>
  <c r="EV120" i="33"/>
  <c r="EU120" i="33"/>
  <c r="EV119" i="33"/>
  <c r="EU119" i="33"/>
  <c r="EV118" i="33"/>
  <c r="EU118" i="33"/>
  <c r="EV117" i="33"/>
  <c r="EU117" i="33"/>
  <c r="EV116" i="33"/>
  <c r="EU116" i="33"/>
  <c r="EV115" i="33"/>
  <c r="EU115" i="33"/>
  <c r="EV114" i="33"/>
  <c r="EU114" i="33"/>
  <c r="EV113" i="33"/>
  <c r="EU113" i="33"/>
  <c r="EV112" i="33"/>
  <c r="EU112" i="33"/>
  <c r="EV111" i="33"/>
  <c r="EU111" i="33"/>
  <c r="EV110" i="33"/>
  <c r="EU110" i="33"/>
  <c r="EV109" i="33"/>
  <c r="EU109" i="33"/>
  <c r="EV108" i="33"/>
  <c r="EU108" i="33"/>
  <c r="EV107" i="33"/>
  <c r="EU107" i="33"/>
  <c r="EV106" i="33"/>
  <c r="EU106" i="33"/>
  <c r="EV105" i="33"/>
  <c r="EU105" i="33"/>
  <c r="EV104" i="33"/>
  <c r="EU104" i="33"/>
  <c r="EV103" i="33"/>
  <c r="EU103" i="33"/>
  <c r="EV102" i="33"/>
  <c r="EU102" i="33"/>
  <c r="EV101" i="33"/>
  <c r="EU101" i="33"/>
  <c r="EV100" i="33"/>
  <c r="EU100" i="33"/>
  <c r="EV99" i="33"/>
  <c r="EU99" i="33"/>
  <c r="EV98" i="33"/>
  <c r="EU98" i="33"/>
  <c r="EV97" i="33"/>
  <c r="EU97" i="33"/>
  <c r="EV96" i="33"/>
  <c r="EU96" i="33"/>
  <c r="EV95" i="33"/>
  <c r="EU95" i="33"/>
  <c r="EV94" i="33"/>
  <c r="EU94" i="33"/>
  <c r="EV93" i="33"/>
  <c r="EU93" i="33"/>
  <c r="EV92" i="33"/>
  <c r="EU92" i="33"/>
  <c r="EV91" i="33"/>
  <c r="EU91" i="33"/>
  <c r="EV90" i="33"/>
  <c r="EU90" i="33"/>
  <c r="EV89" i="33"/>
  <c r="EU89" i="33"/>
  <c r="EV88" i="33"/>
  <c r="EU88" i="33"/>
  <c r="EV87" i="33"/>
  <c r="EU87" i="33"/>
  <c r="EV86" i="33"/>
  <c r="EU86" i="33"/>
  <c r="EV85" i="33"/>
  <c r="EU85" i="33"/>
  <c r="EV84" i="33"/>
  <c r="EU84" i="33"/>
  <c r="EV83" i="33"/>
  <c r="EU83" i="33"/>
  <c r="EV82" i="33"/>
  <c r="EU82" i="33"/>
  <c r="EV81" i="33"/>
  <c r="EU81" i="33"/>
  <c r="EV80" i="33"/>
  <c r="EU80" i="33"/>
  <c r="EV79" i="33"/>
  <c r="EU79" i="33"/>
  <c r="EV78" i="33"/>
  <c r="EU78" i="33"/>
  <c r="EV77" i="33"/>
  <c r="EU77" i="33"/>
  <c r="EV76" i="33"/>
  <c r="EU76" i="33"/>
  <c r="EV75" i="33"/>
  <c r="EU75" i="33"/>
  <c r="EV74" i="33"/>
  <c r="EU74" i="33"/>
  <c r="EV73" i="33"/>
  <c r="EU73" i="33"/>
  <c r="EV72" i="33"/>
  <c r="EU72" i="33"/>
  <c r="EV71" i="33"/>
  <c r="EU71" i="33"/>
  <c r="EV70" i="33"/>
  <c r="EU70" i="33"/>
  <c r="EV69" i="33"/>
  <c r="EU69" i="33"/>
  <c r="EV68" i="33"/>
  <c r="EU68" i="33"/>
  <c r="EV67" i="33"/>
  <c r="EU67" i="33"/>
  <c r="EV66" i="33"/>
  <c r="EU66" i="33"/>
  <c r="EV65" i="33"/>
  <c r="EU65" i="33"/>
  <c r="EV64" i="33"/>
  <c r="EU64" i="33"/>
  <c r="EV63" i="33"/>
  <c r="EU63" i="33"/>
  <c r="EV62" i="33"/>
  <c r="EU62" i="33"/>
  <c r="EV61" i="33"/>
  <c r="EU61" i="33"/>
  <c r="EV60" i="33"/>
  <c r="EU60" i="33"/>
  <c r="EV59" i="33"/>
  <c r="EU59" i="33"/>
  <c r="EV58" i="33"/>
  <c r="EU58" i="33"/>
  <c r="EV57" i="33"/>
  <c r="EU57" i="33"/>
  <c r="EV56" i="33"/>
  <c r="EU56" i="33"/>
  <c r="EV55" i="33"/>
  <c r="EU55" i="33"/>
  <c r="EV54" i="33"/>
  <c r="EU54" i="33"/>
  <c r="EV53" i="33"/>
  <c r="EU53" i="33"/>
  <c r="EV52" i="33"/>
  <c r="EU52" i="33"/>
  <c r="EV51" i="33"/>
  <c r="EU51" i="33"/>
  <c r="EV50" i="33"/>
  <c r="EU50" i="33"/>
  <c r="EV49" i="33"/>
  <c r="EU49" i="33"/>
  <c r="EV48" i="33"/>
  <c r="EU48" i="33"/>
  <c r="EV47" i="33"/>
  <c r="EU47" i="33"/>
  <c r="EV46" i="33"/>
  <c r="EU46" i="33"/>
  <c r="EV45" i="33"/>
  <c r="EU45" i="33"/>
  <c r="EV44" i="33"/>
  <c r="EU44" i="33"/>
  <c r="EV43" i="33"/>
  <c r="EU43" i="33"/>
  <c r="EV42" i="33"/>
  <c r="EU42" i="33"/>
  <c r="EV41" i="33"/>
  <c r="EU41" i="33"/>
  <c r="EV40" i="33"/>
  <c r="EU40" i="33"/>
  <c r="EV39" i="33"/>
  <c r="EU39" i="33"/>
  <c r="EV38" i="33"/>
  <c r="EU38" i="33"/>
  <c r="EV37" i="33"/>
  <c r="EU37" i="33"/>
  <c r="EV36" i="33"/>
  <c r="EU36" i="33"/>
  <c r="EV35" i="33"/>
  <c r="EU35" i="33"/>
  <c r="EV34" i="33"/>
  <c r="EU34" i="33"/>
  <c r="EV33" i="33"/>
  <c r="EU33" i="33"/>
  <c r="EV32" i="33"/>
  <c r="EU32" i="33"/>
  <c r="EV31" i="33"/>
  <c r="EU31" i="33"/>
  <c r="EV30" i="33"/>
  <c r="EU30" i="33"/>
  <c r="EV29" i="33"/>
  <c r="EU29" i="33"/>
  <c r="EV28" i="33"/>
  <c r="EU28" i="33"/>
  <c r="EV27" i="33"/>
  <c r="EU27" i="33"/>
  <c r="EV26" i="33"/>
  <c r="EU26" i="33"/>
  <c r="EV25" i="33"/>
  <c r="EU25" i="33"/>
  <c r="EV24" i="33"/>
  <c r="EU24" i="33"/>
  <c r="EV23" i="33"/>
  <c r="EU23" i="33"/>
  <c r="EV22" i="33"/>
  <c r="EU22" i="33"/>
  <c r="EV21" i="33"/>
  <c r="EU21" i="33"/>
  <c r="EV20" i="33"/>
  <c r="EU20" i="33"/>
  <c r="EV19" i="33"/>
  <c r="EU19" i="33"/>
  <c r="EV18" i="33"/>
  <c r="EU18" i="33"/>
  <c r="EV17" i="33"/>
  <c r="EU17" i="33"/>
  <c r="EV16" i="33"/>
  <c r="EU16" i="33"/>
  <c r="EV15" i="33"/>
  <c r="EU15" i="33"/>
  <c r="EV14" i="33"/>
  <c r="EU14" i="33"/>
  <c r="EV13" i="33"/>
  <c r="EU13" i="33"/>
  <c r="EV12" i="33"/>
  <c r="EU12" i="33"/>
  <c r="EV11" i="33"/>
  <c r="EU11" i="33"/>
  <c r="EV10" i="33"/>
  <c r="EU10" i="33"/>
  <c r="EV9" i="33"/>
  <c r="EU9" i="33"/>
  <c r="ER11" i="33"/>
  <c r="EQ11" i="33"/>
  <c r="EP11" i="33"/>
  <c r="EO11" i="33"/>
  <c r="EN11" i="33"/>
  <c r="EM11" i="33"/>
  <c r="EL11" i="33"/>
  <c r="EK11" i="33"/>
  <c r="EJ11" i="33"/>
  <c r="ER10" i="33"/>
  <c r="EQ10" i="33"/>
  <c r="EP10" i="33"/>
  <c r="EO10" i="33"/>
  <c r="EN10" i="33"/>
  <c r="EM10" i="33"/>
  <c r="EL10" i="33"/>
  <c r="EK10" i="33"/>
  <c r="EJ10" i="33"/>
  <c r="ER9" i="33"/>
  <c r="EQ9" i="33"/>
  <c r="EP9" i="33"/>
  <c r="EO9" i="33"/>
  <c r="EN9" i="33"/>
  <c r="EM9" i="33"/>
  <c r="EL9" i="33"/>
  <c r="EK9" i="33"/>
  <c r="EJ9" i="33"/>
  <c r="ER8" i="33"/>
  <c r="EQ8" i="33"/>
  <c r="EP8" i="33"/>
  <c r="EO8" i="33"/>
  <c r="EN8" i="33"/>
  <c r="EM8" i="33"/>
  <c r="EL8" i="33"/>
  <c r="EK8" i="33"/>
  <c r="EJ8" i="33"/>
  <c r="ER7" i="33"/>
  <c r="EQ7" i="33"/>
  <c r="EP7" i="33"/>
  <c r="EO7" i="33"/>
  <c r="EN7" i="33"/>
  <c r="EM7" i="33"/>
  <c r="EL7" i="33"/>
  <c r="EK7" i="33"/>
  <c r="EJ7" i="33"/>
  <c r="ER6" i="33"/>
  <c r="EQ6" i="33"/>
  <c r="EP6" i="33"/>
  <c r="EO6" i="33"/>
  <c r="EN6" i="33"/>
  <c r="EM6" i="33"/>
  <c r="EL6" i="33"/>
  <c r="EK6" i="33"/>
  <c r="EJ6" i="33"/>
  <c r="ER5" i="33"/>
  <c r="EQ5" i="33"/>
  <c r="EP5" i="33"/>
  <c r="EO5" i="33"/>
  <c r="EN5" i="33"/>
  <c r="EM5" i="33"/>
  <c r="EL5" i="33"/>
  <c r="EK5" i="33"/>
  <c r="EJ5" i="33"/>
  <c r="ER4" i="33"/>
  <c r="EQ4" i="33"/>
  <c r="EP4" i="33"/>
  <c r="EO4" i="33"/>
  <c r="EN4" i="33"/>
  <c r="EM4" i="33"/>
  <c r="EL4" i="33"/>
  <c r="EK4" i="33"/>
  <c r="EJ4" i="33"/>
  <c r="EI201" i="33"/>
  <c r="EH201" i="33"/>
  <c r="EI200" i="33"/>
  <c r="EH200" i="33"/>
  <c r="EI199" i="33"/>
  <c r="EH199" i="33"/>
  <c r="EI198" i="33"/>
  <c r="EH198" i="33"/>
  <c r="EI197" i="33"/>
  <c r="EH197" i="33"/>
  <c r="EI196" i="33"/>
  <c r="EH196" i="33"/>
  <c r="EI195" i="33"/>
  <c r="EH195" i="33"/>
  <c r="EI194" i="33"/>
  <c r="EH194" i="33"/>
  <c r="EI193" i="33"/>
  <c r="EH193" i="33"/>
  <c r="EI192" i="33"/>
  <c r="EH192" i="33"/>
  <c r="EI191" i="33"/>
  <c r="EH191" i="33"/>
  <c r="EI190" i="33"/>
  <c r="EH190" i="33"/>
  <c r="EI189" i="33"/>
  <c r="EH189" i="33"/>
  <c r="EI188" i="33"/>
  <c r="EH188" i="33"/>
  <c r="EI187" i="33"/>
  <c r="EH187" i="33"/>
  <c r="EI186" i="33"/>
  <c r="EH186" i="33"/>
  <c r="EI185" i="33"/>
  <c r="EH185" i="33"/>
  <c r="EI184" i="33"/>
  <c r="EH184" i="33"/>
  <c r="EI183" i="33"/>
  <c r="EH183" i="33"/>
  <c r="EI182" i="33"/>
  <c r="EH182" i="33"/>
  <c r="EI181" i="33"/>
  <c r="EH181" i="33"/>
  <c r="EI180" i="33"/>
  <c r="EH180" i="33"/>
  <c r="EI179" i="33"/>
  <c r="EH179" i="33"/>
  <c r="EI178" i="33"/>
  <c r="EH178" i="33"/>
  <c r="EI177" i="33"/>
  <c r="EH177" i="33"/>
  <c r="EI176" i="33"/>
  <c r="EH176" i="33"/>
  <c r="EI175" i="33"/>
  <c r="EH175" i="33"/>
  <c r="EI174" i="33"/>
  <c r="EH174" i="33"/>
  <c r="EI173" i="33"/>
  <c r="EH173" i="33"/>
  <c r="EI172" i="33"/>
  <c r="EH172" i="33"/>
  <c r="EI171" i="33"/>
  <c r="EH171" i="33"/>
  <c r="EI170" i="33"/>
  <c r="EH170" i="33"/>
  <c r="EI169" i="33"/>
  <c r="EH169" i="33"/>
  <c r="EI168" i="33"/>
  <c r="EH168" i="33"/>
  <c r="EI167" i="33"/>
  <c r="EH167" i="33"/>
  <c r="EI166" i="33"/>
  <c r="EH166" i="33"/>
  <c r="EI165" i="33"/>
  <c r="EH165" i="33"/>
  <c r="EI164" i="33"/>
  <c r="EH164" i="33"/>
  <c r="EI163" i="33"/>
  <c r="EH163" i="33"/>
  <c r="EI162" i="33"/>
  <c r="EH162" i="33"/>
  <c r="EI161" i="33"/>
  <c r="EH161" i="33"/>
  <c r="EI160" i="33"/>
  <c r="EH160" i="33"/>
  <c r="EI159" i="33"/>
  <c r="EH159" i="33"/>
  <c r="EI158" i="33"/>
  <c r="EH158" i="33"/>
  <c r="EI157" i="33"/>
  <c r="EH157" i="33"/>
  <c r="EI156" i="33"/>
  <c r="EH156" i="33"/>
  <c r="EI155" i="33"/>
  <c r="EH155" i="33"/>
  <c r="EI154" i="33"/>
  <c r="EH154" i="33"/>
  <c r="EI153" i="33"/>
  <c r="EH153" i="33"/>
  <c r="EI152" i="33"/>
  <c r="EH152" i="33"/>
  <c r="EI151" i="33"/>
  <c r="EH151" i="33"/>
  <c r="EI150" i="33"/>
  <c r="EH150" i="33"/>
  <c r="EI149" i="33"/>
  <c r="EH149" i="33"/>
  <c r="EI148" i="33"/>
  <c r="EH148" i="33"/>
  <c r="EI147" i="33"/>
  <c r="EH147" i="33"/>
  <c r="EI146" i="33"/>
  <c r="EH146" i="33"/>
  <c r="EI145" i="33"/>
  <c r="EH145" i="33"/>
  <c r="EI144" i="33"/>
  <c r="EH144" i="33"/>
  <c r="EI143" i="33"/>
  <c r="EH143" i="33"/>
  <c r="EI142" i="33"/>
  <c r="EH142" i="33"/>
  <c r="EI141" i="33"/>
  <c r="EH141" i="33"/>
  <c r="EI140" i="33"/>
  <c r="EH140" i="33"/>
  <c r="EI139" i="33"/>
  <c r="EH139" i="33"/>
  <c r="EI138" i="33"/>
  <c r="EH138" i="33"/>
  <c r="EI137" i="33"/>
  <c r="EH137" i="33"/>
  <c r="EI136" i="33"/>
  <c r="EH136" i="33"/>
  <c r="EI135" i="33"/>
  <c r="EH135" i="33"/>
  <c r="EI134" i="33"/>
  <c r="EH134" i="33"/>
  <c r="EI133" i="33"/>
  <c r="EH133" i="33"/>
  <c r="EI132" i="33"/>
  <c r="EH132" i="33"/>
  <c r="EI131" i="33"/>
  <c r="EH131" i="33"/>
  <c r="EI130" i="33"/>
  <c r="EH130" i="33"/>
  <c r="EI129" i="33"/>
  <c r="EH129" i="33"/>
  <c r="EI128" i="33"/>
  <c r="EH128" i="33"/>
  <c r="EI127" i="33"/>
  <c r="EH127" i="33"/>
  <c r="EI126" i="33"/>
  <c r="EH126" i="33"/>
  <c r="EI125" i="33"/>
  <c r="EH125" i="33"/>
  <c r="EI124" i="33"/>
  <c r="EH124" i="33"/>
  <c r="EI123" i="33"/>
  <c r="EH123" i="33"/>
  <c r="EI122" i="33"/>
  <c r="EH122" i="33"/>
  <c r="EI121" i="33"/>
  <c r="EH121" i="33"/>
  <c r="EI120" i="33"/>
  <c r="EH120" i="33"/>
  <c r="EI119" i="33"/>
  <c r="EH119" i="33"/>
  <c r="EI118" i="33"/>
  <c r="EH118" i="33"/>
  <c r="EI117" i="33"/>
  <c r="EH117" i="33"/>
  <c r="EI116" i="33"/>
  <c r="EH116" i="33"/>
  <c r="EI115" i="33"/>
  <c r="EH115" i="33"/>
  <c r="EI114" i="33"/>
  <c r="EH114" i="33"/>
  <c r="EI113" i="33"/>
  <c r="EH113" i="33"/>
  <c r="EI112" i="33"/>
  <c r="EH112" i="33"/>
  <c r="EI111" i="33"/>
  <c r="EH111" i="33"/>
  <c r="EI110" i="33"/>
  <c r="EH110" i="33"/>
  <c r="EI109" i="33"/>
  <c r="EH109" i="33"/>
  <c r="EI108" i="33"/>
  <c r="EH108" i="33"/>
  <c r="EI107" i="33"/>
  <c r="EH107" i="33"/>
  <c r="EI106" i="33"/>
  <c r="EH106" i="33"/>
  <c r="EI105" i="33"/>
  <c r="EH105" i="33"/>
  <c r="EI104" i="33"/>
  <c r="EH104" i="33"/>
  <c r="EI103" i="33"/>
  <c r="EH103" i="33"/>
  <c r="EI102" i="33"/>
  <c r="EH102" i="33"/>
  <c r="EI101" i="33"/>
  <c r="EH101" i="33"/>
  <c r="EI100" i="33"/>
  <c r="EH100" i="33"/>
  <c r="EI99" i="33"/>
  <c r="EH99" i="33"/>
  <c r="EI98" i="33"/>
  <c r="EH98" i="33"/>
  <c r="EI97" i="33"/>
  <c r="EH97" i="33"/>
  <c r="EI96" i="33"/>
  <c r="EH96" i="33"/>
  <c r="EI95" i="33"/>
  <c r="EH95" i="33"/>
  <c r="EI94" i="33"/>
  <c r="EH94" i="33"/>
  <c r="EI93" i="33"/>
  <c r="EH93" i="33"/>
  <c r="EI92" i="33"/>
  <c r="EH92" i="33"/>
  <c r="EI91" i="33"/>
  <c r="EH91" i="33"/>
  <c r="EI90" i="33"/>
  <c r="EH90" i="33"/>
  <c r="EI89" i="33"/>
  <c r="EH89" i="33"/>
  <c r="EI88" i="33"/>
  <c r="EH88" i="33"/>
  <c r="EI87" i="33"/>
  <c r="EH87" i="33"/>
  <c r="EI86" i="33"/>
  <c r="EH86" i="33"/>
  <c r="EI85" i="33"/>
  <c r="EH85" i="33"/>
  <c r="EI84" i="33"/>
  <c r="EH84" i="33"/>
  <c r="EI83" i="33"/>
  <c r="EH83" i="33"/>
  <c r="EI82" i="33"/>
  <c r="EH82" i="33"/>
  <c r="EI81" i="33"/>
  <c r="EH81" i="33"/>
  <c r="EI80" i="33"/>
  <c r="EH80" i="33"/>
  <c r="EI79" i="33"/>
  <c r="EH79" i="33"/>
  <c r="EI78" i="33"/>
  <c r="EH78" i="33"/>
  <c r="EI77" i="33"/>
  <c r="EH77" i="33"/>
  <c r="EI76" i="33"/>
  <c r="EH76" i="33"/>
  <c r="EI75" i="33"/>
  <c r="EH75" i="33"/>
  <c r="EI74" i="33"/>
  <c r="EH74" i="33"/>
  <c r="EI73" i="33"/>
  <c r="EH73" i="33"/>
  <c r="EI72" i="33"/>
  <c r="EH72" i="33"/>
  <c r="EI71" i="33"/>
  <c r="EH71" i="33"/>
  <c r="EI70" i="33"/>
  <c r="EH70" i="33"/>
  <c r="EI69" i="33"/>
  <c r="EH69" i="33"/>
  <c r="EI68" i="33"/>
  <c r="EH68" i="33"/>
  <c r="EI67" i="33"/>
  <c r="EH67" i="33"/>
  <c r="EI66" i="33"/>
  <c r="EH66" i="33"/>
  <c r="EI65" i="33"/>
  <c r="EH65" i="33"/>
  <c r="EI64" i="33"/>
  <c r="EH64" i="33"/>
  <c r="EI63" i="33"/>
  <c r="EH63" i="33"/>
  <c r="EI62" i="33"/>
  <c r="EH62" i="33"/>
  <c r="EI61" i="33"/>
  <c r="EH61" i="33"/>
  <c r="EI60" i="33"/>
  <c r="EH60" i="33"/>
  <c r="EI59" i="33"/>
  <c r="EH59" i="33"/>
  <c r="EI58" i="33"/>
  <c r="EH58" i="33"/>
  <c r="EI57" i="33"/>
  <c r="EH57" i="33"/>
  <c r="EI56" i="33"/>
  <c r="EH56" i="33"/>
  <c r="EI55" i="33"/>
  <c r="EH55" i="33"/>
  <c r="EI54" i="33"/>
  <c r="EH54" i="33"/>
  <c r="EI53" i="33"/>
  <c r="EH53" i="33"/>
  <c r="EI52" i="33"/>
  <c r="EH52" i="33"/>
  <c r="EI51" i="33"/>
  <c r="EH51" i="33"/>
  <c r="EI50" i="33"/>
  <c r="EH50" i="33"/>
  <c r="EI49" i="33"/>
  <c r="EH49" i="33"/>
  <c r="EI48" i="33"/>
  <c r="EH48" i="33"/>
  <c r="EI47" i="33"/>
  <c r="EH47" i="33"/>
  <c r="EI46" i="33"/>
  <c r="EH46" i="33"/>
  <c r="EI45" i="33"/>
  <c r="EH45" i="33"/>
  <c r="EI44" i="33"/>
  <c r="EH44" i="33"/>
  <c r="EI43" i="33"/>
  <c r="EH43" i="33"/>
  <c r="EI42" i="33"/>
  <c r="EH42" i="33"/>
  <c r="EI41" i="33"/>
  <c r="EH41" i="33"/>
  <c r="EI40" i="33"/>
  <c r="EH40" i="33"/>
  <c r="EI39" i="33"/>
  <c r="EH39" i="33"/>
  <c r="EI38" i="33"/>
  <c r="EH38" i="33"/>
  <c r="EI37" i="33"/>
  <c r="EH37" i="33"/>
  <c r="EI36" i="33"/>
  <c r="EH36" i="33"/>
  <c r="EI35" i="33"/>
  <c r="EH35" i="33"/>
  <c r="EI34" i="33"/>
  <c r="EH34" i="33"/>
  <c r="EI33" i="33"/>
  <c r="EH33" i="33"/>
  <c r="EI32" i="33"/>
  <c r="EH32" i="33"/>
  <c r="EI31" i="33"/>
  <c r="EH31" i="33"/>
  <c r="EI30" i="33"/>
  <c r="EH30" i="33"/>
  <c r="EI29" i="33"/>
  <c r="EH29" i="33"/>
  <c r="EI28" i="33"/>
  <c r="EH28" i="33"/>
  <c r="EI27" i="33"/>
  <c r="EH27" i="33"/>
  <c r="EI26" i="33"/>
  <c r="EH26" i="33"/>
  <c r="EI25" i="33"/>
  <c r="EH25" i="33"/>
  <c r="EI24" i="33"/>
  <c r="EH24" i="33"/>
  <c r="EI23" i="33"/>
  <c r="EH23" i="33"/>
  <c r="EI22" i="33"/>
  <c r="EH22" i="33"/>
  <c r="EI21" i="33"/>
  <c r="EH21" i="33"/>
  <c r="EI20" i="33"/>
  <c r="EH20" i="33"/>
  <c r="EI19" i="33"/>
  <c r="EH19" i="33"/>
  <c r="EI18" i="33"/>
  <c r="EH18" i="33"/>
  <c r="EI17" i="33"/>
  <c r="EH17" i="33"/>
  <c r="EI16" i="33"/>
  <c r="EH16" i="33"/>
  <c r="EI15" i="33"/>
  <c r="EH15" i="33"/>
  <c r="EI14" i="33"/>
  <c r="EH14" i="33"/>
  <c r="EI13" i="33"/>
  <c r="EH13" i="33"/>
  <c r="EI12" i="33"/>
  <c r="EH12" i="33"/>
  <c r="EI11" i="33"/>
  <c r="EH11" i="33"/>
  <c r="EI10" i="33"/>
  <c r="EH10" i="33"/>
  <c r="EI9" i="33"/>
  <c r="EH9" i="33"/>
  <c r="DQ201" i="33"/>
  <c r="DP201" i="33"/>
  <c r="DQ200" i="33"/>
  <c r="DP200" i="33"/>
  <c r="DQ199" i="33"/>
  <c r="DP199" i="33"/>
  <c r="DQ198" i="33"/>
  <c r="DP198" i="33"/>
  <c r="DQ197" i="33"/>
  <c r="DP197" i="33"/>
  <c r="DQ196" i="33"/>
  <c r="DP196" i="33"/>
  <c r="DQ195" i="33"/>
  <c r="DP195" i="33"/>
  <c r="DQ194" i="33"/>
  <c r="DP194" i="33"/>
  <c r="DQ193" i="33"/>
  <c r="DP193" i="33"/>
  <c r="DQ192" i="33"/>
  <c r="DP192" i="33"/>
  <c r="DQ191" i="33"/>
  <c r="DP191" i="33"/>
  <c r="DQ190" i="33"/>
  <c r="DP190" i="33"/>
  <c r="DQ189" i="33"/>
  <c r="DP189" i="33"/>
  <c r="DQ188" i="33"/>
  <c r="DP188" i="33"/>
  <c r="DQ187" i="33"/>
  <c r="DP187" i="33"/>
  <c r="DQ186" i="33"/>
  <c r="DP186" i="33"/>
  <c r="DQ185" i="33"/>
  <c r="DP185" i="33"/>
  <c r="DQ184" i="33"/>
  <c r="DP184" i="33"/>
  <c r="DQ183" i="33"/>
  <c r="DP183" i="33"/>
  <c r="DQ182" i="33"/>
  <c r="DP182" i="33"/>
  <c r="DQ181" i="33"/>
  <c r="DP181" i="33"/>
  <c r="DQ180" i="33"/>
  <c r="DP180" i="33"/>
  <c r="DQ179" i="33"/>
  <c r="DP179" i="33"/>
  <c r="DQ178" i="33"/>
  <c r="DP178" i="33"/>
  <c r="DQ177" i="33"/>
  <c r="DP177" i="33"/>
  <c r="DQ176" i="33"/>
  <c r="DP176" i="33"/>
  <c r="DQ175" i="33"/>
  <c r="DP175" i="33"/>
  <c r="DQ174" i="33"/>
  <c r="DP174" i="33"/>
  <c r="DQ173" i="33"/>
  <c r="DP173" i="33"/>
  <c r="DQ172" i="33"/>
  <c r="DP172" i="33"/>
  <c r="DQ171" i="33"/>
  <c r="DP171" i="33"/>
  <c r="DQ170" i="33"/>
  <c r="DP170" i="33"/>
  <c r="DQ169" i="33"/>
  <c r="DP169" i="33"/>
  <c r="DQ168" i="33"/>
  <c r="DP168" i="33"/>
  <c r="DQ167" i="33"/>
  <c r="DP167" i="33"/>
  <c r="DQ166" i="33"/>
  <c r="DP166" i="33"/>
  <c r="DQ165" i="33"/>
  <c r="DP165" i="33"/>
  <c r="DQ164" i="33"/>
  <c r="DP164" i="33"/>
  <c r="DQ163" i="33"/>
  <c r="DP163" i="33"/>
  <c r="DQ162" i="33"/>
  <c r="DP162" i="33"/>
  <c r="DQ161" i="33"/>
  <c r="DP161" i="33"/>
  <c r="DQ160" i="33"/>
  <c r="DP160" i="33"/>
  <c r="DQ159" i="33"/>
  <c r="DP159" i="33"/>
  <c r="DQ158" i="33"/>
  <c r="DP158" i="33"/>
  <c r="DQ157" i="33"/>
  <c r="DP157" i="33"/>
  <c r="DQ156" i="33"/>
  <c r="DP156" i="33"/>
  <c r="DQ155" i="33"/>
  <c r="DP155" i="33"/>
  <c r="DQ154" i="33"/>
  <c r="DP154" i="33"/>
  <c r="DQ153" i="33"/>
  <c r="DP153" i="33"/>
  <c r="DQ152" i="33"/>
  <c r="DP152" i="33"/>
  <c r="DQ151" i="33"/>
  <c r="DP151" i="33"/>
  <c r="DQ150" i="33"/>
  <c r="DP150" i="33"/>
  <c r="DQ149" i="33"/>
  <c r="DP149" i="33"/>
  <c r="DQ148" i="33"/>
  <c r="DP148" i="33"/>
  <c r="DQ147" i="33"/>
  <c r="DP147" i="33"/>
  <c r="DQ146" i="33"/>
  <c r="DP146" i="33"/>
  <c r="DQ145" i="33"/>
  <c r="DP145" i="33"/>
  <c r="DQ144" i="33"/>
  <c r="DP144" i="33"/>
  <c r="DQ143" i="33"/>
  <c r="DP143" i="33"/>
  <c r="DQ142" i="33"/>
  <c r="DP142" i="33"/>
  <c r="DQ141" i="33"/>
  <c r="DP141" i="33"/>
  <c r="DQ140" i="33"/>
  <c r="DP140" i="33"/>
  <c r="DQ139" i="33"/>
  <c r="DP139" i="33"/>
  <c r="DQ138" i="33"/>
  <c r="DP138" i="33"/>
  <c r="DQ137" i="33"/>
  <c r="DP137" i="33"/>
  <c r="DQ136" i="33"/>
  <c r="DP136" i="33"/>
  <c r="DQ135" i="33"/>
  <c r="DP135" i="33"/>
  <c r="DQ134" i="33"/>
  <c r="DP134" i="33"/>
  <c r="DQ133" i="33"/>
  <c r="DP133" i="33"/>
  <c r="DQ132" i="33"/>
  <c r="DP132" i="33"/>
  <c r="DQ131" i="33"/>
  <c r="DP131" i="33"/>
  <c r="DQ130" i="33"/>
  <c r="DP130" i="33"/>
  <c r="DQ129" i="33"/>
  <c r="DP129" i="33"/>
  <c r="DQ128" i="33"/>
  <c r="DP128" i="33"/>
  <c r="DQ127" i="33"/>
  <c r="DP127" i="33"/>
  <c r="DQ126" i="33"/>
  <c r="DP126" i="33"/>
  <c r="DQ125" i="33"/>
  <c r="DP125" i="33"/>
  <c r="DQ124" i="33"/>
  <c r="DP124" i="33"/>
  <c r="DQ123" i="33"/>
  <c r="DP123" i="33"/>
  <c r="DQ122" i="33"/>
  <c r="DP122" i="33"/>
  <c r="DQ121" i="33"/>
  <c r="DP121" i="33"/>
  <c r="DQ120" i="33"/>
  <c r="DP120" i="33"/>
  <c r="DQ119" i="33"/>
  <c r="DP119" i="33"/>
  <c r="DQ118" i="33"/>
  <c r="DP118" i="33"/>
  <c r="DQ117" i="33"/>
  <c r="DP117" i="33"/>
  <c r="DQ116" i="33"/>
  <c r="DP116" i="33"/>
  <c r="DQ115" i="33"/>
  <c r="DP115" i="33"/>
  <c r="DQ114" i="33"/>
  <c r="DP114" i="33"/>
  <c r="DQ113" i="33"/>
  <c r="DP113" i="33"/>
  <c r="DQ112" i="33"/>
  <c r="DP112" i="33"/>
  <c r="DQ111" i="33"/>
  <c r="DP111" i="33"/>
  <c r="DQ110" i="33"/>
  <c r="DP110" i="33"/>
  <c r="DQ109" i="33"/>
  <c r="DP109" i="33"/>
  <c r="DQ108" i="33"/>
  <c r="DP108" i="33"/>
  <c r="DQ107" i="33"/>
  <c r="DP107" i="33"/>
  <c r="DQ106" i="33"/>
  <c r="DP106" i="33"/>
  <c r="DQ105" i="33"/>
  <c r="DP105" i="33"/>
  <c r="DQ104" i="33"/>
  <c r="DP104" i="33"/>
  <c r="DQ103" i="33"/>
  <c r="DP103" i="33"/>
  <c r="DQ102" i="33"/>
  <c r="DP102" i="33"/>
  <c r="DQ101" i="33"/>
  <c r="DP101" i="33"/>
  <c r="DQ100" i="33"/>
  <c r="DP100" i="33"/>
  <c r="DQ99" i="33"/>
  <c r="DP99" i="33"/>
  <c r="DQ98" i="33"/>
  <c r="DP98" i="33"/>
  <c r="DQ97" i="33"/>
  <c r="DP97" i="33"/>
  <c r="DQ96" i="33"/>
  <c r="DP96" i="33"/>
  <c r="DQ95" i="33"/>
  <c r="DP95" i="33"/>
  <c r="DQ94" i="33"/>
  <c r="DP94" i="33"/>
  <c r="DQ93" i="33"/>
  <c r="DP93" i="33"/>
  <c r="DQ92" i="33"/>
  <c r="DP92" i="33"/>
  <c r="DQ91" i="33"/>
  <c r="DP91" i="33"/>
  <c r="DQ90" i="33"/>
  <c r="DP90" i="33"/>
  <c r="DQ89" i="33"/>
  <c r="DP89" i="33"/>
  <c r="DQ88" i="33"/>
  <c r="DP88" i="33"/>
  <c r="DQ87" i="33"/>
  <c r="DP87" i="33"/>
  <c r="DQ86" i="33"/>
  <c r="DP86" i="33"/>
  <c r="DQ85" i="33"/>
  <c r="DP85" i="33"/>
  <c r="DQ84" i="33"/>
  <c r="DP84" i="33"/>
  <c r="DQ83" i="33"/>
  <c r="DP83" i="33"/>
  <c r="DQ82" i="33"/>
  <c r="DP82" i="33"/>
  <c r="DQ81" i="33"/>
  <c r="DP81" i="33"/>
  <c r="DQ80" i="33"/>
  <c r="DP80" i="33"/>
  <c r="DQ79" i="33"/>
  <c r="DP79" i="33"/>
  <c r="DQ78" i="33"/>
  <c r="DP78" i="33"/>
  <c r="DQ77" i="33"/>
  <c r="DP77" i="33"/>
  <c r="DQ76" i="33"/>
  <c r="DP76" i="33"/>
  <c r="DQ75" i="33"/>
  <c r="DP75" i="33"/>
  <c r="DQ74" i="33"/>
  <c r="DP74" i="33"/>
  <c r="DQ73" i="33"/>
  <c r="DP73" i="33"/>
  <c r="DQ72" i="33"/>
  <c r="DP72" i="33"/>
  <c r="DQ71" i="33"/>
  <c r="DP71" i="33"/>
  <c r="DQ70" i="33"/>
  <c r="DP70" i="33"/>
  <c r="DQ69" i="33"/>
  <c r="DP69" i="33"/>
  <c r="DQ68" i="33"/>
  <c r="DP68" i="33"/>
  <c r="DQ67" i="33"/>
  <c r="DP67" i="33"/>
  <c r="DQ66" i="33"/>
  <c r="DP66" i="33"/>
  <c r="DQ65" i="33"/>
  <c r="DP65" i="33"/>
  <c r="DQ64" i="33"/>
  <c r="DP64" i="33"/>
  <c r="DQ63" i="33"/>
  <c r="DP63" i="33"/>
  <c r="DQ62" i="33"/>
  <c r="DP62" i="33"/>
  <c r="DQ61" i="33"/>
  <c r="DP61" i="33"/>
  <c r="DQ60" i="33"/>
  <c r="DP60" i="33"/>
  <c r="DQ59" i="33"/>
  <c r="DP59" i="33"/>
  <c r="DQ58" i="33"/>
  <c r="DP58" i="33"/>
  <c r="DQ57" i="33"/>
  <c r="DP57" i="33"/>
  <c r="DQ56" i="33"/>
  <c r="DP56" i="33"/>
  <c r="DQ55" i="33"/>
  <c r="DP55" i="33"/>
  <c r="DQ54" i="33"/>
  <c r="DP54" i="33"/>
  <c r="DQ53" i="33"/>
  <c r="DP53" i="33"/>
  <c r="DQ52" i="33"/>
  <c r="DP52" i="33"/>
  <c r="DQ51" i="33"/>
  <c r="DP51" i="33"/>
  <c r="DQ50" i="33"/>
  <c r="DP50" i="33"/>
  <c r="DQ49" i="33"/>
  <c r="DP49" i="33"/>
  <c r="DQ48" i="33"/>
  <c r="DP48" i="33"/>
  <c r="DQ47" i="33"/>
  <c r="DP47" i="33"/>
  <c r="DQ46" i="33"/>
  <c r="DP46" i="33"/>
  <c r="DQ45" i="33"/>
  <c r="DP45" i="33"/>
  <c r="DQ44" i="33"/>
  <c r="DP44" i="33"/>
  <c r="DQ43" i="33"/>
  <c r="DP43" i="33"/>
  <c r="DQ42" i="33"/>
  <c r="DP42" i="33"/>
  <c r="DQ41" i="33"/>
  <c r="DP41" i="33"/>
  <c r="DQ40" i="33"/>
  <c r="DP40" i="33"/>
  <c r="DQ39" i="33"/>
  <c r="DP39" i="33"/>
  <c r="DQ38" i="33"/>
  <c r="DP38" i="33"/>
  <c r="DQ37" i="33"/>
  <c r="DP37" i="33"/>
  <c r="DQ36" i="33"/>
  <c r="DP36" i="33"/>
  <c r="DQ35" i="33"/>
  <c r="DP35" i="33"/>
  <c r="DQ34" i="33"/>
  <c r="DP34" i="33"/>
  <c r="DQ33" i="33"/>
  <c r="DP33" i="33"/>
  <c r="DQ32" i="33"/>
  <c r="DP32" i="33"/>
  <c r="DQ31" i="33"/>
  <c r="DP31" i="33"/>
  <c r="DQ30" i="33"/>
  <c r="DP30" i="33"/>
  <c r="DQ29" i="33"/>
  <c r="DP29" i="33"/>
  <c r="DQ28" i="33"/>
  <c r="DP28" i="33"/>
  <c r="DQ27" i="33"/>
  <c r="DP27" i="33"/>
  <c r="DQ26" i="33"/>
  <c r="DP26" i="33"/>
  <c r="DQ25" i="33"/>
  <c r="DP25" i="33"/>
  <c r="DQ24" i="33"/>
  <c r="DP24" i="33"/>
  <c r="DQ23" i="33"/>
  <c r="DP23" i="33"/>
  <c r="DQ22" i="33"/>
  <c r="DP22" i="33"/>
  <c r="DQ21" i="33"/>
  <c r="DP21" i="33"/>
  <c r="DQ20" i="33"/>
  <c r="DP20" i="33"/>
  <c r="DQ19" i="33"/>
  <c r="DP19" i="33"/>
  <c r="DQ18" i="33"/>
  <c r="DP18" i="33"/>
  <c r="DQ17" i="33"/>
  <c r="DP17" i="33"/>
  <c r="DQ16" i="33"/>
  <c r="DP16" i="33"/>
  <c r="DQ15" i="33"/>
  <c r="DP15" i="33"/>
  <c r="DQ14" i="33"/>
  <c r="DP14" i="33"/>
  <c r="DQ13" i="33"/>
  <c r="DP13" i="33"/>
  <c r="DQ12" i="33"/>
  <c r="DP12" i="33"/>
  <c r="DQ11" i="33"/>
  <c r="DP11" i="33"/>
  <c r="DQ10" i="33"/>
  <c r="DP10" i="33"/>
  <c r="DQ9" i="33"/>
  <c r="DP9" i="33"/>
  <c r="DN13" i="33"/>
  <c r="DM13" i="33"/>
  <c r="DL13" i="33"/>
  <c r="DK13" i="33"/>
  <c r="DJ13" i="33"/>
  <c r="DI13" i="33"/>
  <c r="DH13" i="33"/>
  <c r="DG13" i="33"/>
  <c r="DF13" i="33"/>
  <c r="DN12" i="33"/>
  <c r="DM12" i="33"/>
  <c r="DL12" i="33"/>
  <c r="DK12" i="33"/>
  <c r="DJ12" i="33"/>
  <c r="DI12" i="33"/>
  <c r="DH12" i="33"/>
  <c r="DG12" i="33"/>
  <c r="DF12" i="33"/>
  <c r="DN11" i="33"/>
  <c r="DM11" i="33"/>
  <c r="DL11" i="33"/>
  <c r="DK11" i="33"/>
  <c r="DJ11" i="33"/>
  <c r="DI11" i="33"/>
  <c r="DH11" i="33"/>
  <c r="DG11" i="33"/>
  <c r="DF11" i="33"/>
  <c r="DN10" i="33"/>
  <c r="DM10" i="33"/>
  <c r="DL10" i="33"/>
  <c r="DK10" i="33"/>
  <c r="DJ10" i="33"/>
  <c r="DI10" i="33"/>
  <c r="DH10" i="33"/>
  <c r="DG10" i="33"/>
  <c r="DF10" i="33"/>
  <c r="DN9" i="33"/>
  <c r="DM9" i="33"/>
  <c r="DL9" i="33"/>
  <c r="DK9" i="33"/>
  <c r="DJ9" i="33"/>
  <c r="DI9" i="33"/>
  <c r="DH9" i="33"/>
  <c r="DG9" i="33"/>
  <c r="DF9" i="33"/>
  <c r="DN8" i="33"/>
  <c r="DM8" i="33"/>
  <c r="DL8" i="33"/>
  <c r="DK8" i="33"/>
  <c r="DJ8" i="33"/>
  <c r="DI8" i="33"/>
  <c r="DH8" i="33"/>
  <c r="DG8" i="33"/>
  <c r="DF8" i="33"/>
  <c r="DN7" i="33"/>
  <c r="DM7" i="33"/>
  <c r="DL7" i="33"/>
  <c r="DK7" i="33"/>
  <c r="DJ7" i="33"/>
  <c r="DI7" i="33"/>
  <c r="DH7" i="33"/>
  <c r="DG7" i="33"/>
  <c r="DF7" i="33"/>
  <c r="DN6" i="33"/>
  <c r="DM6" i="33"/>
  <c r="DL6" i="33"/>
  <c r="DK6" i="33"/>
  <c r="DJ6" i="33"/>
  <c r="DI6" i="33"/>
  <c r="DH6" i="33"/>
  <c r="DG6" i="33"/>
  <c r="DF6" i="33"/>
  <c r="DN5" i="33"/>
  <c r="DM5" i="33"/>
  <c r="DL5" i="33"/>
  <c r="DK5" i="33"/>
  <c r="DJ5" i="33"/>
  <c r="DI5" i="33"/>
  <c r="DH5" i="33"/>
  <c r="DG5" i="33"/>
  <c r="DF5" i="33"/>
  <c r="DN4" i="33"/>
  <c r="DM4" i="33"/>
  <c r="DL4" i="33"/>
  <c r="DK4" i="33"/>
  <c r="DJ4" i="33"/>
  <c r="DI4" i="33"/>
  <c r="DH4" i="33"/>
  <c r="DG4" i="33"/>
  <c r="DF4" i="33"/>
  <c r="DD201" i="33"/>
  <c r="DD200" i="33"/>
  <c r="DD199" i="33"/>
  <c r="DD198" i="33"/>
  <c r="DD197" i="33"/>
  <c r="DD196" i="33"/>
  <c r="DD195" i="33"/>
  <c r="DD194" i="33"/>
  <c r="DD193" i="33"/>
  <c r="DD192" i="33"/>
  <c r="DD191" i="33"/>
  <c r="DD190" i="33"/>
  <c r="DD189" i="33"/>
  <c r="DD188" i="33"/>
  <c r="DD187" i="33"/>
  <c r="DD186" i="33"/>
  <c r="DD185" i="33"/>
  <c r="DD184" i="33"/>
  <c r="DD183" i="33"/>
  <c r="DD182" i="33"/>
  <c r="DD181" i="33"/>
  <c r="DD180" i="33"/>
  <c r="DD179" i="33"/>
  <c r="DD178" i="33"/>
  <c r="DD177" i="33"/>
  <c r="DD176" i="33"/>
  <c r="DD175" i="33"/>
  <c r="DD174" i="33"/>
  <c r="DD173" i="33"/>
  <c r="DD172" i="33"/>
  <c r="DD171" i="33"/>
  <c r="DD170" i="33"/>
  <c r="DD169" i="33"/>
  <c r="DD168" i="33"/>
  <c r="DD167" i="33"/>
  <c r="DD166" i="33"/>
  <c r="DD165" i="33"/>
  <c r="DD164" i="33"/>
  <c r="DD163" i="33"/>
  <c r="DD162" i="33"/>
  <c r="DD161" i="33"/>
  <c r="DD160" i="33"/>
  <c r="DD159" i="33"/>
  <c r="DD158" i="33"/>
  <c r="DD157" i="33"/>
  <c r="DD156" i="33"/>
  <c r="DD155" i="33"/>
  <c r="DD154" i="33"/>
  <c r="DD153" i="33"/>
  <c r="DD152" i="33"/>
  <c r="DD151" i="33"/>
  <c r="DD150" i="33"/>
  <c r="DD149" i="33"/>
  <c r="DD148" i="33"/>
  <c r="DD147" i="33"/>
  <c r="DD146" i="33"/>
  <c r="DD145" i="33"/>
  <c r="DD144" i="33"/>
  <c r="DD143" i="33"/>
  <c r="DD142" i="33"/>
  <c r="DD141" i="33"/>
  <c r="DD140" i="33"/>
  <c r="DD139" i="33"/>
  <c r="DD138" i="33"/>
  <c r="DD137" i="33"/>
  <c r="DD136" i="33"/>
  <c r="DD135" i="33"/>
  <c r="DD134" i="33"/>
  <c r="DD133" i="33"/>
  <c r="DD132" i="33"/>
  <c r="DD131" i="33"/>
  <c r="DD130" i="33"/>
  <c r="DD129" i="33"/>
  <c r="DD128" i="33"/>
  <c r="DD127" i="33"/>
  <c r="DD126" i="33"/>
  <c r="DD125" i="33"/>
  <c r="DD124" i="33"/>
  <c r="DD123" i="33"/>
  <c r="DD122" i="33"/>
  <c r="DD121" i="33"/>
  <c r="DD120" i="33"/>
  <c r="DD119" i="33"/>
  <c r="DD118" i="33"/>
  <c r="DD117" i="33"/>
  <c r="DD116" i="33"/>
  <c r="DD115" i="33"/>
  <c r="DD114" i="33"/>
  <c r="DD113" i="33"/>
  <c r="DD112" i="33"/>
  <c r="DD111" i="33"/>
  <c r="DD110" i="33"/>
  <c r="DD109" i="33"/>
  <c r="DD108" i="33"/>
  <c r="DD107" i="33"/>
  <c r="DD106" i="33"/>
  <c r="DD105" i="33"/>
  <c r="DD104" i="33"/>
  <c r="DD103" i="33"/>
  <c r="DD102" i="33"/>
  <c r="DD101" i="33"/>
  <c r="DD100" i="33"/>
  <c r="DD99" i="33"/>
  <c r="DD98" i="33"/>
  <c r="DD97" i="33"/>
  <c r="DD96" i="33"/>
  <c r="DD95" i="33"/>
  <c r="DD94" i="33"/>
  <c r="DD93" i="33"/>
  <c r="DD92" i="33"/>
  <c r="DD91" i="33"/>
  <c r="DD90" i="33"/>
  <c r="DD89" i="33"/>
  <c r="DD88" i="33"/>
  <c r="DD87" i="33"/>
  <c r="DD86" i="33"/>
  <c r="DD85" i="33"/>
  <c r="DD84" i="33"/>
  <c r="DD83" i="33"/>
  <c r="DD82" i="33"/>
  <c r="DD81" i="33"/>
  <c r="DD80" i="33"/>
  <c r="DD79" i="33"/>
  <c r="DD78" i="33"/>
  <c r="DD77" i="33"/>
  <c r="DD76" i="33"/>
  <c r="DD75" i="33"/>
  <c r="DD74" i="33"/>
  <c r="DD73" i="33"/>
  <c r="DD72" i="33"/>
  <c r="DD71" i="33"/>
  <c r="DD70" i="33"/>
  <c r="DD69" i="33"/>
  <c r="DD68" i="33"/>
  <c r="DD67" i="33"/>
  <c r="DD66" i="33"/>
  <c r="DD65" i="33"/>
  <c r="DD64" i="33"/>
  <c r="DD63" i="33"/>
  <c r="DD62" i="33"/>
  <c r="DD61" i="33"/>
  <c r="DD60" i="33"/>
  <c r="DD59" i="33"/>
  <c r="DD58" i="33"/>
  <c r="DD57" i="33"/>
  <c r="DD56" i="33"/>
  <c r="DD55" i="33"/>
  <c r="DD54" i="33"/>
  <c r="DD53" i="33"/>
  <c r="DD52" i="33"/>
  <c r="DD51" i="33"/>
  <c r="DD50" i="33"/>
  <c r="DD49" i="33"/>
  <c r="DD48" i="33"/>
  <c r="DD47" i="33"/>
  <c r="DD46" i="33"/>
  <c r="DD45" i="33"/>
  <c r="DD44" i="33"/>
  <c r="DD43" i="33"/>
  <c r="DD42" i="33"/>
  <c r="DD41" i="33"/>
  <c r="DD40" i="33"/>
  <c r="DD39" i="33"/>
  <c r="DD38" i="33"/>
  <c r="DD37" i="33"/>
  <c r="DD36" i="33"/>
  <c r="DD35" i="33"/>
  <c r="DD34" i="33"/>
  <c r="DD33" i="33"/>
  <c r="DD32" i="33"/>
  <c r="DD31" i="33"/>
  <c r="DD30" i="33"/>
  <c r="DD29" i="33"/>
  <c r="DD28" i="33"/>
  <c r="DD27" i="33"/>
  <c r="DD26" i="33"/>
  <c r="DD25" i="33"/>
  <c r="DD24" i="33"/>
  <c r="DD23" i="33"/>
  <c r="DD22" i="33"/>
  <c r="DD21" i="33"/>
  <c r="DD20" i="33"/>
  <c r="DD19" i="33"/>
  <c r="DD18" i="33"/>
  <c r="DD17" i="33"/>
  <c r="DD16" i="33"/>
  <c r="DD15" i="33"/>
  <c r="DD14" i="33"/>
  <c r="DD13" i="33"/>
  <c r="DD12" i="33"/>
  <c r="DD11" i="33"/>
  <c r="DD10" i="33"/>
  <c r="DD9" i="33"/>
  <c r="CL201" i="33"/>
  <c r="CK201" i="33"/>
  <c r="CJ201" i="33"/>
  <c r="GW201" i="33" s="1"/>
  <c r="CL200" i="33"/>
  <c r="CK200" i="33"/>
  <c r="CJ200" i="33"/>
  <c r="GW200" i="33" s="1"/>
  <c r="CL199" i="33"/>
  <c r="CK199" i="33"/>
  <c r="CJ199" i="33"/>
  <c r="GW199" i="33" s="1"/>
  <c r="CL198" i="33"/>
  <c r="CK198" i="33"/>
  <c r="CJ198" i="33"/>
  <c r="GW198" i="33" s="1"/>
  <c r="CL197" i="33"/>
  <c r="CK197" i="33"/>
  <c r="CJ197" i="33"/>
  <c r="GW197" i="33" s="1"/>
  <c r="CL196" i="33"/>
  <c r="CK196" i="33"/>
  <c r="CJ196" i="33"/>
  <c r="GW196" i="33" s="1"/>
  <c r="CL195" i="33"/>
  <c r="CK195" i="33"/>
  <c r="CJ195" i="33"/>
  <c r="GW195" i="33" s="1"/>
  <c r="CL194" i="33"/>
  <c r="CK194" i="33"/>
  <c r="CJ194" i="33"/>
  <c r="GW194" i="33" s="1"/>
  <c r="CL193" i="33"/>
  <c r="CK193" i="33"/>
  <c r="CJ193" i="33"/>
  <c r="GW193" i="33" s="1"/>
  <c r="CL192" i="33"/>
  <c r="CK192" i="33"/>
  <c r="CJ192" i="33"/>
  <c r="GW192" i="33" s="1"/>
  <c r="CL191" i="33"/>
  <c r="CK191" i="33"/>
  <c r="CJ191" i="33"/>
  <c r="GW191" i="33" s="1"/>
  <c r="CL190" i="33"/>
  <c r="CK190" i="33"/>
  <c r="CJ190" i="33"/>
  <c r="GW190" i="33" s="1"/>
  <c r="CL189" i="33"/>
  <c r="CK189" i="33"/>
  <c r="CJ189" i="33"/>
  <c r="GW189" i="33" s="1"/>
  <c r="CL188" i="33"/>
  <c r="CK188" i="33"/>
  <c r="CJ188" i="33"/>
  <c r="GW188" i="33" s="1"/>
  <c r="CL187" i="33"/>
  <c r="CK187" i="33"/>
  <c r="CJ187" i="33"/>
  <c r="GW187" i="33" s="1"/>
  <c r="CL186" i="33"/>
  <c r="CK186" i="33"/>
  <c r="CJ186" i="33"/>
  <c r="GW186" i="33" s="1"/>
  <c r="CL185" i="33"/>
  <c r="CK185" i="33"/>
  <c r="CJ185" i="33"/>
  <c r="GW185" i="33" s="1"/>
  <c r="CL184" i="33"/>
  <c r="CK184" i="33"/>
  <c r="CJ184" i="33"/>
  <c r="GW184" i="33" s="1"/>
  <c r="CL183" i="33"/>
  <c r="CK183" i="33"/>
  <c r="CJ183" i="33"/>
  <c r="GW183" i="33" s="1"/>
  <c r="CL182" i="33"/>
  <c r="CK182" i="33"/>
  <c r="CJ182" i="33"/>
  <c r="GW182" i="33" s="1"/>
  <c r="CL181" i="33"/>
  <c r="CK181" i="33"/>
  <c r="CJ181" i="33"/>
  <c r="GW181" i="33" s="1"/>
  <c r="CL180" i="33"/>
  <c r="CK180" i="33"/>
  <c r="CJ180" i="33"/>
  <c r="GW180" i="33" s="1"/>
  <c r="CL179" i="33"/>
  <c r="CK179" i="33"/>
  <c r="CJ179" i="33"/>
  <c r="GW179" i="33" s="1"/>
  <c r="CL178" i="33"/>
  <c r="CK178" i="33"/>
  <c r="CJ178" i="33"/>
  <c r="GW178" i="33" s="1"/>
  <c r="CL177" i="33"/>
  <c r="CK177" i="33"/>
  <c r="CJ177" i="33"/>
  <c r="GW177" i="33" s="1"/>
  <c r="CL176" i="33"/>
  <c r="CK176" i="33"/>
  <c r="CJ176" i="33"/>
  <c r="GW176" i="33" s="1"/>
  <c r="CL175" i="33"/>
  <c r="CK175" i="33"/>
  <c r="CJ175" i="33"/>
  <c r="GW175" i="33" s="1"/>
  <c r="CL174" i="33"/>
  <c r="CK174" i="33"/>
  <c r="CJ174" i="33"/>
  <c r="GW174" i="33" s="1"/>
  <c r="CL173" i="33"/>
  <c r="CK173" i="33"/>
  <c r="CJ173" i="33"/>
  <c r="GW173" i="33" s="1"/>
  <c r="CL172" i="33"/>
  <c r="CK172" i="33"/>
  <c r="CJ172" i="33"/>
  <c r="GW172" i="33" s="1"/>
  <c r="CL171" i="33"/>
  <c r="CK171" i="33"/>
  <c r="CJ171" i="33"/>
  <c r="GW171" i="33" s="1"/>
  <c r="CL170" i="33"/>
  <c r="CK170" i="33"/>
  <c r="CJ170" i="33"/>
  <c r="GW170" i="33" s="1"/>
  <c r="CL169" i="33"/>
  <c r="CK169" i="33"/>
  <c r="CJ169" i="33"/>
  <c r="GW169" i="33" s="1"/>
  <c r="CL168" i="33"/>
  <c r="CK168" i="33"/>
  <c r="CJ168" i="33"/>
  <c r="GW168" i="33" s="1"/>
  <c r="CL167" i="33"/>
  <c r="CK167" i="33"/>
  <c r="CJ167" i="33"/>
  <c r="GW167" i="33" s="1"/>
  <c r="CL166" i="33"/>
  <c r="CK166" i="33"/>
  <c r="CJ166" i="33"/>
  <c r="GW166" i="33" s="1"/>
  <c r="CL165" i="33"/>
  <c r="CK165" i="33"/>
  <c r="CJ165" i="33"/>
  <c r="GW165" i="33" s="1"/>
  <c r="CL164" i="33"/>
  <c r="CK164" i="33"/>
  <c r="CJ164" i="33"/>
  <c r="GW164" i="33" s="1"/>
  <c r="CL163" i="33"/>
  <c r="CK163" i="33"/>
  <c r="CJ163" i="33"/>
  <c r="GW163" i="33" s="1"/>
  <c r="CL162" i="33"/>
  <c r="CK162" i="33"/>
  <c r="CJ162" i="33"/>
  <c r="GW162" i="33" s="1"/>
  <c r="CL161" i="33"/>
  <c r="CK161" i="33"/>
  <c r="CJ161" i="33"/>
  <c r="GW161" i="33" s="1"/>
  <c r="CL160" i="33"/>
  <c r="CK160" i="33"/>
  <c r="CJ160" i="33"/>
  <c r="GW160" i="33" s="1"/>
  <c r="CL159" i="33"/>
  <c r="CK159" i="33"/>
  <c r="CJ159" i="33"/>
  <c r="GW159" i="33" s="1"/>
  <c r="CL158" i="33"/>
  <c r="CK158" i="33"/>
  <c r="CJ158" i="33"/>
  <c r="GW158" i="33" s="1"/>
  <c r="CL157" i="33"/>
  <c r="CK157" i="33"/>
  <c r="CJ157" i="33"/>
  <c r="GW157" i="33" s="1"/>
  <c r="CL156" i="33"/>
  <c r="CK156" i="33"/>
  <c r="CJ156" i="33"/>
  <c r="GW156" i="33" s="1"/>
  <c r="CL155" i="33"/>
  <c r="CK155" i="33"/>
  <c r="CJ155" i="33"/>
  <c r="GW155" i="33" s="1"/>
  <c r="CL154" i="33"/>
  <c r="CK154" i="33"/>
  <c r="CJ154" i="33"/>
  <c r="GW154" i="33" s="1"/>
  <c r="CL153" i="33"/>
  <c r="CK153" i="33"/>
  <c r="CJ153" i="33"/>
  <c r="GW153" i="33" s="1"/>
  <c r="CL152" i="33"/>
  <c r="CK152" i="33"/>
  <c r="CJ152" i="33"/>
  <c r="GW152" i="33" s="1"/>
  <c r="CL151" i="33"/>
  <c r="CK151" i="33"/>
  <c r="CJ151" i="33"/>
  <c r="GW151" i="33" s="1"/>
  <c r="CL150" i="33"/>
  <c r="CK150" i="33"/>
  <c r="CJ150" i="33"/>
  <c r="GW150" i="33" s="1"/>
  <c r="CL149" i="33"/>
  <c r="CK149" i="33"/>
  <c r="CJ149" i="33"/>
  <c r="GW149" i="33" s="1"/>
  <c r="CL148" i="33"/>
  <c r="CK148" i="33"/>
  <c r="CJ148" i="33"/>
  <c r="GW148" i="33" s="1"/>
  <c r="CL147" i="33"/>
  <c r="CK147" i="33"/>
  <c r="CJ147" i="33"/>
  <c r="GW147" i="33" s="1"/>
  <c r="CL146" i="33"/>
  <c r="CK146" i="33"/>
  <c r="CJ146" i="33"/>
  <c r="GW146" i="33" s="1"/>
  <c r="CL145" i="33"/>
  <c r="CK145" i="33"/>
  <c r="CJ145" i="33"/>
  <c r="GW145" i="33" s="1"/>
  <c r="CL144" i="33"/>
  <c r="CK144" i="33"/>
  <c r="CJ144" i="33"/>
  <c r="GW144" i="33" s="1"/>
  <c r="CL143" i="33"/>
  <c r="CK143" i="33"/>
  <c r="CJ143" i="33"/>
  <c r="GW143" i="33" s="1"/>
  <c r="CL142" i="33"/>
  <c r="CK142" i="33"/>
  <c r="CJ142" i="33"/>
  <c r="GW142" i="33" s="1"/>
  <c r="CL141" i="33"/>
  <c r="CK141" i="33"/>
  <c r="CJ141" i="33"/>
  <c r="GW141" i="33" s="1"/>
  <c r="CL140" i="33"/>
  <c r="CK140" i="33"/>
  <c r="CJ140" i="33"/>
  <c r="GW140" i="33" s="1"/>
  <c r="CL139" i="33"/>
  <c r="CK139" i="33"/>
  <c r="CJ139" i="33"/>
  <c r="GW139" i="33" s="1"/>
  <c r="CL138" i="33"/>
  <c r="CK138" i="33"/>
  <c r="CJ138" i="33"/>
  <c r="GW138" i="33" s="1"/>
  <c r="CL137" i="33"/>
  <c r="CK137" i="33"/>
  <c r="CJ137" i="33"/>
  <c r="GW137" i="33" s="1"/>
  <c r="CL136" i="33"/>
  <c r="CK136" i="33"/>
  <c r="CJ136" i="33"/>
  <c r="GW136" i="33" s="1"/>
  <c r="CL135" i="33"/>
  <c r="CK135" i="33"/>
  <c r="CJ135" i="33"/>
  <c r="GW135" i="33" s="1"/>
  <c r="CL134" i="33"/>
  <c r="CK134" i="33"/>
  <c r="CJ134" i="33"/>
  <c r="GW134" i="33" s="1"/>
  <c r="CL133" i="33"/>
  <c r="CK133" i="33"/>
  <c r="CJ133" i="33"/>
  <c r="GW133" i="33" s="1"/>
  <c r="CL132" i="33"/>
  <c r="CK132" i="33"/>
  <c r="CJ132" i="33"/>
  <c r="GW132" i="33" s="1"/>
  <c r="CL131" i="33"/>
  <c r="CK131" i="33"/>
  <c r="CJ131" i="33"/>
  <c r="GW131" i="33" s="1"/>
  <c r="CL130" i="33"/>
  <c r="CK130" i="33"/>
  <c r="CJ130" i="33"/>
  <c r="GW130" i="33" s="1"/>
  <c r="CL129" i="33"/>
  <c r="CK129" i="33"/>
  <c r="CJ129" i="33"/>
  <c r="GW129" i="33" s="1"/>
  <c r="CL128" i="33"/>
  <c r="CK128" i="33"/>
  <c r="CJ128" i="33"/>
  <c r="GW128" i="33" s="1"/>
  <c r="CL127" i="33"/>
  <c r="CK127" i="33"/>
  <c r="CJ127" i="33"/>
  <c r="GW127" i="33" s="1"/>
  <c r="CL126" i="33"/>
  <c r="CK126" i="33"/>
  <c r="CJ126" i="33"/>
  <c r="GW126" i="33" s="1"/>
  <c r="CL125" i="33"/>
  <c r="CK125" i="33"/>
  <c r="CJ125" i="33"/>
  <c r="GW125" i="33" s="1"/>
  <c r="CL124" i="33"/>
  <c r="CK124" i="33"/>
  <c r="CJ124" i="33"/>
  <c r="GW124" i="33" s="1"/>
  <c r="CL123" i="33"/>
  <c r="CK123" i="33"/>
  <c r="CJ123" i="33"/>
  <c r="GW123" i="33" s="1"/>
  <c r="CL122" i="33"/>
  <c r="CK122" i="33"/>
  <c r="CJ122" i="33"/>
  <c r="GW122" i="33" s="1"/>
  <c r="CL121" i="33"/>
  <c r="CK121" i="33"/>
  <c r="CJ121" i="33"/>
  <c r="GW121" i="33" s="1"/>
  <c r="CL120" i="33"/>
  <c r="CK120" i="33"/>
  <c r="CJ120" i="33"/>
  <c r="GW120" i="33" s="1"/>
  <c r="CL119" i="33"/>
  <c r="CK119" i="33"/>
  <c r="CJ119" i="33"/>
  <c r="GW119" i="33" s="1"/>
  <c r="CL118" i="33"/>
  <c r="CK118" i="33"/>
  <c r="CJ118" i="33"/>
  <c r="GW118" i="33" s="1"/>
  <c r="CL117" i="33"/>
  <c r="CK117" i="33"/>
  <c r="CJ117" i="33"/>
  <c r="GW117" i="33" s="1"/>
  <c r="CL116" i="33"/>
  <c r="CK116" i="33"/>
  <c r="CJ116" i="33"/>
  <c r="GW116" i="33" s="1"/>
  <c r="CL115" i="33"/>
  <c r="CK115" i="33"/>
  <c r="CJ115" i="33"/>
  <c r="GW115" i="33" s="1"/>
  <c r="CL114" i="33"/>
  <c r="CK114" i="33"/>
  <c r="CJ114" i="33"/>
  <c r="GW114" i="33" s="1"/>
  <c r="CL113" i="33"/>
  <c r="CK113" i="33"/>
  <c r="CJ113" i="33"/>
  <c r="GW113" i="33" s="1"/>
  <c r="CL112" i="33"/>
  <c r="CK112" i="33"/>
  <c r="CJ112" i="33"/>
  <c r="GW112" i="33" s="1"/>
  <c r="CL111" i="33"/>
  <c r="CK111" i="33"/>
  <c r="CJ111" i="33"/>
  <c r="GW111" i="33" s="1"/>
  <c r="CL110" i="33"/>
  <c r="CK110" i="33"/>
  <c r="CJ110" i="33"/>
  <c r="GW110" i="33" s="1"/>
  <c r="CL109" i="33"/>
  <c r="CK109" i="33"/>
  <c r="CJ109" i="33"/>
  <c r="GW109" i="33" s="1"/>
  <c r="CL108" i="33"/>
  <c r="CK108" i="33"/>
  <c r="CJ108" i="33"/>
  <c r="GW108" i="33" s="1"/>
  <c r="CL107" i="33"/>
  <c r="CK107" i="33"/>
  <c r="CJ107" i="33"/>
  <c r="GW107" i="33" s="1"/>
  <c r="CL106" i="33"/>
  <c r="CK106" i="33"/>
  <c r="CJ106" i="33"/>
  <c r="GW106" i="33" s="1"/>
  <c r="CL105" i="33"/>
  <c r="CK105" i="33"/>
  <c r="CJ105" i="33"/>
  <c r="GW105" i="33" s="1"/>
  <c r="CL104" i="33"/>
  <c r="CK104" i="33"/>
  <c r="CJ104" i="33"/>
  <c r="GW104" i="33" s="1"/>
  <c r="CL103" i="33"/>
  <c r="CK103" i="33"/>
  <c r="CJ103" i="33"/>
  <c r="GW103" i="33" s="1"/>
  <c r="CL102" i="33"/>
  <c r="CK102" i="33"/>
  <c r="CJ102" i="33"/>
  <c r="GW102" i="33" s="1"/>
  <c r="CL101" i="33"/>
  <c r="CK101" i="33"/>
  <c r="CJ101" i="33"/>
  <c r="GW101" i="33" s="1"/>
  <c r="CL100" i="33"/>
  <c r="CK100" i="33"/>
  <c r="CJ100" i="33"/>
  <c r="GW100" i="33" s="1"/>
  <c r="CL99" i="33"/>
  <c r="CK99" i="33"/>
  <c r="CJ99" i="33"/>
  <c r="GW99" i="33" s="1"/>
  <c r="CL98" i="33"/>
  <c r="CK98" i="33"/>
  <c r="CJ98" i="33"/>
  <c r="GW98" i="33" s="1"/>
  <c r="CL97" i="33"/>
  <c r="CK97" i="33"/>
  <c r="CJ97" i="33"/>
  <c r="GW97" i="33" s="1"/>
  <c r="CL96" i="33"/>
  <c r="CK96" i="33"/>
  <c r="CJ96" i="33"/>
  <c r="GW96" i="33" s="1"/>
  <c r="CL95" i="33"/>
  <c r="CK95" i="33"/>
  <c r="CJ95" i="33"/>
  <c r="GW95" i="33" s="1"/>
  <c r="CL94" i="33"/>
  <c r="CK94" i="33"/>
  <c r="CJ94" i="33"/>
  <c r="GW94" i="33" s="1"/>
  <c r="CL93" i="33"/>
  <c r="CK93" i="33"/>
  <c r="CJ93" i="33"/>
  <c r="GW93" i="33" s="1"/>
  <c r="CL92" i="33"/>
  <c r="CK92" i="33"/>
  <c r="CJ92" i="33"/>
  <c r="GW92" i="33" s="1"/>
  <c r="CL91" i="33"/>
  <c r="CK91" i="33"/>
  <c r="CJ91" i="33"/>
  <c r="GW91" i="33" s="1"/>
  <c r="CL90" i="33"/>
  <c r="CK90" i="33"/>
  <c r="CJ90" i="33"/>
  <c r="GW90" i="33" s="1"/>
  <c r="CL89" i="33"/>
  <c r="CK89" i="33"/>
  <c r="CJ89" i="33"/>
  <c r="GW89" i="33" s="1"/>
  <c r="CL88" i="33"/>
  <c r="CK88" i="33"/>
  <c r="CJ88" i="33"/>
  <c r="GW88" i="33" s="1"/>
  <c r="CL87" i="33"/>
  <c r="CK87" i="33"/>
  <c r="CJ87" i="33"/>
  <c r="GW87" i="33" s="1"/>
  <c r="CL86" i="33"/>
  <c r="CK86" i="33"/>
  <c r="CJ86" i="33"/>
  <c r="GW86" i="33" s="1"/>
  <c r="CL85" i="33"/>
  <c r="CK85" i="33"/>
  <c r="CJ85" i="33"/>
  <c r="GW85" i="33" s="1"/>
  <c r="CL84" i="33"/>
  <c r="CK84" i="33"/>
  <c r="CJ84" i="33"/>
  <c r="GW84" i="33" s="1"/>
  <c r="CL83" i="33"/>
  <c r="CK83" i="33"/>
  <c r="CJ83" i="33"/>
  <c r="GW83" i="33" s="1"/>
  <c r="CL82" i="33"/>
  <c r="CK82" i="33"/>
  <c r="CJ82" i="33"/>
  <c r="GW82" i="33" s="1"/>
  <c r="CL81" i="33"/>
  <c r="CK81" i="33"/>
  <c r="CJ81" i="33"/>
  <c r="GW81" i="33" s="1"/>
  <c r="CL80" i="33"/>
  <c r="CK80" i="33"/>
  <c r="CJ80" i="33"/>
  <c r="GW80" i="33" s="1"/>
  <c r="CL79" i="33"/>
  <c r="CK79" i="33"/>
  <c r="CJ79" i="33"/>
  <c r="GW79" i="33" s="1"/>
  <c r="CL78" i="33"/>
  <c r="CK78" i="33"/>
  <c r="CJ78" i="33"/>
  <c r="GW78" i="33" s="1"/>
  <c r="CL77" i="33"/>
  <c r="CK77" i="33"/>
  <c r="CJ77" i="33"/>
  <c r="GW77" i="33" s="1"/>
  <c r="CL76" i="33"/>
  <c r="CK76" i="33"/>
  <c r="CJ76" i="33"/>
  <c r="GW76" i="33" s="1"/>
  <c r="CL75" i="33"/>
  <c r="CK75" i="33"/>
  <c r="CJ75" i="33"/>
  <c r="GW75" i="33" s="1"/>
  <c r="CL74" i="33"/>
  <c r="CK74" i="33"/>
  <c r="CJ74" i="33"/>
  <c r="GW74" i="33" s="1"/>
  <c r="CL73" i="33"/>
  <c r="CK73" i="33"/>
  <c r="CJ73" i="33"/>
  <c r="GW73" i="33" s="1"/>
  <c r="CL72" i="33"/>
  <c r="CK72" i="33"/>
  <c r="CJ72" i="33"/>
  <c r="GW72" i="33" s="1"/>
  <c r="CL71" i="33"/>
  <c r="CK71" i="33"/>
  <c r="CJ71" i="33"/>
  <c r="GW71" i="33" s="1"/>
  <c r="CL70" i="33"/>
  <c r="CK70" i="33"/>
  <c r="CJ70" i="33"/>
  <c r="GW70" i="33" s="1"/>
  <c r="CL69" i="33"/>
  <c r="CK69" i="33"/>
  <c r="CJ69" i="33"/>
  <c r="GW69" i="33" s="1"/>
  <c r="CL68" i="33"/>
  <c r="CK68" i="33"/>
  <c r="CJ68" i="33"/>
  <c r="GW68" i="33" s="1"/>
  <c r="CL67" i="33"/>
  <c r="CK67" i="33"/>
  <c r="CJ67" i="33"/>
  <c r="GW67" i="33" s="1"/>
  <c r="CL66" i="33"/>
  <c r="CK66" i="33"/>
  <c r="CJ66" i="33"/>
  <c r="GW66" i="33" s="1"/>
  <c r="CL65" i="33"/>
  <c r="CK65" i="33"/>
  <c r="CJ65" i="33"/>
  <c r="GW65" i="33" s="1"/>
  <c r="CL64" i="33"/>
  <c r="CK64" i="33"/>
  <c r="CJ64" i="33"/>
  <c r="GW64" i="33" s="1"/>
  <c r="CL63" i="33"/>
  <c r="CK63" i="33"/>
  <c r="CJ63" i="33"/>
  <c r="GW63" i="33" s="1"/>
  <c r="CL62" i="33"/>
  <c r="CK62" i="33"/>
  <c r="CJ62" i="33"/>
  <c r="GW62" i="33" s="1"/>
  <c r="CL61" i="33"/>
  <c r="CK61" i="33"/>
  <c r="CJ61" i="33"/>
  <c r="GW61" i="33" s="1"/>
  <c r="CL60" i="33"/>
  <c r="CK60" i="33"/>
  <c r="CJ60" i="33"/>
  <c r="GW60" i="33" s="1"/>
  <c r="CL59" i="33"/>
  <c r="CK59" i="33"/>
  <c r="CJ59" i="33"/>
  <c r="GW59" i="33" s="1"/>
  <c r="CL58" i="33"/>
  <c r="CK58" i="33"/>
  <c r="CJ58" i="33"/>
  <c r="GW58" i="33" s="1"/>
  <c r="CL57" i="33"/>
  <c r="CK57" i="33"/>
  <c r="CJ57" i="33"/>
  <c r="GW57" i="33" s="1"/>
  <c r="CL56" i="33"/>
  <c r="CK56" i="33"/>
  <c r="CJ56" i="33"/>
  <c r="GW56" i="33" s="1"/>
  <c r="CL55" i="33"/>
  <c r="CK55" i="33"/>
  <c r="CJ55" i="33"/>
  <c r="GW55" i="33" s="1"/>
  <c r="CL54" i="33"/>
  <c r="CK54" i="33"/>
  <c r="CJ54" i="33"/>
  <c r="GW54" i="33" s="1"/>
  <c r="CL53" i="33"/>
  <c r="CK53" i="33"/>
  <c r="CJ53" i="33"/>
  <c r="GW53" i="33" s="1"/>
  <c r="CL52" i="33"/>
  <c r="CK52" i="33"/>
  <c r="CJ52" i="33"/>
  <c r="GW52" i="33" s="1"/>
  <c r="CL51" i="33"/>
  <c r="CK51" i="33"/>
  <c r="CJ51" i="33"/>
  <c r="GW51" i="33" s="1"/>
  <c r="CL50" i="33"/>
  <c r="CK50" i="33"/>
  <c r="CJ50" i="33"/>
  <c r="GW50" i="33" s="1"/>
  <c r="CL49" i="33"/>
  <c r="CK49" i="33"/>
  <c r="CJ49" i="33"/>
  <c r="GW49" i="33" s="1"/>
  <c r="CL48" i="33"/>
  <c r="CK48" i="33"/>
  <c r="CJ48" i="33"/>
  <c r="GW48" i="33" s="1"/>
  <c r="CL47" i="33"/>
  <c r="CK47" i="33"/>
  <c r="CJ47" i="33"/>
  <c r="GW47" i="33" s="1"/>
  <c r="CL46" i="33"/>
  <c r="CK46" i="33"/>
  <c r="CJ46" i="33"/>
  <c r="GW46" i="33" s="1"/>
  <c r="CL45" i="33"/>
  <c r="CK45" i="33"/>
  <c r="CJ45" i="33"/>
  <c r="GW45" i="33" s="1"/>
  <c r="CL44" i="33"/>
  <c r="CK44" i="33"/>
  <c r="CJ44" i="33"/>
  <c r="GW44" i="33" s="1"/>
  <c r="CL43" i="33"/>
  <c r="CK43" i="33"/>
  <c r="CJ43" i="33"/>
  <c r="GW43" i="33" s="1"/>
  <c r="CL42" i="33"/>
  <c r="CK42" i="33"/>
  <c r="CJ42" i="33"/>
  <c r="GW42" i="33" s="1"/>
  <c r="CL41" i="33"/>
  <c r="CK41" i="33"/>
  <c r="CJ41" i="33"/>
  <c r="GW41" i="33" s="1"/>
  <c r="CL40" i="33"/>
  <c r="CK40" i="33"/>
  <c r="CJ40" i="33"/>
  <c r="GW40" i="33" s="1"/>
  <c r="CL39" i="33"/>
  <c r="CK39" i="33"/>
  <c r="CJ39" i="33"/>
  <c r="GW39" i="33" s="1"/>
  <c r="CL38" i="33"/>
  <c r="CK38" i="33"/>
  <c r="CJ38" i="33"/>
  <c r="GW38" i="33" s="1"/>
  <c r="CL37" i="33"/>
  <c r="CK37" i="33"/>
  <c r="CJ37" i="33"/>
  <c r="GW37" i="33" s="1"/>
  <c r="CL36" i="33"/>
  <c r="CK36" i="33"/>
  <c r="CJ36" i="33"/>
  <c r="GW36" i="33" s="1"/>
  <c r="CL35" i="33"/>
  <c r="CK35" i="33"/>
  <c r="CJ35" i="33"/>
  <c r="GW35" i="33" s="1"/>
  <c r="CL34" i="33"/>
  <c r="CK34" i="33"/>
  <c r="CJ34" i="33"/>
  <c r="GW34" i="33" s="1"/>
  <c r="CL33" i="33"/>
  <c r="CK33" i="33"/>
  <c r="CJ33" i="33"/>
  <c r="GW33" i="33" s="1"/>
  <c r="CL32" i="33"/>
  <c r="CK32" i="33"/>
  <c r="CJ32" i="33"/>
  <c r="GW32" i="33" s="1"/>
  <c r="CL31" i="33"/>
  <c r="CK31" i="33"/>
  <c r="CJ31" i="33"/>
  <c r="GW31" i="33" s="1"/>
  <c r="CL30" i="33"/>
  <c r="CK30" i="33"/>
  <c r="CJ30" i="33"/>
  <c r="GW30" i="33" s="1"/>
  <c r="CL29" i="33"/>
  <c r="CK29" i="33"/>
  <c r="CJ29" i="33"/>
  <c r="GW29" i="33" s="1"/>
  <c r="CL28" i="33"/>
  <c r="CK28" i="33"/>
  <c r="CJ28" i="33"/>
  <c r="GW28" i="33" s="1"/>
  <c r="CL27" i="33"/>
  <c r="CK27" i="33"/>
  <c r="CJ27" i="33"/>
  <c r="GW27" i="33" s="1"/>
  <c r="CL26" i="33"/>
  <c r="CK26" i="33"/>
  <c r="CJ26" i="33"/>
  <c r="GW26" i="33" s="1"/>
  <c r="CL25" i="33"/>
  <c r="CK25" i="33"/>
  <c r="CJ25" i="33"/>
  <c r="GW25" i="33" s="1"/>
  <c r="CL24" i="33"/>
  <c r="CK24" i="33"/>
  <c r="CJ24" i="33"/>
  <c r="GW24" i="33" s="1"/>
  <c r="CL23" i="33"/>
  <c r="CK23" i="33"/>
  <c r="CJ23" i="33"/>
  <c r="GW23" i="33" s="1"/>
  <c r="CL22" i="33"/>
  <c r="CK22" i="33"/>
  <c r="CJ22" i="33"/>
  <c r="GW22" i="33" s="1"/>
  <c r="CL21" i="33"/>
  <c r="CK21" i="33"/>
  <c r="CJ21" i="33"/>
  <c r="GW21" i="33" s="1"/>
  <c r="CL20" i="33"/>
  <c r="CK20" i="33"/>
  <c r="CJ20" i="33"/>
  <c r="GW20" i="33" s="1"/>
  <c r="CL19" i="33"/>
  <c r="CK19" i="33"/>
  <c r="CJ19" i="33"/>
  <c r="GW19" i="33" s="1"/>
  <c r="CL18" i="33"/>
  <c r="CK18" i="33"/>
  <c r="CJ18" i="33"/>
  <c r="GW18" i="33" s="1"/>
  <c r="CL17" i="33"/>
  <c r="CK17" i="33"/>
  <c r="CJ17" i="33"/>
  <c r="GW17" i="33" s="1"/>
  <c r="CL16" i="33"/>
  <c r="CK16" i="33"/>
  <c r="CJ16" i="33"/>
  <c r="GW16" i="33" s="1"/>
  <c r="CL15" i="33"/>
  <c r="CK15" i="33"/>
  <c r="CJ15" i="33"/>
  <c r="GW15" i="33" s="1"/>
  <c r="CL14" i="33"/>
  <c r="CK14" i="33"/>
  <c r="CJ14" i="33"/>
  <c r="GW14" i="33" s="1"/>
  <c r="CL13" i="33"/>
  <c r="CK13" i="33"/>
  <c r="CJ13" i="33"/>
  <c r="GW13" i="33" s="1"/>
  <c r="CL12" i="33"/>
  <c r="CK12" i="33"/>
  <c r="CJ12" i="33"/>
  <c r="GW12" i="33" s="1"/>
  <c r="CL11" i="33"/>
  <c r="CK11" i="33"/>
  <c r="CJ11" i="33"/>
  <c r="GW11" i="33" s="1"/>
  <c r="CL10" i="33"/>
  <c r="CK10" i="33"/>
  <c r="CJ10" i="33"/>
  <c r="GW10" i="33" s="1"/>
  <c r="CL9" i="33"/>
  <c r="CK9" i="33"/>
  <c r="CJ9" i="33"/>
  <c r="GW9" i="33" s="1"/>
  <c r="CI13" i="33"/>
  <c r="CH13" i="33"/>
  <c r="CG13" i="33"/>
  <c r="CF13" i="33"/>
  <c r="CE13" i="33"/>
  <c r="CD13" i="33"/>
  <c r="CC13" i="33"/>
  <c r="CB13" i="33"/>
  <c r="CA13" i="33"/>
  <c r="CI12" i="33"/>
  <c r="CH12" i="33"/>
  <c r="CG12" i="33"/>
  <c r="CF12" i="33"/>
  <c r="CE12" i="33"/>
  <c r="CD12" i="33"/>
  <c r="CC12" i="33"/>
  <c r="CB12" i="33"/>
  <c r="CA12" i="33"/>
  <c r="CI11" i="33"/>
  <c r="CH11" i="33"/>
  <c r="CG11" i="33"/>
  <c r="CF11" i="33"/>
  <c r="CE11" i="33"/>
  <c r="CD11" i="33"/>
  <c r="CC11" i="33"/>
  <c r="CB11" i="33"/>
  <c r="CA11" i="33"/>
  <c r="CI10" i="33"/>
  <c r="CH10" i="33"/>
  <c r="CG10" i="33"/>
  <c r="CF10" i="33"/>
  <c r="CE10" i="33"/>
  <c r="CD10" i="33"/>
  <c r="CC10" i="33"/>
  <c r="CB10" i="33"/>
  <c r="CA10" i="33"/>
  <c r="CI9" i="33"/>
  <c r="CH9" i="33"/>
  <c r="CG9" i="33"/>
  <c r="CF9" i="33"/>
  <c r="CE9" i="33"/>
  <c r="CD9" i="33"/>
  <c r="CC9" i="33"/>
  <c r="CB9" i="33"/>
  <c r="CA9" i="33"/>
  <c r="CI8" i="33"/>
  <c r="CH8" i="33"/>
  <c r="CG8" i="33"/>
  <c r="CF8" i="33"/>
  <c r="CE8" i="33"/>
  <c r="CD8" i="33"/>
  <c r="CC8" i="33"/>
  <c r="CB8" i="33"/>
  <c r="CA8" i="33"/>
  <c r="CI7" i="33"/>
  <c r="CH7" i="33"/>
  <c r="CG7" i="33"/>
  <c r="CF7" i="33"/>
  <c r="CE7" i="33"/>
  <c r="CD7" i="33"/>
  <c r="CC7" i="33"/>
  <c r="CB7" i="33"/>
  <c r="CA7" i="33"/>
  <c r="CI6" i="33"/>
  <c r="CH6" i="33"/>
  <c r="CG6" i="33"/>
  <c r="CF6" i="33"/>
  <c r="CE6" i="33"/>
  <c r="CD6" i="33"/>
  <c r="CC6" i="33"/>
  <c r="CB6" i="33"/>
  <c r="CA6" i="33"/>
  <c r="CI5" i="33"/>
  <c r="CH5" i="33"/>
  <c r="CG5" i="33"/>
  <c r="CF5" i="33"/>
  <c r="CE5" i="33"/>
  <c r="CD5" i="33"/>
  <c r="CC5" i="33"/>
  <c r="CB5" i="33"/>
  <c r="CA5" i="33"/>
  <c r="CI4" i="33"/>
  <c r="CH4" i="33"/>
  <c r="CG4" i="33"/>
  <c r="CF4" i="33"/>
  <c r="CE4" i="33"/>
  <c r="CD4" i="33"/>
  <c r="CC4" i="33"/>
  <c r="CB4" i="33"/>
  <c r="CA4" i="33"/>
  <c r="BZ201" i="33"/>
  <c r="BY201" i="33"/>
  <c r="BZ200" i="33"/>
  <c r="BY200" i="33"/>
  <c r="BZ199" i="33"/>
  <c r="BY199" i="33"/>
  <c r="BZ198" i="33"/>
  <c r="BY198" i="33"/>
  <c r="BZ197" i="33"/>
  <c r="BY197" i="33"/>
  <c r="BZ196" i="33"/>
  <c r="BY196" i="33"/>
  <c r="BZ195" i="33"/>
  <c r="BY195" i="33"/>
  <c r="BZ194" i="33"/>
  <c r="BY194" i="33"/>
  <c r="BZ193" i="33"/>
  <c r="BY193" i="33"/>
  <c r="BZ192" i="33"/>
  <c r="BY192" i="33"/>
  <c r="BZ191" i="33"/>
  <c r="BY191" i="33"/>
  <c r="BZ190" i="33"/>
  <c r="BY190" i="33"/>
  <c r="BZ189" i="33"/>
  <c r="BY189" i="33"/>
  <c r="BZ188" i="33"/>
  <c r="BY188" i="33"/>
  <c r="BZ187" i="33"/>
  <c r="BY187" i="33"/>
  <c r="BZ186" i="33"/>
  <c r="BY186" i="33"/>
  <c r="BZ185" i="33"/>
  <c r="BY185" i="33"/>
  <c r="BZ184" i="33"/>
  <c r="BY184" i="33"/>
  <c r="BZ183" i="33"/>
  <c r="BY183" i="33"/>
  <c r="BZ182" i="33"/>
  <c r="BY182" i="33"/>
  <c r="BZ181" i="33"/>
  <c r="BY181" i="33"/>
  <c r="BZ180" i="33"/>
  <c r="BY180" i="33"/>
  <c r="BZ179" i="33"/>
  <c r="BY179" i="33"/>
  <c r="BZ178" i="33"/>
  <c r="BY178" i="33"/>
  <c r="BZ177" i="33"/>
  <c r="BY177" i="33"/>
  <c r="BZ176" i="33"/>
  <c r="BY176" i="33"/>
  <c r="BZ175" i="33"/>
  <c r="BY175" i="33"/>
  <c r="BZ174" i="33"/>
  <c r="BY174" i="33"/>
  <c r="BZ173" i="33"/>
  <c r="BY173" i="33"/>
  <c r="BZ172" i="33"/>
  <c r="BY172" i="33"/>
  <c r="BZ171" i="33"/>
  <c r="BY171" i="33"/>
  <c r="BZ170" i="33"/>
  <c r="BY170" i="33"/>
  <c r="BZ169" i="33"/>
  <c r="BY169" i="33"/>
  <c r="BZ168" i="33"/>
  <c r="BY168" i="33"/>
  <c r="BZ167" i="33"/>
  <c r="BY167" i="33"/>
  <c r="BZ166" i="33"/>
  <c r="BY166" i="33"/>
  <c r="BZ165" i="33"/>
  <c r="BY165" i="33"/>
  <c r="BZ164" i="33"/>
  <c r="BY164" i="33"/>
  <c r="BZ163" i="33"/>
  <c r="BY163" i="33"/>
  <c r="BZ162" i="33"/>
  <c r="BY162" i="33"/>
  <c r="BZ161" i="33"/>
  <c r="BY161" i="33"/>
  <c r="BZ160" i="33"/>
  <c r="BY160" i="33"/>
  <c r="BZ159" i="33"/>
  <c r="BY159" i="33"/>
  <c r="BZ158" i="33"/>
  <c r="BY158" i="33"/>
  <c r="BZ157" i="33"/>
  <c r="BY157" i="33"/>
  <c r="BZ156" i="33"/>
  <c r="BY156" i="33"/>
  <c r="BZ155" i="33"/>
  <c r="BY155" i="33"/>
  <c r="BZ154" i="33"/>
  <c r="BY154" i="33"/>
  <c r="BZ153" i="33"/>
  <c r="BY153" i="33"/>
  <c r="BZ152" i="33"/>
  <c r="BY152" i="33"/>
  <c r="BZ151" i="33"/>
  <c r="BY151" i="33"/>
  <c r="BZ150" i="33"/>
  <c r="BY150" i="33"/>
  <c r="BZ149" i="33"/>
  <c r="BY149" i="33"/>
  <c r="BZ148" i="33"/>
  <c r="BY148" i="33"/>
  <c r="BZ147" i="33"/>
  <c r="BY147" i="33"/>
  <c r="BZ146" i="33"/>
  <c r="BY146" i="33"/>
  <c r="BZ145" i="33"/>
  <c r="BY145" i="33"/>
  <c r="BZ144" i="33"/>
  <c r="BY144" i="33"/>
  <c r="BZ143" i="33"/>
  <c r="BY143" i="33"/>
  <c r="BZ142" i="33"/>
  <c r="BY142" i="33"/>
  <c r="BZ141" i="33"/>
  <c r="BY141" i="33"/>
  <c r="BZ140" i="33"/>
  <c r="BY140" i="33"/>
  <c r="BZ139" i="33"/>
  <c r="BY139" i="33"/>
  <c r="BZ138" i="33"/>
  <c r="BY138" i="33"/>
  <c r="BZ137" i="33"/>
  <c r="BY137" i="33"/>
  <c r="BZ136" i="33"/>
  <c r="BY136" i="33"/>
  <c r="BZ135" i="33"/>
  <c r="BY135" i="33"/>
  <c r="BZ134" i="33"/>
  <c r="BY134" i="33"/>
  <c r="BZ133" i="33"/>
  <c r="BY133" i="33"/>
  <c r="BZ132" i="33"/>
  <c r="BY132" i="33"/>
  <c r="BZ131" i="33"/>
  <c r="BY131" i="33"/>
  <c r="BZ130" i="33"/>
  <c r="BY130" i="33"/>
  <c r="BZ129" i="33"/>
  <c r="BY129" i="33"/>
  <c r="BZ128" i="33"/>
  <c r="BY128" i="33"/>
  <c r="BZ127" i="33"/>
  <c r="BY127" i="33"/>
  <c r="BZ126" i="33"/>
  <c r="BY126" i="33"/>
  <c r="BZ125" i="33"/>
  <c r="BY125" i="33"/>
  <c r="BZ124" i="33"/>
  <c r="BY124" i="33"/>
  <c r="BZ123" i="33"/>
  <c r="BY123" i="33"/>
  <c r="BZ122" i="33"/>
  <c r="BY122" i="33"/>
  <c r="BZ121" i="33"/>
  <c r="BY121" i="33"/>
  <c r="BZ120" i="33"/>
  <c r="BY120" i="33"/>
  <c r="BZ119" i="33"/>
  <c r="BY119" i="33"/>
  <c r="BZ118" i="33"/>
  <c r="BY118" i="33"/>
  <c r="BZ117" i="33"/>
  <c r="BY117" i="33"/>
  <c r="BZ116" i="33"/>
  <c r="BY116" i="33"/>
  <c r="BZ115" i="33"/>
  <c r="BY115" i="33"/>
  <c r="BZ114" i="33"/>
  <c r="BY114" i="33"/>
  <c r="BZ113" i="33"/>
  <c r="BY113" i="33"/>
  <c r="BZ112" i="33"/>
  <c r="BY112" i="33"/>
  <c r="BZ111" i="33"/>
  <c r="BY111" i="33"/>
  <c r="BZ110" i="33"/>
  <c r="BY110" i="33"/>
  <c r="BZ109" i="33"/>
  <c r="BY109" i="33"/>
  <c r="BZ108" i="33"/>
  <c r="BY108" i="33"/>
  <c r="BZ107" i="33"/>
  <c r="BY107" i="33"/>
  <c r="BZ106" i="33"/>
  <c r="BY106" i="33"/>
  <c r="BZ105" i="33"/>
  <c r="BY105" i="33"/>
  <c r="BZ104" i="33"/>
  <c r="BY104" i="33"/>
  <c r="BZ103" i="33"/>
  <c r="BY103" i="33"/>
  <c r="BZ102" i="33"/>
  <c r="BY102" i="33"/>
  <c r="BZ101" i="33"/>
  <c r="BY101" i="33"/>
  <c r="BZ100" i="33"/>
  <c r="BY100" i="33"/>
  <c r="BZ99" i="33"/>
  <c r="BY99" i="33"/>
  <c r="BZ98" i="33"/>
  <c r="BY98" i="33"/>
  <c r="BZ97" i="33"/>
  <c r="BY97" i="33"/>
  <c r="BZ96" i="33"/>
  <c r="BY96" i="33"/>
  <c r="BZ95" i="33"/>
  <c r="BY95" i="33"/>
  <c r="BZ94" i="33"/>
  <c r="BY94" i="33"/>
  <c r="BZ93" i="33"/>
  <c r="BY93" i="33"/>
  <c r="BZ92" i="33"/>
  <c r="BY92" i="33"/>
  <c r="BZ91" i="33"/>
  <c r="BY91" i="33"/>
  <c r="BZ90" i="33"/>
  <c r="BY90" i="33"/>
  <c r="BZ89" i="33"/>
  <c r="BY89" i="33"/>
  <c r="BZ88" i="33"/>
  <c r="BY88" i="33"/>
  <c r="BZ87" i="33"/>
  <c r="BY87" i="33"/>
  <c r="BZ86" i="33"/>
  <c r="BY86" i="33"/>
  <c r="BZ85" i="33"/>
  <c r="BY85" i="33"/>
  <c r="BZ84" i="33"/>
  <c r="BY84" i="33"/>
  <c r="BZ83" i="33"/>
  <c r="BY83" i="33"/>
  <c r="BZ82" i="33"/>
  <c r="BY82" i="33"/>
  <c r="BZ81" i="33"/>
  <c r="BY81" i="33"/>
  <c r="BZ80" i="33"/>
  <c r="BY80" i="33"/>
  <c r="BZ79" i="33"/>
  <c r="BY79" i="33"/>
  <c r="BZ78" i="33"/>
  <c r="BY78" i="33"/>
  <c r="BZ77" i="33"/>
  <c r="BY77" i="33"/>
  <c r="BZ76" i="33"/>
  <c r="BY76" i="33"/>
  <c r="BZ75" i="33"/>
  <c r="BY75" i="33"/>
  <c r="BZ74" i="33"/>
  <c r="BY74" i="33"/>
  <c r="BZ73" i="33"/>
  <c r="BY73" i="33"/>
  <c r="BZ72" i="33"/>
  <c r="BY72" i="33"/>
  <c r="BZ71" i="33"/>
  <c r="BY71" i="33"/>
  <c r="BZ70" i="33"/>
  <c r="BY70" i="33"/>
  <c r="BZ69" i="33"/>
  <c r="BY69" i="33"/>
  <c r="BZ68" i="33"/>
  <c r="BY68" i="33"/>
  <c r="BZ67" i="33"/>
  <c r="BY67" i="33"/>
  <c r="BZ66" i="33"/>
  <c r="BY66" i="33"/>
  <c r="BZ65" i="33"/>
  <c r="BY65" i="33"/>
  <c r="BZ64" i="33"/>
  <c r="BY64" i="33"/>
  <c r="BZ63" i="33"/>
  <c r="BY63" i="33"/>
  <c r="BZ62" i="33"/>
  <c r="BY62" i="33"/>
  <c r="BZ61" i="33"/>
  <c r="BY61" i="33"/>
  <c r="BZ60" i="33"/>
  <c r="BY60" i="33"/>
  <c r="BZ59" i="33"/>
  <c r="BY59" i="33"/>
  <c r="BZ58" i="33"/>
  <c r="BY58" i="33"/>
  <c r="BZ57" i="33"/>
  <c r="BY57" i="33"/>
  <c r="BZ56" i="33"/>
  <c r="BY56" i="33"/>
  <c r="BZ55" i="33"/>
  <c r="BY55" i="33"/>
  <c r="BZ54" i="33"/>
  <c r="BY54" i="33"/>
  <c r="BZ53" i="33"/>
  <c r="BY53" i="33"/>
  <c r="BZ52" i="33"/>
  <c r="BY52" i="33"/>
  <c r="BZ51" i="33"/>
  <c r="BY51" i="33"/>
  <c r="BZ50" i="33"/>
  <c r="BY50" i="33"/>
  <c r="BZ49" i="33"/>
  <c r="BY49" i="33"/>
  <c r="BZ48" i="33"/>
  <c r="BY48" i="33"/>
  <c r="BZ47" i="33"/>
  <c r="BY47" i="33"/>
  <c r="BZ46" i="33"/>
  <c r="BY46" i="33"/>
  <c r="BZ45" i="33"/>
  <c r="BY45" i="33"/>
  <c r="BZ44" i="33"/>
  <c r="BY44" i="33"/>
  <c r="BZ43" i="33"/>
  <c r="BY43" i="33"/>
  <c r="BZ42" i="33"/>
  <c r="BY42" i="33"/>
  <c r="BZ41" i="33"/>
  <c r="BY41" i="33"/>
  <c r="BZ40" i="33"/>
  <c r="BY40" i="33"/>
  <c r="BZ39" i="33"/>
  <c r="BY39" i="33"/>
  <c r="BZ38" i="33"/>
  <c r="BY38" i="33"/>
  <c r="BZ37" i="33"/>
  <c r="BY37" i="33"/>
  <c r="BZ36" i="33"/>
  <c r="BY36" i="33"/>
  <c r="BZ35" i="33"/>
  <c r="BY35" i="33"/>
  <c r="BZ34" i="33"/>
  <c r="BY34" i="33"/>
  <c r="BZ33" i="33"/>
  <c r="BY33" i="33"/>
  <c r="BZ32" i="33"/>
  <c r="BY32" i="33"/>
  <c r="BZ31" i="33"/>
  <c r="BY31" i="33"/>
  <c r="BZ30" i="33"/>
  <c r="BY30" i="33"/>
  <c r="BZ29" i="33"/>
  <c r="BY29" i="33"/>
  <c r="BZ28" i="33"/>
  <c r="BY28" i="33"/>
  <c r="BZ27" i="33"/>
  <c r="BY27" i="33"/>
  <c r="BZ26" i="33"/>
  <c r="BY26" i="33"/>
  <c r="BZ25" i="33"/>
  <c r="BY25" i="33"/>
  <c r="BZ24" i="33"/>
  <c r="BY24" i="33"/>
  <c r="BZ23" i="33"/>
  <c r="BY23" i="33"/>
  <c r="BZ22" i="33"/>
  <c r="BY22" i="33"/>
  <c r="BZ21" i="33"/>
  <c r="BY21" i="33"/>
  <c r="BZ20" i="33"/>
  <c r="BY20" i="33"/>
  <c r="BZ19" i="33"/>
  <c r="BY19" i="33"/>
  <c r="BZ18" i="33"/>
  <c r="BY18" i="33"/>
  <c r="BZ17" i="33"/>
  <c r="BY17" i="33"/>
  <c r="BZ16" i="33"/>
  <c r="BY16" i="33"/>
  <c r="BZ15" i="33"/>
  <c r="BY15" i="33"/>
  <c r="BZ14" i="33"/>
  <c r="BY14" i="33"/>
  <c r="BZ13" i="33"/>
  <c r="BY13" i="33"/>
  <c r="BZ12" i="33"/>
  <c r="BY12" i="33"/>
  <c r="BZ11" i="33"/>
  <c r="BY11" i="33"/>
  <c r="BZ10" i="33"/>
  <c r="BY10" i="33"/>
  <c r="BZ9" i="33"/>
  <c r="BY9" i="33"/>
  <c r="BH201" i="33"/>
  <c r="BG201" i="33"/>
  <c r="BF201" i="33"/>
  <c r="BH200" i="33"/>
  <c r="BG200" i="33"/>
  <c r="BF200" i="33"/>
  <c r="BH199" i="33"/>
  <c r="BG199" i="33"/>
  <c r="BF199" i="33"/>
  <c r="BH198" i="33"/>
  <c r="BG198" i="33"/>
  <c r="BF198" i="33"/>
  <c r="BH197" i="33"/>
  <c r="BG197" i="33"/>
  <c r="BF197" i="33"/>
  <c r="BH196" i="33"/>
  <c r="BG196" i="33"/>
  <c r="BF196" i="33"/>
  <c r="BH195" i="33"/>
  <c r="BG195" i="33"/>
  <c r="BF195" i="33"/>
  <c r="BH194" i="33"/>
  <c r="BG194" i="33"/>
  <c r="BF194" i="33"/>
  <c r="BH193" i="33"/>
  <c r="BG193" i="33"/>
  <c r="BF193" i="33"/>
  <c r="BH192" i="33"/>
  <c r="BG192" i="33"/>
  <c r="BF192" i="33"/>
  <c r="BH191" i="33"/>
  <c r="BG191" i="33"/>
  <c r="BF191" i="33"/>
  <c r="BH190" i="33"/>
  <c r="BG190" i="33"/>
  <c r="BF190" i="33"/>
  <c r="BH189" i="33"/>
  <c r="BG189" i="33"/>
  <c r="BF189" i="33"/>
  <c r="BH188" i="33"/>
  <c r="BG188" i="33"/>
  <c r="BF188" i="33"/>
  <c r="BH187" i="33"/>
  <c r="BG187" i="33"/>
  <c r="BF187" i="33"/>
  <c r="BH186" i="33"/>
  <c r="BG186" i="33"/>
  <c r="BF186" i="33"/>
  <c r="BH185" i="33"/>
  <c r="BG185" i="33"/>
  <c r="BF185" i="33"/>
  <c r="BH184" i="33"/>
  <c r="BG184" i="33"/>
  <c r="BF184" i="33"/>
  <c r="BH183" i="33"/>
  <c r="BG183" i="33"/>
  <c r="BF183" i="33"/>
  <c r="BH182" i="33"/>
  <c r="BG182" i="33"/>
  <c r="BF182" i="33"/>
  <c r="BH181" i="33"/>
  <c r="BG181" i="33"/>
  <c r="BF181" i="33"/>
  <c r="BH180" i="33"/>
  <c r="BG180" i="33"/>
  <c r="BF180" i="33"/>
  <c r="BH179" i="33"/>
  <c r="BG179" i="33"/>
  <c r="BF179" i="33"/>
  <c r="BH178" i="33"/>
  <c r="BG178" i="33"/>
  <c r="BF178" i="33"/>
  <c r="BH177" i="33"/>
  <c r="BG177" i="33"/>
  <c r="BF177" i="33"/>
  <c r="BH176" i="33"/>
  <c r="BG176" i="33"/>
  <c r="BF176" i="33"/>
  <c r="BH175" i="33"/>
  <c r="BG175" i="33"/>
  <c r="BF175" i="33"/>
  <c r="BH174" i="33"/>
  <c r="BG174" i="33"/>
  <c r="BF174" i="33"/>
  <c r="BH173" i="33"/>
  <c r="BG173" i="33"/>
  <c r="BF173" i="33"/>
  <c r="BH172" i="33"/>
  <c r="BG172" i="33"/>
  <c r="BF172" i="33"/>
  <c r="BH171" i="33"/>
  <c r="BG171" i="33"/>
  <c r="BF171" i="33"/>
  <c r="BH170" i="33"/>
  <c r="BG170" i="33"/>
  <c r="BF170" i="33"/>
  <c r="BH169" i="33"/>
  <c r="BG169" i="33"/>
  <c r="BF169" i="33"/>
  <c r="BH168" i="33"/>
  <c r="BG168" i="33"/>
  <c r="BF168" i="33"/>
  <c r="BH167" i="33"/>
  <c r="BG167" i="33"/>
  <c r="BF167" i="33"/>
  <c r="BH166" i="33"/>
  <c r="BG166" i="33"/>
  <c r="BF166" i="33"/>
  <c r="BH165" i="33"/>
  <c r="BG165" i="33"/>
  <c r="BF165" i="33"/>
  <c r="BH164" i="33"/>
  <c r="BG164" i="33"/>
  <c r="BF164" i="33"/>
  <c r="BH163" i="33"/>
  <c r="BG163" i="33"/>
  <c r="BF163" i="33"/>
  <c r="BH162" i="33"/>
  <c r="BG162" i="33"/>
  <c r="BF162" i="33"/>
  <c r="BH161" i="33"/>
  <c r="BG161" i="33"/>
  <c r="BF161" i="33"/>
  <c r="BH160" i="33"/>
  <c r="BG160" i="33"/>
  <c r="BF160" i="33"/>
  <c r="BH159" i="33"/>
  <c r="BG159" i="33"/>
  <c r="BF159" i="33"/>
  <c r="BH158" i="33"/>
  <c r="BG158" i="33"/>
  <c r="BF158" i="33"/>
  <c r="BH157" i="33"/>
  <c r="BG157" i="33"/>
  <c r="BF157" i="33"/>
  <c r="BH156" i="33"/>
  <c r="BG156" i="33"/>
  <c r="BF156" i="33"/>
  <c r="BH155" i="33"/>
  <c r="BG155" i="33"/>
  <c r="BF155" i="33"/>
  <c r="BH154" i="33"/>
  <c r="BG154" i="33"/>
  <c r="BF154" i="33"/>
  <c r="BH153" i="33"/>
  <c r="BG153" i="33"/>
  <c r="BF153" i="33"/>
  <c r="BH152" i="33"/>
  <c r="BG152" i="33"/>
  <c r="BF152" i="33"/>
  <c r="BH151" i="33"/>
  <c r="BG151" i="33"/>
  <c r="BF151" i="33"/>
  <c r="BH150" i="33"/>
  <c r="BG150" i="33"/>
  <c r="BF150" i="33"/>
  <c r="BH149" i="33"/>
  <c r="BG149" i="33"/>
  <c r="BF149" i="33"/>
  <c r="BH148" i="33"/>
  <c r="BG148" i="33"/>
  <c r="BF148" i="33"/>
  <c r="BH147" i="33"/>
  <c r="BG147" i="33"/>
  <c r="BF147" i="33"/>
  <c r="BH146" i="33"/>
  <c r="BG146" i="33"/>
  <c r="BF146" i="33"/>
  <c r="BH145" i="33"/>
  <c r="BG145" i="33"/>
  <c r="BF145" i="33"/>
  <c r="BH144" i="33"/>
  <c r="BG144" i="33"/>
  <c r="BF144" i="33"/>
  <c r="BH143" i="33"/>
  <c r="BG143" i="33"/>
  <c r="BF143" i="33"/>
  <c r="BH142" i="33"/>
  <c r="BG142" i="33"/>
  <c r="BF142" i="33"/>
  <c r="BH141" i="33"/>
  <c r="BG141" i="33"/>
  <c r="BF141" i="33"/>
  <c r="BH140" i="33"/>
  <c r="BG140" i="33"/>
  <c r="BF140" i="33"/>
  <c r="BH139" i="33"/>
  <c r="BG139" i="33"/>
  <c r="BF139" i="33"/>
  <c r="BH138" i="33"/>
  <c r="BG138" i="33"/>
  <c r="BF138" i="33"/>
  <c r="BH137" i="33"/>
  <c r="BG137" i="33"/>
  <c r="BF137" i="33"/>
  <c r="BH136" i="33"/>
  <c r="BG136" i="33"/>
  <c r="BF136" i="33"/>
  <c r="BH135" i="33"/>
  <c r="BG135" i="33"/>
  <c r="BF135" i="33"/>
  <c r="BH134" i="33"/>
  <c r="BG134" i="33"/>
  <c r="BF134" i="33"/>
  <c r="BH133" i="33"/>
  <c r="BG133" i="33"/>
  <c r="BF133" i="33"/>
  <c r="BH132" i="33"/>
  <c r="BG132" i="33"/>
  <c r="BF132" i="33"/>
  <c r="BH131" i="33"/>
  <c r="BG131" i="33"/>
  <c r="BF131" i="33"/>
  <c r="BH130" i="33"/>
  <c r="BG130" i="33"/>
  <c r="BF130" i="33"/>
  <c r="BH129" i="33"/>
  <c r="BG129" i="33"/>
  <c r="BF129" i="33"/>
  <c r="BH128" i="33"/>
  <c r="BG128" i="33"/>
  <c r="BF128" i="33"/>
  <c r="BH127" i="33"/>
  <c r="BG127" i="33"/>
  <c r="BF127" i="33"/>
  <c r="BH126" i="33"/>
  <c r="BG126" i="33"/>
  <c r="BF126" i="33"/>
  <c r="BH125" i="33"/>
  <c r="BG125" i="33"/>
  <c r="BF125" i="33"/>
  <c r="BH124" i="33"/>
  <c r="BG124" i="33"/>
  <c r="BF124" i="33"/>
  <c r="BH123" i="33"/>
  <c r="BG123" i="33"/>
  <c r="BF123" i="33"/>
  <c r="BH122" i="33"/>
  <c r="BG122" i="33"/>
  <c r="BF122" i="33"/>
  <c r="BH121" i="33"/>
  <c r="BG121" i="33"/>
  <c r="BF121" i="33"/>
  <c r="BH120" i="33"/>
  <c r="BG120" i="33"/>
  <c r="BF120" i="33"/>
  <c r="BH119" i="33"/>
  <c r="BG119" i="33"/>
  <c r="BF119" i="33"/>
  <c r="BH118" i="33"/>
  <c r="BG118" i="33"/>
  <c r="BF118" i="33"/>
  <c r="BH117" i="33"/>
  <c r="BG117" i="33"/>
  <c r="BF117" i="33"/>
  <c r="BH116" i="33"/>
  <c r="BG116" i="33"/>
  <c r="BF116" i="33"/>
  <c r="BH115" i="33"/>
  <c r="BG115" i="33"/>
  <c r="BF115" i="33"/>
  <c r="BH114" i="33"/>
  <c r="BG114" i="33"/>
  <c r="BF114" i="33"/>
  <c r="BH113" i="33"/>
  <c r="BG113" i="33"/>
  <c r="BF113" i="33"/>
  <c r="BH112" i="33"/>
  <c r="BG112" i="33"/>
  <c r="BF112" i="33"/>
  <c r="BH111" i="33"/>
  <c r="BG111" i="33"/>
  <c r="BF111" i="33"/>
  <c r="BH110" i="33"/>
  <c r="BG110" i="33"/>
  <c r="BF110" i="33"/>
  <c r="BH109" i="33"/>
  <c r="BG109" i="33"/>
  <c r="BF109" i="33"/>
  <c r="BH108" i="33"/>
  <c r="BG108" i="33"/>
  <c r="BF108" i="33"/>
  <c r="BH107" i="33"/>
  <c r="BG107" i="33"/>
  <c r="BF107" i="33"/>
  <c r="BH106" i="33"/>
  <c r="BG106" i="33"/>
  <c r="BF106" i="33"/>
  <c r="BH105" i="33"/>
  <c r="BG105" i="33"/>
  <c r="BF105" i="33"/>
  <c r="BH104" i="33"/>
  <c r="BG104" i="33"/>
  <c r="BF104" i="33"/>
  <c r="BH103" i="33"/>
  <c r="BG103" i="33"/>
  <c r="BF103" i="33"/>
  <c r="BH102" i="33"/>
  <c r="BG102" i="33"/>
  <c r="BF102" i="33"/>
  <c r="BH101" i="33"/>
  <c r="BG101" i="33"/>
  <c r="BF101" i="33"/>
  <c r="BH100" i="33"/>
  <c r="BG100" i="33"/>
  <c r="BF100" i="33"/>
  <c r="BH99" i="33"/>
  <c r="BG99" i="33"/>
  <c r="BF99" i="33"/>
  <c r="BH98" i="33"/>
  <c r="BG98" i="33"/>
  <c r="BF98" i="33"/>
  <c r="BH97" i="33"/>
  <c r="BG97" i="33"/>
  <c r="BF97" i="33"/>
  <c r="BH96" i="33"/>
  <c r="BG96" i="33"/>
  <c r="BF96" i="33"/>
  <c r="BH95" i="33"/>
  <c r="BG95" i="33"/>
  <c r="BF95" i="33"/>
  <c r="BH94" i="33"/>
  <c r="BG94" i="33"/>
  <c r="BF94" i="33"/>
  <c r="BH93" i="33"/>
  <c r="BG93" i="33"/>
  <c r="BF93" i="33"/>
  <c r="BH92" i="33"/>
  <c r="BG92" i="33"/>
  <c r="BF92" i="33"/>
  <c r="BH91" i="33"/>
  <c r="BG91" i="33"/>
  <c r="BF91" i="33"/>
  <c r="BH90" i="33"/>
  <c r="BG90" i="33"/>
  <c r="BF90" i="33"/>
  <c r="BH89" i="33"/>
  <c r="BG89" i="33"/>
  <c r="BF89" i="33"/>
  <c r="BH88" i="33"/>
  <c r="BG88" i="33"/>
  <c r="BF88" i="33"/>
  <c r="BH87" i="33"/>
  <c r="BG87" i="33"/>
  <c r="BF87" i="33"/>
  <c r="BH86" i="33"/>
  <c r="BG86" i="33"/>
  <c r="BF86" i="33"/>
  <c r="BH85" i="33"/>
  <c r="BG85" i="33"/>
  <c r="BF85" i="33"/>
  <c r="BH84" i="33"/>
  <c r="BG84" i="33"/>
  <c r="BF84" i="33"/>
  <c r="BH83" i="33"/>
  <c r="BG83" i="33"/>
  <c r="BF83" i="33"/>
  <c r="BH82" i="33"/>
  <c r="BG82" i="33"/>
  <c r="BF82" i="33"/>
  <c r="BH81" i="33"/>
  <c r="BG81" i="33"/>
  <c r="BF81" i="33"/>
  <c r="BH80" i="33"/>
  <c r="BG80" i="33"/>
  <c r="BF80" i="33"/>
  <c r="BH79" i="33"/>
  <c r="BG79" i="33"/>
  <c r="BF79" i="33"/>
  <c r="BH78" i="33"/>
  <c r="BG78" i="33"/>
  <c r="BF78" i="33"/>
  <c r="BH77" i="33"/>
  <c r="BG77" i="33"/>
  <c r="BF77" i="33"/>
  <c r="BH76" i="33"/>
  <c r="BG76" i="33"/>
  <c r="BF76" i="33"/>
  <c r="BH75" i="33"/>
  <c r="BG75" i="33"/>
  <c r="BF75" i="33"/>
  <c r="BH74" i="33"/>
  <c r="BG74" i="33"/>
  <c r="BF74" i="33"/>
  <c r="BH73" i="33"/>
  <c r="BG73" i="33"/>
  <c r="BF73" i="33"/>
  <c r="BH72" i="33"/>
  <c r="BG72" i="33"/>
  <c r="BF72" i="33"/>
  <c r="BH71" i="33"/>
  <c r="BG71" i="33"/>
  <c r="BF71" i="33"/>
  <c r="BH70" i="33"/>
  <c r="BG70" i="33"/>
  <c r="BF70" i="33"/>
  <c r="BH69" i="33"/>
  <c r="BG69" i="33"/>
  <c r="BF69" i="33"/>
  <c r="BH68" i="33"/>
  <c r="BG68" i="33"/>
  <c r="BF68" i="33"/>
  <c r="BH67" i="33"/>
  <c r="BG67" i="33"/>
  <c r="BF67" i="33"/>
  <c r="BH66" i="33"/>
  <c r="BG66" i="33"/>
  <c r="BF66" i="33"/>
  <c r="BH65" i="33"/>
  <c r="BG65" i="33"/>
  <c r="BF65" i="33"/>
  <c r="BH64" i="33"/>
  <c r="BG64" i="33"/>
  <c r="BF64" i="33"/>
  <c r="BH63" i="33"/>
  <c r="BG63" i="33"/>
  <c r="BF63" i="33"/>
  <c r="BH62" i="33"/>
  <c r="BG62" i="33"/>
  <c r="BF62" i="33"/>
  <c r="BH61" i="33"/>
  <c r="BG61" i="33"/>
  <c r="BF61" i="33"/>
  <c r="BH60" i="33"/>
  <c r="BG60" i="33"/>
  <c r="BF60" i="33"/>
  <c r="BH59" i="33"/>
  <c r="BG59" i="33"/>
  <c r="BF59" i="33"/>
  <c r="BH58" i="33"/>
  <c r="BG58" i="33"/>
  <c r="BF58" i="33"/>
  <c r="BH57" i="33"/>
  <c r="BG57" i="33"/>
  <c r="BF57" i="33"/>
  <c r="BH56" i="33"/>
  <c r="BG56" i="33"/>
  <c r="BF56" i="33"/>
  <c r="BH55" i="33"/>
  <c r="BG55" i="33"/>
  <c r="BF55" i="33"/>
  <c r="BH54" i="33"/>
  <c r="BG54" i="33"/>
  <c r="BF54" i="33"/>
  <c r="BH53" i="33"/>
  <c r="BG53" i="33"/>
  <c r="BF53" i="33"/>
  <c r="BH52" i="33"/>
  <c r="BG52" i="33"/>
  <c r="BF52" i="33"/>
  <c r="BH51" i="33"/>
  <c r="BG51" i="33"/>
  <c r="BF51" i="33"/>
  <c r="BH50" i="33"/>
  <c r="BG50" i="33"/>
  <c r="BF50" i="33"/>
  <c r="BH49" i="33"/>
  <c r="BG49" i="33"/>
  <c r="BF49" i="33"/>
  <c r="BH48" i="33"/>
  <c r="BG48" i="33"/>
  <c r="BF48" i="33"/>
  <c r="BH47" i="33"/>
  <c r="BG47" i="33"/>
  <c r="BF47" i="33"/>
  <c r="BH46" i="33"/>
  <c r="BG46" i="33"/>
  <c r="BF46" i="33"/>
  <c r="BH45" i="33"/>
  <c r="BG45" i="33"/>
  <c r="BF45" i="33"/>
  <c r="BH44" i="33"/>
  <c r="BG44" i="33"/>
  <c r="BF44" i="33"/>
  <c r="BH43" i="33"/>
  <c r="BG43" i="33"/>
  <c r="BF43" i="33"/>
  <c r="BH42" i="33"/>
  <c r="BG42" i="33"/>
  <c r="BF42" i="33"/>
  <c r="BH41" i="33"/>
  <c r="BG41" i="33"/>
  <c r="BF41" i="33"/>
  <c r="BH40" i="33"/>
  <c r="BG40" i="33"/>
  <c r="BF40" i="33"/>
  <c r="BH39" i="33"/>
  <c r="BG39" i="33"/>
  <c r="BF39" i="33"/>
  <c r="BH38" i="33"/>
  <c r="BG38" i="33"/>
  <c r="BF38" i="33"/>
  <c r="BH37" i="33"/>
  <c r="BG37" i="33"/>
  <c r="BF37" i="33"/>
  <c r="BH36" i="33"/>
  <c r="BG36" i="33"/>
  <c r="BF36" i="33"/>
  <c r="BH35" i="33"/>
  <c r="BG35" i="33"/>
  <c r="BF35" i="33"/>
  <c r="BH34" i="33"/>
  <c r="BG34" i="33"/>
  <c r="BF34" i="33"/>
  <c r="BH33" i="33"/>
  <c r="BG33" i="33"/>
  <c r="BF33" i="33"/>
  <c r="BH32" i="33"/>
  <c r="BG32" i="33"/>
  <c r="BF32" i="33"/>
  <c r="BH31" i="33"/>
  <c r="BG31" i="33"/>
  <c r="BF31" i="33"/>
  <c r="BH30" i="33"/>
  <c r="BG30" i="33"/>
  <c r="BF30" i="33"/>
  <c r="BH29" i="33"/>
  <c r="BG29" i="33"/>
  <c r="BF29" i="33"/>
  <c r="BH28" i="33"/>
  <c r="BG28" i="33"/>
  <c r="BF28" i="33"/>
  <c r="BH27" i="33"/>
  <c r="BG27" i="33"/>
  <c r="BF27" i="33"/>
  <c r="BH26" i="33"/>
  <c r="BG26" i="33"/>
  <c r="BF26" i="33"/>
  <c r="BH25" i="33"/>
  <c r="BG25" i="33"/>
  <c r="BF25" i="33"/>
  <c r="BH24" i="33"/>
  <c r="BG24" i="33"/>
  <c r="BF24" i="33"/>
  <c r="BH23" i="33"/>
  <c r="BG23" i="33"/>
  <c r="BF23" i="33"/>
  <c r="BH22" i="33"/>
  <c r="BG22" i="33"/>
  <c r="BF22" i="33"/>
  <c r="BH21" i="33"/>
  <c r="BG21" i="33"/>
  <c r="BF21" i="33"/>
  <c r="BH20" i="33"/>
  <c r="BG20" i="33"/>
  <c r="BF20" i="33"/>
  <c r="BH19" i="33"/>
  <c r="BG19" i="33"/>
  <c r="BF19" i="33"/>
  <c r="BH18" i="33"/>
  <c r="BG18" i="33"/>
  <c r="BF18" i="33"/>
  <c r="BH17" i="33"/>
  <c r="BG17" i="33"/>
  <c r="BF17" i="33"/>
  <c r="BH16" i="33"/>
  <c r="BG16" i="33"/>
  <c r="BF16" i="33"/>
  <c r="BH15" i="33"/>
  <c r="BG15" i="33"/>
  <c r="BF15" i="33"/>
  <c r="BH14" i="33"/>
  <c r="BG14" i="33"/>
  <c r="BF14" i="33"/>
  <c r="BH13" i="33"/>
  <c r="BG13" i="33"/>
  <c r="BF13" i="33"/>
  <c r="BH12" i="33"/>
  <c r="BG12" i="33"/>
  <c r="BF12" i="33"/>
  <c r="BH11" i="33"/>
  <c r="BG11" i="33"/>
  <c r="BF11" i="33"/>
  <c r="BH10" i="33"/>
  <c r="BG10" i="33"/>
  <c r="BF10" i="33"/>
  <c r="BH9" i="33"/>
  <c r="BG9" i="33"/>
  <c r="BF9" i="33"/>
  <c r="BE13" i="33"/>
  <c r="BD13" i="33"/>
  <c r="BC13" i="33"/>
  <c r="BB13" i="33"/>
  <c r="BA13" i="33"/>
  <c r="AZ13" i="33"/>
  <c r="AY13" i="33"/>
  <c r="AX13" i="33"/>
  <c r="AW13" i="33"/>
  <c r="BE12" i="33"/>
  <c r="BD12" i="33"/>
  <c r="BC12" i="33"/>
  <c r="BB12" i="33"/>
  <c r="BA12" i="33"/>
  <c r="AZ12" i="33"/>
  <c r="AY12" i="33"/>
  <c r="AX12" i="33"/>
  <c r="AW12" i="33"/>
  <c r="BE11" i="33"/>
  <c r="BD11" i="33"/>
  <c r="BC11" i="33"/>
  <c r="BB11" i="33"/>
  <c r="BA11" i="33"/>
  <c r="AZ11" i="33"/>
  <c r="AY11" i="33"/>
  <c r="AX11" i="33"/>
  <c r="AW11" i="33"/>
  <c r="BE10" i="33"/>
  <c r="BD10" i="33"/>
  <c r="BC10" i="33"/>
  <c r="BB10" i="33"/>
  <c r="BA10" i="33"/>
  <c r="AZ10" i="33"/>
  <c r="AY10" i="33"/>
  <c r="AX10" i="33"/>
  <c r="AW10" i="33"/>
  <c r="BE9" i="33"/>
  <c r="BD9" i="33"/>
  <c r="BC9" i="33"/>
  <c r="BB9" i="33"/>
  <c r="BA9" i="33"/>
  <c r="AZ9" i="33"/>
  <c r="AY9" i="33"/>
  <c r="AX9" i="33"/>
  <c r="AW9" i="33"/>
  <c r="BE8" i="33"/>
  <c r="BD8" i="33"/>
  <c r="BC8" i="33"/>
  <c r="BB8" i="33"/>
  <c r="BA8" i="33"/>
  <c r="AZ8" i="33"/>
  <c r="AY8" i="33"/>
  <c r="AX8" i="33"/>
  <c r="AW8" i="33"/>
  <c r="BE7" i="33"/>
  <c r="BD7" i="33"/>
  <c r="BC7" i="33"/>
  <c r="BB7" i="33"/>
  <c r="BA7" i="33"/>
  <c r="AZ7" i="33"/>
  <c r="AY7" i="33"/>
  <c r="AX7" i="33"/>
  <c r="AW7" i="33"/>
  <c r="BE6" i="33"/>
  <c r="BD6" i="33"/>
  <c r="BC6" i="33"/>
  <c r="BB6" i="33"/>
  <c r="BA6" i="33"/>
  <c r="AZ6" i="33"/>
  <c r="AY6" i="33"/>
  <c r="AX6" i="33"/>
  <c r="AW6" i="33"/>
  <c r="BE5" i="33"/>
  <c r="BD5" i="33"/>
  <c r="BC5" i="33"/>
  <c r="BB5" i="33"/>
  <c r="BA5" i="33"/>
  <c r="AZ5" i="33"/>
  <c r="AY5" i="33"/>
  <c r="AX5" i="33"/>
  <c r="AW5" i="33"/>
  <c r="BE4" i="33"/>
  <c r="BD4" i="33"/>
  <c r="BC4" i="33"/>
  <c r="BB4" i="33"/>
  <c r="BA4" i="33"/>
  <c r="AZ4" i="33"/>
  <c r="AY4" i="33"/>
  <c r="AX4" i="33"/>
  <c r="AW4" i="33"/>
  <c r="AV201" i="33"/>
  <c r="AU201" i="33"/>
  <c r="AV200" i="33"/>
  <c r="AU200" i="33"/>
  <c r="AV199" i="33"/>
  <c r="AU199" i="33"/>
  <c r="AV198" i="33"/>
  <c r="AU198" i="33"/>
  <c r="AV197" i="33"/>
  <c r="AU197" i="33"/>
  <c r="AV196" i="33"/>
  <c r="AU196" i="33"/>
  <c r="AV195" i="33"/>
  <c r="AU195" i="33"/>
  <c r="AV194" i="33"/>
  <c r="AU194" i="33"/>
  <c r="AV193" i="33"/>
  <c r="AU193" i="33"/>
  <c r="AV192" i="33"/>
  <c r="AU192" i="33"/>
  <c r="AV191" i="33"/>
  <c r="AU191" i="33"/>
  <c r="AV190" i="33"/>
  <c r="AU190" i="33"/>
  <c r="AV189" i="33"/>
  <c r="AU189" i="33"/>
  <c r="AV188" i="33"/>
  <c r="AU188" i="33"/>
  <c r="AV187" i="33"/>
  <c r="AU187" i="33"/>
  <c r="AV186" i="33"/>
  <c r="AU186" i="33"/>
  <c r="AV185" i="33"/>
  <c r="AU185" i="33"/>
  <c r="AV184" i="33"/>
  <c r="AU184" i="33"/>
  <c r="AV183" i="33"/>
  <c r="AU183" i="33"/>
  <c r="AV182" i="33"/>
  <c r="AU182" i="33"/>
  <c r="AV181" i="33"/>
  <c r="AU181" i="33"/>
  <c r="AV180" i="33"/>
  <c r="AU180" i="33"/>
  <c r="AV179" i="33"/>
  <c r="AU179" i="33"/>
  <c r="AV178" i="33"/>
  <c r="AU178" i="33"/>
  <c r="AV177" i="33"/>
  <c r="AU177" i="33"/>
  <c r="AV176" i="33"/>
  <c r="AU176" i="33"/>
  <c r="AV175" i="33"/>
  <c r="AU175" i="33"/>
  <c r="AV174" i="33"/>
  <c r="AU174" i="33"/>
  <c r="AV173" i="33"/>
  <c r="AU173" i="33"/>
  <c r="AV172" i="33"/>
  <c r="AU172" i="33"/>
  <c r="AV171" i="33"/>
  <c r="AU171" i="33"/>
  <c r="AV170" i="33"/>
  <c r="AU170" i="33"/>
  <c r="AV169" i="33"/>
  <c r="AU169" i="33"/>
  <c r="AV168" i="33"/>
  <c r="AU168" i="33"/>
  <c r="AV167" i="33"/>
  <c r="AU167" i="33"/>
  <c r="AV166" i="33"/>
  <c r="AU166" i="33"/>
  <c r="AV165" i="33"/>
  <c r="AU165" i="33"/>
  <c r="AV164" i="33"/>
  <c r="AU164" i="33"/>
  <c r="AV163" i="33"/>
  <c r="AU163" i="33"/>
  <c r="AV162" i="33"/>
  <c r="AU162" i="33"/>
  <c r="AV161" i="33"/>
  <c r="AU161" i="33"/>
  <c r="AV160" i="33"/>
  <c r="AU160" i="33"/>
  <c r="AV159" i="33"/>
  <c r="AU159" i="33"/>
  <c r="AV158" i="33"/>
  <c r="AU158" i="33"/>
  <c r="AV157" i="33"/>
  <c r="AU157" i="33"/>
  <c r="AV156" i="33"/>
  <c r="AU156" i="33"/>
  <c r="AV155" i="33"/>
  <c r="AU155" i="33"/>
  <c r="AV154" i="33"/>
  <c r="AU154" i="33"/>
  <c r="AV153" i="33"/>
  <c r="AU153" i="33"/>
  <c r="AV152" i="33"/>
  <c r="AU152" i="33"/>
  <c r="AV151" i="33"/>
  <c r="AU151" i="33"/>
  <c r="AV150" i="33"/>
  <c r="AU150" i="33"/>
  <c r="AV149" i="33"/>
  <c r="AU149" i="33"/>
  <c r="AV148" i="33"/>
  <c r="AU148" i="33"/>
  <c r="AV147" i="33"/>
  <c r="AU147" i="33"/>
  <c r="AV146" i="33"/>
  <c r="AU146" i="33"/>
  <c r="AV145" i="33"/>
  <c r="AU145" i="33"/>
  <c r="AV144" i="33"/>
  <c r="AU144" i="33"/>
  <c r="AV143" i="33"/>
  <c r="AU143" i="33"/>
  <c r="AV142" i="33"/>
  <c r="AU142" i="33"/>
  <c r="AV141" i="33"/>
  <c r="AU141" i="33"/>
  <c r="AV140" i="33"/>
  <c r="AU140" i="33"/>
  <c r="AV139" i="33"/>
  <c r="AU139" i="33"/>
  <c r="AV138" i="33"/>
  <c r="AU138" i="33"/>
  <c r="AV137" i="33"/>
  <c r="AU137" i="33"/>
  <c r="AV136" i="33"/>
  <c r="AU136" i="33"/>
  <c r="AV135" i="33"/>
  <c r="AU135" i="33"/>
  <c r="AV134" i="33"/>
  <c r="AU134" i="33"/>
  <c r="AV133" i="33"/>
  <c r="AU133" i="33"/>
  <c r="AV132" i="33"/>
  <c r="AU132" i="33"/>
  <c r="AV131" i="33"/>
  <c r="AU131" i="33"/>
  <c r="AV130" i="33"/>
  <c r="AU130" i="33"/>
  <c r="AV129" i="33"/>
  <c r="AU129" i="33"/>
  <c r="AV128" i="33"/>
  <c r="AU128" i="33"/>
  <c r="AV127" i="33"/>
  <c r="AU127" i="33"/>
  <c r="AV126" i="33"/>
  <c r="AU126" i="33"/>
  <c r="AV125" i="33"/>
  <c r="AU125" i="33"/>
  <c r="AV124" i="33"/>
  <c r="AU124" i="33"/>
  <c r="AV123" i="33"/>
  <c r="AU123" i="33"/>
  <c r="AV122" i="33"/>
  <c r="AU122" i="33"/>
  <c r="AV121" i="33"/>
  <c r="AU121" i="33"/>
  <c r="AV120" i="33"/>
  <c r="AU120" i="33"/>
  <c r="AV119" i="33"/>
  <c r="AU119" i="33"/>
  <c r="AV118" i="33"/>
  <c r="AU118" i="33"/>
  <c r="AV117" i="33"/>
  <c r="AU117" i="33"/>
  <c r="AV116" i="33"/>
  <c r="AU116" i="33"/>
  <c r="AV115" i="33"/>
  <c r="AU115" i="33"/>
  <c r="AV114" i="33"/>
  <c r="AU114" i="33"/>
  <c r="AV113" i="33"/>
  <c r="AU113" i="33"/>
  <c r="AV112" i="33"/>
  <c r="AU112" i="33"/>
  <c r="AV111" i="33"/>
  <c r="AU111" i="33"/>
  <c r="AV110" i="33"/>
  <c r="AU110" i="33"/>
  <c r="AV109" i="33"/>
  <c r="AU109" i="33"/>
  <c r="AV108" i="33"/>
  <c r="AU108" i="33"/>
  <c r="AV107" i="33"/>
  <c r="AU107" i="33"/>
  <c r="AV106" i="33"/>
  <c r="AU106" i="33"/>
  <c r="AV105" i="33"/>
  <c r="AU105" i="33"/>
  <c r="AV104" i="33"/>
  <c r="AU104" i="33"/>
  <c r="AV103" i="33"/>
  <c r="AU103" i="33"/>
  <c r="AV102" i="33"/>
  <c r="AU102" i="33"/>
  <c r="AV101" i="33"/>
  <c r="AU101" i="33"/>
  <c r="AV100" i="33"/>
  <c r="AU100" i="33"/>
  <c r="AV99" i="33"/>
  <c r="AU99" i="33"/>
  <c r="AV98" i="33"/>
  <c r="AU98" i="33"/>
  <c r="AV97" i="33"/>
  <c r="AU97" i="33"/>
  <c r="AV96" i="33"/>
  <c r="AU96" i="33"/>
  <c r="AV95" i="33"/>
  <c r="AU95" i="33"/>
  <c r="AV94" i="33"/>
  <c r="AU94" i="33"/>
  <c r="AV93" i="33"/>
  <c r="AU93" i="33"/>
  <c r="AV92" i="33"/>
  <c r="AU92" i="33"/>
  <c r="AV91" i="33"/>
  <c r="AU91" i="33"/>
  <c r="AV90" i="33"/>
  <c r="AU90" i="33"/>
  <c r="AV89" i="33"/>
  <c r="AU89" i="33"/>
  <c r="AV88" i="33"/>
  <c r="AU88" i="33"/>
  <c r="AV87" i="33"/>
  <c r="AU87" i="33"/>
  <c r="AV86" i="33"/>
  <c r="AU86" i="33"/>
  <c r="AV85" i="33"/>
  <c r="AU85" i="33"/>
  <c r="AV84" i="33"/>
  <c r="AU84" i="33"/>
  <c r="AV83" i="33"/>
  <c r="AU83" i="33"/>
  <c r="AV82" i="33"/>
  <c r="AU82" i="33"/>
  <c r="AV81" i="33"/>
  <c r="AU81" i="33"/>
  <c r="AV80" i="33"/>
  <c r="AU80" i="33"/>
  <c r="AV79" i="33"/>
  <c r="AU79" i="33"/>
  <c r="AV78" i="33"/>
  <c r="AU78" i="33"/>
  <c r="AV77" i="33"/>
  <c r="AU77" i="33"/>
  <c r="AV76" i="33"/>
  <c r="AU76" i="33"/>
  <c r="AV75" i="33"/>
  <c r="AU75" i="33"/>
  <c r="AV74" i="33"/>
  <c r="AU74" i="33"/>
  <c r="AV73" i="33"/>
  <c r="AU73" i="33"/>
  <c r="AV72" i="33"/>
  <c r="AU72" i="33"/>
  <c r="AV71" i="33"/>
  <c r="AU71" i="33"/>
  <c r="AV70" i="33"/>
  <c r="AU70" i="33"/>
  <c r="AV69" i="33"/>
  <c r="AU69" i="33"/>
  <c r="AV68" i="33"/>
  <c r="AU68" i="33"/>
  <c r="AV67" i="33"/>
  <c r="AU67" i="33"/>
  <c r="AV66" i="33"/>
  <c r="AU66" i="33"/>
  <c r="AV65" i="33"/>
  <c r="AU65" i="33"/>
  <c r="AV64" i="33"/>
  <c r="AU64" i="33"/>
  <c r="AV63" i="33"/>
  <c r="AU63" i="33"/>
  <c r="AV62" i="33"/>
  <c r="AU62" i="33"/>
  <c r="AV61" i="33"/>
  <c r="AU61" i="33"/>
  <c r="AV60" i="33"/>
  <c r="AU60" i="33"/>
  <c r="AV59" i="33"/>
  <c r="AU59" i="33"/>
  <c r="AV58" i="33"/>
  <c r="AU58" i="33"/>
  <c r="AV57" i="33"/>
  <c r="AU57" i="33"/>
  <c r="AV56" i="33"/>
  <c r="AU56" i="33"/>
  <c r="AV55" i="33"/>
  <c r="AU55" i="33"/>
  <c r="AV54" i="33"/>
  <c r="AU54" i="33"/>
  <c r="AV53" i="33"/>
  <c r="AU53" i="33"/>
  <c r="AV52" i="33"/>
  <c r="AU52" i="33"/>
  <c r="AV51" i="33"/>
  <c r="AU51" i="33"/>
  <c r="AV50" i="33"/>
  <c r="AU50" i="33"/>
  <c r="AV49" i="33"/>
  <c r="AU49" i="33"/>
  <c r="AV48" i="33"/>
  <c r="AU48" i="33"/>
  <c r="AV47" i="33"/>
  <c r="AU47" i="33"/>
  <c r="AV46" i="33"/>
  <c r="AU46" i="33"/>
  <c r="AV45" i="33"/>
  <c r="AU45" i="33"/>
  <c r="AV44" i="33"/>
  <c r="AU44" i="33"/>
  <c r="AV43" i="33"/>
  <c r="AU43" i="33"/>
  <c r="AV42" i="33"/>
  <c r="AU42" i="33"/>
  <c r="AV41" i="33"/>
  <c r="AU41" i="33"/>
  <c r="AV40" i="33"/>
  <c r="AU40" i="33"/>
  <c r="AV39" i="33"/>
  <c r="AU39" i="33"/>
  <c r="AV38" i="33"/>
  <c r="AU38" i="33"/>
  <c r="AV37" i="33"/>
  <c r="AU37" i="33"/>
  <c r="AV36" i="33"/>
  <c r="AU36" i="33"/>
  <c r="AV35" i="33"/>
  <c r="AU35" i="33"/>
  <c r="AV34" i="33"/>
  <c r="AU34" i="33"/>
  <c r="AV33" i="33"/>
  <c r="AU33" i="33"/>
  <c r="AV32" i="33"/>
  <c r="AU32" i="33"/>
  <c r="AV31" i="33"/>
  <c r="AU31" i="33"/>
  <c r="AV30" i="33"/>
  <c r="AU30" i="33"/>
  <c r="AV29" i="33"/>
  <c r="AU29" i="33"/>
  <c r="AV28" i="33"/>
  <c r="AU28" i="33"/>
  <c r="AV27" i="33"/>
  <c r="AU27" i="33"/>
  <c r="AV26" i="33"/>
  <c r="AU26" i="33"/>
  <c r="AV25" i="33"/>
  <c r="AU25" i="33"/>
  <c r="AV24" i="33"/>
  <c r="AU24" i="33"/>
  <c r="AV23" i="33"/>
  <c r="AU23" i="33"/>
  <c r="AV22" i="33"/>
  <c r="AU22" i="33"/>
  <c r="AV21" i="33"/>
  <c r="AU21" i="33"/>
  <c r="AV20" i="33"/>
  <c r="AU20" i="33"/>
  <c r="AV19" i="33"/>
  <c r="AU19" i="33"/>
  <c r="AV18" i="33"/>
  <c r="AU18" i="33"/>
  <c r="AV17" i="33"/>
  <c r="AU17" i="33"/>
  <c r="AV16" i="33"/>
  <c r="AU16" i="33"/>
  <c r="AV15" i="33"/>
  <c r="AU15" i="33"/>
  <c r="AV14" i="33"/>
  <c r="AU14" i="33"/>
  <c r="AV13" i="33"/>
  <c r="AU13" i="33"/>
  <c r="AV12" i="33"/>
  <c r="AU12" i="33"/>
  <c r="AV11" i="33"/>
  <c r="AU11" i="33"/>
  <c r="AV10" i="33"/>
  <c r="AU10" i="33"/>
  <c r="AV9" i="33"/>
  <c r="AU9" i="33"/>
  <c r="AD201" i="33"/>
  <c r="AD200" i="33"/>
  <c r="AD199" i="33"/>
  <c r="AD198" i="33"/>
  <c r="AD197" i="33"/>
  <c r="AD196" i="33"/>
  <c r="AD195" i="33"/>
  <c r="AD194" i="33"/>
  <c r="AD193" i="33"/>
  <c r="AD192" i="33"/>
  <c r="AD191" i="33"/>
  <c r="AD190" i="33"/>
  <c r="AD189" i="33"/>
  <c r="AD188" i="33"/>
  <c r="AD187" i="33"/>
  <c r="AD186" i="33"/>
  <c r="AD185" i="33"/>
  <c r="AD184" i="33"/>
  <c r="AD183" i="33"/>
  <c r="AD182" i="33"/>
  <c r="AD181" i="33"/>
  <c r="AD180" i="33"/>
  <c r="AD179" i="33"/>
  <c r="AD178" i="33"/>
  <c r="AD177" i="33"/>
  <c r="AD176" i="33"/>
  <c r="AD175" i="33"/>
  <c r="AD174" i="33"/>
  <c r="AD173" i="33"/>
  <c r="AD172" i="33"/>
  <c r="AD171" i="33"/>
  <c r="AD170" i="33"/>
  <c r="AD169" i="33"/>
  <c r="AD168" i="33"/>
  <c r="AD167" i="33"/>
  <c r="AD166" i="33"/>
  <c r="AD165" i="33"/>
  <c r="AD164" i="33"/>
  <c r="AD163" i="33"/>
  <c r="AD162" i="33"/>
  <c r="AD161" i="33"/>
  <c r="AD160" i="33"/>
  <c r="AD159" i="33"/>
  <c r="AD158" i="33"/>
  <c r="AD157" i="33"/>
  <c r="AD156" i="33"/>
  <c r="AD155" i="33"/>
  <c r="AD154" i="33"/>
  <c r="AD153" i="33"/>
  <c r="AD152" i="33"/>
  <c r="AD151" i="33"/>
  <c r="AD150" i="33"/>
  <c r="AD149" i="33"/>
  <c r="AD148" i="33"/>
  <c r="AD147" i="33"/>
  <c r="AD146" i="33"/>
  <c r="AD145" i="33"/>
  <c r="AD144" i="33"/>
  <c r="AD143" i="33"/>
  <c r="AD142" i="33"/>
  <c r="AD141" i="33"/>
  <c r="AD140" i="33"/>
  <c r="AD139" i="33"/>
  <c r="AD138" i="33"/>
  <c r="AD137" i="33"/>
  <c r="AD136" i="33"/>
  <c r="AD135" i="33"/>
  <c r="AD134" i="33"/>
  <c r="AD133" i="33"/>
  <c r="AD132" i="33"/>
  <c r="AD131" i="33"/>
  <c r="AD130" i="33"/>
  <c r="AD129" i="33"/>
  <c r="AD128" i="33"/>
  <c r="AD127" i="33"/>
  <c r="AD126" i="33"/>
  <c r="AD125" i="33"/>
  <c r="AD124" i="33"/>
  <c r="AD123" i="33"/>
  <c r="AD122" i="33"/>
  <c r="AD121" i="33"/>
  <c r="AD120" i="33"/>
  <c r="AD119" i="33"/>
  <c r="AD118" i="33"/>
  <c r="AD117" i="33"/>
  <c r="AD116" i="33"/>
  <c r="AD115" i="33"/>
  <c r="AD114" i="33"/>
  <c r="AD113" i="33"/>
  <c r="AD112" i="33"/>
  <c r="AD111" i="33"/>
  <c r="AD110" i="33"/>
  <c r="AD109" i="33"/>
  <c r="AD108" i="33"/>
  <c r="AD107" i="33"/>
  <c r="AD106" i="33"/>
  <c r="AD105" i="33"/>
  <c r="AD104" i="33"/>
  <c r="AD103" i="33"/>
  <c r="AD102" i="33"/>
  <c r="AD101" i="33"/>
  <c r="AD100" i="33"/>
  <c r="AD99" i="33"/>
  <c r="AD98" i="33"/>
  <c r="AD97" i="33"/>
  <c r="AD96" i="33"/>
  <c r="AD95" i="33"/>
  <c r="AD94" i="33"/>
  <c r="AD93" i="33"/>
  <c r="AD92" i="33"/>
  <c r="AD91" i="33"/>
  <c r="AD90" i="33"/>
  <c r="AD89" i="33"/>
  <c r="AD88" i="33"/>
  <c r="AD87" i="33"/>
  <c r="AD86" i="33"/>
  <c r="AD85" i="33"/>
  <c r="AD84" i="33"/>
  <c r="AD83" i="33"/>
  <c r="AD82" i="33"/>
  <c r="AD81" i="33"/>
  <c r="AD80" i="33"/>
  <c r="AD79" i="33"/>
  <c r="AD78" i="33"/>
  <c r="AD77" i="33"/>
  <c r="AD76" i="33"/>
  <c r="AD75" i="33"/>
  <c r="AD74" i="33"/>
  <c r="AD73" i="33"/>
  <c r="AD72" i="33"/>
  <c r="AD71" i="33"/>
  <c r="AD70" i="33"/>
  <c r="AD69" i="33"/>
  <c r="AD68" i="33"/>
  <c r="AD67" i="33"/>
  <c r="AD66" i="33"/>
  <c r="AD65" i="33"/>
  <c r="AD64" i="33"/>
  <c r="AD63" i="33"/>
  <c r="AD62" i="33"/>
  <c r="AD61" i="33"/>
  <c r="AD60" i="33"/>
  <c r="AD59" i="33"/>
  <c r="AD58" i="33"/>
  <c r="AD57" i="33"/>
  <c r="AD56" i="33"/>
  <c r="AD55" i="33"/>
  <c r="AD54" i="33"/>
  <c r="AD53" i="33"/>
  <c r="AD52" i="33"/>
  <c r="AD51" i="33"/>
  <c r="AD50" i="33"/>
  <c r="AD49" i="33"/>
  <c r="AD48" i="33"/>
  <c r="AD47" i="33"/>
  <c r="AD46" i="33"/>
  <c r="AD45" i="33"/>
  <c r="AD44" i="33"/>
  <c r="AD43" i="33"/>
  <c r="AD42" i="33"/>
  <c r="AD41" i="33"/>
  <c r="AD40" i="33"/>
  <c r="AD39" i="33"/>
  <c r="AD38" i="33"/>
  <c r="AD37" i="33"/>
  <c r="AD36" i="33"/>
  <c r="AD35" i="33"/>
  <c r="AD34" i="33"/>
  <c r="AD33" i="33"/>
  <c r="AD32" i="33"/>
  <c r="AD31" i="33"/>
  <c r="AD30" i="33"/>
  <c r="AD29" i="33"/>
  <c r="AD28" i="33"/>
  <c r="AD27" i="33"/>
  <c r="AD26" i="33"/>
  <c r="AD25" i="33"/>
  <c r="AD24" i="33"/>
  <c r="AD23" i="33"/>
  <c r="AD22" i="33"/>
  <c r="AD21" i="33"/>
  <c r="AD20" i="33"/>
  <c r="AD19" i="33"/>
  <c r="AD18" i="33"/>
  <c r="AD17" i="33"/>
  <c r="AD16" i="33"/>
  <c r="AD15" i="33"/>
  <c r="AD14" i="33"/>
  <c r="AD13" i="33"/>
  <c r="AD12" i="33"/>
  <c r="AD11" i="33"/>
  <c r="AD10" i="33"/>
  <c r="AD9" i="33"/>
  <c r="AC201" i="33"/>
  <c r="AC200" i="33"/>
  <c r="AC199" i="33"/>
  <c r="AC198" i="33"/>
  <c r="AC197" i="33"/>
  <c r="AC196" i="33"/>
  <c r="AC195" i="33"/>
  <c r="AC194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4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B201" i="33"/>
  <c r="AB200" i="33"/>
  <c r="AB199" i="33"/>
  <c r="AB198" i="33"/>
  <c r="AB197" i="33"/>
  <c r="AB196" i="33"/>
  <c r="AB195" i="33"/>
  <c r="AB194" i="33"/>
  <c r="AB193" i="33"/>
  <c r="AB192" i="33"/>
  <c r="AB191" i="33"/>
  <c r="AB190" i="33"/>
  <c r="AB189" i="33"/>
  <c r="AB188" i="33"/>
  <c r="AB187" i="33"/>
  <c r="AB186" i="33"/>
  <c r="AB185" i="33"/>
  <c r="AB184" i="33"/>
  <c r="AB183" i="33"/>
  <c r="AB182" i="33"/>
  <c r="AB181" i="33"/>
  <c r="AB180" i="33"/>
  <c r="AB179" i="33"/>
  <c r="AB178" i="33"/>
  <c r="AB177" i="33"/>
  <c r="AB176" i="33"/>
  <c r="AB175" i="33"/>
  <c r="AB174" i="33"/>
  <c r="AB173" i="33"/>
  <c r="AB172" i="33"/>
  <c r="AB171" i="33"/>
  <c r="AB170" i="33"/>
  <c r="AB169" i="33"/>
  <c r="AB168" i="33"/>
  <c r="AB167" i="33"/>
  <c r="AB166" i="33"/>
  <c r="AB165" i="33"/>
  <c r="AB164" i="33"/>
  <c r="AB163" i="33"/>
  <c r="AB162" i="33"/>
  <c r="AB161" i="33"/>
  <c r="AB160" i="33"/>
  <c r="AB159" i="33"/>
  <c r="AB158" i="33"/>
  <c r="AB157" i="33"/>
  <c r="AB156" i="33"/>
  <c r="AB155" i="33"/>
  <c r="AB154" i="33"/>
  <c r="AB153" i="33"/>
  <c r="AB152" i="33"/>
  <c r="AB151" i="33"/>
  <c r="AB150" i="33"/>
  <c r="AB149" i="33"/>
  <c r="AB148" i="33"/>
  <c r="AB147" i="33"/>
  <c r="AB146" i="33"/>
  <c r="AB145" i="33"/>
  <c r="AB144" i="33"/>
  <c r="AB143" i="33"/>
  <c r="AB142" i="33"/>
  <c r="AB141" i="33"/>
  <c r="AB140" i="33"/>
  <c r="AB139" i="33"/>
  <c r="AB138" i="33"/>
  <c r="AB137" i="33"/>
  <c r="AB136" i="33"/>
  <c r="AB135" i="33"/>
  <c r="AB134" i="33"/>
  <c r="AB133" i="33"/>
  <c r="AB132" i="33"/>
  <c r="AB131" i="33"/>
  <c r="AB130" i="33"/>
  <c r="AB129" i="33"/>
  <c r="AB128" i="33"/>
  <c r="AB127" i="33"/>
  <c r="AB126" i="33"/>
  <c r="AB125" i="33"/>
  <c r="AB124" i="33"/>
  <c r="AB123" i="33"/>
  <c r="AB122" i="33"/>
  <c r="AB121" i="33"/>
  <c r="AB120" i="33"/>
  <c r="AB119" i="33"/>
  <c r="AB118" i="33"/>
  <c r="AB117" i="33"/>
  <c r="AB116" i="33"/>
  <c r="AB115" i="33"/>
  <c r="AB114" i="33"/>
  <c r="AB113" i="33"/>
  <c r="AB112" i="33"/>
  <c r="AB111" i="33"/>
  <c r="AB110" i="33"/>
  <c r="AB109" i="33"/>
  <c r="AB108" i="33"/>
  <c r="AB107" i="33"/>
  <c r="AB106" i="33"/>
  <c r="AB105" i="33"/>
  <c r="AB104" i="33"/>
  <c r="AB103" i="33"/>
  <c r="AB102" i="33"/>
  <c r="AB101" i="33"/>
  <c r="AB100" i="33"/>
  <c r="AB99" i="33"/>
  <c r="AB98" i="33"/>
  <c r="AB97" i="33"/>
  <c r="AB96" i="33"/>
  <c r="AB95" i="33"/>
  <c r="AB94" i="33"/>
  <c r="AB93" i="33"/>
  <c r="AB92" i="33"/>
  <c r="AB91" i="33"/>
  <c r="AB90" i="33"/>
  <c r="AB89" i="33"/>
  <c r="AB88" i="33"/>
  <c r="AB87" i="33"/>
  <c r="AB86" i="33"/>
  <c r="AB85" i="33"/>
  <c r="AB84" i="33"/>
  <c r="AB83" i="33"/>
  <c r="AB82" i="33"/>
  <c r="AB81" i="33"/>
  <c r="AB80" i="33"/>
  <c r="AB79" i="33"/>
  <c r="AB78" i="33"/>
  <c r="AB77" i="33"/>
  <c r="AB76" i="33"/>
  <c r="AB75" i="33"/>
  <c r="AB74" i="33"/>
  <c r="AB73" i="33"/>
  <c r="AB72" i="33"/>
  <c r="AB71" i="33"/>
  <c r="AB70" i="33"/>
  <c r="AB69" i="33"/>
  <c r="AB68" i="33"/>
  <c r="AB67" i="33"/>
  <c r="AB66" i="33"/>
  <c r="AB65" i="33"/>
  <c r="AB64" i="33"/>
  <c r="AB63" i="33"/>
  <c r="AB62" i="33"/>
  <c r="AB61" i="33"/>
  <c r="AB60" i="33"/>
  <c r="AB59" i="33"/>
  <c r="AB58" i="33"/>
  <c r="AB57" i="33"/>
  <c r="AB56" i="33"/>
  <c r="AB55" i="33"/>
  <c r="AB54" i="33"/>
  <c r="AB53" i="33"/>
  <c r="AB52" i="33"/>
  <c r="AB51" i="33"/>
  <c r="AB50" i="33"/>
  <c r="AB49" i="33"/>
  <c r="AB48" i="33"/>
  <c r="AB47" i="33"/>
  <c r="AB46" i="33"/>
  <c r="AB45" i="33"/>
  <c r="AB44" i="33"/>
  <c r="AB43" i="33"/>
  <c r="AB42" i="33"/>
  <c r="AB41" i="33"/>
  <c r="AB40" i="33"/>
  <c r="AB39" i="33"/>
  <c r="AB38" i="33"/>
  <c r="AB37" i="33"/>
  <c r="AB36" i="33"/>
  <c r="AB35" i="33"/>
  <c r="AB34" i="33"/>
  <c r="AB33" i="33"/>
  <c r="AB32" i="33"/>
  <c r="AB31" i="33"/>
  <c r="AB30" i="33"/>
  <c r="AB29" i="33"/>
  <c r="AB28" i="33"/>
  <c r="AB27" i="33"/>
  <c r="AB26" i="33"/>
  <c r="AB25" i="33"/>
  <c r="AB24" i="33"/>
  <c r="AB23" i="33"/>
  <c r="AB22" i="33"/>
  <c r="AB21" i="33"/>
  <c r="AB20" i="33"/>
  <c r="AB19" i="33"/>
  <c r="AB18" i="33"/>
  <c r="AB17" i="33"/>
  <c r="AB16" i="33"/>
  <c r="AB15" i="33"/>
  <c r="AB14" i="33"/>
  <c r="AB13" i="33"/>
  <c r="AB12" i="33"/>
  <c r="AB11" i="33"/>
  <c r="AB10" i="33"/>
  <c r="AB9" i="33"/>
  <c r="DO197" i="33" l="1"/>
  <c r="DO201" i="33"/>
  <c r="DO195" i="33"/>
  <c r="DO199" i="33"/>
  <c r="FY11" i="33"/>
  <c r="FX10" i="33"/>
  <c r="FY4" i="33"/>
  <c r="FY8" i="33"/>
  <c r="ET4" i="33"/>
  <c r="ET6" i="33"/>
  <c r="ET8" i="33"/>
  <c r="ET11" i="33"/>
  <c r="FX9" i="33"/>
  <c r="FX11" i="33"/>
  <c r="FY6" i="33"/>
  <c r="ES6" i="33"/>
  <c r="ES8" i="33"/>
  <c r="ES10" i="33"/>
  <c r="ET9" i="33"/>
  <c r="ES5" i="33"/>
  <c r="ES7" i="33"/>
  <c r="FY9" i="33"/>
  <c r="FX4" i="33"/>
  <c r="FX7" i="33"/>
  <c r="FX6" i="33"/>
  <c r="FX8" i="33"/>
  <c r="FY10" i="33"/>
  <c r="FX5" i="33"/>
  <c r="FY5" i="33"/>
  <c r="FY7" i="33"/>
  <c r="ET7" i="33"/>
  <c r="ES9" i="33"/>
  <c r="ES4" i="33"/>
  <c r="ET5" i="33"/>
  <c r="GV9" i="33"/>
  <c r="GV11" i="33"/>
  <c r="GV13" i="33"/>
  <c r="GV15" i="33"/>
  <c r="GV17" i="33"/>
  <c r="GV19" i="33"/>
  <c r="GV21" i="33"/>
  <c r="GV23" i="33"/>
  <c r="GV25" i="33"/>
  <c r="GV27" i="33"/>
  <c r="GV29" i="33"/>
  <c r="GV31" i="33"/>
  <c r="GV33" i="33"/>
  <c r="GV35" i="33"/>
  <c r="GV37" i="33"/>
  <c r="GV39" i="33"/>
  <c r="GV41" i="33"/>
  <c r="GV43" i="33"/>
  <c r="GV45" i="33"/>
  <c r="GV47" i="33"/>
  <c r="GV49" i="33"/>
  <c r="GV51" i="33"/>
  <c r="GV53" i="33"/>
  <c r="GV55" i="33"/>
  <c r="GV57" i="33"/>
  <c r="GV59" i="33"/>
  <c r="GV61" i="33"/>
  <c r="GV63" i="33"/>
  <c r="GV65" i="33"/>
  <c r="GV67" i="33"/>
  <c r="GV69" i="33"/>
  <c r="GV71" i="33"/>
  <c r="GV73" i="33"/>
  <c r="GV75" i="33"/>
  <c r="GV77" i="33"/>
  <c r="GV79" i="33"/>
  <c r="GV81" i="33"/>
  <c r="GV83" i="33"/>
  <c r="GV85" i="33"/>
  <c r="GV87" i="33"/>
  <c r="GV89" i="33"/>
  <c r="GV91" i="33"/>
  <c r="GV93" i="33"/>
  <c r="GV95" i="33"/>
  <c r="GV97" i="33"/>
  <c r="GV99" i="33"/>
  <c r="GV101" i="33"/>
  <c r="GV103" i="33"/>
  <c r="GV10" i="33"/>
  <c r="GV12" i="33"/>
  <c r="GV14" i="33"/>
  <c r="GV16" i="33"/>
  <c r="GV18" i="33"/>
  <c r="GV20" i="33"/>
  <c r="GV22" i="33"/>
  <c r="GV24" i="33"/>
  <c r="GV26" i="33"/>
  <c r="GV28" i="33"/>
  <c r="GV30" i="33"/>
  <c r="GV32" i="33"/>
  <c r="GV34" i="33"/>
  <c r="GV36" i="33"/>
  <c r="GV38" i="33"/>
  <c r="GV40" i="33"/>
  <c r="GV42" i="33"/>
  <c r="GV44" i="33"/>
  <c r="GV46" i="33"/>
  <c r="GV48" i="33"/>
  <c r="GV50" i="33"/>
  <c r="GV52" i="33"/>
  <c r="GV54" i="33"/>
  <c r="GV56" i="33"/>
  <c r="GV58" i="33"/>
  <c r="GV60" i="33"/>
  <c r="GV62" i="33"/>
  <c r="GV64" i="33"/>
  <c r="GV66" i="33"/>
  <c r="GV68" i="33"/>
  <c r="GV70" i="33"/>
  <c r="GV72" i="33"/>
  <c r="GV74" i="33"/>
  <c r="GV76" i="33"/>
  <c r="GV78" i="33"/>
  <c r="GV80" i="33"/>
  <c r="GV82" i="33"/>
  <c r="GV84" i="33"/>
  <c r="GV86" i="33"/>
  <c r="GV88" i="33"/>
  <c r="GV90" i="33"/>
  <c r="GV92" i="33"/>
  <c r="GV94" i="33"/>
  <c r="GV96" i="33"/>
  <c r="GV98" i="33"/>
  <c r="GV100" i="33"/>
  <c r="GV102" i="33"/>
  <c r="GV104" i="33"/>
  <c r="GV106" i="33"/>
  <c r="GV108" i="33"/>
  <c r="GV110" i="33"/>
  <c r="GV112" i="33"/>
  <c r="GV114" i="33"/>
  <c r="GV116" i="33"/>
  <c r="GV118" i="33"/>
  <c r="GV120" i="33"/>
  <c r="GV122" i="33"/>
  <c r="GV124" i="33"/>
  <c r="GV126" i="33"/>
  <c r="GV128" i="33"/>
  <c r="GV130" i="33"/>
  <c r="GV132" i="33"/>
  <c r="GV134" i="33"/>
  <c r="GV136" i="33"/>
  <c r="GV138" i="33"/>
  <c r="GV140" i="33"/>
  <c r="GV142" i="33"/>
  <c r="GV144" i="33"/>
  <c r="GV146" i="33"/>
  <c r="GV148" i="33"/>
  <c r="GV150" i="33"/>
  <c r="GV152" i="33"/>
  <c r="GV154" i="33"/>
  <c r="GV156" i="33"/>
  <c r="GV158" i="33"/>
  <c r="GV160" i="33"/>
  <c r="GV162" i="33"/>
  <c r="GV164" i="33"/>
  <c r="GV166" i="33"/>
  <c r="GV168" i="33"/>
  <c r="GV170" i="33"/>
  <c r="GV172" i="33"/>
  <c r="GV174" i="33"/>
  <c r="GV176" i="33"/>
  <c r="GV178" i="33"/>
  <c r="GV180" i="33"/>
  <c r="GV182" i="33"/>
  <c r="GV184" i="33"/>
  <c r="GV186" i="33"/>
  <c r="GV188" i="33"/>
  <c r="GV190" i="33"/>
  <c r="GV192" i="33"/>
  <c r="GV194" i="33"/>
  <c r="GV196" i="33"/>
  <c r="GV198" i="33"/>
  <c r="GV200" i="33"/>
  <c r="GV105" i="33"/>
  <c r="GV107" i="33"/>
  <c r="GV109" i="33"/>
  <c r="GV111" i="33"/>
  <c r="GV113" i="33"/>
  <c r="GV115" i="33"/>
  <c r="GV117" i="33"/>
  <c r="GV119" i="33"/>
  <c r="GV121" i="33"/>
  <c r="GV123" i="33"/>
  <c r="GV125" i="33"/>
  <c r="GV127" i="33"/>
  <c r="GV129" i="33"/>
  <c r="GV131" i="33"/>
  <c r="GV133" i="33"/>
  <c r="GV135" i="33"/>
  <c r="GV137" i="33"/>
  <c r="GV139" i="33"/>
  <c r="GV141" i="33"/>
  <c r="GV143" i="33"/>
  <c r="GV145" i="33"/>
  <c r="GV147" i="33"/>
  <c r="GV149" i="33"/>
  <c r="GV151" i="33"/>
  <c r="GV153" i="33"/>
  <c r="GV155" i="33"/>
  <c r="GV157" i="33"/>
  <c r="GV159" i="33"/>
  <c r="GV161" i="33"/>
  <c r="GV163" i="33"/>
  <c r="GV165" i="33"/>
  <c r="GV167" i="33"/>
  <c r="GV169" i="33"/>
  <c r="GV171" i="33"/>
  <c r="GV173" i="33"/>
  <c r="GV175" i="33"/>
  <c r="GV177" i="33"/>
  <c r="GV179" i="33"/>
  <c r="GV181" i="33"/>
  <c r="GV183" i="33"/>
  <c r="GV185" i="33"/>
  <c r="GV187" i="33"/>
  <c r="GV189" i="33"/>
  <c r="GV191" i="33"/>
  <c r="GV193" i="33"/>
  <c r="GV195" i="33"/>
  <c r="GV197" i="33"/>
  <c r="GV199" i="33"/>
  <c r="GV201" i="33"/>
  <c r="DO187" i="33"/>
  <c r="DO189" i="33"/>
  <c r="DO191" i="33"/>
  <c r="DO193" i="33"/>
  <c r="DO10" i="33"/>
  <c r="DO12" i="33"/>
  <c r="DO14" i="33"/>
  <c r="DO16" i="33"/>
  <c r="DO18" i="33"/>
  <c r="DO20" i="33"/>
  <c r="DO22" i="33"/>
  <c r="DO24" i="33"/>
  <c r="DO26" i="33"/>
  <c r="DO28" i="33"/>
  <c r="DO30" i="33"/>
  <c r="DO32" i="33"/>
  <c r="DO34" i="33"/>
  <c r="DO36" i="33"/>
  <c r="DO38" i="33"/>
  <c r="DO40" i="33"/>
  <c r="DO42" i="33"/>
  <c r="DO44" i="33"/>
  <c r="DO46" i="33"/>
  <c r="DO48" i="33"/>
  <c r="DO50" i="33"/>
  <c r="DO52" i="33"/>
  <c r="DO54" i="33"/>
  <c r="DO56" i="33"/>
  <c r="DO58" i="33"/>
  <c r="DO60" i="33"/>
  <c r="DO62" i="33"/>
  <c r="DO64" i="33"/>
  <c r="DO66" i="33"/>
  <c r="DO68" i="33"/>
  <c r="DO70" i="33"/>
  <c r="DO72" i="33"/>
  <c r="DO74" i="33"/>
  <c r="DO76" i="33"/>
  <c r="DO78" i="33"/>
  <c r="DO80" i="33"/>
  <c r="DO82" i="33"/>
  <c r="DO84" i="33"/>
  <c r="DO86" i="33"/>
  <c r="DO88" i="33"/>
  <c r="DO90" i="33"/>
  <c r="DO92" i="33"/>
  <c r="DO94" i="33"/>
  <c r="DO96" i="33"/>
  <c r="DO98" i="33"/>
  <c r="DO100" i="33"/>
  <c r="DO102" i="33"/>
  <c r="DO104" i="33"/>
  <c r="DO106" i="33"/>
  <c r="DO108" i="33"/>
  <c r="DO110" i="33"/>
  <c r="DO112" i="33"/>
  <c r="DO114" i="33"/>
  <c r="DO116" i="33"/>
  <c r="DO118" i="33"/>
  <c r="DO120" i="33"/>
  <c r="DO122" i="33"/>
  <c r="DO124" i="33"/>
  <c r="DO126" i="33"/>
  <c r="DO128" i="33"/>
  <c r="DO130" i="33"/>
  <c r="DO132" i="33"/>
  <c r="DO134" i="33"/>
  <c r="DO136" i="33"/>
  <c r="DO138" i="33"/>
  <c r="DO9" i="33"/>
  <c r="DO11" i="33"/>
  <c r="DO13" i="33"/>
  <c r="DO15" i="33"/>
  <c r="DO17" i="33"/>
  <c r="DO19" i="33"/>
  <c r="DO21" i="33"/>
  <c r="DO23" i="33"/>
  <c r="DO25" i="33"/>
  <c r="DO27" i="33"/>
  <c r="DO29" i="33"/>
  <c r="DO31" i="33"/>
  <c r="DO33" i="33"/>
  <c r="DO35" i="33"/>
  <c r="DO37" i="33"/>
  <c r="DO39" i="33"/>
  <c r="DO41" i="33"/>
  <c r="DO43" i="33"/>
  <c r="DO45" i="33"/>
  <c r="DO47" i="33"/>
  <c r="DO49" i="33"/>
  <c r="DO51" i="33"/>
  <c r="DO53" i="33"/>
  <c r="DO55" i="33"/>
  <c r="DO57" i="33"/>
  <c r="DO59" i="33"/>
  <c r="DO61" i="33"/>
  <c r="DO63" i="33"/>
  <c r="DO65" i="33"/>
  <c r="DO67" i="33"/>
  <c r="DO69" i="33"/>
  <c r="DO71" i="33"/>
  <c r="DO73" i="33"/>
  <c r="DO75" i="33"/>
  <c r="DO77" i="33"/>
  <c r="DO79" i="33"/>
  <c r="DO81" i="33"/>
  <c r="DO83" i="33"/>
  <c r="DO85" i="33"/>
  <c r="DO87" i="33"/>
  <c r="DO89" i="33"/>
  <c r="DO91" i="33"/>
  <c r="DO93" i="33"/>
  <c r="DO95" i="33"/>
  <c r="DO97" i="33"/>
  <c r="DO99" i="33"/>
  <c r="DO101" i="33"/>
  <c r="DO103" i="33"/>
  <c r="DO105" i="33"/>
  <c r="DO107" i="33"/>
  <c r="DO109" i="33"/>
  <c r="DO111" i="33"/>
  <c r="DO113" i="33"/>
  <c r="DO115" i="33"/>
  <c r="DO117" i="33"/>
  <c r="DO119" i="33"/>
  <c r="DO121" i="33"/>
  <c r="DO123" i="33"/>
  <c r="DO125" i="33"/>
  <c r="DO127" i="33"/>
  <c r="DO129" i="33"/>
  <c r="DO131" i="33"/>
  <c r="DO133" i="33"/>
  <c r="DO135" i="33"/>
  <c r="DO137" i="33"/>
  <c r="DO139" i="33"/>
  <c r="DO141" i="33"/>
  <c r="DO143" i="33"/>
  <c r="DO145" i="33"/>
  <c r="DO147" i="33"/>
  <c r="DO149" i="33"/>
  <c r="DO151" i="33"/>
  <c r="DO153" i="33"/>
  <c r="DO155" i="33"/>
  <c r="DO157" i="33"/>
  <c r="DO159" i="33"/>
  <c r="DO161" i="33"/>
  <c r="DO163" i="33"/>
  <c r="DO165" i="33"/>
  <c r="DO167" i="33"/>
  <c r="DO169" i="33"/>
  <c r="DO171" i="33"/>
  <c r="DO173" i="33"/>
  <c r="DO175" i="33"/>
  <c r="DO177" i="33"/>
  <c r="DO179" i="33"/>
  <c r="DO181" i="33"/>
  <c r="DO183" i="33"/>
  <c r="DO185" i="33"/>
  <c r="DO140" i="33"/>
  <c r="DO142" i="33"/>
  <c r="DO144" i="33"/>
  <c r="DO146" i="33"/>
  <c r="DO148" i="33"/>
  <c r="DO150" i="33"/>
  <c r="DO152" i="33"/>
  <c r="DO154" i="33"/>
  <c r="DO156" i="33"/>
  <c r="DO158" i="33"/>
  <c r="DO160" i="33"/>
  <c r="DO162" i="33"/>
  <c r="DO164" i="33"/>
  <c r="DO166" i="33"/>
  <c r="DO168" i="33"/>
  <c r="DO170" i="33"/>
  <c r="DO172" i="33"/>
  <c r="DO174" i="33"/>
  <c r="DO176" i="33"/>
  <c r="DO178" i="33"/>
  <c r="DO180" i="33"/>
  <c r="DO182" i="33"/>
  <c r="DO184" i="33"/>
  <c r="DO186" i="33"/>
  <c r="DO188" i="33"/>
  <c r="DO190" i="33"/>
  <c r="DO192" i="33"/>
  <c r="DO194" i="33"/>
  <c r="DO196" i="33"/>
  <c r="DO198" i="33"/>
  <c r="DO200" i="33"/>
  <c r="ET10" i="33"/>
  <c r="ES11" i="33"/>
  <c r="I8" i="33"/>
  <c r="I7" i="33"/>
  <c r="I6" i="33"/>
  <c r="I5" i="33"/>
  <c r="I4" i="33"/>
  <c r="B4" i="33"/>
  <c r="A4" i="33" s="1"/>
  <c r="M5" i="33" l="1"/>
  <c r="M7" i="33"/>
  <c r="B5" i="33"/>
  <c r="M4" i="33"/>
  <c r="M6" i="33"/>
  <c r="M8" i="33"/>
  <c r="B6" i="33" l="1"/>
  <c r="A5" i="33"/>
  <c r="A6" i="33" l="1"/>
  <c r="B7" i="33"/>
  <c r="B8" i="33" l="1"/>
  <c r="A7" i="33"/>
  <c r="A8" i="33" l="1"/>
  <c r="B9" i="33"/>
  <c r="DE9" i="33" s="1"/>
  <c r="B10" i="33" l="1"/>
  <c r="DE10" i="33" s="1"/>
  <c r="A9" i="33"/>
  <c r="A10" i="33" l="1"/>
  <c r="B11" i="33"/>
  <c r="DE11" i="33" s="1"/>
  <c r="B207" i="33"/>
  <c r="A207" i="33" s="1"/>
  <c r="B206" i="33"/>
  <c r="A206" i="33" s="1"/>
  <c r="B205" i="33"/>
  <c r="A205" i="33" s="1"/>
  <c r="B204" i="33"/>
  <c r="A204" i="33" s="1"/>
  <c r="B203" i="33"/>
  <c r="A203" i="33" s="1"/>
  <c r="T4" i="33"/>
  <c r="U4" i="33"/>
  <c r="W4" i="33"/>
  <c r="AC4" i="33"/>
  <c r="AD4" i="33"/>
  <c r="AU4" i="33"/>
  <c r="AV4" i="33"/>
  <c r="BG4" i="33"/>
  <c r="BH4" i="33"/>
  <c r="BY4" i="33"/>
  <c r="BZ4" i="33"/>
  <c r="CJ4" i="33"/>
  <c r="GW4" i="33" s="1"/>
  <c r="GV4" i="33" s="1"/>
  <c r="CK4" i="33"/>
  <c r="CL4" i="33"/>
  <c r="DD4" i="33"/>
  <c r="DP4" i="33"/>
  <c r="DQ4" i="33"/>
  <c r="EH4" i="33"/>
  <c r="EI4" i="33"/>
  <c r="EU4" i="33"/>
  <c r="EV4" i="33"/>
  <c r="FM4" i="33"/>
  <c r="FN4" i="33"/>
  <c r="GA4" i="33"/>
  <c r="GB4" i="33"/>
  <c r="HJ4" i="33"/>
  <c r="HO4" i="33"/>
  <c r="HP4" i="33"/>
  <c r="HQ4" i="33"/>
  <c r="BF4" i="33"/>
  <c r="S4" i="33"/>
  <c r="U5" i="33"/>
  <c r="X4" i="33"/>
  <c r="Y4" i="33"/>
  <c r="AC5" i="33"/>
  <c r="AD5" i="33"/>
  <c r="AU5" i="33"/>
  <c r="AV5" i="33"/>
  <c r="BG5" i="33"/>
  <c r="BH5" i="33"/>
  <c r="BY5" i="33"/>
  <c r="BZ5" i="33"/>
  <c r="CJ5" i="33"/>
  <c r="GW5" i="33" s="1"/>
  <c r="GV5" i="33" s="1"/>
  <c r="CK5" i="33"/>
  <c r="CL5" i="33"/>
  <c r="DD5" i="33"/>
  <c r="DP5" i="33"/>
  <c r="DQ5" i="33"/>
  <c r="EH5" i="33"/>
  <c r="EI5" i="33"/>
  <c r="EU5" i="33"/>
  <c r="EV5" i="33"/>
  <c r="FM5" i="33"/>
  <c r="FN5" i="33"/>
  <c r="GA5" i="33"/>
  <c r="GB5" i="33"/>
  <c r="HJ5" i="33"/>
  <c r="BF5" i="33"/>
  <c r="S5" i="33"/>
  <c r="T5" i="33"/>
  <c r="U6" i="33"/>
  <c r="W5" i="33"/>
  <c r="X6" i="33"/>
  <c r="Y5" i="33"/>
  <c r="AC6" i="33"/>
  <c r="AD6" i="33"/>
  <c r="AU6" i="33"/>
  <c r="AV6" i="33"/>
  <c r="BG6" i="33"/>
  <c r="BH6" i="33"/>
  <c r="BY6" i="33"/>
  <c r="BZ6" i="33"/>
  <c r="CK6" i="33"/>
  <c r="CL6" i="33"/>
  <c r="DD6" i="33"/>
  <c r="DP6" i="33"/>
  <c r="DQ6" i="33"/>
  <c r="EH6" i="33"/>
  <c r="EI6" i="33"/>
  <c r="EU6" i="33"/>
  <c r="EV6" i="33"/>
  <c r="FM6" i="33"/>
  <c r="FN6" i="33"/>
  <c r="GA6" i="33"/>
  <c r="GB6" i="33"/>
  <c r="HJ6" i="33"/>
  <c r="BF6" i="33"/>
  <c r="CJ6" i="33"/>
  <c r="GW6" i="33" s="1"/>
  <c r="S6" i="33"/>
  <c r="T6" i="33"/>
  <c r="U7" i="33"/>
  <c r="W6" i="33"/>
  <c r="X7" i="33"/>
  <c r="Y6" i="33"/>
  <c r="AC7" i="33"/>
  <c r="AD7" i="33"/>
  <c r="AU7" i="33"/>
  <c r="AV7" i="33"/>
  <c r="BG7" i="33"/>
  <c r="BH7" i="33"/>
  <c r="BY7" i="33"/>
  <c r="BZ7" i="33"/>
  <c r="CK7" i="33"/>
  <c r="CL7" i="33"/>
  <c r="DD7" i="33"/>
  <c r="DP7" i="33"/>
  <c r="DQ7" i="33"/>
  <c r="EH7" i="33"/>
  <c r="EI7" i="33"/>
  <c r="EU7" i="33"/>
  <c r="EV7" i="33"/>
  <c r="FM7" i="33"/>
  <c r="FN7" i="33"/>
  <c r="GA7" i="33"/>
  <c r="GB7" i="33"/>
  <c r="HJ7" i="33"/>
  <c r="BF7" i="33"/>
  <c r="CJ7" i="33"/>
  <c r="GW7" i="33" s="1"/>
  <c r="S7" i="33"/>
  <c r="T7" i="33"/>
  <c r="U8" i="33"/>
  <c r="W7" i="33"/>
  <c r="X8" i="33"/>
  <c r="Y7" i="33"/>
  <c r="S8" i="33"/>
  <c r="T8" i="33"/>
  <c r="W8" i="33"/>
  <c r="Y8" i="33"/>
  <c r="AC8" i="33"/>
  <c r="AD8" i="33"/>
  <c r="AU8" i="33"/>
  <c r="AV8" i="33"/>
  <c r="BG8" i="33"/>
  <c r="BH8" i="33"/>
  <c r="BY8" i="33"/>
  <c r="BZ8" i="33"/>
  <c r="CK8" i="33"/>
  <c r="CL8" i="33"/>
  <c r="DD8" i="33"/>
  <c r="DP8" i="33"/>
  <c r="DQ8" i="33"/>
  <c r="EH8" i="33"/>
  <c r="EI8" i="33"/>
  <c r="EU8" i="33"/>
  <c r="EV8" i="33"/>
  <c r="FM8" i="33"/>
  <c r="FN8" i="33"/>
  <c r="GA8" i="33"/>
  <c r="GB8" i="33"/>
  <c r="HJ8" i="33"/>
  <c r="BF8" i="33"/>
  <c r="CJ8" i="33"/>
  <c r="GW8" i="33" s="1"/>
  <c r="R9" i="33"/>
  <c r="S9" i="33"/>
  <c r="T9" i="33"/>
  <c r="U9" i="33"/>
  <c r="W9" i="33"/>
  <c r="X9" i="33"/>
  <c r="Y9" i="33"/>
  <c r="R10" i="33"/>
  <c r="S10" i="33"/>
  <c r="T10" i="33"/>
  <c r="U10" i="33"/>
  <c r="W10" i="33"/>
  <c r="X10" i="33"/>
  <c r="Y10" i="33"/>
  <c r="T18" i="33"/>
  <c r="T19" i="33"/>
  <c r="T20" i="33"/>
  <c r="T21" i="33"/>
  <c r="DO4" i="33" l="1"/>
  <c r="DO7" i="33"/>
  <c r="DO5" i="33"/>
  <c r="U20" i="33"/>
  <c r="U22" i="33"/>
  <c r="B12" i="33"/>
  <c r="DE12" i="33" s="1"/>
  <c r="A11" i="33"/>
  <c r="DO6" i="33"/>
  <c r="DO8" i="33"/>
  <c r="GV7" i="33"/>
  <c r="V4" i="33"/>
  <c r="V5" i="33"/>
  <c r="V6" i="33"/>
  <c r="V7" i="33"/>
  <c r="V8" i="33"/>
  <c r="V10" i="33"/>
  <c r="V9" i="33"/>
  <c r="GV8" i="33"/>
  <c r="GV6" i="33"/>
  <c r="DE4" i="33"/>
  <c r="Z9" i="33"/>
  <c r="Z4" i="33"/>
  <c r="Z5" i="33"/>
  <c r="Z6" i="33"/>
  <c r="Z7" i="33"/>
  <c r="Z8" i="33"/>
  <c r="Z10" i="33"/>
  <c r="R8" i="33"/>
  <c r="R7" i="33"/>
  <c r="R6" i="33"/>
  <c r="X5" i="33"/>
  <c r="R5" i="33"/>
  <c r="R4" i="33"/>
  <c r="T17" i="33"/>
  <c r="AB8" i="33"/>
  <c r="AB7" i="33"/>
  <c r="AB6" i="33"/>
  <c r="AB5" i="33"/>
  <c r="AB4" i="33"/>
  <c r="A12" i="33" l="1"/>
  <c r="B13" i="33"/>
  <c r="DE13" i="33" s="1"/>
  <c r="DE5" i="33"/>
  <c r="B14" i="33" l="1"/>
  <c r="DE14" i="33" s="1"/>
  <c r="A13" i="33"/>
  <c r="DE6" i="33"/>
  <c r="A14" i="33" l="1"/>
  <c r="B15" i="33"/>
  <c r="DE15" i="33" s="1"/>
  <c r="DE7" i="33"/>
  <c r="B16" i="33" l="1"/>
  <c r="DE16" i="33" s="1"/>
  <c r="A15" i="33"/>
  <c r="DE8" i="33"/>
  <c r="A16" i="33" l="1"/>
  <c r="B17" i="33"/>
  <c r="DE17" i="33" s="1"/>
  <c r="B18" i="33" l="1"/>
  <c r="DE18" i="33" s="1"/>
  <c r="A17" i="33"/>
  <c r="A18" i="33" l="1"/>
  <c r="B19" i="33"/>
  <c r="DE19" i="33" s="1"/>
  <c r="B20" i="33" l="1"/>
  <c r="DE20" i="33" s="1"/>
  <c r="A19" i="33"/>
  <c r="A20" i="33" l="1"/>
  <c r="B21" i="33"/>
  <c r="DE21" i="33" s="1"/>
  <c r="B22" i="33" l="1"/>
  <c r="DE22" i="33" s="1"/>
  <c r="A21" i="33"/>
  <c r="A22" i="33" l="1"/>
  <c r="B23" i="33"/>
  <c r="DE23" i="33" s="1"/>
  <c r="B24" i="33" l="1"/>
  <c r="DE24" i="33" s="1"/>
  <c r="A23" i="33"/>
  <c r="A24" i="33" l="1"/>
  <c r="B25" i="33"/>
  <c r="DE25" i="33" s="1"/>
  <c r="B26" i="33" l="1"/>
  <c r="DE26" i="33" s="1"/>
  <c r="A25" i="33"/>
  <c r="A26" i="33" l="1"/>
  <c r="B27" i="33"/>
  <c r="DE27" i="33" s="1"/>
  <c r="B28" i="33" l="1"/>
  <c r="DE28" i="33" s="1"/>
  <c r="A27" i="33"/>
  <c r="A28" i="33" l="1"/>
  <c r="B29" i="33"/>
  <c r="DE29" i="33" s="1"/>
  <c r="B30" i="33" l="1"/>
  <c r="DE30" i="33" s="1"/>
  <c r="A29" i="33"/>
  <c r="A30" i="33" l="1"/>
  <c r="B31" i="33"/>
  <c r="DE31" i="33" s="1"/>
  <c r="B32" i="33" l="1"/>
  <c r="DE32" i="33" s="1"/>
  <c r="A31" i="33"/>
  <c r="A32" i="33" l="1"/>
  <c r="B33" i="33"/>
  <c r="DE33" i="33" s="1"/>
  <c r="B34" i="33" l="1"/>
  <c r="DE34" i="33" s="1"/>
  <c r="A33" i="33"/>
  <c r="A34" i="33" l="1"/>
  <c r="B35" i="33"/>
  <c r="DE35" i="33" s="1"/>
  <c r="B36" i="33" l="1"/>
  <c r="DE36" i="33" s="1"/>
  <c r="A35" i="33"/>
  <c r="A36" i="33" l="1"/>
  <c r="B37" i="33"/>
  <c r="DE37" i="33" s="1"/>
  <c r="B38" i="33" l="1"/>
  <c r="DE38" i="33" s="1"/>
  <c r="A37" i="33"/>
  <c r="A38" i="33" l="1"/>
  <c r="B39" i="33"/>
  <c r="DE39" i="33" s="1"/>
  <c r="B40" i="33" l="1"/>
  <c r="DE40" i="33" s="1"/>
  <c r="A39" i="33"/>
  <c r="A40" i="33" l="1"/>
  <c r="B41" i="33"/>
  <c r="DE41" i="33" s="1"/>
  <c r="B42" i="33" l="1"/>
  <c r="DE42" i="33" s="1"/>
  <c r="A41" i="33"/>
  <c r="A42" i="33" l="1"/>
  <c r="B43" i="33"/>
  <c r="DE43" i="33" s="1"/>
  <c r="B44" i="33" l="1"/>
  <c r="DE44" i="33" s="1"/>
  <c r="A43" i="33"/>
  <c r="A44" i="33" l="1"/>
  <c r="B45" i="33"/>
  <c r="DE45" i="33" s="1"/>
  <c r="B46" i="33" l="1"/>
  <c r="DE46" i="33" s="1"/>
  <c r="A45" i="33"/>
  <c r="A46" i="33" l="1"/>
  <c r="B47" i="33"/>
  <c r="DE47" i="33" s="1"/>
  <c r="B48" i="33" l="1"/>
  <c r="DE48" i="33" s="1"/>
  <c r="A47" i="33"/>
  <c r="A48" i="33" l="1"/>
  <c r="B49" i="33"/>
  <c r="DE49" i="33" s="1"/>
  <c r="B50" i="33" l="1"/>
  <c r="DE50" i="33" s="1"/>
  <c r="A49" i="33"/>
  <c r="A50" i="33" l="1"/>
  <c r="B51" i="33"/>
  <c r="DE51" i="33" s="1"/>
  <c r="B52" i="33" l="1"/>
  <c r="DE52" i="33" s="1"/>
  <c r="A51" i="33"/>
  <c r="A52" i="33" l="1"/>
  <c r="B53" i="33"/>
  <c r="DE53" i="33" s="1"/>
  <c r="B54" i="33" l="1"/>
  <c r="DE54" i="33" s="1"/>
  <c r="A53" i="33"/>
  <c r="A54" i="33" l="1"/>
  <c r="B55" i="33"/>
  <c r="DE55" i="33" s="1"/>
  <c r="B56" i="33" l="1"/>
  <c r="DE56" i="33" s="1"/>
  <c r="A55" i="33"/>
  <c r="A56" i="33" l="1"/>
  <c r="B57" i="33"/>
  <c r="DE57" i="33" s="1"/>
  <c r="B58" i="33" l="1"/>
  <c r="DE58" i="33" s="1"/>
  <c r="A57" i="33"/>
  <c r="A58" i="33" l="1"/>
  <c r="B59" i="33"/>
  <c r="DE59" i="33" s="1"/>
  <c r="B60" i="33" l="1"/>
  <c r="DE60" i="33" s="1"/>
  <c r="A59" i="33"/>
  <c r="A60" i="33" l="1"/>
  <c r="B61" i="33"/>
  <c r="DE61" i="33" s="1"/>
  <c r="B62" i="33" l="1"/>
  <c r="DE62" i="33" s="1"/>
  <c r="A61" i="33"/>
  <c r="A62" i="33" l="1"/>
  <c r="B63" i="33"/>
  <c r="DE63" i="33" s="1"/>
  <c r="B64" i="33" l="1"/>
  <c r="DE64" i="33" s="1"/>
  <c r="A63" i="33"/>
  <c r="A64" i="33" l="1"/>
  <c r="B65" i="33"/>
  <c r="DE65" i="33" s="1"/>
  <c r="B66" i="33" l="1"/>
  <c r="DE66" i="33" s="1"/>
  <c r="A65" i="33"/>
  <c r="A66" i="33" l="1"/>
  <c r="B67" i="33"/>
  <c r="DE67" i="33" s="1"/>
  <c r="B68" i="33" l="1"/>
  <c r="DE68" i="33" s="1"/>
  <c r="A67" i="33"/>
  <c r="A68" i="33" l="1"/>
  <c r="B69" i="33"/>
  <c r="DE69" i="33" s="1"/>
  <c r="B70" i="33" l="1"/>
  <c r="DE70" i="33" s="1"/>
  <c r="A69" i="33"/>
  <c r="A70" i="33" l="1"/>
  <c r="B71" i="33"/>
  <c r="DE71" i="33" s="1"/>
  <c r="B72" i="33" l="1"/>
  <c r="DE72" i="33" s="1"/>
  <c r="A71" i="33"/>
  <c r="A72" i="33" l="1"/>
  <c r="B73" i="33"/>
  <c r="DE73" i="33" s="1"/>
  <c r="B74" i="33" l="1"/>
  <c r="DE74" i="33" s="1"/>
  <c r="A73" i="33"/>
  <c r="A74" i="33" l="1"/>
  <c r="B75" i="33"/>
  <c r="DE75" i="33" s="1"/>
  <c r="A75" i="33" l="1"/>
  <c r="B76" i="33"/>
  <c r="DE76" i="33" s="1"/>
  <c r="A76" i="33" l="1"/>
  <c r="B77" i="33"/>
  <c r="DE77" i="33" s="1"/>
  <c r="A77" i="33" l="1"/>
  <c r="B78" i="33"/>
  <c r="DE78" i="33" s="1"/>
  <c r="B79" i="33" l="1"/>
  <c r="DE79" i="33" s="1"/>
  <c r="A78" i="33"/>
  <c r="A79" i="33" l="1"/>
  <c r="B80" i="33"/>
  <c r="DE80" i="33" s="1"/>
  <c r="B81" i="33" l="1"/>
  <c r="DE81" i="33" s="1"/>
  <c r="A80" i="33"/>
  <c r="A81" i="33" l="1"/>
  <c r="B82" i="33"/>
  <c r="DE82" i="33" s="1"/>
  <c r="B83" i="33" l="1"/>
  <c r="DE83" i="33" s="1"/>
  <c r="A82" i="33"/>
  <c r="A83" i="33" l="1"/>
  <c r="B84" i="33"/>
  <c r="DE84" i="33" s="1"/>
  <c r="B85" i="33" l="1"/>
  <c r="DE85" i="33" s="1"/>
  <c r="A84" i="33"/>
  <c r="A85" i="33" l="1"/>
  <c r="B86" i="33"/>
  <c r="DE86" i="33" s="1"/>
  <c r="B87" i="33" l="1"/>
  <c r="DE87" i="33" s="1"/>
  <c r="A86" i="33"/>
  <c r="A87" i="33" l="1"/>
  <c r="B88" i="33"/>
  <c r="DE88" i="33" s="1"/>
  <c r="B89" i="33" l="1"/>
  <c r="DE89" i="33" s="1"/>
  <c r="A88" i="33"/>
  <c r="A89" i="33" l="1"/>
  <c r="B90" i="33"/>
  <c r="DE90" i="33" s="1"/>
  <c r="B91" i="33" l="1"/>
  <c r="DE91" i="33" s="1"/>
  <c r="A90" i="33"/>
  <c r="A91" i="33" l="1"/>
  <c r="B92" i="33"/>
  <c r="DE92" i="33" s="1"/>
  <c r="B93" i="33" l="1"/>
  <c r="DE93" i="33" s="1"/>
  <c r="A92" i="33"/>
  <c r="A93" i="33" l="1"/>
  <c r="B94" i="33"/>
  <c r="DE94" i="33" s="1"/>
  <c r="B95" i="33" l="1"/>
  <c r="DE95" i="33" s="1"/>
  <c r="A94" i="33"/>
  <c r="A95" i="33" l="1"/>
  <c r="B96" i="33"/>
  <c r="DE96" i="33" s="1"/>
  <c r="B97" i="33" l="1"/>
  <c r="DE97" i="33" s="1"/>
  <c r="A96" i="33"/>
  <c r="A97" i="33" l="1"/>
  <c r="B98" i="33"/>
  <c r="DE98" i="33" s="1"/>
  <c r="B99" i="33" l="1"/>
  <c r="DE99" i="33" s="1"/>
  <c r="A98" i="33"/>
  <c r="A99" i="33" l="1"/>
  <c r="B100" i="33"/>
  <c r="DE100" i="33" s="1"/>
  <c r="B101" i="33" l="1"/>
  <c r="DE101" i="33" s="1"/>
  <c r="A100" i="33"/>
  <c r="A101" i="33" l="1"/>
  <c r="B102" i="33"/>
  <c r="DE102" i="33" s="1"/>
  <c r="B103" i="33" l="1"/>
  <c r="DE103" i="33" s="1"/>
  <c r="A102" i="33"/>
  <c r="A103" i="33" l="1"/>
  <c r="B104" i="33"/>
  <c r="DE104" i="33" s="1"/>
  <c r="B105" i="33" l="1"/>
  <c r="DE105" i="33" s="1"/>
  <c r="A104" i="33"/>
  <c r="A105" i="33" l="1"/>
  <c r="B106" i="33"/>
  <c r="DE106" i="33" s="1"/>
  <c r="B107" i="33" l="1"/>
  <c r="DE107" i="33" s="1"/>
  <c r="A106" i="33"/>
  <c r="A107" i="33" l="1"/>
  <c r="B108" i="33"/>
  <c r="DE108" i="33" s="1"/>
  <c r="B109" i="33" l="1"/>
  <c r="DE109" i="33" s="1"/>
  <c r="A108" i="33"/>
  <c r="A109" i="33" l="1"/>
  <c r="B110" i="33"/>
  <c r="DE110" i="33" s="1"/>
  <c r="B111" i="33" l="1"/>
  <c r="DE111" i="33" s="1"/>
  <c r="A110" i="33"/>
  <c r="A111" i="33" l="1"/>
  <c r="B112" i="33"/>
  <c r="DE112" i="33" s="1"/>
  <c r="B113" i="33" l="1"/>
  <c r="DE113" i="33" s="1"/>
  <c r="A112" i="33"/>
  <c r="A113" i="33" l="1"/>
  <c r="B114" i="33"/>
  <c r="DE114" i="33" s="1"/>
  <c r="B115" i="33" l="1"/>
  <c r="DE115" i="33" s="1"/>
  <c r="A114" i="33"/>
  <c r="A115" i="33" l="1"/>
  <c r="B116" i="33"/>
  <c r="DE116" i="33" s="1"/>
  <c r="B117" i="33" l="1"/>
  <c r="DE117" i="33" s="1"/>
  <c r="A116" i="33"/>
  <c r="A117" i="33" l="1"/>
  <c r="B118" i="33"/>
  <c r="DE118" i="33" s="1"/>
  <c r="B119" i="33" l="1"/>
  <c r="DE119" i="33" s="1"/>
  <c r="A118" i="33"/>
  <c r="A119" i="33" l="1"/>
  <c r="B120" i="33"/>
  <c r="DE120" i="33" s="1"/>
  <c r="B121" i="33" l="1"/>
  <c r="DE121" i="33" s="1"/>
  <c r="A120" i="33"/>
  <c r="A121" i="33" l="1"/>
  <c r="B122" i="33"/>
  <c r="DE122" i="33" s="1"/>
  <c r="B123" i="33" l="1"/>
  <c r="DE123" i="33" s="1"/>
  <c r="A122" i="33"/>
  <c r="A123" i="33" l="1"/>
  <c r="B124" i="33"/>
  <c r="DE124" i="33" s="1"/>
  <c r="B125" i="33" l="1"/>
  <c r="DE125" i="33" s="1"/>
  <c r="A124" i="33"/>
  <c r="A125" i="33" l="1"/>
  <c r="B126" i="33"/>
  <c r="DE126" i="33" s="1"/>
  <c r="B127" i="33" l="1"/>
  <c r="DE127" i="33" s="1"/>
  <c r="A126" i="33"/>
  <c r="A127" i="33" l="1"/>
  <c r="B128" i="33"/>
  <c r="DE128" i="33" s="1"/>
  <c r="B129" i="33" l="1"/>
  <c r="DE129" i="33" s="1"/>
  <c r="A128" i="33"/>
  <c r="A129" i="33" l="1"/>
  <c r="B130" i="33"/>
  <c r="DE130" i="33" s="1"/>
  <c r="B131" i="33" l="1"/>
  <c r="DE131" i="33" s="1"/>
  <c r="A130" i="33"/>
  <c r="A131" i="33" l="1"/>
  <c r="B132" i="33"/>
  <c r="DE132" i="33" s="1"/>
  <c r="B133" i="33" l="1"/>
  <c r="DE133" i="33" s="1"/>
  <c r="A132" i="33"/>
  <c r="A133" i="33" l="1"/>
  <c r="B134" i="33"/>
  <c r="DE134" i="33" s="1"/>
  <c r="B135" i="33" l="1"/>
  <c r="DE135" i="33" s="1"/>
  <c r="A134" i="33"/>
  <c r="A135" i="33" l="1"/>
  <c r="B136" i="33"/>
  <c r="DE136" i="33" s="1"/>
  <c r="B137" i="33" l="1"/>
  <c r="DE137" i="33" s="1"/>
  <c r="A136" i="33"/>
  <c r="A137" i="33" l="1"/>
  <c r="B138" i="33"/>
  <c r="DE138" i="33" s="1"/>
  <c r="B139" i="33" l="1"/>
  <c r="DE139" i="33" s="1"/>
  <c r="A138" i="33"/>
  <c r="A139" i="33" l="1"/>
  <c r="B140" i="33"/>
  <c r="DE140" i="33" s="1"/>
  <c r="B141" i="33" l="1"/>
  <c r="DE141" i="33" s="1"/>
  <c r="A140" i="33"/>
  <c r="A141" i="33" l="1"/>
  <c r="B142" i="33"/>
  <c r="DE142" i="33" s="1"/>
  <c r="B143" i="33" l="1"/>
  <c r="DE143" i="33" s="1"/>
  <c r="A142" i="33"/>
  <c r="A143" i="33" l="1"/>
  <c r="B144" i="33"/>
  <c r="DE144" i="33" s="1"/>
  <c r="B145" i="33" l="1"/>
  <c r="DE145" i="33" s="1"/>
  <c r="A144" i="33"/>
  <c r="A145" i="33" l="1"/>
  <c r="B146" i="33"/>
  <c r="DE146" i="33" s="1"/>
  <c r="B147" i="33" l="1"/>
  <c r="DE147" i="33" s="1"/>
  <c r="A146" i="33"/>
  <c r="A147" i="33" l="1"/>
  <c r="B148" i="33"/>
  <c r="DE148" i="33" s="1"/>
  <c r="B149" i="33" l="1"/>
  <c r="DE149" i="33" s="1"/>
  <c r="A148" i="33"/>
  <c r="A149" i="33" l="1"/>
  <c r="B150" i="33"/>
  <c r="DE150" i="33" s="1"/>
  <c r="B151" i="33" l="1"/>
  <c r="DE151" i="33" s="1"/>
  <c r="A150" i="33"/>
  <c r="A151" i="33" l="1"/>
  <c r="B152" i="33"/>
  <c r="DE152" i="33" s="1"/>
  <c r="B153" i="33" l="1"/>
  <c r="DE153" i="33" s="1"/>
  <c r="A152" i="33"/>
  <c r="A153" i="33" l="1"/>
  <c r="B154" i="33"/>
  <c r="DE154" i="33" s="1"/>
  <c r="B155" i="33" l="1"/>
  <c r="DE155" i="33" s="1"/>
  <c r="A154" i="33"/>
  <c r="A155" i="33" l="1"/>
  <c r="B156" i="33"/>
  <c r="DE156" i="33" s="1"/>
  <c r="B157" i="33" l="1"/>
  <c r="DE157" i="33" s="1"/>
  <c r="A156" i="33"/>
  <c r="A157" i="33" l="1"/>
  <c r="B158" i="33"/>
  <c r="DE158" i="33" s="1"/>
  <c r="B159" i="33" l="1"/>
  <c r="DE159" i="33" s="1"/>
  <c r="A158" i="33"/>
  <c r="A159" i="33" l="1"/>
  <c r="B160" i="33"/>
  <c r="DE160" i="33" s="1"/>
  <c r="B161" i="33" l="1"/>
  <c r="DE161" i="33" s="1"/>
  <c r="A160" i="33"/>
  <c r="A161" i="33" l="1"/>
  <c r="B162" i="33"/>
  <c r="DE162" i="33" s="1"/>
  <c r="B163" i="33" l="1"/>
  <c r="DE163" i="33" s="1"/>
  <c r="A162" i="33"/>
  <c r="A163" i="33" l="1"/>
  <c r="B164" i="33"/>
  <c r="DE164" i="33" s="1"/>
  <c r="B165" i="33" l="1"/>
  <c r="DE165" i="33" s="1"/>
  <c r="A164" i="33"/>
  <c r="A165" i="33" l="1"/>
  <c r="B166" i="33"/>
  <c r="DE166" i="33" s="1"/>
  <c r="B167" i="33" l="1"/>
  <c r="DE167" i="33" s="1"/>
  <c r="A166" i="33"/>
  <c r="A167" i="33" l="1"/>
  <c r="B168" i="33"/>
  <c r="DE168" i="33" s="1"/>
  <c r="B169" i="33" l="1"/>
  <c r="DE169" i="33" s="1"/>
  <c r="A168" i="33"/>
  <c r="A169" i="33" l="1"/>
  <c r="B170" i="33"/>
  <c r="DE170" i="33" s="1"/>
  <c r="B171" i="33" l="1"/>
  <c r="DE171" i="33" s="1"/>
  <c r="A170" i="33"/>
  <c r="A171" i="33" l="1"/>
  <c r="B172" i="33"/>
  <c r="DE172" i="33" s="1"/>
  <c r="B173" i="33" l="1"/>
  <c r="DE173" i="33" s="1"/>
  <c r="A172" i="33"/>
  <c r="A173" i="33" l="1"/>
  <c r="B174" i="33"/>
  <c r="DE174" i="33" s="1"/>
  <c r="B175" i="33" l="1"/>
  <c r="DE175" i="33" s="1"/>
  <c r="A174" i="33"/>
  <c r="A175" i="33" l="1"/>
  <c r="B176" i="33"/>
  <c r="DE176" i="33" s="1"/>
  <c r="B177" i="33" l="1"/>
  <c r="DE177" i="33" s="1"/>
  <c r="A176" i="33"/>
  <c r="A177" i="33" l="1"/>
  <c r="B178" i="33"/>
  <c r="DE178" i="33" s="1"/>
  <c r="B179" i="33" l="1"/>
  <c r="DE179" i="33" s="1"/>
  <c r="A178" i="33"/>
  <c r="A179" i="33" l="1"/>
  <c r="B180" i="33"/>
  <c r="DE180" i="33" s="1"/>
  <c r="B181" i="33" l="1"/>
  <c r="DE181" i="33" s="1"/>
  <c r="A180" i="33"/>
  <c r="A181" i="33" l="1"/>
  <c r="B182" i="33"/>
  <c r="DE182" i="33" s="1"/>
  <c r="B183" i="33" l="1"/>
  <c r="DE183" i="33" s="1"/>
  <c r="A182" i="33"/>
  <c r="A183" i="33" l="1"/>
  <c r="B184" i="33"/>
  <c r="DE184" i="33" s="1"/>
  <c r="B185" i="33" l="1"/>
  <c r="DE185" i="33" s="1"/>
  <c r="A184" i="33"/>
  <c r="A185" i="33" l="1"/>
  <c r="B186" i="33"/>
  <c r="DE186" i="33" s="1"/>
  <c r="B187" i="33" l="1"/>
  <c r="DE187" i="33" s="1"/>
  <c r="A186" i="33"/>
  <c r="A187" i="33" l="1"/>
  <c r="B188" i="33"/>
  <c r="DE188" i="33" s="1"/>
  <c r="B189" i="33" l="1"/>
  <c r="DE189" i="33" s="1"/>
  <c r="A188" i="33"/>
  <c r="A189" i="33" l="1"/>
  <c r="B190" i="33"/>
  <c r="DE190" i="33" s="1"/>
  <c r="B191" i="33" l="1"/>
  <c r="DE191" i="33" s="1"/>
  <c r="A190" i="33"/>
  <c r="A191" i="33" l="1"/>
  <c r="B192" i="33"/>
  <c r="DE192" i="33" s="1"/>
  <c r="B193" i="33" l="1"/>
  <c r="DE193" i="33" s="1"/>
  <c r="A192" i="33"/>
  <c r="A193" i="33" l="1"/>
  <c r="B194" i="33"/>
  <c r="DE194" i="33" s="1"/>
  <c r="B195" i="33" l="1"/>
  <c r="DE195" i="33" s="1"/>
  <c r="A194" i="33"/>
  <c r="A195" i="33" l="1"/>
  <c r="B196" i="33"/>
  <c r="DE196" i="33" s="1"/>
  <c r="B197" i="33" l="1"/>
  <c r="DE197" i="33" s="1"/>
  <c r="A196" i="33"/>
  <c r="A197" i="33" l="1"/>
  <c r="B198" i="33"/>
  <c r="DE198" i="33" s="1"/>
  <c r="B199" i="33" l="1"/>
  <c r="DE199" i="33" s="1"/>
  <c r="A198" i="33"/>
  <c r="A199" i="33" l="1"/>
  <c r="B200" i="33"/>
  <c r="DE200" i="33" s="1"/>
  <c r="B201" i="33" l="1"/>
  <c r="A200" i="33"/>
  <c r="B202" i="33" l="1"/>
  <c r="A202" i="33" s="1"/>
  <c r="DE201" i="33"/>
  <c r="A201" i="33"/>
  <c r="S12" i="33"/>
  <c r="T12" i="33" s="1"/>
  <c r="N5" i="49" l="1"/>
  <c r="K5" i="49"/>
  <c r="H5" i="49"/>
  <c r="F5" i="49"/>
  <c r="J5" i="49"/>
  <c r="M8" i="49" l="1"/>
  <c r="M5" i="49" s="1"/>
  <c r="E5" i="49"/>
  <c r="L5" i="49"/>
  <c r="H12" i="48"/>
  <c r="H11" i="48"/>
  <c r="H10" i="48"/>
  <c r="H9" i="48"/>
  <c r="H8" i="48"/>
  <c r="G5" i="48"/>
  <c r="F5" i="48"/>
  <c r="E5" i="48"/>
  <c r="H11" i="47"/>
  <c r="H10" i="47"/>
  <c r="H8" i="47"/>
  <c r="H12" i="47"/>
  <c r="H9" i="47"/>
  <c r="I5" i="47"/>
  <c r="G5" i="47"/>
  <c r="I5" i="46"/>
  <c r="H11" i="46"/>
  <c r="H10" i="46"/>
  <c r="H9" i="46"/>
  <c r="H8" i="46"/>
  <c r="G5" i="46"/>
  <c r="F5" i="46"/>
  <c r="E5" i="46"/>
  <c r="I5" i="49" l="1"/>
  <c r="I5" i="48"/>
  <c r="H5" i="47"/>
  <c r="F5" i="47"/>
  <c r="H5" i="48"/>
  <c r="E5" i="47"/>
  <c r="H5" i="46"/>
  <c r="M5" i="40" l="1"/>
  <c r="M5" i="44"/>
  <c r="K5" i="44"/>
  <c r="J5" i="44"/>
  <c r="I5" i="44"/>
  <c r="G5" i="44"/>
  <c r="F5" i="44"/>
  <c r="E5" i="44"/>
  <c r="H5" i="44" l="1"/>
  <c r="L5" i="44"/>
  <c r="K5" i="40" l="1"/>
  <c r="J5" i="40" l="1"/>
  <c r="I5" i="40"/>
  <c r="F5" i="40" l="1"/>
  <c r="H12" i="41"/>
  <c r="H10" i="41"/>
  <c r="E5" i="41"/>
  <c r="L5" i="40" l="1"/>
  <c r="E5" i="40"/>
  <c r="H10" i="40"/>
  <c r="H12" i="40"/>
  <c r="H9" i="40"/>
  <c r="H11" i="40"/>
  <c r="G5" i="40"/>
  <c r="G5" i="41"/>
  <c r="I5" i="41"/>
  <c r="H9" i="41"/>
  <c r="H11" i="41"/>
  <c r="F5" i="41"/>
  <c r="H5" i="40" l="1"/>
  <c r="H5" i="41"/>
  <c r="CL18" i="26" l="1"/>
  <c r="CK18" i="26"/>
  <c r="CO3" i="26"/>
  <c r="CQ6" i="26"/>
  <c r="CP6" i="26"/>
  <c r="CO6" i="26"/>
  <c r="CP3" i="26"/>
  <c r="E5" i="38" l="1"/>
  <c r="F5" i="38"/>
  <c r="G5" i="38"/>
  <c r="I5" i="38"/>
  <c r="E5" i="36"/>
  <c r="F5" i="36"/>
  <c r="G5" i="36"/>
  <c r="I5" i="36"/>
  <c r="J12" i="35"/>
  <c r="H5" i="38" l="1"/>
  <c r="H5" i="36" l="1"/>
  <c r="AN19" i="26" l="1"/>
  <c r="F19" i="26"/>
  <c r="D19" i="26"/>
  <c r="CM16" i="26"/>
  <c r="CL16" i="26"/>
  <c r="CM15" i="26"/>
  <c r="CL15" i="26"/>
  <c r="CK1" i="26" l="1"/>
  <c r="A35" i="20" l="1"/>
  <c r="A34" i="20"/>
  <c r="A33" i="20"/>
  <c r="Q15" i="35" l="1"/>
  <c r="S11" i="35"/>
  <c r="D50" i="20"/>
  <c r="A50" i="20" s="1"/>
  <c r="D47" i="20"/>
  <c r="D46" i="20"/>
  <c r="D45" i="20"/>
  <c r="D44" i="20"/>
  <c r="D43" i="20"/>
  <c r="C42" i="20"/>
  <c r="C41" i="20"/>
  <c r="C40" i="20"/>
  <c r="X4" i="35"/>
  <c r="L10" i="35"/>
  <c r="HP3" i="33" l="1"/>
  <c r="HQ2" i="33"/>
  <c r="FM3" i="33"/>
  <c r="EH3" i="33"/>
  <c r="DD3" i="33"/>
  <c r="N36" i="19" l="1"/>
  <c r="M36" i="19"/>
  <c r="L36" i="19"/>
  <c r="K36" i="19"/>
  <c r="J36" i="19"/>
  <c r="I36" i="19"/>
  <c r="H36" i="19"/>
  <c r="G36" i="19"/>
  <c r="F36" i="19"/>
  <c r="D36" i="19"/>
  <c r="C36" i="19"/>
  <c r="N35" i="19"/>
  <c r="M35" i="19"/>
  <c r="L35" i="19"/>
  <c r="K35" i="19"/>
  <c r="J35" i="19"/>
  <c r="I35" i="19"/>
  <c r="H35" i="19"/>
  <c r="G35" i="19"/>
  <c r="F35" i="19"/>
  <c r="D35" i="19"/>
  <c r="C35" i="19"/>
  <c r="N34" i="19"/>
  <c r="M34" i="19"/>
  <c r="L34" i="19"/>
  <c r="K34" i="19"/>
  <c r="J34" i="19"/>
  <c r="I34" i="19"/>
  <c r="H34" i="19"/>
  <c r="G34" i="19"/>
  <c r="F34" i="19"/>
  <c r="D34" i="19"/>
  <c r="C34" i="19"/>
  <c r="N33" i="19"/>
  <c r="M33" i="19"/>
  <c r="L33" i="19"/>
  <c r="K33" i="19"/>
  <c r="J33" i="19"/>
  <c r="I33" i="19"/>
  <c r="H33" i="19"/>
  <c r="G33" i="19"/>
  <c r="F33" i="19"/>
  <c r="D33" i="19"/>
  <c r="C33" i="19"/>
  <c r="N32" i="19"/>
  <c r="M32" i="19"/>
  <c r="L32" i="19"/>
  <c r="K32" i="19"/>
  <c r="J32" i="19"/>
  <c r="I32" i="19"/>
  <c r="H32" i="19"/>
  <c r="G32" i="19"/>
  <c r="F32" i="19"/>
  <c r="D32" i="19"/>
  <c r="C32" i="19"/>
  <c r="N31" i="19"/>
  <c r="M31" i="19"/>
  <c r="L31" i="19"/>
  <c r="K31" i="19"/>
  <c r="J31" i="19"/>
  <c r="I31" i="19"/>
  <c r="H31" i="19"/>
  <c r="G31" i="19"/>
  <c r="F31" i="19"/>
  <c r="D31" i="19"/>
  <c r="C31" i="19"/>
  <c r="N30" i="19"/>
  <c r="M30" i="19"/>
  <c r="L30" i="19"/>
  <c r="K30" i="19"/>
  <c r="J30" i="19"/>
  <c r="I30" i="19"/>
  <c r="H30" i="19"/>
  <c r="G30" i="19"/>
  <c r="F30" i="19"/>
  <c r="D30" i="19"/>
  <c r="C30" i="19"/>
  <c r="N29" i="19"/>
  <c r="M29" i="19"/>
  <c r="L29" i="19"/>
  <c r="K29" i="19"/>
  <c r="J29" i="19"/>
  <c r="I29" i="19"/>
  <c r="H29" i="19"/>
  <c r="G29" i="19"/>
  <c r="F29" i="19"/>
  <c r="D29" i="19"/>
  <c r="C29" i="19"/>
  <c r="N28" i="19"/>
  <c r="M28" i="19"/>
  <c r="L28" i="19"/>
  <c r="K28" i="19"/>
  <c r="J28" i="19"/>
  <c r="I28" i="19"/>
  <c r="H28" i="19"/>
  <c r="G28" i="19"/>
  <c r="F28" i="19"/>
  <c r="D28" i="19"/>
  <c r="C28" i="19"/>
  <c r="N27" i="19"/>
  <c r="M27" i="19"/>
  <c r="L27" i="19"/>
  <c r="K27" i="19"/>
  <c r="J27" i="19"/>
  <c r="I27" i="19"/>
  <c r="H27" i="19"/>
  <c r="G27" i="19"/>
  <c r="F27" i="19"/>
  <c r="D27" i="19"/>
  <c r="C27" i="19"/>
  <c r="N26" i="19"/>
  <c r="M26" i="19"/>
  <c r="L26" i="19"/>
  <c r="K26" i="19"/>
  <c r="J26" i="19"/>
  <c r="I26" i="19"/>
  <c r="H26" i="19"/>
  <c r="G26" i="19"/>
  <c r="F26" i="19"/>
  <c r="D26" i="19"/>
  <c r="C26" i="19"/>
  <c r="N25" i="19"/>
  <c r="M25" i="19"/>
  <c r="L25" i="19"/>
  <c r="K25" i="19"/>
  <c r="J25" i="19"/>
  <c r="I25" i="19"/>
  <c r="H25" i="19"/>
  <c r="G25" i="19"/>
  <c r="F25" i="19"/>
  <c r="D25" i="19"/>
  <c r="C25" i="19"/>
  <c r="N24" i="19"/>
  <c r="M24" i="19"/>
  <c r="L24" i="19"/>
  <c r="K24" i="19"/>
  <c r="J24" i="19"/>
  <c r="I24" i="19"/>
  <c r="H24" i="19"/>
  <c r="G24" i="19"/>
  <c r="F24" i="19"/>
  <c r="D24" i="19"/>
  <c r="C24" i="19"/>
  <c r="N23" i="19"/>
  <c r="M23" i="19"/>
  <c r="L23" i="19"/>
  <c r="K23" i="19"/>
  <c r="J23" i="19"/>
  <c r="I23" i="19"/>
  <c r="H23" i="19"/>
  <c r="G23" i="19"/>
  <c r="F23" i="19"/>
  <c r="D23" i="19"/>
  <c r="C23" i="19"/>
  <c r="N22" i="19"/>
  <c r="M22" i="19"/>
  <c r="L22" i="19"/>
  <c r="K22" i="19"/>
  <c r="J22" i="19"/>
  <c r="I22" i="19"/>
  <c r="H22" i="19"/>
  <c r="G22" i="19"/>
  <c r="F22" i="19"/>
  <c r="D22" i="19"/>
  <c r="C22" i="19"/>
  <c r="N21" i="19"/>
  <c r="M21" i="19"/>
  <c r="L21" i="19"/>
  <c r="K21" i="19"/>
  <c r="J21" i="19"/>
  <c r="I21" i="19"/>
  <c r="H21" i="19"/>
  <c r="G21" i="19"/>
  <c r="F21" i="19"/>
  <c r="D21" i="19"/>
  <c r="C21" i="19"/>
  <c r="N20" i="19"/>
  <c r="M20" i="19"/>
  <c r="L20" i="19"/>
  <c r="K20" i="19"/>
  <c r="J20" i="19"/>
  <c r="I20" i="19"/>
  <c r="H20" i="19"/>
  <c r="G20" i="19"/>
  <c r="F20" i="19"/>
  <c r="D20" i="19"/>
  <c r="C20" i="19"/>
  <c r="N19" i="19"/>
  <c r="M19" i="19"/>
  <c r="L19" i="19"/>
  <c r="K19" i="19"/>
  <c r="J19" i="19"/>
  <c r="I19" i="19"/>
  <c r="H19" i="19"/>
  <c r="G19" i="19"/>
  <c r="F19" i="19"/>
  <c r="D19" i="19"/>
  <c r="C19" i="19"/>
  <c r="N18" i="19"/>
  <c r="M18" i="19"/>
  <c r="L18" i="19"/>
  <c r="K18" i="19"/>
  <c r="J18" i="19"/>
  <c r="I18" i="19"/>
  <c r="H18" i="19"/>
  <c r="G18" i="19"/>
  <c r="F18" i="19"/>
  <c r="D18" i="19"/>
  <c r="C18" i="19"/>
  <c r="N17" i="19"/>
  <c r="M17" i="19"/>
  <c r="L17" i="19"/>
  <c r="K17" i="19"/>
  <c r="J17" i="19"/>
  <c r="I17" i="19"/>
  <c r="H17" i="19"/>
  <c r="G17" i="19"/>
  <c r="F17" i="19"/>
  <c r="D17" i="19"/>
  <c r="C17" i="19"/>
  <c r="N16" i="19"/>
  <c r="M16" i="19"/>
  <c r="L16" i="19"/>
  <c r="K16" i="19"/>
  <c r="J16" i="19"/>
  <c r="I16" i="19"/>
  <c r="H16" i="19"/>
  <c r="G16" i="19"/>
  <c r="F16" i="19"/>
  <c r="D16" i="19"/>
  <c r="C16" i="19"/>
  <c r="N15" i="19"/>
  <c r="M15" i="19"/>
  <c r="L15" i="19"/>
  <c r="K15" i="19"/>
  <c r="J15" i="19"/>
  <c r="I15" i="19"/>
  <c r="H15" i="19"/>
  <c r="G15" i="19"/>
  <c r="F15" i="19"/>
  <c r="D15" i="19"/>
  <c r="C15" i="19"/>
  <c r="N14" i="19"/>
  <c r="M14" i="19"/>
  <c r="L14" i="19"/>
  <c r="K14" i="19"/>
  <c r="J14" i="19"/>
  <c r="I14" i="19"/>
  <c r="H14" i="19"/>
  <c r="G14" i="19"/>
  <c r="F14" i="19"/>
  <c r="D14" i="19"/>
  <c r="C14" i="19"/>
  <c r="BY3" i="33" l="1"/>
  <c r="AU3" i="33"/>
  <c r="AV3" i="33" s="1"/>
  <c r="D49" i="20" l="1"/>
  <c r="A49" i="20" s="1"/>
  <c r="H15" i="7" l="1"/>
  <c r="L15" i="7"/>
  <c r="B36" i="19"/>
  <c r="B35" i="19"/>
  <c r="B34" i="19"/>
  <c r="B33" i="19"/>
  <c r="B32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G15" i="7" l="1"/>
  <c r="P7" i="35"/>
  <c r="L7" i="35" s="1"/>
  <c r="P6" i="35"/>
  <c r="L6" i="35" s="1"/>
  <c r="P5" i="35"/>
  <c r="L5" i="35" s="1"/>
  <c r="P9" i="35" l="1"/>
  <c r="P8" i="35"/>
  <c r="GC1" i="33" l="1"/>
  <c r="D221" i="35" l="1"/>
  <c r="C221" i="35"/>
  <c r="B221" i="35" s="1"/>
  <c r="A221" i="35" s="1"/>
  <c r="D220" i="35"/>
  <c r="C220" i="35"/>
  <c r="B220" i="35" s="1"/>
  <c r="A220" i="35" s="1"/>
  <c r="D219" i="35"/>
  <c r="C219" i="35"/>
  <c r="D218" i="35"/>
  <c r="C218" i="35"/>
  <c r="D217" i="35"/>
  <c r="C217" i="35"/>
  <c r="D216" i="35"/>
  <c r="C216" i="35"/>
  <c r="D215" i="35"/>
  <c r="C215" i="35"/>
  <c r="D214" i="35"/>
  <c r="C214" i="35"/>
  <c r="D213" i="35"/>
  <c r="C213" i="35"/>
  <c r="D212" i="35"/>
  <c r="C212" i="35"/>
  <c r="D211" i="35"/>
  <c r="C211" i="35"/>
  <c r="D210" i="35"/>
  <c r="C210" i="35"/>
  <c r="D209" i="35"/>
  <c r="C209" i="35"/>
  <c r="D208" i="35"/>
  <c r="C208" i="35"/>
  <c r="D207" i="35"/>
  <c r="C207" i="35"/>
  <c r="D206" i="35"/>
  <c r="C206" i="35"/>
  <c r="D205" i="35"/>
  <c r="C205" i="35"/>
  <c r="D204" i="35"/>
  <c r="C204" i="35"/>
  <c r="D203" i="35"/>
  <c r="C203" i="35"/>
  <c r="D202" i="35"/>
  <c r="C202" i="35"/>
  <c r="D201" i="35"/>
  <c r="C201" i="35"/>
  <c r="D200" i="35"/>
  <c r="C200" i="35"/>
  <c r="D199" i="35"/>
  <c r="C199" i="35"/>
  <c r="D198" i="35"/>
  <c r="C198" i="35"/>
  <c r="D197" i="35"/>
  <c r="C197" i="35"/>
  <c r="D196" i="35"/>
  <c r="C196" i="35"/>
  <c r="D210" i="34" l="1"/>
  <c r="A210" i="34" s="1"/>
  <c r="C210" i="34"/>
  <c r="M210" i="34" s="1"/>
  <c r="D209" i="34"/>
  <c r="A209" i="34" s="1"/>
  <c r="C209" i="34"/>
  <c r="M209" i="34" s="1"/>
  <c r="D208" i="34"/>
  <c r="A208" i="34" s="1"/>
  <c r="C208" i="34"/>
  <c r="M208" i="34" s="1"/>
  <c r="D207" i="34"/>
  <c r="A207" i="34" s="1"/>
  <c r="C207" i="34"/>
  <c r="D206" i="34"/>
  <c r="A206" i="34" s="1"/>
  <c r="C206" i="34"/>
  <c r="M206" i="34" s="1"/>
  <c r="D205" i="34"/>
  <c r="A205" i="34" s="1"/>
  <c r="C205" i="34"/>
  <c r="D204" i="34"/>
  <c r="A204" i="34" s="1"/>
  <c r="C204" i="34"/>
  <c r="D203" i="34"/>
  <c r="A203" i="34" s="1"/>
  <c r="C203" i="34"/>
  <c r="D202" i="34"/>
  <c r="A202" i="34" s="1"/>
  <c r="C202" i="34"/>
  <c r="D201" i="34"/>
  <c r="A201" i="34" s="1"/>
  <c r="C201" i="34"/>
  <c r="D200" i="34"/>
  <c r="A200" i="34" s="1"/>
  <c r="C200" i="34"/>
  <c r="D199" i="34"/>
  <c r="A199" i="34" s="1"/>
  <c r="C199" i="34"/>
  <c r="D198" i="34"/>
  <c r="A198" i="34" s="1"/>
  <c r="C198" i="34"/>
  <c r="D197" i="34"/>
  <c r="A197" i="34" s="1"/>
  <c r="C197" i="34"/>
  <c r="D196" i="34"/>
  <c r="A196" i="34" s="1"/>
  <c r="C196" i="34"/>
  <c r="D195" i="34"/>
  <c r="A195" i="34" s="1"/>
  <c r="C195" i="34"/>
  <c r="D194" i="34"/>
  <c r="A194" i="34" s="1"/>
  <c r="C194" i="34"/>
  <c r="D193" i="34"/>
  <c r="A193" i="34" s="1"/>
  <c r="C193" i="34"/>
  <c r="D192" i="34"/>
  <c r="A192" i="34" s="1"/>
  <c r="C192" i="34"/>
  <c r="D191" i="34"/>
  <c r="A191" i="34" s="1"/>
  <c r="C191" i="34"/>
  <c r="I191" i="34" s="1"/>
  <c r="D190" i="34"/>
  <c r="A190" i="34" s="1"/>
  <c r="C190" i="34"/>
  <c r="D189" i="34"/>
  <c r="A189" i="34" s="1"/>
  <c r="C189" i="34"/>
  <c r="D188" i="34"/>
  <c r="A188" i="34" s="1"/>
  <c r="C188" i="34"/>
  <c r="D187" i="34"/>
  <c r="A187" i="34" s="1"/>
  <c r="C187" i="34"/>
  <c r="I187" i="34" s="1"/>
  <c r="D186" i="34"/>
  <c r="A186" i="34" s="1"/>
  <c r="C186" i="34"/>
  <c r="D185" i="34"/>
  <c r="A185" i="34" s="1"/>
  <c r="C185" i="34"/>
  <c r="D184" i="34"/>
  <c r="A184" i="34" s="1"/>
  <c r="C184" i="34"/>
  <c r="D183" i="34"/>
  <c r="A183" i="34" s="1"/>
  <c r="C183" i="34"/>
  <c r="I183" i="34" s="1"/>
  <c r="D182" i="34"/>
  <c r="A182" i="34" s="1"/>
  <c r="C182" i="34"/>
  <c r="D181" i="34"/>
  <c r="A181" i="34" s="1"/>
  <c r="C181" i="34"/>
  <c r="D180" i="34"/>
  <c r="A180" i="34" s="1"/>
  <c r="C180" i="34"/>
  <c r="D179" i="34"/>
  <c r="A179" i="34" s="1"/>
  <c r="C179" i="34"/>
  <c r="D178" i="34"/>
  <c r="A178" i="34" s="1"/>
  <c r="C178" i="34"/>
  <c r="D177" i="34"/>
  <c r="A177" i="34" s="1"/>
  <c r="C177" i="34"/>
  <c r="D176" i="34"/>
  <c r="A176" i="34" s="1"/>
  <c r="C176" i="34"/>
  <c r="D175" i="34"/>
  <c r="A175" i="34" s="1"/>
  <c r="C175" i="34"/>
  <c r="D174" i="34"/>
  <c r="A174" i="34" s="1"/>
  <c r="C174" i="34"/>
  <c r="D173" i="34"/>
  <c r="A173" i="34" s="1"/>
  <c r="C173" i="34"/>
  <c r="D172" i="34"/>
  <c r="A172" i="34" s="1"/>
  <c r="C172" i="34"/>
  <c r="D171" i="34"/>
  <c r="A171" i="34" s="1"/>
  <c r="C171" i="34"/>
  <c r="D170" i="34"/>
  <c r="A170" i="34" s="1"/>
  <c r="C170" i="34"/>
  <c r="D169" i="34"/>
  <c r="A169" i="34" s="1"/>
  <c r="C169" i="34"/>
  <c r="D168" i="34"/>
  <c r="A168" i="34" s="1"/>
  <c r="C168" i="34"/>
  <c r="D167" i="34"/>
  <c r="A167" i="34" s="1"/>
  <c r="C167" i="34"/>
  <c r="D166" i="34"/>
  <c r="A166" i="34" s="1"/>
  <c r="C166" i="34"/>
  <c r="G166" i="34" s="1"/>
  <c r="D165" i="34"/>
  <c r="A165" i="34" s="1"/>
  <c r="C165" i="34"/>
  <c r="D164" i="34"/>
  <c r="A164" i="34" s="1"/>
  <c r="C164" i="34"/>
  <c r="D163" i="34"/>
  <c r="A163" i="34" s="1"/>
  <c r="C163" i="34"/>
  <c r="D162" i="34"/>
  <c r="A162" i="34" s="1"/>
  <c r="C162" i="34"/>
  <c r="D161" i="34"/>
  <c r="A161" i="34" s="1"/>
  <c r="C161" i="34"/>
  <c r="J161" i="34" s="1"/>
  <c r="D160" i="34"/>
  <c r="A160" i="34" s="1"/>
  <c r="C160" i="34"/>
  <c r="D159" i="34"/>
  <c r="A159" i="34" s="1"/>
  <c r="C159" i="34"/>
  <c r="D158" i="34"/>
  <c r="A158" i="34" s="1"/>
  <c r="C158" i="34"/>
  <c r="D157" i="34"/>
  <c r="A157" i="34" s="1"/>
  <c r="C157" i="34"/>
  <c r="D156" i="34"/>
  <c r="A156" i="34" s="1"/>
  <c r="C156" i="34"/>
  <c r="D155" i="34"/>
  <c r="A155" i="34" s="1"/>
  <c r="C155" i="34"/>
  <c r="G155" i="34" s="1"/>
  <c r="D154" i="34"/>
  <c r="A154" i="34" s="1"/>
  <c r="C154" i="34"/>
  <c r="D153" i="34"/>
  <c r="A153" i="34" s="1"/>
  <c r="C153" i="34"/>
  <c r="G153" i="34" s="1"/>
  <c r="D152" i="34"/>
  <c r="A152" i="34" s="1"/>
  <c r="C152" i="34"/>
  <c r="G152" i="34" s="1"/>
  <c r="D151" i="34"/>
  <c r="A151" i="34" s="1"/>
  <c r="C151" i="34"/>
  <c r="G151" i="34" s="1"/>
  <c r="D150" i="34"/>
  <c r="A150" i="34" s="1"/>
  <c r="C150" i="34"/>
  <c r="G150" i="34" s="1"/>
  <c r="D149" i="34"/>
  <c r="A149" i="34" s="1"/>
  <c r="C149" i="34"/>
  <c r="D148" i="34"/>
  <c r="A148" i="34" s="1"/>
  <c r="C148" i="34"/>
  <c r="D147" i="34"/>
  <c r="A147" i="34" s="1"/>
  <c r="C147" i="34"/>
  <c r="D146" i="34"/>
  <c r="A146" i="34" s="1"/>
  <c r="C146" i="34"/>
  <c r="D145" i="34"/>
  <c r="A145" i="34" s="1"/>
  <c r="C145" i="34"/>
  <c r="D144" i="34"/>
  <c r="A144" i="34" s="1"/>
  <c r="C144" i="34"/>
  <c r="G144" i="34" s="1"/>
  <c r="D143" i="34"/>
  <c r="A143" i="34" s="1"/>
  <c r="C143" i="34"/>
  <c r="G143" i="34" s="1"/>
  <c r="D142" i="34"/>
  <c r="A142" i="34" s="1"/>
  <c r="C142" i="34"/>
  <c r="D141" i="34"/>
  <c r="A141" i="34" s="1"/>
  <c r="C141" i="34"/>
  <c r="I141" i="34" s="1"/>
  <c r="D140" i="34"/>
  <c r="A140" i="34" s="1"/>
  <c r="C140" i="34"/>
  <c r="D139" i="34"/>
  <c r="A139" i="34" s="1"/>
  <c r="C139" i="34"/>
  <c r="G139" i="34" s="1"/>
  <c r="D138" i="34"/>
  <c r="A138" i="34" s="1"/>
  <c r="C138" i="34"/>
  <c r="D137" i="34"/>
  <c r="A137" i="34" s="1"/>
  <c r="C137" i="34"/>
  <c r="I137" i="34" s="1"/>
  <c r="D136" i="34"/>
  <c r="A136" i="34" s="1"/>
  <c r="C136" i="34"/>
  <c r="D135" i="34"/>
  <c r="A135" i="34" s="1"/>
  <c r="C135" i="34"/>
  <c r="D134" i="34"/>
  <c r="A134" i="34" s="1"/>
  <c r="C134" i="34"/>
  <c r="D133" i="34"/>
  <c r="A133" i="34" s="1"/>
  <c r="C133" i="34"/>
  <c r="D132" i="34"/>
  <c r="A132" i="34" s="1"/>
  <c r="C132" i="34"/>
  <c r="D131" i="34"/>
  <c r="A131" i="34" s="1"/>
  <c r="C131" i="34"/>
  <c r="D130" i="34"/>
  <c r="A130" i="34" s="1"/>
  <c r="C130" i="34"/>
  <c r="D129" i="34"/>
  <c r="A129" i="34" s="1"/>
  <c r="C129" i="34"/>
  <c r="D128" i="34"/>
  <c r="A128" i="34" s="1"/>
  <c r="C128" i="34"/>
  <c r="D127" i="34"/>
  <c r="A127" i="34" s="1"/>
  <c r="C127" i="34"/>
  <c r="D126" i="34"/>
  <c r="A126" i="34" s="1"/>
  <c r="C126" i="34"/>
  <c r="D125" i="34"/>
  <c r="A125" i="34" s="1"/>
  <c r="C125" i="34"/>
  <c r="D124" i="34"/>
  <c r="A124" i="34" s="1"/>
  <c r="C124" i="34"/>
  <c r="D123" i="34"/>
  <c r="A123" i="34" s="1"/>
  <c r="C123" i="34"/>
  <c r="D122" i="34"/>
  <c r="A122" i="34" s="1"/>
  <c r="C122" i="34"/>
  <c r="D121" i="34"/>
  <c r="A121" i="34" s="1"/>
  <c r="C121" i="34"/>
  <c r="D120" i="34"/>
  <c r="A120" i="34" s="1"/>
  <c r="C120" i="34"/>
  <c r="D119" i="34"/>
  <c r="A119" i="34" s="1"/>
  <c r="C119" i="34"/>
  <c r="D118" i="34"/>
  <c r="A118" i="34" s="1"/>
  <c r="C118" i="34"/>
  <c r="D117" i="34"/>
  <c r="A117" i="34" s="1"/>
  <c r="C117" i="34"/>
  <c r="D116" i="34"/>
  <c r="A116" i="34" s="1"/>
  <c r="C116" i="34"/>
  <c r="D115" i="34"/>
  <c r="A115" i="34" s="1"/>
  <c r="C115" i="34"/>
  <c r="D114" i="34"/>
  <c r="A114" i="34" s="1"/>
  <c r="C114" i="34"/>
  <c r="D113" i="34"/>
  <c r="A113" i="34" s="1"/>
  <c r="C113" i="34"/>
  <c r="D112" i="34"/>
  <c r="A112" i="34" s="1"/>
  <c r="C112" i="34"/>
  <c r="D111" i="34"/>
  <c r="A111" i="34" s="1"/>
  <c r="C111" i="34"/>
  <c r="D110" i="34"/>
  <c r="A110" i="34" s="1"/>
  <c r="C110" i="34"/>
  <c r="D109" i="34"/>
  <c r="A109" i="34" s="1"/>
  <c r="C109" i="34"/>
  <c r="D108" i="34"/>
  <c r="A108" i="34" s="1"/>
  <c r="C108" i="34"/>
  <c r="D107" i="34"/>
  <c r="A107" i="34" s="1"/>
  <c r="C107" i="34"/>
  <c r="D106" i="34"/>
  <c r="A106" i="34" s="1"/>
  <c r="C106" i="34"/>
  <c r="D105" i="34"/>
  <c r="A105" i="34" s="1"/>
  <c r="C105" i="34"/>
  <c r="D104" i="34"/>
  <c r="A104" i="34" s="1"/>
  <c r="C104" i="34"/>
  <c r="D103" i="34"/>
  <c r="A103" i="34" s="1"/>
  <c r="C103" i="34"/>
  <c r="D102" i="34"/>
  <c r="A102" i="34" s="1"/>
  <c r="C102" i="34"/>
  <c r="D101" i="34"/>
  <c r="A101" i="34" s="1"/>
  <c r="C101" i="34"/>
  <c r="D100" i="34"/>
  <c r="A100" i="34" s="1"/>
  <c r="C100" i="34"/>
  <c r="D99" i="34"/>
  <c r="A99" i="34" s="1"/>
  <c r="C99" i="34"/>
  <c r="D98" i="34"/>
  <c r="A98" i="34" s="1"/>
  <c r="C98" i="34"/>
  <c r="D97" i="34"/>
  <c r="A97" i="34" s="1"/>
  <c r="C97" i="34"/>
  <c r="D96" i="34"/>
  <c r="A96" i="34" s="1"/>
  <c r="C96" i="34"/>
  <c r="D95" i="34"/>
  <c r="A95" i="34" s="1"/>
  <c r="C95" i="34"/>
  <c r="D94" i="34"/>
  <c r="A94" i="34" s="1"/>
  <c r="C94" i="34"/>
  <c r="D93" i="34"/>
  <c r="A93" i="34" s="1"/>
  <c r="C93" i="34"/>
  <c r="D92" i="34"/>
  <c r="A92" i="34" s="1"/>
  <c r="C92" i="34"/>
  <c r="D91" i="34"/>
  <c r="A91" i="34" s="1"/>
  <c r="C91" i="34"/>
  <c r="D90" i="34"/>
  <c r="A90" i="34" s="1"/>
  <c r="C90" i="34"/>
  <c r="G90" i="34" s="1"/>
  <c r="D89" i="34"/>
  <c r="A89" i="34" s="1"/>
  <c r="C89" i="34"/>
  <c r="D88" i="34"/>
  <c r="A88" i="34" s="1"/>
  <c r="C88" i="34"/>
  <c r="G88" i="34" s="1"/>
  <c r="D87" i="34"/>
  <c r="A87" i="34" s="1"/>
  <c r="C87" i="34"/>
  <c r="D86" i="34"/>
  <c r="A86" i="34" s="1"/>
  <c r="C86" i="34"/>
  <c r="G86" i="34" s="1"/>
  <c r="D85" i="34"/>
  <c r="A85" i="34" s="1"/>
  <c r="C85" i="34"/>
  <c r="D84" i="34"/>
  <c r="A84" i="34" s="1"/>
  <c r="C84" i="34"/>
  <c r="D83" i="34"/>
  <c r="A83" i="34" s="1"/>
  <c r="C83" i="34"/>
  <c r="D82" i="34"/>
  <c r="A82" i="34" s="1"/>
  <c r="C82" i="34"/>
  <c r="G82" i="34" s="1"/>
  <c r="D81" i="34"/>
  <c r="A81" i="34" s="1"/>
  <c r="C81" i="34"/>
  <c r="D80" i="34"/>
  <c r="A80" i="34" s="1"/>
  <c r="C80" i="34"/>
  <c r="D79" i="34"/>
  <c r="A79" i="34" s="1"/>
  <c r="C79" i="34"/>
  <c r="D78" i="34"/>
  <c r="A78" i="34" s="1"/>
  <c r="C78" i="34"/>
  <c r="D77" i="34"/>
  <c r="A77" i="34" s="1"/>
  <c r="C77" i="34"/>
  <c r="D76" i="34"/>
  <c r="A76" i="34" s="1"/>
  <c r="C76" i="34"/>
  <c r="D75" i="34"/>
  <c r="A75" i="34" s="1"/>
  <c r="C75" i="34"/>
  <c r="D74" i="34"/>
  <c r="A74" i="34" s="1"/>
  <c r="C74" i="34"/>
  <c r="D73" i="34"/>
  <c r="A73" i="34" s="1"/>
  <c r="C73" i="34"/>
  <c r="D72" i="34"/>
  <c r="A72" i="34" s="1"/>
  <c r="C72" i="34"/>
  <c r="D71" i="34"/>
  <c r="A71" i="34" s="1"/>
  <c r="C71" i="34"/>
  <c r="D70" i="34"/>
  <c r="A70" i="34" s="1"/>
  <c r="C70" i="34"/>
  <c r="D69" i="34"/>
  <c r="A69" i="34" s="1"/>
  <c r="C69" i="34"/>
  <c r="D68" i="34"/>
  <c r="A68" i="34" s="1"/>
  <c r="C68" i="34"/>
  <c r="D67" i="34"/>
  <c r="A67" i="34" s="1"/>
  <c r="C67" i="34"/>
  <c r="D66" i="34"/>
  <c r="A66" i="34" s="1"/>
  <c r="C66" i="34"/>
  <c r="D65" i="34"/>
  <c r="A65" i="34" s="1"/>
  <c r="C65" i="34"/>
  <c r="D64" i="34"/>
  <c r="A64" i="34" s="1"/>
  <c r="C64" i="34"/>
  <c r="D63" i="34"/>
  <c r="A63" i="34" s="1"/>
  <c r="C63" i="34"/>
  <c r="G63" i="34" s="1"/>
  <c r="D62" i="34"/>
  <c r="A62" i="34" s="1"/>
  <c r="C62" i="34"/>
  <c r="D61" i="34"/>
  <c r="A61" i="34" s="1"/>
  <c r="C61" i="34"/>
  <c r="D60" i="34"/>
  <c r="A60" i="34" s="1"/>
  <c r="C60" i="34"/>
  <c r="D59" i="34"/>
  <c r="A59" i="34" s="1"/>
  <c r="C59" i="34"/>
  <c r="D58" i="34"/>
  <c r="A58" i="34" s="1"/>
  <c r="C58" i="34"/>
  <c r="D57" i="34"/>
  <c r="A57" i="34" s="1"/>
  <c r="C57" i="34"/>
  <c r="D56" i="34"/>
  <c r="A56" i="34" s="1"/>
  <c r="C56" i="34"/>
  <c r="D55" i="34"/>
  <c r="A55" i="34" s="1"/>
  <c r="C55" i="34"/>
  <c r="D54" i="34"/>
  <c r="A54" i="34" s="1"/>
  <c r="C54" i="34"/>
  <c r="D53" i="34"/>
  <c r="A53" i="34" s="1"/>
  <c r="C53" i="34"/>
  <c r="D52" i="34"/>
  <c r="A52" i="34" s="1"/>
  <c r="C52" i="34"/>
  <c r="I52" i="34" s="1"/>
  <c r="D51" i="34"/>
  <c r="A51" i="34" s="1"/>
  <c r="C51" i="34"/>
  <c r="D50" i="34"/>
  <c r="A50" i="34" s="1"/>
  <c r="C50" i="34"/>
  <c r="D49" i="34"/>
  <c r="A49" i="34" s="1"/>
  <c r="C49" i="34"/>
  <c r="D48" i="34"/>
  <c r="A48" i="34" s="1"/>
  <c r="C48" i="34"/>
  <c r="D47" i="34"/>
  <c r="A47" i="34" s="1"/>
  <c r="C47" i="34"/>
  <c r="D46" i="34"/>
  <c r="A46" i="34" s="1"/>
  <c r="C46" i="34"/>
  <c r="D45" i="34"/>
  <c r="A45" i="34" s="1"/>
  <c r="C45" i="34"/>
  <c r="D44" i="34"/>
  <c r="A44" i="34" s="1"/>
  <c r="C44" i="34"/>
  <c r="I44" i="34" s="1"/>
  <c r="D43" i="34"/>
  <c r="A43" i="34" s="1"/>
  <c r="C43" i="34"/>
  <c r="D42" i="34"/>
  <c r="A42" i="34" s="1"/>
  <c r="C42" i="34"/>
  <c r="D41" i="34"/>
  <c r="A41" i="34" s="1"/>
  <c r="C41" i="34"/>
  <c r="D40" i="34"/>
  <c r="A40" i="34" s="1"/>
  <c r="C40" i="34"/>
  <c r="D39" i="34"/>
  <c r="A39" i="34" s="1"/>
  <c r="C39" i="34"/>
  <c r="D38" i="34"/>
  <c r="A38" i="34" s="1"/>
  <c r="C38" i="34"/>
  <c r="D37" i="34"/>
  <c r="A37" i="34" s="1"/>
  <c r="C37" i="34"/>
  <c r="D36" i="34"/>
  <c r="A36" i="34" s="1"/>
  <c r="C36" i="34"/>
  <c r="I36" i="34" s="1"/>
  <c r="D35" i="34"/>
  <c r="A35" i="34" s="1"/>
  <c r="C35" i="34"/>
  <c r="D34" i="34"/>
  <c r="A34" i="34" s="1"/>
  <c r="C34" i="34"/>
  <c r="D33" i="34"/>
  <c r="A33" i="34" s="1"/>
  <c r="C33" i="34"/>
  <c r="D32" i="34"/>
  <c r="A32" i="34" s="1"/>
  <c r="C32" i="34"/>
  <c r="D31" i="34"/>
  <c r="A31" i="34" s="1"/>
  <c r="C31" i="34"/>
  <c r="D30" i="34"/>
  <c r="A30" i="34" s="1"/>
  <c r="C30" i="34"/>
  <c r="D29" i="34"/>
  <c r="A29" i="34" s="1"/>
  <c r="C29" i="34"/>
  <c r="D28" i="34"/>
  <c r="A28" i="34" s="1"/>
  <c r="C28" i="34"/>
  <c r="D27" i="34"/>
  <c r="A27" i="34" s="1"/>
  <c r="C27" i="34"/>
  <c r="D26" i="34"/>
  <c r="A26" i="34" s="1"/>
  <c r="C26" i="34"/>
  <c r="D25" i="34"/>
  <c r="A25" i="34" s="1"/>
  <c r="C25" i="34"/>
  <c r="D24" i="34"/>
  <c r="A24" i="34" s="1"/>
  <c r="C24" i="34"/>
  <c r="D23" i="34"/>
  <c r="A23" i="34" s="1"/>
  <c r="C23" i="34"/>
  <c r="D22" i="34"/>
  <c r="A22" i="34" s="1"/>
  <c r="C22" i="34"/>
  <c r="D21" i="34"/>
  <c r="A21" i="34" s="1"/>
  <c r="C21" i="34"/>
  <c r="D20" i="34"/>
  <c r="A20" i="34" s="1"/>
  <c r="C20" i="34"/>
  <c r="D19" i="34"/>
  <c r="A19" i="34" s="1"/>
  <c r="C19" i="34"/>
  <c r="D18" i="34"/>
  <c r="A18" i="34" s="1"/>
  <c r="C18" i="34"/>
  <c r="D17" i="34"/>
  <c r="A17" i="34" s="1"/>
  <c r="C17" i="34"/>
  <c r="D16" i="34"/>
  <c r="A16" i="34" s="1"/>
  <c r="C16" i="34"/>
  <c r="D15" i="34"/>
  <c r="A15" i="34" s="1"/>
  <c r="C15" i="34"/>
  <c r="D14" i="34"/>
  <c r="A14" i="34" s="1"/>
  <c r="C14" i="34"/>
  <c r="D13" i="34"/>
  <c r="A13" i="34" s="1"/>
  <c r="C13" i="34"/>
  <c r="D12" i="34"/>
  <c r="A12" i="34" s="1"/>
  <c r="C12" i="34"/>
  <c r="D11" i="34"/>
  <c r="A11" i="34" s="1"/>
  <c r="C11" i="34"/>
  <c r="D10" i="34"/>
  <c r="A10" i="34" s="1"/>
  <c r="C10" i="34"/>
  <c r="D9" i="34"/>
  <c r="A9" i="34" s="1"/>
  <c r="C9" i="34"/>
  <c r="D8" i="34"/>
  <c r="A8" i="34" s="1"/>
  <c r="C8" i="34"/>
  <c r="D7" i="34"/>
  <c r="A7" i="34" s="1"/>
  <c r="C7" i="34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6" i="26"/>
  <c r="A655" i="26"/>
  <c r="A654" i="26"/>
  <c r="B652" i="26"/>
  <c r="G643" i="26"/>
  <c r="D643" i="26"/>
  <c r="A643" i="26" s="1"/>
  <c r="B643" i="26"/>
  <c r="G642" i="26"/>
  <c r="D642" i="26"/>
  <c r="A642" i="26" s="1"/>
  <c r="B642" i="26"/>
  <c r="G641" i="26"/>
  <c r="D641" i="26"/>
  <c r="A641" i="26" s="1"/>
  <c r="B641" i="26"/>
  <c r="G640" i="26"/>
  <c r="D640" i="26"/>
  <c r="A640" i="26" s="1"/>
  <c r="B640" i="26"/>
  <c r="G639" i="26"/>
  <c r="D639" i="26"/>
  <c r="A639" i="26" s="1"/>
  <c r="B639" i="26"/>
  <c r="G638" i="26"/>
  <c r="D638" i="26"/>
  <c r="A638" i="26" s="1"/>
  <c r="B638" i="26"/>
  <c r="G637" i="26"/>
  <c r="D637" i="26"/>
  <c r="A637" i="26" s="1"/>
  <c r="B637" i="26"/>
  <c r="G636" i="26"/>
  <c r="D636" i="26"/>
  <c r="A636" i="26" s="1"/>
  <c r="B636" i="26"/>
  <c r="G635" i="26"/>
  <c r="D635" i="26"/>
  <c r="A635" i="26" s="1"/>
  <c r="B635" i="26"/>
  <c r="G634" i="26"/>
  <c r="D634" i="26"/>
  <c r="A634" i="26" s="1"/>
  <c r="B634" i="26"/>
  <c r="G633" i="26"/>
  <c r="D633" i="26"/>
  <c r="A633" i="26" s="1"/>
  <c r="B633" i="26"/>
  <c r="G632" i="26"/>
  <c r="D632" i="26"/>
  <c r="A632" i="26" s="1"/>
  <c r="B632" i="26"/>
  <c r="G631" i="26"/>
  <c r="D631" i="26"/>
  <c r="A631" i="26" s="1"/>
  <c r="B631" i="26"/>
  <c r="G630" i="26"/>
  <c r="D630" i="26"/>
  <c r="A630" i="26" s="1"/>
  <c r="B630" i="26"/>
  <c r="G629" i="26"/>
  <c r="D629" i="26"/>
  <c r="A629" i="26" s="1"/>
  <c r="B629" i="26"/>
  <c r="G628" i="26"/>
  <c r="D628" i="26"/>
  <c r="A628" i="26" s="1"/>
  <c r="B628" i="26"/>
  <c r="G627" i="26"/>
  <c r="D627" i="26"/>
  <c r="A627" i="26" s="1"/>
  <c r="B627" i="26"/>
  <c r="G626" i="26"/>
  <c r="D626" i="26"/>
  <c r="A626" i="26" s="1"/>
  <c r="B626" i="26"/>
  <c r="G625" i="26"/>
  <c r="D625" i="26"/>
  <c r="A625" i="26" s="1"/>
  <c r="B625" i="26"/>
  <c r="G624" i="26"/>
  <c r="D624" i="26"/>
  <c r="A624" i="26" s="1"/>
  <c r="B624" i="26"/>
  <c r="G623" i="26"/>
  <c r="D623" i="26"/>
  <c r="A623" i="26" s="1"/>
  <c r="B623" i="26"/>
  <c r="G622" i="26"/>
  <c r="D622" i="26"/>
  <c r="A622" i="26" s="1"/>
  <c r="B622" i="26"/>
  <c r="G621" i="26"/>
  <c r="D621" i="26"/>
  <c r="A621" i="26" s="1"/>
  <c r="B621" i="26"/>
  <c r="G620" i="26"/>
  <c r="D620" i="26"/>
  <c r="A620" i="26" s="1"/>
  <c r="B620" i="26"/>
  <c r="G619" i="26"/>
  <c r="D619" i="26"/>
  <c r="A619" i="26" s="1"/>
  <c r="G618" i="26"/>
  <c r="D618" i="26"/>
  <c r="A618" i="26" s="1"/>
  <c r="B618" i="26"/>
  <c r="G617" i="26"/>
  <c r="D617" i="26"/>
  <c r="A617" i="26" s="1"/>
  <c r="B617" i="26"/>
  <c r="G616" i="26"/>
  <c r="D616" i="26"/>
  <c r="A616" i="26" s="1"/>
  <c r="B616" i="26"/>
  <c r="G615" i="26"/>
  <c r="D615" i="26"/>
  <c r="A615" i="26" s="1"/>
  <c r="B615" i="26"/>
  <c r="G614" i="26"/>
  <c r="D614" i="26"/>
  <c r="A614" i="26" s="1"/>
  <c r="B614" i="26"/>
  <c r="G613" i="26"/>
  <c r="D613" i="26"/>
  <c r="A613" i="26" s="1"/>
  <c r="G612" i="26"/>
  <c r="D612" i="26"/>
  <c r="A612" i="26" s="1"/>
  <c r="G611" i="26"/>
  <c r="D611" i="26"/>
  <c r="A611" i="26" s="1"/>
  <c r="G610" i="26"/>
  <c r="D610" i="26"/>
  <c r="A610" i="26" s="1"/>
  <c r="G609" i="26"/>
  <c r="D609" i="26"/>
  <c r="A609" i="26" s="1"/>
  <c r="G608" i="26"/>
  <c r="D608" i="26"/>
  <c r="A608" i="26" s="1"/>
  <c r="G607" i="26"/>
  <c r="D607" i="26"/>
  <c r="A607" i="26" s="1"/>
  <c r="G606" i="26"/>
  <c r="D606" i="26"/>
  <c r="A606" i="26" s="1"/>
  <c r="G605" i="26"/>
  <c r="D605" i="26"/>
  <c r="A605" i="26" s="1"/>
  <c r="G604" i="26"/>
  <c r="D604" i="26"/>
  <c r="A604" i="26" s="1"/>
  <c r="G603" i="26"/>
  <c r="D603" i="26"/>
  <c r="A603" i="26" s="1"/>
  <c r="G602" i="26"/>
  <c r="D602" i="26"/>
  <c r="A602" i="26" s="1"/>
  <c r="G601" i="26"/>
  <c r="D601" i="26"/>
  <c r="A601" i="26" s="1"/>
  <c r="G600" i="26"/>
  <c r="D600" i="26"/>
  <c r="A600" i="26" s="1"/>
  <c r="G599" i="26"/>
  <c r="D599" i="26"/>
  <c r="A599" i="26" s="1"/>
  <c r="G598" i="26"/>
  <c r="D598" i="26"/>
  <c r="A598" i="26" s="1"/>
  <c r="G597" i="26"/>
  <c r="D597" i="26"/>
  <c r="A597" i="26" s="1"/>
  <c r="G596" i="26"/>
  <c r="D596" i="26"/>
  <c r="A596" i="26" s="1"/>
  <c r="G595" i="26"/>
  <c r="D595" i="26"/>
  <c r="A595" i="26" s="1"/>
  <c r="G594" i="26"/>
  <c r="D594" i="26"/>
  <c r="A594" i="26" s="1"/>
  <c r="G593" i="26"/>
  <c r="D593" i="26"/>
  <c r="A593" i="26" s="1"/>
  <c r="G592" i="26"/>
  <c r="D592" i="26"/>
  <c r="A592" i="26" s="1"/>
  <c r="G591" i="26"/>
  <c r="D591" i="26"/>
  <c r="A591" i="26" s="1"/>
  <c r="G590" i="26"/>
  <c r="D590" i="26"/>
  <c r="A590" i="26" s="1"/>
  <c r="G589" i="26"/>
  <c r="D589" i="26"/>
  <c r="A589" i="26" s="1"/>
  <c r="G588" i="26"/>
  <c r="D588" i="26"/>
  <c r="A588" i="26" s="1"/>
  <c r="G587" i="26"/>
  <c r="D587" i="26"/>
  <c r="A587" i="26" s="1"/>
  <c r="G586" i="26"/>
  <c r="D586" i="26"/>
  <c r="A586" i="26" s="1"/>
  <c r="G585" i="26"/>
  <c r="D585" i="26"/>
  <c r="A585" i="26" s="1"/>
  <c r="G584" i="26"/>
  <c r="D584" i="26"/>
  <c r="A584" i="26" s="1"/>
  <c r="G583" i="26"/>
  <c r="D583" i="26"/>
  <c r="A583" i="26" s="1"/>
  <c r="G582" i="26"/>
  <c r="D582" i="26"/>
  <c r="A582" i="26" s="1"/>
  <c r="G581" i="26"/>
  <c r="D581" i="26"/>
  <c r="A581" i="26" s="1"/>
  <c r="G580" i="26"/>
  <c r="D580" i="26"/>
  <c r="A580" i="26" s="1"/>
  <c r="G579" i="26"/>
  <c r="D579" i="26"/>
  <c r="A579" i="26" s="1"/>
  <c r="G578" i="26"/>
  <c r="D578" i="26"/>
  <c r="A578" i="26" s="1"/>
  <c r="G577" i="26"/>
  <c r="D577" i="26"/>
  <c r="A577" i="26" s="1"/>
  <c r="G576" i="26"/>
  <c r="D576" i="26"/>
  <c r="A576" i="26" s="1"/>
  <c r="G575" i="26"/>
  <c r="D575" i="26"/>
  <c r="A575" i="26" s="1"/>
  <c r="G574" i="26"/>
  <c r="D574" i="26"/>
  <c r="A574" i="26" s="1"/>
  <c r="G573" i="26"/>
  <c r="D573" i="26"/>
  <c r="A573" i="26" s="1"/>
  <c r="G572" i="26"/>
  <c r="D572" i="26"/>
  <c r="A572" i="26" s="1"/>
  <c r="G571" i="26"/>
  <c r="D571" i="26"/>
  <c r="A571" i="26" s="1"/>
  <c r="G570" i="26"/>
  <c r="D570" i="26"/>
  <c r="A570" i="26" s="1"/>
  <c r="G569" i="26"/>
  <c r="D569" i="26"/>
  <c r="A569" i="26" s="1"/>
  <c r="G568" i="26"/>
  <c r="D568" i="26"/>
  <c r="A568" i="26" s="1"/>
  <c r="G567" i="26"/>
  <c r="D567" i="26"/>
  <c r="A567" i="26" s="1"/>
  <c r="G566" i="26"/>
  <c r="D566" i="26"/>
  <c r="A566" i="26" s="1"/>
  <c r="G565" i="26"/>
  <c r="D565" i="26"/>
  <c r="A565" i="26" s="1"/>
  <c r="G564" i="26"/>
  <c r="D564" i="26"/>
  <c r="A564" i="26" s="1"/>
  <c r="G563" i="26"/>
  <c r="D563" i="26"/>
  <c r="A563" i="26" s="1"/>
  <c r="G562" i="26"/>
  <c r="D562" i="26"/>
  <c r="A562" i="26" s="1"/>
  <c r="G561" i="26"/>
  <c r="D561" i="26"/>
  <c r="A561" i="26" s="1"/>
  <c r="G560" i="26"/>
  <c r="D560" i="26"/>
  <c r="A560" i="26" s="1"/>
  <c r="G559" i="26"/>
  <c r="D559" i="26"/>
  <c r="A559" i="26" s="1"/>
  <c r="G558" i="26"/>
  <c r="D558" i="26"/>
  <c r="A558" i="26" s="1"/>
  <c r="G557" i="26"/>
  <c r="D557" i="26"/>
  <c r="A557" i="26" s="1"/>
  <c r="G556" i="26"/>
  <c r="D556" i="26"/>
  <c r="A556" i="26" s="1"/>
  <c r="G555" i="26"/>
  <c r="D555" i="26"/>
  <c r="A555" i="26" s="1"/>
  <c r="G554" i="26"/>
  <c r="D554" i="26"/>
  <c r="A554" i="26" s="1"/>
  <c r="G553" i="26"/>
  <c r="D553" i="26"/>
  <c r="A553" i="26" s="1"/>
  <c r="G552" i="26"/>
  <c r="D552" i="26"/>
  <c r="A552" i="26" s="1"/>
  <c r="G551" i="26"/>
  <c r="D551" i="26"/>
  <c r="A551" i="26" s="1"/>
  <c r="G550" i="26"/>
  <c r="D550" i="26"/>
  <c r="A550" i="26" s="1"/>
  <c r="G549" i="26"/>
  <c r="D549" i="26"/>
  <c r="A549" i="26" s="1"/>
  <c r="G548" i="26"/>
  <c r="D548" i="26"/>
  <c r="A548" i="26" s="1"/>
  <c r="G547" i="26"/>
  <c r="D547" i="26"/>
  <c r="A547" i="26" s="1"/>
  <c r="G546" i="26"/>
  <c r="D546" i="26"/>
  <c r="A546" i="26" s="1"/>
  <c r="G545" i="26"/>
  <c r="D545" i="26"/>
  <c r="A545" i="26" s="1"/>
  <c r="G544" i="26"/>
  <c r="D544" i="26"/>
  <c r="A544" i="26" s="1"/>
  <c r="G543" i="26"/>
  <c r="D543" i="26"/>
  <c r="A543" i="26" s="1"/>
  <c r="G542" i="26"/>
  <c r="D542" i="26"/>
  <c r="A542" i="26" s="1"/>
  <c r="G541" i="26"/>
  <c r="D541" i="26"/>
  <c r="A541" i="26" s="1"/>
  <c r="G540" i="26"/>
  <c r="D540" i="26"/>
  <c r="A540" i="26" s="1"/>
  <c r="G539" i="26"/>
  <c r="D539" i="26"/>
  <c r="A539" i="26" s="1"/>
  <c r="G538" i="26"/>
  <c r="D538" i="26"/>
  <c r="A538" i="26" s="1"/>
  <c r="G537" i="26"/>
  <c r="D537" i="26"/>
  <c r="A537" i="26" s="1"/>
  <c r="G536" i="26"/>
  <c r="D536" i="26"/>
  <c r="A536" i="26" s="1"/>
  <c r="G535" i="26"/>
  <c r="D535" i="26"/>
  <c r="A535" i="26" s="1"/>
  <c r="G534" i="26"/>
  <c r="D534" i="26"/>
  <c r="A534" i="26" s="1"/>
  <c r="G533" i="26"/>
  <c r="D533" i="26"/>
  <c r="A533" i="26" s="1"/>
  <c r="G532" i="26"/>
  <c r="D532" i="26"/>
  <c r="A532" i="26" s="1"/>
  <c r="G531" i="26"/>
  <c r="D531" i="26"/>
  <c r="A531" i="26" s="1"/>
  <c r="G530" i="26"/>
  <c r="D530" i="26"/>
  <c r="A530" i="26" s="1"/>
  <c r="G529" i="26"/>
  <c r="D529" i="26"/>
  <c r="A529" i="26" s="1"/>
  <c r="G528" i="26"/>
  <c r="D528" i="26"/>
  <c r="A528" i="26" s="1"/>
  <c r="G527" i="26"/>
  <c r="D527" i="26"/>
  <c r="A527" i="26" s="1"/>
  <c r="G526" i="26"/>
  <c r="D526" i="26"/>
  <c r="A526" i="26" s="1"/>
  <c r="G525" i="26"/>
  <c r="D525" i="26"/>
  <c r="A525" i="26" s="1"/>
  <c r="G524" i="26"/>
  <c r="D524" i="26"/>
  <c r="A524" i="26" s="1"/>
  <c r="G523" i="26"/>
  <c r="D523" i="26"/>
  <c r="A523" i="26" s="1"/>
  <c r="G522" i="26"/>
  <c r="D522" i="26"/>
  <c r="A522" i="26" s="1"/>
  <c r="G521" i="26"/>
  <c r="D521" i="26"/>
  <c r="A521" i="26" s="1"/>
  <c r="G520" i="26"/>
  <c r="D520" i="26"/>
  <c r="A520" i="26" s="1"/>
  <c r="G519" i="26"/>
  <c r="D519" i="26"/>
  <c r="A519" i="26" s="1"/>
  <c r="G518" i="26"/>
  <c r="D518" i="26"/>
  <c r="A518" i="26" s="1"/>
  <c r="G517" i="26"/>
  <c r="D517" i="26"/>
  <c r="A517" i="26" s="1"/>
  <c r="G516" i="26"/>
  <c r="D516" i="26"/>
  <c r="A516" i="26" s="1"/>
  <c r="G515" i="26"/>
  <c r="D515" i="26"/>
  <c r="A515" i="26" s="1"/>
  <c r="G514" i="26"/>
  <c r="D514" i="26"/>
  <c r="A514" i="26" s="1"/>
  <c r="G513" i="26"/>
  <c r="D513" i="26"/>
  <c r="A513" i="26" s="1"/>
  <c r="G512" i="26"/>
  <c r="D512" i="26"/>
  <c r="A512" i="26" s="1"/>
  <c r="G511" i="26"/>
  <c r="D511" i="26"/>
  <c r="A511" i="26" s="1"/>
  <c r="G510" i="26"/>
  <c r="D510" i="26"/>
  <c r="A510" i="26" s="1"/>
  <c r="G509" i="26"/>
  <c r="D509" i="26"/>
  <c r="A509" i="26" s="1"/>
  <c r="G508" i="26"/>
  <c r="D508" i="26"/>
  <c r="A508" i="26" s="1"/>
  <c r="G507" i="26"/>
  <c r="D507" i="26"/>
  <c r="A507" i="26" s="1"/>
  <c r="G506" i="26"/>
  <c r="D506" i="26"/>
  <c r="A506" i="26" s="1"/>
  <c r="G505" i="26"/>
  <c r="D505" i="26"/>
  <c r="A505" i="26" s="1"/>
  <c r="G504" i="26"/>
  <c r="D504" i="26"/>
  <c r="A504" i="26" s="1"/>
  <c r="G503" i="26"/>
  <c r="D503" i="26"/>
  <c r="A503" i="26" s="1"/>
  <c r="G502" i="26"/>
  <c r="D502" i="26"/>
  <c r="A502" i="26" s="1"/>
  <c r="G501" i="26"/>
  <c r="D501" i="26"/>
  <c r="A501" i="26" s="1"/>
  <c r="G500" i="26"/>
  <c r="D500" i="26"/>
  <c r="A500" i="26" s="1"/>
  <c r="G499" i="26"/>
  <c r="D499" i="26"/>
  <c r="A499" i="26" s="1"/>
  <c r="G498" i="26"/>
  <c r="D498" i="26"/>
  <c r="A498" i="26" s="1"/>
  <c r="G497" i="26"/>
  <c r="D497" i="26"/>
  <c r="A497" i="26" s="1"/>
  <c r="G496" i="26"/>
  <c r="D496" i="26"/>
  <c r="A496" i="26" s="1"/>
  <c r="G495" i="26"/>
  <c r="D495" i="26"/>
  <c r="A495" i="26" s="1"/>
  <c r="G494" i="26"/>
  <c r="D494" i="26"/>
  <c r="A494" i="26" s="1"/>
  <c r="G493" i="26"/>
  <c r="D493" i="26"/>
  <c r="A493" i="26" s="1"/>
  <c r="G492" i="26"/>
  <c r="D492" i="26"/>
  <c r="A492" i="26" s="1"/>
  <c r="G491" i="26"/>
  <c r="D491" i="26"/>
  <c r="A491" i="26" s="1"/>
  <c r="G490" i="26"/>
  <c r="D490" i="26"/>
  <c r="A490" i="26" s="1"/>
  <c r="G489" i="26"/>
  <c r="D489" i="26"/>
  <c r="A489" i="26" s="1"/>
  <c r="G488" i="26"/>
  <c r="D488" i="26"/>
  <c r="A488" i="26" s="1"/>
  <c r="G487" i="26"/>
  <c r="D487" i="26"/>
  <c r="A487" i="26" s="1"/>
  <c r="G486" i="26"/>
  <c r="D486" i="26"/>
  <c r="A486" i="26" s="1"/>
  <c r="G485" i="26"/>
  <c r="D485" i="26"/>
  <c r="A485" i="26" s="1"/>
  <c r="G484" i="26"/>
  <c r="D484" i="26"/>
  <c r="A484" i="26" s="1"/>
  <c r="G483" i="26"/>
  <c r="D483" i="26"/>
  <c r="A483" i="26" s="1"/>
  <c r="G482" i="26"/>
  <c r="D482" i="26"/>
  <c r="A482" i="26" s="1"/>
  <c r="G481" i="26"/>
  <c r="D481" i="26"/>
  <c r="A481" i="26" s="1"/>
  <c r="G480" i="26"/>
  <c r="D480" i="26"/>
  <c r="A480" i="26" s="1"/>
  <c r="G479" i="26"/>
  <c r="D479" i="26"/>
  <c r="A479" i="26" s="1"/>
  <c r="G478" i="26"/>
  <c r="D478" i="26"/>
  <c r="A478" i="26" s="1"/>
  <c r="G477" i="26"/>
  <c r="D477" i="26"/>
  <c r="A477" i="26" s="1"/>
  <c r="G476" i="26"/>
  <c r="D476" i="26"/>
  <c r="A476" i="26" s="1"/>
  <c r="G475" i="26"/>
  <c r="D475" i="26"/>
  <c r="A475" i="26" s="1"/>
  <c r="G474" i="26"/>
  <c r="D474" i="26"/>
  <c r="A474" i="26" s="1"/>
  <c r="G473" i="26"/>
  <c r="D473" i="26"/>
  <c r="A473" i="26" s="1"/>
  <c r="G472" i="26"/>
  <c r="D472" i="26"/>
  <c r="A472" i="26" s="1"/>
  <c r="G471" i="26"/>
  <c r="D471" i="26"/>
  <c r="A471" i="26" s="1"/>
  <c r="G470" i="26"/>
  <c r="D470" i="26"/>
  <c r="A470" i="26" s="1"/>
  <c r="G469" i="26"/>
  <c r="D469" i="26"/>
  <c r="A469" i="26" s="1"/>
  <c r="G468" i="26"/>
  <c r="D468" i="26"/>
  <c r="A468" i="26" s="1"/>
  <c r="G467" i="26"/>
  <c r="D467" i="26"/>
  <c r="A467" i="26" s="1"/>
  <c r="G466" i="26"/>
  <c r="D466" i="26"/>
  <c r="A466" i="26" s="1"/>
  <c r="G465" i="26"/>
  <c r="D465" i="26"/>
  <c r="A465" i="26" s="1"/>
  <c r="G464" i="26"/>
  <c r="D464" i="26"/>
  <c r="A464" i="26" s="1"/>
  <c r="G463" i="26"/>
  <c r="D463" i="26"/>
  <c r="A463" i="26" s="1"/>
  <c r="G462" i="26"/>
  <c r="D462" i="26"/>
  <c r="A462" i="26" s="1"/>
  <c r="G461" i="26"/>
  <c r="D461" i="26"/>
  <c r="A461" i="26" s="1"/>
  <c r="G460" i="26"/>
  <c r="D460" i="26"/>
  <c r="A460" i="26" s="1"/>
  <c r="G459" i="26"/>
  <c r="D459" i="26"/>
  <c r="A459" i="26" s="1"/>
  <c r="G458" i="26"/>
  <c r="D458" i="26"/>
  <c r="A458" i="26" s="1"/>
  <c r="G457" i="26"/>
  <c r="D457" i="26"/>
  <c r="A457" i="26" s="1"/>
  <c r="G456" i="26"/>
  <c r="D456" i="26"/>
  <c r="A456" i="26" s="1"/>
  <c r="G455" i="26"/>
  <c r="D455" i="26"/>
  <c r="A455" i="26" s="1"/>
  <c r="G454" i="26"/>
  <c r="D454" i="26"/>
  <c r="A454" i="26" s="1"/>
  <c r="G453" i="26"/>
  <c r="D453" i="26"/>
  <c r="A453" i="26" s="1"/>
  <c r="G452" i="26"/>
  <c r="D452" i="26"/>
  <c r="A452" i="26" s="1"/>
  <c r="G451" i="26"/>
  <c r="D451" i="26"/>
  <c r="A451" i="26" s="1"/>
  <c r="G450" i="26"/>
  <c r="D450" i="26"/>
  <c r="A450" i="26" s="1"/>
  <c r="G449" i="26"/>
  <c r="D449" i="26"/>
  <c r="A449" i="26" s="1"/>
  <c r="G448" i="26"/>
  <c r="D448" i="26"/>
  <c r="A448" i="26" s="1"/>
  <c r="G447" i="26"/>
  <c r="D447" i="26"/>
  <c r="A447" i="26" s="1"/>
  <c r="G446" i="26"/>
  <c r="D446" i="26"/>
  <c r="A446" i="26" s="1"/>
  <c r="G445" i="26"/>
  <c r="D445" i="26"/>
  <c r="A445" i="26" s="1"/>
  <c r="G444" i="26"/>
  <c r="D444" i="26"/>
  <c r="A444" i="26" s="1"/>
  <c r="G443" i="26"/>
  <c r="D443" i="26"/>
  <c r="A443" i="26" s="1"/>
  <c r="G442" i="26"/>
  <c r="D442" i="26"/>
  <c r="A442" i="26" s="1"/>
  <c r="G441" i="26"/>
  <c r="D441" i="26"/>
  <c r="A441" i="26" s="1"/>
  <c r="G440" i="26"/>
  <c r="D440" i="26"/>
  <c r="A440" i="26" s="1"/>
  <c r="G435" i="26"/>
  <c r="D435" i="26"/>
  <c r="A435" i="26" s="1"/>
  <c r="G434" i="26"/>
  <c r="D434" i="26"/>
  <c r="A434" i="26" s="1"/>
  <c r="B434" i="26"/>
  <c r="G433" i="26"/>
  <c r="D433" i="26"/>
  <c r="A433" i="26" s="1"/>
  <c r="B433" i="26"/>
  <c r="G432" i="26"/>
  <c r="D432" i="26"/>
  <c r="A432" i="26" s="1"/>
  <c r="B432" i="26"/>
  <c r="G431" i="26"/>
  <c r="D431" i="26"/>
  <c r="A431" i="26" s="1"/>
  <c r="B431" i="26"/>
  <c r="G430" i="26"/>
  <c r="D430" i="26"/>
  <c r="A430" i="26" s="1"/>
  <c r="B430" i="26"/>
  <c r="G429" i="26"/>
  <c r="D429" i="26"/>
  <c r="A429" i="26" s="1"/>
  <c r="G428" i="26"/>
  <c r="D428" i="26"/>
  <c r="A428" i="26" s="1"/>
  <c r="B428" i="26"/>
  <c r="G427" i="26"/>
  <c r="D427" i="26"/>
  <c r="A427" i="26" s="1"/>
  <c r="B427" i="26"/>
  <c r="G426" i="26"/>
  <c r="D426" i="26"/>
  <c r="A426" i="26" s="1"/>
  <c r="B426" i="26"/>
  <c r="G425" i="26"/>
  <c r="D425" i="26"/>
  <c r="A425" i="26" s="1"/>
  <c r="B425" i="26"/>
  <c r="G424" i="26"/>
  <c r="D424" i="26"/>
  <c r="A424" i="26" s="1"/>
  <c r="B424" i="26"/>
  <c r="G423" i="26"/>
  <c r="D423" i="26"/>
  <c r="A423" i="26" s="1"/>
  <c r="B423" i="26"/>
  <c r="G422" i="26"/>
  <c r="D422" i="26"/>
  <c r="A422" i="26" s="1"/>
  <c r="B422" i="26"/>
  <c r="G421" i="26"/>
  <c r="D421" i="26"/>
  <c r="A421" i="26" s="1"/>
  <c r="B421" i="26"/>
  <c r="G420" i="26"/>
  <c r="D420" i="26"/>
  <c r="A420" i="26" s="1"/>
  <c r="G419" i="26"/>
  <c r="D419" i="26"/>
  <c r="A419" i="26" s="1"/>
  <c r="G418" i="26"/>
  <c r="D418" i="26"/>
  <c r="A418" i="26" s="1"/>
  <c r="G417" i="26"/>
  <c r="D417" i="26"/>
  <c r="A417" i="26" s="1"/>
  <c r="G416" i="26"/>
  <c r="D416" i="26"/>
  <c r="A416" i="26" s="1"/>
  <c r="G415" i="26"/>
  <c r="D415" i="26"/>
  <c r="A415" i="26" s="1"/>
  <c r="G414" i="26"/>
  <c r="D414" i="26"/>
  <c r="A414" i="26" s="1"/>
  <c r="G413" i="26"/>
  <c r="D413" i="26"/>
  <c r="A413" i="26" s="1"/>
  <c r="G412" i="26"/>
  <c r="D412" i="26"/>
  <c r="A412" i="26" s="1"/>
  <c r="G411" i="26"/>
  <c r="D411" i="26"/>
  <c r="A411" i="26" s="1"/>
  <c r="G410" i="26"/>
  <c r="D410" i="26"/>
  <c r="A410" i="26" s="1"/>
  <c r="G409" i="26"/>
  <c r="D409" i="26"/>
  <c r="A409" i="26" s="1"/>
  <c r="G408" i="26"/>
  <c r="D408" i="26"/>
  <c r="A408" i="26" s="1"/>
  <c r="G407" i="26"/>
  <c r="D407" i="26"/>
  <c r="A407" i="26" s="1"/>
  <c r="G406" i="26"/>
  <c r="D406" i="26"/>
  <c r="A406" i="26" s="1"/>
  <c r="G405" i="26"/>
  <c r="D405" i="26"/>
  <c r="A405" i="26" s="1"/>
  <c r="G404" i="26"/>
  <c r="D404" i="26"/>
  <c r="A404" i="26" s="1"/>
  <c r="G403" i="26"/>
  <c r="D403" i="26"/>
  <c r="A403" i="26" s="1"/>
  <c r="G402" i="26"/>
  <c r="D402" i="26"/>
  <c r="A402" i="26" s="1"/>
  <c r="G401" i="26"/>
  <c r="D401" i="26"/>
  <c r="A401" i="26" s="1"/>
  <c r="G400" i="26"/>
  <c r="D400" i="26"/>
  <c r="A400" i="26" s="1"/>
  <c r="G399" i="26"/>
  <c r="D399" i="26"/>
  <c r="A399" i="26" s="1"/>
  <c r="G398" i="26"/>
  <c r="D398" i="26"/>
  <c r="A398" i="26" s="1"/>
  <c r="G397" i="26"/>
  <c r="D397" i="26"/>
  <c r="A397" i="26" s="1"/>
  <c r="G396" i="26"/>
  <c r="D396" i="26"/>
  <c r="A396" i="26" s="1"/>
  <c r="G395" i="26"/>
  <c r="D395" i="26"/>
  <c r="A395" i="26" s="1"/>
  <c r="G394" i="26"/>
  <c r="D394" i="26"/>
  <c r="A394" i="26" s="1"/>
  <c r="G393" i="26"/>
  <c r="D393" i="26"/>
  <c r="A393" i="26" s="1"/>
  <c r="G392" i="26"/>
  <c r="D392" i="26"/>
  <c r="A392" i="26" s="1"/>
  <c r="G391" i="26"/>
  <c r="D391" i="26"/>
  <c r="A391" i="26" s="1"/>
  <c r="G390" i="26"/>
  <c r="D390" i="26"/>
  <c r="A390" i="26" s="1"/>
  <c r="G389" i="26"/>
  <c r="D389" i="26"/>
  <c r="A389" i="26" s="1"/>
  <c r="G388" i="26"/>
  <c r="D388" i="26"/>
  <c r="A388" i="26" s="1"/>
  <c r="G387" i="26"/>
  <c r="D387" i="26"/>
  <c r="A387" i="26" s="1"/>
  <c r="G386" i="26"/>
  <c r="D386" i="26"/>
  <c r="A386" i="26" s="1"/>
  <c r="G385" i="26"/>
  <c r="D385" i="26"/>
  <c r="A385" i="26" s="1"/>
  <c r="G384" i="26"/>
  <c r="D384" i="26"/>
  <c r="A384" i="26" s="1"/>
  <c r="G383" i="26"/>
  <c r="D383" i="26"/>
  <c r="A383" i="26" s="1"/>
  <c r="G382" i="26"/>
  <c r="D382" i="26"/>
  <c r="A382" i="26" s="1"/>
  <c r="G381" i="26"/>
  <c r="D381" i="26"/>
  <c r="A381" i="26" s="1"/>
  <c r="G380" i="26"/>
  <c r="D380" i="26"/>
  <c r="A380" i="26" s="1"/>
  <c r="G379" i="26"/>
  <c r="D379" i="26"/>
  <c r="A379" i="26" s="1"/>
  <c r="G378" i="26"/>
  <c r="D378" i="26"/>
  <c r="A378" i="26" s="1"/>
  <c r="G377" i="26"/>
  <c r="D377" i="26"/>
  <c r="A377" i="26" s="1"/>
  <c r="G376" i="26"/>
  <c r="D376" i="26"/>
  <c r="A376" i="26" s="1"/>
  <c r="G375" i="26"/>
  <c r="D375" i="26"/>
  <c r="A375" i="26" s="1"/>
  <c r="G374" i="26"/>
  <c r="D374" i="26"/>
  <c r="A374" i="26" s="1"/>
  <c r="G373" i="26"/>
  <c r="D373" i="26"/>
  <c r="A373" i="26" s="1"/>
  <c r="G372" i="26"/>
  <c r="D372" i="26"/>
  <c r="A372" i="26" s="1"/>
  <c r="G371" i="26"/>
  <c r="D371" i="26"/>
  <c r="A371" i="26" s="1"/>
  <c r="G370" i="26"/>
  <c r="D370" i="26"/>
  <c r="A370" i="26" s="1"/>
  <c r="G369" i="26"/>
  <c r="D369" i="26"/>
  <c r="A369" i="26" s="1"/>
  <c r="G368" i="26"/>
  <c r="D368" i="26"/>
  <c r="A368" i="26" s="1"/>
  <c r="G367" i="26"/>
  <c r="D367" i="26"/>
  <c r="A367" i="26" s="1"/>
  <c r="G366" i="26"/>
  <c r="D366" i="26"/>
  <c r="A366" i="26" s="1"/>
  <c r="G365" i="26"/>
  <c r="D365" i="26"/>
  <c r="A365" i="26" s="1"/>
  <c r="G364" i="26"/>
  <c r="D364" i="26"/>
  <c r="A364" i="26" s="1"/>
  <c r="G363" i="26"/>
  <c r="D363" i="26"/>
  <c r="A363" i="26" s="1"/>
  <c r="G362" i="26"/>
  <c r="D362" i="26"/>
  <c r="A362" i="26" s="1"/>
  <c r="G361" i="26"/>
  <c r="D361" i="26"/>
  <c r="A361" i="26" s="1"/>
  <c r="G360" i="26"/>
  <c r="D360" i="26"/>
  <c r="A360" i="26" s="1"/>
  <c r="G359" i="26"/>
  <c r="D359" i="26"/>
  <c r="A359" i="26" s="1"/>
  <c r="G358" i="26"/>
  <c r="D358" i="26"/>
  <c r="A358" i="26" s="1"/>
  <c r="G357" i="26"/>
  <c r="D357" i="26"/>
  <c r="A357" i="26" s="1"/>
  <c r="G356" i="26"/>
  <c r="D356" i="26"/>
  <c r="A356" i="26" s="1"/>
  <c r="G355" i="26"/>
  <c r="D355" i="26"/>
  <c r="A355" i="26" s="1"/>
  <c r="G354" i="26"/>
  <c r="D354" i="26"/>
  <c r="A354" i="26" s="1"/>
  <c r="G353" i="26"/>
  <c r="D353" i="26"/>
  <c r="A353" i="26" s="1"/>
  <c r="G352" i="26"/>
  <c r="D352" i="26"/>
  <c r="A352" i="26" s="1"/>
  <c r="G351" i="26"/>
  <c r="D351" i="26"/>
  <c r="A351" i="26" s="1"/>
  <c r="G350" i="26"/>
  <c r="D350" i="26"/>
  <c r="A350" i="26" s="1"/>
  <c r="G349" i="26"/>
  <c r="D349" i="26"/>
  <c r="A349" i="26" s="1"/>
  <c r="G348" i="26"/>
  <c r="D348" i="26"/>
  <c r="A348" i="26" s="1"/>
  <c r="G347" i="26"/>
  <c r="D347" i="26"/>
  <c r="A347" i="26" s="1"/>
  <c r="G346" i="26"/>
  <c r="D346" i="26"/>
  <c r="A346" i="26" s="1"/>
  <c r="G345" i="26"/>
  <c r="D345" i="26"/>
  <c r="A345" i="26" s="1"/>
  <c r="G344" i="26"/>
  <c r="D344" i="26"/>
  <c r="A344" i="26" s="1"/>
  <c r="G343" i="26"/>
  <c r="D343" i="26"/>
  <c r="A343" i="26" s="1"/>
  <c r="G342" i="26"/>
  <c r="D342" i="26"/>
  <c r="A342" i="26" s="1"/>
  <c r="G341" i="26"/>
  <c r="D341" i="26"/>
  <c r="A341" i="26" s="1"/>
  <c r="G340" i="26"/>
  <c r="D340" i="26"/>
  <c r="A340" i="26" s="1"/>
  <c r="G339" i="26"/>
  <c r="D339" i="26"/>
  <c r="A339" i="26" s="1"/>
  <c r="G338" i="26"/>
  <c r="D338" i="26"/>
  <c r="A338" i="26" s="1"/>
  <c r="G337" i="26"/>
  <c r="D337" i="26"/>
  <c r="A337" i="26" s="1"/>
  <c r="G336" i="26"/>
  <c r="D336" i="26"/>
  <c r="A336" i="26" s="1"/>
  <c r="G335" i="26"/>
  <c r="D335" i="26"/>
  <c r="A335" i="26" s="1"/>
  <c r="G334" i="26"/>
  <c r="D334" i="26"/>
  <c r="A334" i="26" s="1"/>
  <c r="G333" i="26"/>
  <c r="D333" i="26"/>
  <c r="A333" i="26" s="1"/>
  <c r="G332" i="26"/>
  <c r="D332" i="26"/>
  <c r="A332" i="26" s="1"/>
  <c r="G331" i="26"/>
  <c r="D331" i="26"/>
  <c r="A331" i="26" s="1"/>
  <c r="G330" i="26"/>
  <c r="D330" i="26"/>
  <c r="A330" i="26" s="1"/>
  <c r="G329" i="26"/>
  <c r="D329" i="26"/>
  <c r="A329" i="26" s="1"/>
  <c r="G328" i="26"/>
  <c r="D328" i="26"/>
  <c r="A328" i="26" s="1"/>
  <c r="G327" i="26"/>
  <c r="D327" i="26"/>
  <c r="A327" i="26" s="1"/>
  <c r="G326" i="26"/>
  <c r="D326" i="26"/>
  <c r="A326" i="26" s="1"/>
  <c r="G325" i="26"/>
  <c r="D325" i="26"/>
  <c r="A325" i="26" s="1"/>
  <c r="G324" i="26"/>
  <c r="D324" i="26"/>
  <c r="A324" i="26" s="1"/>
  <c r="G323" i="26"/>
  <c r="D323" i="26"/>
  <c r="A323" i="26" s="1"/>
  <c r="G322" i="26"/>
  <c r="D322" i="26"/>
  <c r="A322" i="26" s="1"/>
  <c r="G321" i="26"/>
  <c r="D321" i="26"/>
  <c r="A321" i="26" s="1"/>
  <c r="G320" i="26"/>
  <c r="D320" i="26"/>
  <c r="A320" i="26" s="1"/>
  <c r="G319" i="26"/>
  <c r="D319" i="26"/>
  <c r="A319" i="26" s="1"/>
  <c r="G318" i="26"/>
  <c r="D318" i="26"/>
  <c r="A318" i="26" s="1"/>
  <c r="G317" i="26"/>
  <c r="D317" i="26"/>
  <c r="A317" i="26" s="1"/>
  <c r="G316" i="26"/>
  <c r="D316" i="26"/>
  <c r="A316" i="26" s="1"/>
  <c r="G315" i="26"/>
  <c r="D315" i="26"/>
  <c r="A315" i="26" s="1"/>
  <c r="G314" i="26"/>
  <c r="D314" i="26"/>
  <c r="A314" i="26" s="1"/>
  <c r="G313" i="26"/>
  <c r="D313" i="26"/>
  <c r="A313" i="26" s="1"/>
  <c r="G312" i="26"/>
  <c r="D312" i="26"/>
  <c r="A312" i="26" s="1"/>
  <c r="G311" i="26"/>
  <c r="D311" i="26"/>
  <c r="A311" i="26" s="1"/>
  <c r="G310" i="26"/>
  <c r="D310" i="26"/>
  <c r="A310" i="26" s="1"/>
  <c r="G309" i="26"/>
  <c r="D309" i="26"/>
  <c r="A309" i="26" s="1"/>
  <c r="G308" i="26"/>
  <c r="D308" i="26"/>
  <c r="A308" i="26" s="1"/>
  <c r="G307" i="26"/>
  <c r="D307" i="26"/>
  <c r="A307" i="26" s="1"/>
  <c r="G306" i="26"/>
  <c r="D306" i="26"/>
  <c r="A306" i="26" s="1"/>
  <c r="G305" i="26"/>
  <c r="D305" i="26"/>
  <c r="A305" i="26" s="1"/>
  <c r="G304" i="26"/>
  <c r="D304" i="26"/>
  <c r="A304" i="26" s="1"/>
  <c r="G303" i="26"/>
  <c r="D303" i="26"/>
  <c r="A303" i="26" s="1"/>
  <c r="G302" i="26"/>
  <c r="D302" i="26"/>
  <c r="A302" i="26" s="1"/>
  <c r="G301" i="26"/>
  <c r="D301" i="26"/>
  <c r="A301" i="26" s="1"/>
  <c r="G300" i="26"/>
  <c r="D300" i="26"/>
  <c r="A300" i="26" s="1"/>
  <c r="G299" i="26"/>
  <c r="D299" i="26"/>
  <c r="A299" i="26" s="1"/>
  <c r="G298" i="26"/>
  <c r="D298" i="26"/>
  <c r="A298" i="26" s="1"/>
  <c r="G297" i="26"/>
  <c r="D297" i="26"/>
  <c r="A297" i="26" s="1"/>
  <c r="G296" i="26"/>
  <c r="D296" i="26"/>
  <c r="A296" i="26" s="1"/>
  <c r="G295" i="26"/>
  <c r="D295" i="26"/>
  <c r="A295" i="26" s="1"/>
  <c r="G294" i="26"/>
  <c r="D294" i="26"/>
  <c r="A294" i="26" s="1"/>
  <c r="G293" i="26"/>
  <c r="D293" i="26"/>
  <c r="A293" i="26" s="1"/>
  <c r="G292" i="26"/>
  <c r="D292" i="26"/>
  <c r="A292" i="26" s="1"/>
  <c r="G291" i="26"/>
  <c r="D291" i="26"/>
  <c r="A291" i="26" s="1"/>
  <c r="G290" i="26"/>
  <c r="D290" i="26"/>
  <c r="A290" i="26" s="1"/>
  <c r="G289" i="26"/>
  <c r="D289" i="26"/>
  <c r="A289" i="26" s="1"/>
  <c r="G288" i="26"/>
  <c r="D288" i="26"/>
  <c r="A288" i="26" s="1"/>
  <c r="G287" i="26"/>
  <c r="D287" i="26"/>
  <c r="A287" i="26" s="1"/>
  <c r="G286" i="26"/>
  <c r="D286" i="26"/>
  <c r="A286" i="26" s="1"/>
  <c r="G285" i="26"/>
  <c r="D285" i="26"/>
  <c r="A285" i="26" s="1"/>
  <c r="G284" i="26"/>
  <c r="D284" i="26"/>
  <c r="A284" i="26" s="1"/>
  <c r="G283" i="26"/>
  <c r="D283" i="26"/>
  <c r="A283" i="26" s="1"/>
  <c r="G282" i="26"/>
  <c r="D282" i="26"/>
  <c r="A282" i="26" s="1"/>
  <c r="G281" i="26"/>
  <c r="D281" i="26"/>
  <c r="A281" i="26" s="1"/>
  <c r="G280" i="26"/>
  <c r="D280" i="26"/>
  <c r="A280" i="26" s="1"/>
  <c r="G279" i="26"/>
  <c r="D279" i="26"/>
  <c r="A279" i="26" s="1"/>
  <c r="G278" i="26"/>
  <c r="D278" i="26"/>
  <c r="A278" i="26" s="1"/>
  <c r="G277" i="26"/>
  <c r="D277" i="26"/>
  <c r="A277" i="26" s="1"/>
  <c r="G276" i="26"/>
  <c r="D276" i="26"/>
  <c r="A276" i="26" s="1"/>
  <c r="G275" i="26"/>
  <c r="D275" i="26"/>
  <c r="A275" i="26" s="1"/>
  <c r="G274" i="26"/>
  <c r="D274" i="26"/>
  <c r="A274" i="26" s="1"/>
  <c r="G273" i="26"/>
  <c r="D273" i="26"/>
  <c r="A273" i="26" s="1"/>
  <c r="G272" i="26"/>
  <c r="D272" i="26"/>
  <c r="A272" i="26" s="1"/>
  <c r="G271" i="26"/>
  <c r="D271" i="26"/>
  <c r="A271" i="26" s="1"/>
  <c r="G270" i="26"/>
  <c r="D270" i="26"/>
  <c r="A270" i="26" s="1"/>
  <c r="G269" i="26"/>
  <c r="D269" i="26"/>
  <c r="A269" i="26" s="1"/>
  <c r="G268" i="26"/>
  <c r="D268" i="26"/>
  <c r="A268" i="26" s="1"/>
  <c r="G267" i="26"/>
  <c r="D267" i="26"/>
  <c r="A267" i="26" s="1"/>
  <c r="G266" i="26"/>
  <c r="D266" i="26"/>
  <c r="A266" i="26" s="1"/>
  <c r="G265" i="26"/>
  <c r="D265" i="26"/>
  <c r="A265" i="26" s="1"/>
  <c r="G264" i="26"/>
  <c r="D264" i="26"/>
  <c r="A264" i="26" s="1"/>
  <c r="G263" i="26"/>
  <c r="D263" i="26"/>
  <c r="A263" i="26" s="1"/>
  <c r="G262" i="26"/>
  <c r="D262" i="26"/>
  <c r="A262" i="26" s="1"/>
  <c r="G261" i="26"/>
  <c r="D261" i="26"/>
  <c r="A261" i="26" s="1"/>
  <c r="G260" i="26"/>
  <c r="D260" i="26"/>
  <c r="A260" i="26" s="1"/>
  <c r="G259" i="26"/>
  <c r="D259" i="26"/>
  <c r="A259" i="26" s="1"/>
  <c r="G258" i="26"/>
  <c r="D258" i="26"/>
  <c r="A258" i="26" s="1"/>
  <c r="G257" i="26"/>
  <c r="D257" i="26"/>
  <c r="A257" i="26" s="1"/>
  <c r="G256" i="26"/>
  <c r="D256" i="26"/>
  <c r="A256" i="26" s="1"/>
  <c r="G255" i="26"/>
  <c r="D255" i="26"/>
  <c r="A255" i="26" s="1"/>
  <c r="G254" i="26"/>
  <c r="D254" i="26"/>
  <c r="A254" i="26" s="1"/>
  <c r="G253" i="26"/>
  <c r="D253" i="26"/>
  <c r="A253" i="26" s="1"/>
  <c r="G252" i="26"/>
  <c r="D252" i="26"/>
  <c r="A252" i="26" s="1"/>
  <c r="G251" i="26"/>
  <c r="D251" i="26"/>
  <c r="A251" i="26" s="1"/>
  <c r="G250" i="26"/>
  <c r="D250" i="26"/>
  <c r="A250" i="26" s="1"/>
  <c r="G249" i="26"/>
  <c r="D249" i="26"/>
  <c r="A249" i="26" s="1"/>
  <c r="G248" i="26"/>
  <c r="D248" i="26"/>
  <c r="A248" i="26" s="1"/>
  <c r="G247" i="26"/>
  <c r="D247" i="26"/>
  <c r="A247" i="26" s="1"/>
  <c r="G246" i="26"/>
  <c r="D246" i="26"/>
  <c r="A246" i="26" s="1"/>
  <c r="G245" i="26"/>
  <c r="D245" i="26"/>
  <c r="A245" i="26" s="1"/>
  <c r="G244" i="26"/>
  <c r="D244" i="26"/>
  <c r="A244" i="26" s="1"/>
  <c r="G243" i="26"/>
  <c r="D243" i="26"/>
  <c r="A243" i="26" s="1"/>
  <c r="G242" i="26"/>
  <c r="D242" i="26"/>
  <c r="A242" i="26" s="1"/>
  <c r="G241" i="26"/>
  <c r="D241" i="26"/>
  <c r="A241" i="26" s="1"/>
  <c r="G240" i="26"/>
  <c r="D240" i="26"/>
  <c r="A240" i="26" s="1"/>
  <c r="G239" i="26"/>
  <c r="D239" i="26"/>
  <c r="A239" i="26" s="1"/>
  <c r="G238" i="26"/>
  <c r="D238" i="26"/>
  <c r="A238" i="26" s="1"/>
  <c r="G237" i="26"/>
  <c r="D237" i="26"/>
  <c r="A237" i="26" s="1"/>
  <c r="G236" i="26"/>
  <c r="D236" i="26"/>
  <c r="A236" i="26" s="1"/>
  <c r="G235" i="26"/>
  <c r="D235" i="26"/>
  <c r="A235" i="26" s="1"/>
  <c r="G234" i="26"/>
  <c r="D234" i="26"/>
  <c r="A234" i="26" s="1"/>
  <c r="G233" i="26"/>
  <c r="D233" i="26"/>
  <c r="A233" i="26" s="1"/>
  <c r="G232" i="26"/>
  <c r="D232" i="26"/>
  <c r="A232" i="26" s="1"/>
  <c r="CJ226" i="26"/>
  <c r="CI226" i="26"/>
  <c r="CB226" i="26"/>
  <c r="BV226" i="26"/>
  <c r="BP226" i="26"/>
  <c r="BJ226" i="26"/>
  <c r="BD226" i="26"/>
  <c r="AX226" i="26"/>
  <c r="AR226" i="26"/>
  <c r="AL226" i="26"/>
  <c r="AF226" i="26"/>
  <c r="Z226" i="26"/>
  <c r="G226" i="26"/>
  <c r="D226" i="26"/>
  <c r="A226" i="26" s="1"/>
  <c r="CJ225" i="26"/>
  <c r="CI225" i="26"/>
  <c r="CB225" i="26"/>
  <c r="BV225" i="26"/>
  <c r="BP225" i="26"/>
  <c r="BJ225" i="26"/>
  <c r="BD225" i="26"/>
  <c r="AX225" i="26"/>
  <c r="AR225" i="26"/>
  <c r="AL225" i="26"/>
  <c r="AF225" i="26"/>
  <c r="Z225" i="26"/>
  <c r="G225" i="26"/>
  <c r="D225" i="26"/>
  <c r="A225" i="26" s="1"/>
  <c r="B225" i="26"/>
  <c r="CJ224" i="26"/>
  <c r="CI224" i="26"/>
  <c r="CB224" i="26"/>
  <c r="BV224" i="26"/>
  <c r="BP224" i="26"/>
  <c r="BJ224" i="26"/>
  <c r="BD224" i="26"/>
  <c r="AX224" i="26"/>
  <c r="AR224" i="26"/>
  <c r="AL224" i="26"/>
  <c r="AF224" i="26"/>
  <c r="Z224" i="26"/>
  <c r="G224" i="26"/>
  <c r="D224" i="26"/>
  <c r="A224" i="26" s="1"/>
  <c r="B224" i="26"/>
  <c r="CJ223" i="26"/>
  <c r="CI223" i="26"/>
  <c r="CB223" i="26"/>
  <c r="BV223" i="26"/>
  <c r="BP223" i="26"/>
  <c r="BJ223" i="26"/>
  <c r="BD223" i="26"/>
  <c r="AX223" i="26"/>
  <c r="AR223" i="26"/>
  <c r="AL223" i="26"/>
  <c r="AF223" i="26"/>
  <c r="Z223" i="26"/>
  <c r="G223" i="26"/>
  <c r="D223" i="26"/>
  <c r="A223" i="26" s="1"/>
  <c r="B223" i="26"/>
  <c r="CJ222" i="26"/>
  <c r="CI222" i="26"/>
  <c r="CB222" i="26"/>
  <c r="BV222" i="26"/>
  <c r="BP222" i="26"/>
  <c r="BJ222" i="26"/>
  <c r="BD222" i="26"/>
  <c r="AX222" i="26"/>
  <c r="AR222" i="26"/>
  <c r="AL222" i="26"/>
  <c r="AF222" i="26"/>
  <c r="Z222" i="26"/>
  <c r="G222" i="26"/>
  <c r="D222" i="26"/>
  <c r="A222" i="26" s="1"/>
  <c r="B222" i="26"/>
  <c r="CJ221" i="26"/>
  <c r="CI221" i="26"/>
  <c r="CB221" i="26"/>
  <c r="BV221" i="26"/>
  <c r="BP221" i="26"/>
  <c r="BJ221" i="26"/>
  <c r="BD221" i="26"/>
  <c r="AX221" i="26"/>
  <c r="AR221" i="26"/>
  <c r="AL221" i="26"/>
  <c r="AF221" i="26"/>
  <c r="Z221" i="26"/>
  <c r="G221" i="26"/>
  <c r="D221" i="26"/>
  <c r="A221" i="26" s="1"/>
  <c r="B221" i="26"/>
  <c r="CJ220" i="26"/>
  <c r="CI220" i="26"/>
  <c r="CB220" i="26"/>
  <c r="BV220" i="26"/>
  <c r="BP220" i="26"/>
  <c r="BJ220" i="26"/>
  <c r="BD220" i="26"/>
  <c r="AX220" i="26"/>
  <c r="AR220" i="26"/>
  <c r="AL220" i="26"/>
  <c r="AF220" i="26"/>
  <c r="Z220" i="26"/>
  <c r="G220" i="26"/>
  <c r="D220" i="26"/>
  <c r="A220" i="26" s="1"/>
  <c r="CJ219" i="26"/>
  <c r="CI219" i="26"/>
  <c r="CB219" i="26"/>
  <c r="BV219" i="26"/>
  <c r="BP219" i="26"/>
  <c r="BJ219" i="26"/>
  <c r="BD219" i="26"/>
  <c r="AX219" i="26"/>
  <c r="AR219" i="26"/>
  <c r="AL219" i="26"/>
  <c r="AF219" i="26"/>
  <c r="Z219" i="26"/>
  <c r="G219" i="26"/>
  <c r="D219" i="26"/>
  <c r="A219" i="26" s="1"/>
  <c r="B219" i="26"/>
  <c r="CJ218" i="26"/>
  <c r="CI218" i="26"/>
  <c r="CB218" i="26"/>
  <c r="BV218" i="26"/>
  <c r="BP218" i="26"/>
  <c r="BJ218" i="26"/>
  <c r="BD218" i="26"/>
  <c r="AX218" i="26"/>
  <c r="AR218" i="26"/>
  <c r="AL218" i="26"/>
  <c r="AF218" i="26"/>
  <c r="Z218" i="26"/>
  <c r="G218" i="26"/>
  <c r="D218" i="26"/>
  <c r="A218" i="26" s="1"/>
  <c r="B218" i="26"/>
  <c r="CJ217" i="26"/>
  <c r="CI217" i="26"/>
  <c r="CB217" i="26"/>
  <c r="BV217" i="26"/>
  <c r="BP217" i="26"/>
  <c r="BJ217" i="26"/>
  <c r="BD217" i="26"/>
  <c r="AX217" i="26"/>
  <c r="AR217" i="26"/>
  <c r="AL217" i="26"/>
  <c r="AF217" i="26"/>
  <c r="Z217" i="26"/>
  <c r="G217" i="26"/>
  <c r="D217" i="26"/>
  <c r="A217" i="26" s="1"/>
  <c r="B217" i="26"/>
  <c r="CJ216" i="26"/>
  <c r="CI216" i="26"/>
  <c r="CB216" i="26"/>
  <c r="BV216" i="26"/>
  <c r="BP216" i="26"/>
  <c r="BJ216" i="26"/>
  <c r="BD216" i="26"/>
  <c r="AX216" i="26"/>
  <c r="AR216" i="26"/>
  <c r="AL216" i="26"/>
  <c r="AF216" i="26"/>
  <c r="Z216" i="26"/>
  <c r="G216" i="26"/>
  <c r="D216" i="26"/>
  <c r="A216" i="26" s="1"/>
  <c r="B216" i="26"/>
  <c r="CJ215" i="26"/>
  <c r="CI215" i="26"/>
  <c r="CB215" i="26"/>
  <c r="BV215" i="26"/>
  <c r="BP215" i="26"/>
  <c r="BJ215" i="26"/>
  <c r="BD215" i="26"/>
  <c r="AX215" i="26"/>
  <c r="AR215" i="26"/>
  <c r="AL215" i="26"/>
  <c r="AF215" i="26"/>
  <c r="Z215" i="26"/>
  <c r="G215" i="26"/>
  <c r="D215" i="26"/>
  <c r="A215" i="26" s="1"/>
  <c r="B215" i="26"/>
  <c r="CJ214" i="26"/>
  <c r="CI214" i="26"/>
  <c r="CB214" i="26"/>
  <c r="BV214" i="26"/>
  <c r="BP214" i="26"/>
  <c r="BJ214" i="26"/>
  <c r="BD214" i="26"/>
  <c r="AX214" i="26"/>
  <c r="AR214" i="26"/>
  <c r="AL214" i="26"/>
  <c r="AF214" i="26"/>
  <c r="Z214" i="26"/>
  <c r="G214" i="26"/>
  <c r="D214" i="26"/>
  <c r="A214" i="26" s="1"/>
  <c r="B214" i="26"/>
  <c r="CJ213" i="26"/>
  <c r="CI213" i="26"/>
  <c r="CB213" i="26"/>
  <c r="BV213" i="26"/>
  <c r="BP213" i="26"/>
  <c r="BJ213" i="26"/>
  <c r="BD213" i="26"/>
  <c r="AX213" i="26"/>
  <c r="AR213" i="26"/>
  <c r="AL213" i="26"/>
  <c r="AF213" i="26"/>
  <c r="Z213" i="26"/>
  <c r="G213" i="26"/>
  <c r="D213" i="26"/>
  <c r="A213" i="26" s="1"/>
  <c r="B213" i="26"/>
  <c r="CJ212" i="26"/>
  <c r="CI212" i="26"/>
  <c r="CB212" i="26"/>
  <c r="BV212" i="26"/>
  <c r="BP212" i="26"/>
  <c r="BJ212" i="26"/>
  <c r="BD212" i="26"/>
  <c r="AX212" i="26"/>
  <c r="AR212" i="26"/>
  <c r="AL212" i="26"/>
  <c r="AF212" i="26"/>
  <c r="Z212" i="26"/>
  <c r="G212" i="26"/>
  <c r="D212" i="26"/>
  <c r="A212" i="26" s="1"/>
  <c r="B212" i="26"/>
  <c r="CJ211" i="26"/>
  <c r="CI211" i="26"/>
  <c r="CB211" i="26"/>
  <c r="BV211" i="26"/>
  <c r="BP211" i="26"/>
  <c r="BJ211" i="26"/>
  <c r="BD211" i="26"/>
  <c r="AX211" i="26"/>
  <c r="AR211" i="26"/>
  <c r="AL211" i="26"/>
  <c r="AF211" i="26"/>
  <c r="Z211" i="26"/>
  <c r="G211" i="26"/>
  <c r="D211" i="26"/>
  <c r="A211" i="26" s="1"/>
  <c r="CJ210" i="26"/>
  <c r="CI210" i="26"/>
  <c r="CB210" i="26"/>
  <c r="BV210" i="26"/>
  <c r="BP210" i="26"/>
  <c r="BJ210" i="26"/>
  <c r="BD210" i="26"/>
  <c r="AX210" i="26"/>
  <c r="AR210" i="26"/>
  <c r="AL210" i="26"/>
  <c r="AF210" i="26"/>
  <c r="Z210" i="26"/>
  <c r="G210" i="26"/>
  <c r="D210" i="26"/>
  <c r="A210" i="26" s="1"/>
  <c r="CJ209" i="26"/>
  <c r="CI209" i="26"/>
  <c r="CB209" i="26"/>
  <c r="BV209" i="26"/>
  <c r="BP209" i="26"/>
  <c r="BJ209" i="26"/>
  <c r="BD209" i="26"/>
  <c r="AX209" i="26"/>
  <c r="AR209" i="26"/>
  <c r="AL209" i="26"/>
  <c r="AF209" i="26"/>
  <c r="Z209" i="26"/>
  <c r="G209" i="26"/>
  <c r="D209" i="26"/>
  <c r="A209" i="26" s="1"/>
  <c r="CJ208" i="26"/>
  <c r="CI208" i="26"/>
  <c r="CB208" i="26"/>
  <c r="BV208" i="26"/>
  <c r="BP208" i="26"/>
  <c r="BJ208" i="26"/>
  <c r="BD208" i="26"/>
  <c r="AX208" i="26"/>
  <c r="AR208" i="26"/>
  <c r="AL208" i="26"/>
  <c r="AF208" i="26"/>
  <c r="Z208" i="26"/>
  <c r="G208" i="26"/>
  <c r="D208" i="26"/>
  <c r="A208" i="26" s="1"/>
  <c r="CJ207" i="26"/>
  <c r="CI207" i="26"/>
  <c r="CB207" i="26"/>
  <c r="BV207" i="26"/>
  <c r="BP207" i="26"/>
  <c r="BJ207" i="26"/>
  <c r="BD207" i="26"/>
  <c r="AX207" i="26"/>
  <c r="AR207" i="26"/>
  <c r="AL207" i="26"/>
  <c r="AF207" i="26"/>
  <c r="Z207" i="26"/>
  <c r="G207" i="26"/>
  <c r="D207" i="26"/>
  <c r="A207" i="26" s="1"/>
  <c r="CJ206" i="26"/>
  <c r="CI206" i="26"/>
  <c r="CB206" i="26"/>
  <c r="BV206" i="26"/>
  <c r="BP206" i="26"/>
  <c r="BJ206" i="26"/>
  <c r="BD206" i="26"/>
  <c r="AX206" i="26"/>
  <c r="AR206" i="26"/>
  <c r="AL206" i="26"/>
  <c r="AF206" i="26"/>
  <c r="Z206" i="26"/>
  <c r="G206" i="26"/>
  <c r="D206" i="26"/>
  <c r="A206" i="26" s="1"/>
  <c r="CJ205" i="26"/>
  <c r="CI205" i="26"/>
  <c r="CB205" i="26"/>
  <c r="BV205" i="26"/>
  <c r="BP205" i="26"/>
  <c r="BJ205" i="26"/>
  <c r="BD205" i="26"/>
  <c r="AX205" i="26"/>
  <c r="AR205" i="26"/>
  <c r="AL205" i="26"/>
  <c r="AF205" i="26"/>
  <c r="Z205" i="26"/>
  <c r="G205" i="26"/>
  <c r="D205" i="26"/>
  <c r="A205" i="26" s="1"/>
  <c r="CJ204" i="26"/>
  <c r="CI204" i="26"/>
  <c r="CB204" i="26"/>
  <c r="BV204" i="26"/>
  <c r="BP204" i="26"/>
  <c r="BJ204" i="26"/>
  <c r="BD204" i="26"/>
  <c r="AX204" i="26"/>
  <c r="AR204" i="26"/>
  <c r="AL204" i="26"/>
  <c r="AF204" i="26"/>
  <c r="Z204" i="26"/>
  <c r="G204" i="26"/>
  <c r="D204" i="26"/>
  <c r="A204" i="26" s="1"/>
  <c r="CJ203" i="26"/>
  <c r="CI203" i="26"/>
  <c r="CB203" i="26"/>
  <c r="BV203" i="26"/>
  <c r="BP203" i="26"/>
  <c r="BJ203" i="26"/>
  <c r="BD203" i="26"/>
  <c r="AX203" i="26"/>
  <c r="AR203" i="26"/>
  <c r="AL203" i="26"/>
  <c r="AF203" i="26"/>
  <c r="Z203" i="26"/>
  <c r="G203" i="26"/>
  <c r="D203" i="26"/>
  <c r="A203" i="26" s="1"/>
  <c r="CJ202" i="26"/>
  <c r="CI202" i="26"/>
  <c r="CB202" i="26"/>
  <c r="BV202" i="26"/>
  <c r="BP202" i="26"/>
  <c r="BJ202" i="26"/>
  <c r="BD202" i="26"/>
  <c r="AX202" i="26"/>
  <c r="AR202" i="26"/>
  <c r="AL202" i="26"/>
  <c r="AF202" i="26"/>
  <c r="Z202" i="26"/>
  <c r="G202" i="26"/>
  <c r="D202" i="26"/>
  <c r="A202" i="26" s="1"/>
  <c r="CJ201" i="26"/>
  <c r="CI201" i="26"/>
  <c r="CB201" i="26"/>
  <c r="BV201" i="26"/>
  <c r="BP201" i="26"/>
  <c r="BJ201" i="26"/>
  <c r="BD201" i="26"/>
  <c r="AX201" i="26"/>
  <c r="AR201" i="26"/>
  <c r="AL201" i="26"/>
  <c r="AF201" i="26"/>
  <c r="Z201" i="26"/>
  <c r="G201" i="26"/>
  <c r="D201" i="26"/>
  <c r="A201" i="26" s="1"/>
  <c r="CJ200" i="26"/>
  <c r="CI200" i="26"/>
  <c r="CB200" i="26"/>
  <c r="BV200" i="26"/>
  <c r="BP200" i="26"/>
  <c r="BJ200" i="26"/>
  <c r="BD200" i="26"/>
  <c r="AX200" i="26"/>
  <c r="AR200" i="26"/>
  <c r="AL200" i="26"/>
  <c r="AF200" i="26"/>
  <c r="Z200" i="26"/>
  <c r="G200" i="26"/>
  <c r="D200" i="26"/>
  <c r="A200" i="26" s="1"/>
  <c r="CJ199" i="26"/>
  <c r="CI199" i="26"/>
  <c r="CB199" i="26"/>
  <c r="BV199" i="26"/>
  <c r="BP199" i="26"/>
  <c r="BJ199" i="26"/>
  <c r="BD199" i="26"/>
  <c r="AX199" i="26"/>
  <c r="AR199" i="26"/>
  <c r="AL199" i="26"/>
  <c r="AF199" i="26"/>
  <c r="Z199" i="26"/>
  <c r="G199" i="26"/>
  <c r="D199" i="26"/>
  <c r="A199" i="26" s="1"/>
  <c r="CJ198" i="26"/>
  <c r="CI198" i="26"/>
  <c r="CB198" i="26"/>
  <c r="BV198" i="26"/>
  <c r="BP198" i="26"/>
  <c r="BJ198" i="26"/>
  <c r="BD198" i="26"/>
  <c r="AX198" i="26"/>
  <c r="AR198" i="26"/>
  <c r="AL198" i="26"/>
  <c r="AF198" i="26"/>
  <c r="Z198" i="26"/>
  <c r="G198" i="26"/>
  <c r="D198" i="26"/>
  <c r="A198" i="26" s="1"/>
  <c r="CJ197" i="26"/>
  <c r="CI197" i="26"/>
  <c r="CB197" i="26"/>
  <c r="BV197" i="26"/>
  <c r="BP197" i="26"/>
  <c r="BJ197" i="26"/>
  <c r="BD197" i="26"/>
  <c r="AX197" i="26"/>
  <c r="AR197" i="26"/>
  <c r="AL197" i="26"/>
  <c r="AF197" i="26"/>
  <c r="Z197" i="26"/>
  <c r="G197" i="26"/>
  <c r="D197" i="26"/>
  <c r="A197" i="26" s="1"/>
  <c r="CJ196" i="26"/>
  <c r="CI196" i="26"/>
  <c r="CB196" i="26"/>
  <c r="BV196" i="26"/>
  <c r="BP196" i="26"/>
  <c r="BJ196" i="26"/>
  <c r="BD196" i="26"/>
  <c r="AX196" i="26"/>
  <c r="AR196" i="26"/>
  <c r="AL196" i="26"/>
  <c r="AF196" i="26"/>
  <c r="Z196" i="26"/>
  <c r="G196" i="26"/>
  <c r="D196" i="26"/>
  <c r="A196" i="26" s="1"/>
  <c r="CJ195" i="26"/>
  <c r="CI195" i="26"/>
  <c r="CB195" i="26"/>
  <c r="BV195" i="26"/>
  <c r="BP195" i="26"/>
  <c r="BJ195" i="26"/>
  <c r="BD195" i="26"/>
  <c r="AX195" i="26"/>
  <c r="AR195" i="26"/>
  <c r="AL195" i="26"/>
  <c r="AF195" i="26"/>
  <c r="Z195" i="26"/>
  <c r="G195" i="26"/>
  <c r="D195" i="26"/>
  <c r="A195" i="26" s="1"/>
  <c r="CJ194" i="26"/>
  <c r="CI194" i="26"/>
  <c r="CB194" i="26"/>
  <c r="BV194" i="26"/>
  <c r="BP194" i="26"/>
  <c r="BJ194" i="26"/>
  <c r="BD194" i="26"/>
  <c r="AX194" i="26"/>
  <c r="AR194" i="26"/>
  <c r="AL194" i="26"/>
  <c r="AF194" i="26"/>
  <c r="Z194" i="26"/>
  <c r="G194" i="26"/>
  <c r="D194" i="26"/>
  <c r="A194" i="26" s="1"/>
  <c r="CJ193" i="26"/>
  <c r="CI193" i="26"/>
  <c r="CB193" i="26"/>
  <c r="BV193" i="26"/>
  <c r="BP193" i="26"/>
  <c r="BJ193" i="26"/>
  <c r="BD193" i="26"/>
  <c r="AX193" i="26"/>
  <c r="AR193" i="26"/>
  <c r="AL193" i="26"/>
  <c r="AF193" i="26"/>
  <c r="Z193" i="26"/>
  <c r="G193" i="26"/>
  <c r="D193" i="26"/>
  <c r="A193" i="26" s="1"/>
  <c r="CJ192" i="26"/>
  <c r="CI192" i="26"/>
  <c r="CB192" i="26"/>
  <c r="BV192" i="26"/>
  <c r="BP192" i="26"/>
  <c r="BJ192" i="26"/>
  <c r="BD192" i="26"/>
  <c r="AX192" i="26"/>
  <c r="AR192" i="26"/>
  <c r="AL192" i="26"/>
  <c r="AF192" i="26"/>
  <c r="Z192" i="26"/>
  <c r="G192" i="26"/>
  <c r="D192" i="26"/>
  <c r="A192" i="26" s="1"/>
  <c r="CJ191" i="26"/>
  <c r="CI191" i="26"/>
  <c r="CB191" i="26"/>
  <c r="BV191" i="26"/>
  <c r="BP191" i="26"/>
  <c r="BJ191" i="26"/>
  <c r="BD191" i="26"/>
  <c r="AX191" i="26"/>
  <c r="AR191" i="26"/>
  <c r="AL191" i="26"/>
  <c r="AF191" i="26"/>
  <c r="Z191" i="26"/>
  <c r="G191" i="26"/>
  <c r="D191" i="26"/>
  <c r="A191" i="26" s="1"/>
  <c r="CJ190" i="26"/>
  <c r="CI190" i="26"/>
  <c r="CB190" i="26"/>
  <c r="BV190" i="26"/>
  <c r="BP190" i="26"/>
  <c r="BJ190" i="26"/>
  <c r="BD190" i="26"/>
  <c r="AX190" i="26"/>
  <c r="AR190" i="26"/>
  <c r="AL190" i="26"/>
  <c r="AF190" i="26"/>
  <c r="Z190" i="26"/>
  <c r="G190" i="26"/>
  <c r="D190" i="26"/>
  <c r="A190" i="26" s="1"/>
  <c r="CJ189" i="26"/>
  <c r="CI189" i="26"/>
  <c r="CB189" i="26"/>
  <c r="BV189" i="26"/>
  <c r="BP189" i="26"/>
  <c r="BJ189" i="26"/>
  <c r="BD189" i="26"/>
  <c r="AX189" i="26"/>
  <c r="AR189" i="26"/>
  <c r="AL189" i="26"/>
  <c r="AF189" i="26"/>
  <c r="Z189" i="26"/>
  <c r="G189" i="26"/>
  <c r="D189" i="26"/>
  <c r="A189" i="26" s="1"/>
  <c r="CJ188" i="26"/>
  <c r="CI188" i="26"/>
  <c r="CB188" i="26"/>
  <c r="BV188" i="26"/>
  <c r="BP188" i="26"/>
  <c r="BJ188" i="26"/>
  <c r="BD188" i="26"/>
  <c r="AX188" i="26"/>
  <c r="AR188" i="26"/>
  <c r="AL188" i="26"/>
  <c r="AF188" i="26"/>
  <c r="Z188" i="26"/>
  <c r="G188" i="26"/>
  <c r="D188" i="26"/>
  <c r="A188" i="26" s="1"/>
  <c r="CJ187" i="26"/>
  <c r="CI187" i="26"/>
  <c r="CB187" i="26"/>
  <c r="BV187" i="26"/>
  <c r="BP187" i="26"/>
  <c r="BJ187" i="26"/>
  <c r="BD187" i="26"/>
  <c r="AX187" i="26"/>
  <c r="AR187" i="26"/>
  <c r="AL187" i="26"/>
  <c r="AF187" i="26"/>
  <c r="Z187" i="26"/>
  <c r="G187" i="26"/>
  <c r="D187" i="26"/>
  <c r="A187" i="26" s="1"/>
  <c r="CJ186" i="26"/>
  <c r="CI186" i="26"/>
  <c r="CB186" i="26"/>
  <c r="BV186" i="26"/>
  <c r="BP186" i="26"/>
  <c r="BJ186" i="26"/>
  <c r="BD186" i="26"/>
  <c r="AX186" i="26"/>
  <c r="AR186" i="26"/>
  <c r="AL186" i="26"/>
  <c r="AF186" i="26"/>
  <c r="Z186" i="26"/>
  <c r="G186" i="26"/>
  <c r="D186" i="26"/>
  <c r="A186" i="26" s="1"/>
  <c r="CJ185" i="26"/>
  <c r="CI185" i="26"/>
  <c r="CB185" i="26"/>
  <c r="BV185" i="26"/>
  <c r="BP185" i="26"/>
  <c r="BJ185" i="26"/>
  <c r="BD185" i="26"/>
  <c r="AX185" i="26"/>
  <c r="AR185" i="26"/>
  <c r="AL185" i="26"/>
  <c r="AF185" i="26"/>
  <c r="Z185" i="26"/>
  <c r="G185" i="26"/>
  <c r="D185" i="26"/>
  <c r="A185" i="26" s="1"/>
  <c r="CJ184" i="26"/>
  <c r="CI184" i="26"/>
  <c r="CB184" i="26"/>
  <c r="BV184" i="26"/>
  <c r="BP184" i="26"/>
  <c r="BJ184" i="26"/>
  <c r="BD184" i="26"/>
  <c r="AX184" i="26"/>
  <c r="AR184" i="26"/>
  <c r="AL184" i="26"/>
  <c r="AF184" i="26"/>
  <c r="Z184" i="26"/>
  <c r="G184" i="26"/>
  <c r="D184" i="26"/>
  <c r="A184" i="26" s="1"/>
  <c r="CJ183" i="26"/>
  <c r="CI183" i="26"/>
  <c r="CB183" i="26"/>
  <c r="BV183" i="26"/>
  <c r="BP183" i="26"/>
  <c r="BJ183" i="26"/>
  <c r="BD183" i="26"/>
  <c r="AX183" i="26"/>
  <c r="AR183" i="26"/>
  <c r="AL183" i="26"/>
  <c r="AF183" i="26"/>
  <c r="Z183" i="26"/>
  <c r="G183" i="26"/>
  <c r="D183" i="26"/>
  <c r="A183" i="26" s="1"/>
  <c r="CJ182" i="26"/>
  <c r="CI182" i="26"/>
  <c r="CB182" i="26"/>
  <c r="BV182" i="26"/>
  <c r="BP182" i="26"/>
  <c r="BJ182" i="26"/>
  <c r="BD182" i="26"/>
  <c r="AX182" i="26"/>
  <c r="AR182" i="26"/>
  <c r="AL182" i="26"/>
  <c r="AF182" i="26"/>
  <c r="Z182" i="26"/>
  <c r="G182" i="26"/>
  <c r="D182" i="26"/>
  <c r="A182" i="26" s="1"/>
  <c r="CJ181" i="26"/>
  <c r="CI181" i="26"/>
  <c r="CB181" i="26"/>
  <c r="BV181" i="26"/>
  <c r="BP181" i="26"/>
  <c r="BJ181" i="26"/>
  <c r="BD181" i="26"/>
  <c r="AX181" i="26"/>
  <c r="AR181" i="26"/>
  <c r="AL181" i="26"/>
  <c r="AF181" i="26"/>
  <c r="Z181" i="26"/>
  <c r="G181" i="26"/>
  <c r="D181" i="26"/>
  <c r="A181" i="26" s="1"/>
  <c r="CJ180" i="26"/>
  <c r="CI180" i="26"/>
  <c r="CB180" i="26"/>
  <c r="BV180" i="26"/>
  <c r="BP180" i="26"/>
  <c r="BJ180" i="26"/>
  <c r="BD180" i="26"/>
  <c r="AX180" i="26"/>
  <c r="AR180" i="26"/>
  <c r="AL180" i="26"/>
  <c r="AF180" i="26"/>
  <c r="Z180" i="26"/>
  <c r="G180" i="26"/>
  <c r="D180" i="26"/>
  <c r="A180" i="26" s="1"/>
  <c r="CJ179" i="26"/>
  <c r="CI179" i="26"/>
  <c r="CB179" i="26"/>
  <c r="BV179" i="26"/>
  <c r="BP179" i="26"/>
  <c r="BJ179" i="26"/>
  <c r="BD179" i="26"/>
  <c r="AX179" i="26"/>
  <c r="AR179" i="26"/>
  <c r="AL179" i="26"/>
  <c r="AF179" i="26"/>
  <c r="Z179" i="26"/>
  <c r="G179" i="26"/>
  <c r="D179" i="26"/>
  <c r="A179" i="26" s="1"/>
  <c r="CJ178" i="26"/>
  <c r="CI178" i="26"/>
  <c r="CB178" i="26"/>
  <c r="BV178" i="26"/>
  <c r="BP178" i="26"/>
  <c r="BJ178" i="26"/>
  <c r="BD178" i="26"/>
  <c r="AX178" i="26"/>
  <c r="AR178" i="26"/>
  <c r="AL178" i="26"/>
  <c r="AF178" i="26"/>
  <c r="Z178" i="26"/>
  <c r="G178" i="26"/>
  <c r="D178" i="26"/>
  <c r="A178" i="26" s="1"/>
  <c r="CJ177" i="26"/>
  <c r="CI177" i="26"/>
  <c r="CB177" i="26"/>
  <c r="BV177" i="26"/>
  <c r="BP177" i="26"/>
  <c r="BJ177" i="26"/>
  <c r="BD177" i="26"/>
  <c r="AX177" i="26"/>
  <c r="AR177" i="26"/>
  <c r="AL177" i="26"/>
  <c r="AF177" i="26"/>
  <c r="Z177" i="26"/>
  <c r="G177" i="26"/>
  <c r="D177" i="26"/>
  <c r="A177" i="26" s="1"/>
  <c r="CJ176" i="26"/>
  <c r="CI176" i="26"/>
  <c r="CB176" i="26"/>
  <c r="BV176" i="26"/>
  <c r="BP176" i="26"/>
  <c r="BJ176" i="26"/>
  <c r="BD176" i="26"/>
  <c r="AX176" i="26"/>
  <c r="AR176" i="26"/>
  <c r="AL176" i="26"/>
  <c r="AF176" i="26"/>
  <c r="Z176" i="26"/>
  <c r="G176" i="26"/>
  <c r="D176" i="26"/>
  <c r="A176" i="26" s="1"/>
  <c r="CJ175" i="26"/>
  <c r="CI175" i="26"/>
  <c r="CB175" i="26"/>
  <c r="BV175" i="26"/>
  <c r="BP175" i="26"/>
  <c r="BJ175" i="26"/>
  <c r="BD175" i="26"/>
  <c r="AX175" i="26"/>
  <c r="AR175" i="26"/>
  <c r="AL175" i="26"/>
  <c r="AF175" i="26"/>
  <c r="Z175" i="26"/>
  <c r="G175" i="26"/>
  <c r="D175" i="26"/>
  <c r="A175" i="26" s="1"/>
  <c r="CJ174" i="26"/>
  <c r="CI174" i="26"/>
  <c r="CB174" i="26"/>
  <c r="BV174" i="26"/>
  <c r="BP174" i="26"/>
  <c r="BJ174" i="26"/>
  <c r="BD174" i="26"/>
  <c r="AX174" i="26"/>
  <c r="AR174" i="26"/>
  <c r="AL174" i="26"/>
  <c r="AF174" i="26"/>
  <c r="Z174" i="26"/>
  <c r="G174" i="26"/>
  <c r="D174" i="26"/>
  <c r="A174" i="26" s="1"/>
  <c r="CJ173" i="26"/>
  <c r="CI173" i="26"/>
  <c r="CB173" i="26"/>
  <c r="BV173" i="26"/>
  <c r="BP173" i="26"/>
  <c r="BJ173" i="26"/>
  <c r="BD173" i="26"/>
  <c r="AX173" i="26"/>
  <c r="AR173" i="26"/>
  <c r="AL173" i="26"/>
  <c r="AF173" i="26"/>
  <c r="Z173" i="26"/>
  <c r="G173" i="26"/>
  <c r="D173" i="26"/>
  <c r="A173" i="26" s="1"/>
  <c r="CJ172" i="26"/>
  <c r="CI172" i="26"/>
  <c r="CB172" i="26"/>
  <c r="BV172" i="26"/>
  <c r="BP172" i="26"/>
  <c r="BJ172" i="26"/>
  <c r="BD172" i="26"/>
  <c r="AX172" i="26"/>
  <c r="AR172" i="26"/>
  <c r="AL172" i="26"/>
  <c r="AF172" i="26"/>
  <c r="Z172" i="26"/>
  <c r="G172" i="26"/>
  <c r="D172" i="26"/>
  <c r="A172" i="26" s="1"/>
  <c r="CJ171" i="26"/>
  <c r="CI171" i="26"/>
  <c r="CB171" i="26"/>
  <c r="BV171" i="26"/>
  <c r="BP171" i="26"/>
  <c r="BJ171" i="26"/>
  <c r="BD171" i="26"/>
  <c r="AX171" i="26"/>
  <c r="AR171" i="26"/>
  <c r="AL171" i="26"/>
  <c r="AF171" i="26"/>
  <c r="Z171" i="26"/>
  <c r="G171" i="26"/>
  <c r="D171" i="26"/>
  <c r="A171" i="26" s="1"/>
  <c r="CJ170" i="26"/>
  <c r="CI170" i="26"/>
  <c r="CB170" i="26"/>
  <c r="BV170" i="26"/>
  <c r="BP170" i="26"/>
  <c r="BJ170" i="26"/>
  <c r="BD170" i="26"/>
  <c r="AX170" i="26"/>
  <c r="AR170" i="26"/>
  <c r="AL170" i="26"/>
  <c r="AF170" i="26"/>
  <c r="Z170" i="26"/>
  <c r="G170" i="26"/>
  <c r="D170" i="26"/>
  <c r="A170" i="26" s="1"/>
  <c r="CJ169" i="26"/>
  <c r="CI169" i="26"/>
  <c r="CB169" i="26"/>
  <c r="BV169" i="26"/>
  <c r="BP169" i="26"/>
  <c r="BJ169" i="26"/>
  <c r="BD169" i="26"/>
  <c r="AX169" i="26"/>
  <c r="AR169" i="26"/>
  <c r="AL169" i="26"/>
  <c r="AF169" i="26"/>
  <c r="Z169" i="26"/>
  <c r="G169" i="26"/>
  <c r="D169" i="26"/>
  <c r="A169" i="26" s="1"/>
  <c r="CJ168" i="26"/>
  <c r="CI168" i="26"/>
  <c r="CB168" i="26"/>
  <c r="BV168" i="26"/>
  <c r="BP168" i="26"/>
  <c r="BJ168" i="26"/>
  <c r="BD168" i="26"/>
  <c r="AX168" i="26"/>
  <c r="AR168" i="26"/>
  <c r="AL168" i="26"/>
  <c r="AF168" i="26"/>
  <c r="Z168" i="26"/>
  <c r="G168" i="26"/>
  <c r="D168" i="26"/>
  <c r="A168" i="26" s="1"/>
  <c r="CJ167" i="26"/>
  <c r="CI167" i="26"/>
  <c r="CB167" i="26"/>
  <c r="BV167" i="26"/>
  <c r="BP167" i="26"/>
  <c r="BJ167" i="26"/>
  <c r="BD167" i="26"/>
  <c r="AX167" i="26"/>
  <c r="AR167" i="26"/>
  <c r="AL167" i="26"/>
  <c r="AF167" i="26"/>
  <c r="Z167" i="26"/>
  <c r="G167" i="26"/>
  <c r="D167" i="26"/>
  <c r="A167" i="26" s="1"/>
  <c r="CJ166" i="26"/>
  <c r="CI166" i="26"/>
  <c r="CB166" i="26"/>
  <c r="BV166" i="26"/>
  <c r="BP166" i="26"/>
  <c r="BJ166" i="26"/>
  <c r="BD166" i="26"/>
  <c r="AX166" i="26"/>
  <c r="AR166" i="26"/>
  <c r="AL166" i="26"/>
  <c r="AF166" i="26"/>
  <c r="Z166" i="26"/>
  <c r="G166" i="26"/>
  <c r="D166" i="26"/>
  <c r="A166" i="26" s="1"/>
  <c r="CJ165" i="26"/>
  <c r="CI165" i="26"/>
  <c r="CB165" i="26"/>
  <c r="BV165" i="26"/>
  <c r="BP165" i="26"/>
  <c r="BJ165" i="26"/>
  <c r="BD165" i="26"/>
  <c r="AX165" i="26"/>
  <c r="AR165" i="26"/>
  <c r="AL165" i="26"/>
  <c r="AF165" i="26"/>
  <c r="Z165" i="26"/>
  <c r="G165" i="26"/>
  <c r="D165" i="26"/>
  <c r="A165" i="26" s="1"/>
  <c r="CJ164" i="26"/>
  <c r="CI164" i="26"/>
  <c r="CB164" i="26"/>
  <c r="BV164" i="26"/>
  <c r="BP164" i="26"/>
  <c r="BJ164" i="26"/>
  <c r="BD164" i="26"/>
  <c r="AX164" i="26"/>
  <c r="AR164" i="26"/>
  <c r="AL164" i="26"/>
  <c r="AF164" i="26"/>
  <c r="Z164" i="26"/>
  <c r="G164" i="26"/>
  <c r="D164" i="26"/>
  <c r="A164" i="26" s="1"/>
  <c r="CJ163" i="26"/>
  <c r="CI163" i="26"/>
  <c r="CB163" i="26"/>
  <c r="BV163" i="26"/>
  <c r="BP163" i="26"/>
  <c r="BJ163" i="26"/>
  <c r="BD163" i="26"/>
  <c r="AX163" i="26"/>
  <c r="AR163" i="26"/>
  <c r="AL163" i="26"/>
  <c r="AF163" i="26"/>
  <c r="Z163" i="26"/>
  <c r="G163" i="26"/>
  <c r="D163" i="26"/>
  <c r="A163" i="26" s="1"/>
  <c r="CJ162" i="26"/>
  <c r="CI162" i="26"/>
  <c r="CB162" i="26"/>
  <c r="BV162" i="26"/>
  <c r="BP162" i="26"/>
  <c r="BJ162" i="26"/>
  <c r="BD162" i="26"/>
  <c r="AX162" i="26"/>
  <c r="AR162" i="26"/>
  <c r="AL162" i="26"/>
  <c r="AF162" i="26"/>
  <c r="Z162" i="26"/>
  <c r="G162" i="26"/>
  <c r="D162" i="26"/>
  <c r="A162" i="26" s="1"/>
  <c r="CJ161" i="26"/>
  <c r="CI161" i="26"/>
  <c r="CB161" i="26"/>
  <c r="BV161" i="26"/>
  <c r="BP161" i="26"/>
  <c r="BJ161" i="26"/>
  <c r="BD161" i="26"/>
  <c r="AX161" i="26"/>
  <c r="AR161" i="26"/>
  <c r="AL161" i="26"/>
  <c r="AF161" i="26"/>
  <c r="Z161" i="26"/>
  <c r="G161" i="26"/>
  <c r="D161" i="26"/>
  <c r="A161" i="26" s="1"/>
  <c r="CJ160" i="26"/>
  <c r="CI160" i="26"/>
  <c r="CB160" i="26"/>
  <c r="BV160" i="26"/>
  <c r="BP160" i="26"/>
  <c r="BJ160" i="26"/>
  <c r="BD160" i="26"/>
  <c r="AX160" i="26"/>
  <c r="AR160" i="26"/>
  <c r="AL160" i="26"/>
  <c r="AF160" i="26"/>
  <c r="Z160" i="26"/>
  <c r="G160" i="26"/>
  <c r="D160" i="26"/>
  <c r="A160" i="26" s="1"/>
  <c r="CJ159" i="26"/>
  <c r="CI159" i="26"/>
  <c r="CB159" i="26"/>
  <c r="BV159" i="26"/>
  <c r="BP159" i="26"/>
  <c r="BJ159" i="26"/>
  <c r="BD159" i="26"/>
  <c r="AX159" i="26"/>
  <c r="AR159" i="26"/>
  <c r="AL159" i="26"/>
  <c r="AF159" i="26"/>
  <c r="Z159" i="26"/>
  <c r="G159" i="26"/>
  <c r="D159" i="26"/>
  <c r="A159" i="26" s="1"/>
  <c r="CJ158" i="26"/>
  <c r="CI158" i="26"/>
  <c r="CB158" i="26"/>
  <c r="BV158" i="26"/>
  <c r="BP158" i="26"/>
  <c r="BJ158" i="26"/>
  <c r="BD158" i="26"/>
  <c r="AX158" i="26"/>
  <c r="AR158" i="26"/>
  <c r="AL158" i="26"/>
  <c r="AF158" i="26"/>
  <c r="Z158" i="26"/>
  <c r="G158" i="26"/>
  <c r="D158" i="26"/>
  <c r="A158" i="26" s="1"/>
  <c r="CJ157" i="26"/>
  <c r="CI157" i="26"/>
  <c r="CB157" i="26"/>
  <c r="BV157" i="26"/>
  <c r="BP157" i="26"/>
  <c r="BJ157" i="26"/>
  <c r="BD157" i="26"/>
  <c r="AX157" i="26"/>
  <c r="AR157" i="26"/>
  <c r="AL157" i="26"/>
  <c r="AF157" i="26"/>
  <c r="Z157" i="26"/>
  <c r="G157" i="26"/>
  <c r="D157" i="26"/>
  <c r="A157" i="26" s="1"/>
  <c r="CJ156" i="26"/>
  <c r="CI156" i="26"/>
  <c r="CB156" i="26"/>
  <c r="BV156" i="26"/>
  <c r="BP156" i="26"/>
  <c r="BJ156" i="26"/>
  <c r="BD156" i="26"/>
  <c r="AX156" i="26"/>
  <c r="AR156" i="26"/>
  <c r="AL156" i="26"/>
  <c r="AF156" i="26"/>
  <c r="Z156" i="26"/>
  <c r="G156" i="26"/>
  <c r="D156" i="26"/>
  <c r="A156" i="26" s="1"/>
  <c r="CJ155" i="26"/>
  <c r="CI155" i="26"/>
  <c r="CB155" i="26"/>
  <c r="BV155" i="26"/>
  <c r="BP155" i="26"/>
  <c r="BJ155" i="26"/>
  <c r="BD155" i="26"/>
  <c r="AX155" i="26"/>
  <c r="AR155" i="26"/>
  <c r="AL155" i="26"/>
  <c r="AF155" i="26"/>
  <c r="Z155" i="26"/>
  <c r="G155" i="26"/>
  <c r="D155" i="26"/>
  <c r="A155" i="26" s="1"/>
  <c r="CJ154" i="26"/>
  <c r="CI154" i="26"/>
  <c r="CB154" i="26"/>
  <c r="BV154" i="26"/>
  <c r="BP154" i="26"/>
  <c r="BJ154" i="26"/>
  <c r="BD154" i="26"/>
  <c r="AX154" i="26"/>
  <c r="AR154" i="26"/>
  <c r="AL154" i="26"/>
  <c r="AF154" i="26"/>
  <c r="Z154" i="26"/>
  <c r="G154" i="26"/>
  <c r="D154" i="26"/>
  <c r="A154" i="26" s="1"/>
  <c r="CJ153" i="26"/>
  <c r="CI153" i="26"/>
  <c r="CB153" i="26"/>
  <c r="BV153" i="26"/>
  <c r="BP153" i="26"/>
  <c r="BJ153" i="26"/>
  <c r="BD153" i="26"/>
  <c r="AX153" i="26"/>
  <c r="AR153" i="26"/>
  <c r="AL153" i="26"/>
  <c r="AF153" i="26"/>
  <c r="Z153" i="26"/>
  <c r="G153" i="26"/>
  <c r="D153" i="26"/>
  <c r="A153" i="26" s="1"/>
  <c r="CJ152" i="26"/>
  <c r="CI152" i="26"/>
  <c r="CB152" i="26"/>
  <c r="BV152" i="26"/>
  <c r="BP152" i="26"/>
  <c r="BJ152" i="26"/>
  <c r="BD152" i="26"/>
  <c r="AX152" i="26"/>
  <c r="AR152" i="26"/>
  <c r="AL152" i="26"/>
  <c r="AF152" i="26"/>
  <c r="Z152" i="26"/>
  <c r="G152" i="26"/>
  <c r="D152" i="26"/>
  <c r="A152" i="26" s="1"/>
  <c r="CJ151" i="26"/>
  <c r="CI151" i="26"/>
  <c r="CB151" i="26"/>
  <c r="BV151" i="26"/>
  <c r="BP151" i="26"/>
  <c r="BJ151" i="26"/>
  <c r="BD151" i="26"/>
  <c r="AX151" i="26"/>
  <c r="AR151" i="26"/>
  <c r="AL151" i="26"/>
  <c r="AF151" i="26"/>
  <c r="Z151" i="26"/>
  <c r="G151" i="26"/>
  <c r="D151" i="26"/>
  <c r="A151" i="26" s="1"/>
  <c r="CJ150" i="26"/>
  <c r="CI150" i="26"/>
  <c r="CB150" i="26"/>
  <c r="BV150" i="26"/>
  <c r="BP150" i="26"/>
  <c r="BJ150" i="26"/>
  <c r="BD150" i="26"/>
  <c r="AX150" i="26"/>
  <c r="AR150" i="26"/>
  <c r="AL150" i="26"/>
  <c r="AF150" i="26"/>
  <c r="Z150" i="26"/>
  <c r="G150" i="26"/>
  <c r="D150" i="26"/>
  <c r="A150" i="26" s="1"/>
  <c r="CJ149" i="26"/>
  <c r="CI149" i="26"/>
  <c r="CB149" i="26"/>
  <c r="BV149" i="26"/>
  <c r="BP149" i="26"/>
  <c r="BJ149" i="26"/>
  <c r="BD149" i="26"/>
  <c r="AX149" i="26"/>
  <c r="AR149" i="26"/>
  <c r="AL149" i="26"/>
  <c r="AF149" i="26"/>
  <c r="Z149" i="26"/>
  <c r="G149" i="26"/>
  <c r="D149" i="26"/>
  <c r="A149" i="26" s="1"/>
  <c r="CJ148" i="26"/>
  <c r="CI148" i="26"/>
  <c r="CB148" i="26"/>
  <c r="BV148" i="26"/>
  <c r="BP148" i="26"/>
  <c r="BJ148" i="26"/>
  <c r="BD148" i="26"/>
  <c r="AX148" i="26"/>
  <c r="AR148" i="26"/>
  <c r="AL148" i="26"/>
  <c r="AF148" i="26"/>
  <c r="Z148" i="26"/>
  <c r="G148" i="26"/>
  <c r="D148" i="26"/>
  <c r="A148" i="26" s="1"/>
  <c r="CJ147" i="26"/>
  <c r="CI147" i="26"/>
  <c r="CB147" i="26"/>
  <c r="BV147" i="26"/>
  <c r="BP147" i="26"/>
  <c r="BJ147" i="26"/>
  <c r="BD147" i="26"/>
  <c r="AX147" i="26"/>
  <c r="AR147" i="26"/>
  <c r="AL147" i="26"/>
  <c r="AF147" i="26"/>
  <c r="Z147" i="26"/>
  <c r="G147" i="26"/>
  <c r="D147" i="26"/>
  <c r="A147" i="26" s="1"/>
  <c r="CJ146" i="26"/>
  <c r="CI146" i="26"/>
  <c r="CB146" i="26"/>
  <c r="BV146" i="26"/>
  <c r="BP146" i="26"/>
  <c r="BJ146" i="26"/>
  <c r="BD146" i="26"/>
  <c r="AX146" i="26"/>
  <c r="AR146" i="26"/>
  <c r="AL146" i="26"/>
  <c r="AF146" i="26"/>
  <c r="Z146" i="26"/>
  <c r="G146" i="26"/>
  <c r="D146" i="26"/>
  <c r="A146" i="26" s="1"/>
  <c r="CJ145" i="26"/>
  <c r="CI145" i="26"/>
  <c r="CB145" i="26"/>
  <c r="BV145" i="26"/>
  <c r="BP145" i="26"/>
  <c r="BJ145" i="26"/>
  <c r="BD145" i="26"/>
  <c r="AX145" i="26"/>
  <c r="AR145" i="26"/>
  <c r="AL145" i="26"/>
  <c r="AF145" i="26"/>
  <c r="Z145" i="26"/>
  <c r="G145" i="26"/>
  <c r="D145" i="26"/>
  <c r="A145" i="26" s="1"/>
  <c r="CJ144" i="26"/>
  <c r="CI144" i="26"/>
  <c r="CB144" i="26"/>
  <c r="BV144" i="26"/>
  <c r="BP144" i="26"/>
  <c r="BJ144" i="26"/>
  <c r="BD144" i="26"/>
  <c r="AX144" i="26"/>
  <c r="AR144" i="26"/>
  <c r="AL144" i="26"/>
  <c r="AF144" i="26"/>
  <c r="Z144" i="26"/>
  <c r="G144" i="26"/>
  <c r="D144" i="26"/>
  <c r="A144" i="26" s="1"/>
  <c r="CJ143" i="26"/>
  <c r="CI143" i="26"/>
  <c r="CB143" i="26"/>
  <c r="BV143" i="26"/>
  <c r="BP143" i="26"/>
  <c r="BJ143" i="26"/>
  <c r="BD143" i="26"/>
  <c r="AX143" i="26"/>
  <c r="AR143" i="26"/>
  <c r="AL143" i="26"/>
  <c r="AF143" i="26"/>
  <c r="Z143" i="26"/>
  <c r="G143" i="26"/>
  <c r="D143" i="26"/>
  <c r="A143" i="26" s="1"/>
  <c r="CJ142" i="26"/>
  <c r="CI142" i="26"/>
  <c r="CB142" i="26"/>
  <c r="BV142" i="26"/>
  <c r="BP142" i="26"/>
  <c r="BJ142" i="26"/>
  <c r="BD142" i="26"/>
  <c r="AX142" i="26"/>
  <c r="AR142" i="26"/>
  <c r="AL142" i="26"/>
  <c r="AF142" i="26"/>
  <c r="Z142" i="26"/>
  <c r="G142" i="26"/>
  <c r="D142" i="26"/>
  <c r="A142" i="26" s="1"/>
  <c r="CJ141" i="26"/>
  <c r="CI141" i="26"/>
  <c r="CB141" i="26"/>
  <c r="BV141" i="26"/>
  <c r="BP141" i="26"/>
  <c r="BJ141" i="26"/>
  <c r="BD141" i="26"/>
  <c r="AX141" i="26"/>
  <c r="AR141" i="26"/>
  <c r="AL141" i="26"/>
  <c r="AF141" i="26"/>
  <c r="Z141" i="26"/>
  <c r="G141" i="26"/>
  <c r="D141" i="26"/>
  <c r="A141" i="26" s="1"/>
  <c r="CJ140" i="26"/>
  <c r="CI140" i="26"/>
  <c r="CB140" i="26"/>
  <c r="BV140" i="26"/>
  <c r="BP140" i="26"/>
  <c r="BJ140" i="26"/>
  <c r="BD140" i="26"/>
  <c r="AX140" i="26"/>
  <c r="AR140" i="26"/>
  <c r="AL140" i="26"/>
  <c r="AF140" i="26"/>
  <c r="Z140" i="26"/>
  <c r="G140" i="26"/>
  <c r="D140" i="26"/>
  <c r="A140" i="26" s="1"/>
  <c r="CJ139" i="26"/>
  <c r="CI139" i="26"/>
  <c r="CB139" i="26"/>
  <c r="BV139" i="26"/>
  <c r="BP139" i="26"/>
  <c r="BJ139" i="26"/>
  <c r="BD139" i="26"/>
  <c r="AX139" i="26"/>
  <c r="AR139" i="26"/>
  <c r="AL139" i="26"/>
  <c r="AF139" i="26"/>
  <c r="Z139" i="26"/>
  <c r="G139" i="26"/>
  <c r="D139" i="26"/>
  <c r="A139" i="26" s="1"/>
  <c r="CJ138" i="26"/>
  <c r="CI138" i="26"/>
  <c r="CB138" i="26"/>
  <c r="BV138" i="26"/>
  <c r="BP138" i="26"/>
  <c r="BJ138" i="26"/>
  <c r="BD138" i="26"/>
  <c r="AX138" i="26"/>
  <c r="AR138" i="26"/>
  <c r="AL138" i="26"/>
  <c r="AF138" i="26"/>
  <c r="Z138" i="26"/>
  <c r="G138" i="26"/>
  <c r="D138" i="26"/>
  <c r="A138" i="26" s="1"/>
  <c r="CJ137" i="26"/>
  <c r="CI137" i="26"/>
  <c r="CB137" i="26"/>
  <c r="BV137" i="26"/>
  <c r="BP137" i="26"/>
  <c r="BJ137" i="26"/>
  <c r="BD137" i="26"/>
  <c r="AX137" i="26"/>
  <c r="AR137" i="26"/>
  <c r="AL137" i="26"/>
  <c r="AF137" i="26"/>
  <c r="Z137" i="26"/>
  <c r="G137" i="26"/>
  <c r="D137" i="26"/>
  <c r="A137" i="26" s="1"/>
  <c r="CJ136" i="26"/>
  <c r="CI136" i="26"/>
  <c r="CB136" i="26"/>
  <c r="BV136" i="26"/>
  <c r="BP136" i="26"/>
  <c r="BJ136" i="26"/>
  <c r="BD136" i="26"/>
  <c r="AX136" i="26"/>
  <c r="AR136" i="26"/>
  <c r="AL136" i="26"/>
  <c r="AF136" i="26"/>
  <c r="Z136" i="26"/>
  <c r="G136" i="26"/>
  <c r="D136" i="26"/>
  <c r="A136" i="26" s="1"/>
  <c r="CJ135" i="26"/>
  <c r="CI135" i="26"/>
  <c r="CB135" i="26"/>
  <c r="BV135" i="26"/>
  <c r="BP135" i="26"/>
  <c r="BJ135" i="26"/>
  <c r="BD135" i="26"/>
  <c r="AX135" i="26"/>
  <c r="AR135" i="26"/>
  <c r="AL135" i="26"/>
  <c r="AF135" i="26"/>
  <c r="Z135" i="26"/>
  <c r="G135" i="26"/>
  <c r="D135" i="26"/>
  <c r="A135" i="26" s="1"/>
  <c r="CJ134" i="26"/>
  <c r="CI134" i="26"/>
  <c r="CB134" i="26"/>
  <c r="BV134" i="26"/>
  <c r="BP134" i="26"/>
  <c r="BJ134" i="26"/>
  <c r="BD134" i="26"/>
  <c r="AX134" i="26"/>
  <c r="AR134" i="26"/>
  <c r="AL134" i="26"/>
  <c r="AF134" i="26"/>
  <c r="Z134" i="26"/>
  <c r="G134" i="26"/>
  <c r="D134" i="26"/>
  <c r="A134" i="26" s="1"/>
  <c r="CJ133" i="26"/>
  <c r="CI133" i="26"/>
  <c r="CB133" i="26"/>
  <c r="BV133" i="26"/>
  <c r="BP133" i="26"/>
  <c r="BJ133" i="26"/>
  <c r="BD133" i="26"/>
  <c r="AX133" i="26"/>
  <c r="AR133" i="26"/>
  <c r="AL133" i="26"/>
  <c r="AF133" i="26"/>
  <c r="Z133" i="26"/>
  <c r="G133" i="26"/>
  <c r="D133" i="26"/>
  <c r="A133" i="26" s="1"/>
  <c r="CJ132" i="26"/>
  <c r="CI132" i="26"/>
  <c r="CB132" i="26"/>
  <c r="BV132" i="26"/>
  <c r="BP132" i="26"/>
  <c r="BJ132" i="26"/>
  <c r="BD132" i="26"/>
  <c r="AX132" i="26"/>
  <c r="AR132" i="26"/>
  <c r="AL132" i="26"/>
  <c r="AF132" i="26"/>
  <c r="Z132" i="26"/>
  <c r="G132" i="26"/>
  <c r="D132" i="26"/>
  <c r="A132" i="26" s="1"/>
  <c r="CJ131" i="26"/>
  <c r="CI131" i="26"/>
  <c r="CB131" i="26"/>
  <c r="BV131" i="26"/>
  <c r="BP131" i="26"/>
  <c r="BJ131" i="26"/>
  <c r="BD131" i="26"/>
  <c r="AX131" i="26"/>
  <c r="AR131" i="26"/>
  <c r="AL131" i="26"/>
  <c r="AF131" i="26"/>
  <c r="Z131" i="26"/>
  <c r="G131" i="26"/>
  <c r="D131" i="26"/>
  <c r="A131" i="26" s="1"/>
  <c r="CJ130" i="26"/>
  <c r="CI130" i="26"/>
  <c r="CB130" i="26"/>
  <c r="BV130" i="26"/>
  <c r="BP130" i="26"/>
  <c r="BJ130" i="26"/>
  <c r="BD130" i="26"/>
  <c r="AX130" i="26"/>
  <c r="AR130" i="26"/>
  <c r="AL130" i="26"/>
  <c r="AF130" i="26"/>
  <c r="Z130" i="26"/>
  <c r="G130" i="26"/>
  <c r="D130" i="26"/>
  <c r="A130" i="26" s="1"/>
  <c r="CJ129" i="26"/>
  <c r="CI129" i="26"/>
  <c r="CB129" i="26"/>
  <c r="BV129" i="26"/>
  <c r="BP129" i="26"/>
  <c r="BJ129" i="26"/>
  <c r="BD129" i="26"/>
  <c r="AX129" i="26"/>
  <c r="AR129" i="26"/>
  <c r="AL129" i="26"/>
  <c r="AF129" i="26"/>
  <c r="Z129" i="26"/>
  <c r="G129" i="26"/>
  <c r="D129" i="26"/>
  <c r="A129" i="26" s="1"/>
  <c r="CJ128" i="26"/>
  <c r="CI128" i="26"/>
  <c r="CB128" i="26"/>
  <c r="BV128" i="26"/>
  <c r="BP128" i="26"/>
  <c r="BJ128" i="26"/>
  <c r="BD128" i="26"/>
  <c r="AX128" i="26"/>
  <c r="AR128" i="26"/>
  <c r="AL128" i="26"/>
  <c r="AF128" i="26"/>
  <c r="Z128" i="26"/>
  <c r="G128" i="26"/>
  <c r="D128" i="26"/>
  <c r="A128" i="26" s="1"/>
  <c r="CJ127" i="26"/>
  <c r="CI127" i="26"/>
  <c r="CB127" i="26"/>
  <c r="BV127" i="26"/>
  <c r="BP127" i="26"/>
  <c r="BJ127" i="26"/>
  <c r="BD127" i="26"/>
  <c r="AX127" i="26"/>
  <c r="AR127" i="26"/>
  <c r="AL127" i="26"/>
  <c r="AF127" i="26"/>
  <c r="Z127" i="26"/>
  <c r="G127" i="26"/>
  <c r="D127" i="26"/>
  <c r="A127" i="26" s="1"/>
  <c r="CJ126" i="26"/>
  <c r="CI126" i="26"/>
  <c r="CB126" i="26"/>
  <c r="BV126" i="26"/>
  <c r="BP126" i="26"/>
  <c r="BJ126" i="26"/>
  <c r="BD126" i="26"/>
  <c r="AX126" i="26"/>
  <c r="AR126" i="26"/>
  <c r="AL126" i="26"/>
  <c r="AF126" i="26"/>
  <c r="Z126" i="26"/>
  <c r="G126" i="26"/>
  <c r="D126" i="26"/>
  <c r="A126" i="26" s="1"/>
  <c r="CJ125" i="26"/>
  <c r="CI125" i="26"/>
  <c r="CB125" i="26"/>
  <c r="BV125" i="26"/>
  <c r="BP125" i="26"/>
  <c r="BJ125" i="26"/>
  <c r="BD125" i="26"/>
  <c r="AX125" i="26"/>
  <c r="AR125" i="26"/>
  <c r="AL125" i="26"/>
  <c r="AF125" i="26"/>
  <c r="Z125" i="26"/>
  <c r="G125" i="26"/>
  <c r="D125" i="26"/>
  <c r="A125" i="26" s="1"/>
  <c r="CJ124" i="26"/>
  <c r="CI124" i="26"/>
  <c r="CB124" i="26"/>
  <c r="BV124" i="26"/>
  <c r="BP124" i="26"/>
  <c r="BJ124" i="26"/>
  <c r="BD124" i="26"/>
  <c r="AX124" i="26"/>
  <c r="AR124" i="26"/>
  <c r="AL124" i="26"/>
  <c r="AF124" i="26"/>
  <c r="Z124" i="26"/>
  <c r="G124" i="26"/>
  <c r="D124" i="26"/>
  <c r="A124" i="26" s="1"/>
  <c r="CJ123" i="26"/>
  <c r="CI123" i="26"/>
  <c r="CB123" i="26"/>
  <c r="BV123" i="26"/>
  <c r="BP123" i="26"/>
  <c r="BJ123" i="26"/>
  <c r="BD123" i="26"/>
  <c r="AX123" i="26"/>
  <c r="AR123" i="26"/>
  <c r="AL123" i="26"/>
  <c r="AF123" i="26"/>
  <c r="Z123" i="26"/>
  <c r="G123" i="26"/>
  <c r="D123" i="26"/>
  <c r="A123" i="26" s="1"/>
  <c r="CJ122" i="26"/>
  <c r="CI122" i="26"/>
  <c r="CB122" i="26"/>
  <c r="BV122" i="26"/>
  <c r="BP122" i="26"/>
  <c r="BJ122" i="26"/>
  <c r="BD122" i="26"/>
  <c r="AX122" i="26"/>
  <c r="AR122" i="26"/>
  <c r="AL122" i="26"/>
  <c r="AF122" i="26"/>
  <c r="Z122" i="26"/>
  <c r="G122" i="26"/>
  <c r="D122" i="26"/>
  <c r="A122" i="26" s="1"/>
  <c r="CJ121" i="26"/>
  <c r="CI121" i="26"/>
  <c r="CB121" i="26"/>
  <c r="BV121" i="26"/>
  <c r="BP121" i="26"/>
  <c r="BJ121" i="26"/>
  <c r="BD121" i="26"/>
  <c r="AX121" i="26"/>
  <c r="AR121" i="26"/>
  <c r="AL121" i="26"/>
  <c r="AF121" i="26"/>
  <c r="Z121" i="26"/>
  <c r="G121" i="26"/>
  <c r="D121" i="26"/>
  <c r="A121" i="26" s="1"/>
  <c r="CJ120" i="26"/>
  <c r="CI120" i="26"/>
  <c r="CB120" i="26"/>
  <c r="BV120" i="26"/>
  <c r="BP120" i="26"/>
  <c r="BJ120" i="26"/>
  <c r="BD120" i="26"/>
  <c r="AX120" i="26"/>
  <c r="AR120" i="26"/>
  <c r="AL120" i="26"/>
  <c r="AF120" i="26"/>
  <c r="Z120" i="26"/>
  <c r="G120" i="26"/>
  <c r="D120" i="26"/>
  <c r="A120" i="26" s="1"/>
  <c r="CJ119" i="26"/>
  <c r="CI119" i="26"/>
  <c r="CB119" i="26"/>
  <c r="BV119" i="26"/>
  <c r="BP119" i="26"/>
  <c r="BJ119" i="26"/>
  <c r="BD119" i="26"/>
  <c r="AX119" i="26"/>
  <c r="AR119" i="26"/>
  <c r="AL119" i="26"/>
  <c r="AF119" i="26"/>
  <c r="Z119" i="26"/>
  <c r="G119" i="26"/>
  <c r="D119" i="26"/>
  <c r="A119" i="26" s="1"/>
  <c r="CJ118" i="26"/>
  <c r="CI118" i="26"/>
  <c r="CB118" i="26"/>
  <c r="BV118" i="26"/>
  <c r="BP118" i="26"/>
  <c r="BJ118" i="26"/>
  <c r="BD118" i="26"/>
  <c r="AX118" i="26"/>
  <c r="AR118" i="26"/>
  <c r="AL118" i="26"/>
  <c r="AF118" i="26"/>
  <c r="Z118" i="26"/>
  <c r="G118" i="26"/>
  <c r="D118" i="26"/>
  <c r="A118" i="26" s="1"/>
  <c r="CJ117" i="26"/>
  <c r="CI117" i="26"/>
  <c r="CB117" i="26"/>
  <c r="BV117" i="26"/>
  <c r="BP117" i="26"/>
  <c r="BJ117" i="26"/>
  <c r="BD117" i="26"/>
  <c r="AX117" i="26"/>
  <c r="AR117" i="26"/>
  <c r="AL117" i="26"/>
  <c r="AF117" i="26"/>
  <c r="Z117" i="26"/>
  <c r="G117" i="26"/>
  <c r="D117" i="26"/>
  <c r="A117" i="26" s="1"/>
  <c r="CJ116" i="26"/>
  <c r="CI116" i="26"/>
  <c r="CB116" i="26"/>
  <c r="BV116" i="26"/>
  <c r="BP116" i="26"/>
  <c r="BJ116" i="26"/>
  <c r="BD116" i="26"/>
  <c r="AX116" i="26"/>
  <c r="AR116" i="26"/>
  <c r="AL116" i="26"/>
  <c r="AF116" i="26"/>
  <c r="Z116" i="26"/>
  <c r="G116" i="26"/>
  <c r="D116" i="26"/>
  <c r="A116" i="26" s="1"/>
  <c r="CJ115" i="26"/>
  <c r="CI115" i="26"/>
  <c r="CB115" i="26"/>
  <c r="BV115" i="26"/>
  <c r="BP115" i="26"/>
  <c r="BJ115" i="26"/>
  <c r="BD115" i="26"/>
  <c r="AX115" i="26"/>
  <c r="AR115" i="26"/>
  <c r="AL115" i="26"/>
  <c r="AF115" i="26"/>
  <c r="Z115" i="26"/>
  <c r="G115" i="26"/>
  <c r="D115" i="26"/>
  <c r="A115" i="26" s="1"/>
  <c r="CJ114" i="26"/>
  <c r="CI114" i="26"/>
  <c r="CB114" i="26"/>
  <c r="BV114" i="26"/>
  <c r="BP114" i="26"/>
  <c r="BJ114" i="26"/>
  <c r="BD114" i="26"/>
  <c r="AX114" i="26"/>
  <c r="AR114" i="26"/>
  <c r="AL114" i="26"/>
  <c r="AF114" i="26"/>
  <c r="Z114" i="26"/>
  <c r="G114" i="26"/>
  <c r="D114" i="26"/>
  <c r="A114" i="26" s="1"/>
  <c r="CJ113" i="26"/>
  <c r="CI113" i="26"/>
  <c r="CB113" i="26"/>
  <c r="BV113" i="26"/>
  <c r="BP113" i="26"/>
  <c r="BJ113" i="26"/>
  <c r="BD113" i="26"/>
  <c r="AX113" i="26"/>
  <c r="AR113" i="26"/>
  <c r="AL113" i="26"/>
  <c r="AF113" i="26"/>
  <c r="Z113" i="26"/>
  <c r="G113" i="26"/>
  <c r="D113" i="26"/>
  <c r="A113" i="26" s="1"/>
  <c r="CJ112" i="26"/>
  <c r="CI112" i="26"/>
  <c r="CB112" i="26"/>
  <c r="BV112" i="26"/>
  <c r="BP112" i="26"/>
  <c r="BJ112" i="26"/>
  <c r="BD112" i="26"/>
  <c r="AX112" i="26"/>
  <c r="AR112" i="26"/>
  <c r="AL112" i="26"/>
  <c r="AF112" i="26"/>
  <c r="Z112" i="26"/>
  <c r="G112" i="26"/>
  <c r="D112" i="26"/>
  <c r="A112" i="26" s="1"/>
  <c r="CJ111" i="26"/>
  <c r="CI111" i="26"/>
  <c r="CB111" i="26"/>
  <c r="BV111" i="26"/>
  <c r="BP111" i="26"/>
  <c r="BJ111" i="26"/>
  <c r="BD111" i="26"/>
  <c r="AX111" i="26"/>
  <c r="AR111" i="26"/>
  <c r="AL111" i="26"/>
  <c r="AF111" i="26"/>
  <c r="Z111" i="26"/>
  <c r="G111" i="26"/>
  <c r="D111" i="26"/>
  <c r="A111" i="26" s="1"/>
  <c r="CJ110" i="26"/>
  <c r="CI110" i="26"/>
  <c r="CB110" i="26"/>
  <c r="BV110" i="26"/>
  <c r="BP110" i="26"/>
  <c r="BJ110" i="26"/>
  <c r="BD110" i="26"/>
  <c r="AX110" i="26"/>
  <c r="AR110" i="26"/>
  <c r="AL110" i="26"/>
  <c r="AF110" i="26"/>
  <c r="Z110" i="26"/>
  <c r="G110" i="26"/>
  <c r="D110" i="26"/>
  <c r="A110" i="26" s="1"/>
  <c r="CJ109" i="26"/>
  <c r="CI109" i="26"/>
  <c r="CB109" i="26"/>
  <c r="BV109" i="26"/>
  <c r="BP109" i="26"/>
  <c r="BJ109" i="26"/>
  <c r="BD109" i="26"/>
  <c r="AX109" i="26"/>
  <c r="AR109" i="26"/>
  <c r="AL109" i="26"/>
  <c r="AF109" i="26"/>
  <c r="Z109" i="26"/>
  <c r="G109" i="26"/>
  <c r="D109" i="26"/>
  <c r="A109" i="26" s="1"/>
  <c r="CJ108" i="26"/>
  <c r="CI108" i="26"/>
  <c r="CB108" i="26"/>
  <c r="BV108" i="26"/>
  <c r="BP108" i="26"/>
  <c r="BJ108" i="26"/>
  <c r="BD108" i="26"/>
  <c r="AX108" i="26"/>
  <c r="AR108" i="26"/>
  <c r="AL108" i="26"/>
  <c r="AF108" i="26"/>
  <c r="Z108" i="26"/>
  <c r="G108" i="26"/>
  <c r="D108" i="26"/>
  <c r="A108" i="26" s="1"/>
  <c r="CJ107" i="26"/>
  <c r="CI107" i="26"/>
  <c r="CB107" i="26"/>
  <c r="BV107" i="26"/>
  <c r="BP107" i="26"/>
  <c r="BJ107" i="26"/>
  <c r="BD107" i="26"/>
  <c r="AX107" i="26"/>
  <c r="AR107" i="26"/>
  <c r="AL107" i="26"/>
  <c r="AF107" i="26"/>
  <c r="Z107" i="26"/>
  <c r="G107" i="26"/>
  <c r="D107" i="26"/>
  <c r="A107" i="26" s="1"/>
  <c r="CJ106" i="26"/>
  <c r="CI106" i="26"/>
  <c r="CB106" i="26"/>
  <c r="BV106" i="26"/>
  <c r="BP106" i="26"/>
  <c r="BJ106" i="26"/>
  <c r="BD106" i="26"/>
  <c r="AX106" i="26"/>
  <c r="AR106" i="26"/>
  <c r="AL106" i="26"/>
  <c r="AF106" i="26"/>
  <c r="Z106" i="26"/>
  <c r="G106" i="26"/>
  <c r="D106" i="26"/>
  <c r="A106" i="26" s="1"/>
  <c r="CJ105" i="26"/>
  <c r="CI105" i="26"/>
  <c r="CB105" i="26"/>
  <c r="BV105" i="26"/>
  <c r="BP105" i="26"/>
  <c r="BJ105" i="26"/>
  <c r="BD105" i="26"/>
  <c r="AX105" i="26"/>
  <c r="AR105" i="26"/>
  <c r="AL105" i="26"/>
  <c r="AF105" i="26"/>
  <c r="Z105" i="26"/>
  <c r="G105" i="26"/>
  <c r="D105" i="26"/>
  <c r="A105" i="26" s="1"/>
  <c r="CJ104" i="26"/>
  <c r="CI104" i="26"/>
  <c r="CB104" i="26"/>
  <c r="BV104" i="26"/>
  <c r="BP104" i="26"/>
  <c r="BJ104" i="26"/>
  <c r="BD104" i="26"/>
  <c r="AX104" i="26"/>
  <c r="AR104" i="26"/>
  <c r="AL104" i="26"/>
  <c r="AF104" i="26"/>
  <c r="Z104" i="26"/>
  <c r="G104" i="26"/>
  <c r="D104" i="26"/>
  <c r="A104" i="26" s="1"/>
  <c r="CJ103" i="26"/>
  <c r="CI103" i="26"/>
  <c r="CB103" i="26"/>
  <c r="BV103" i="26"/>
  <c r="BP103" i="26"/>
  <c r="BJ103" i="26"/>
  <c r="BD103" i="26"/>
  <c r="AX103" i="26"/>
  <c r="AR103" i="26"/>
  <c r="AL103" i="26"/>
  <c r="AF103" i="26"/>
  <c r="Z103" i="26"/>
  <c r="G103" i="26"/>
  <c r="D103" i="26"/>
  <c r="A103" i="26" s="1"/>
  <c r="CJ102" i="26"/>
  <c r="CI102" i="26"/>
  <c r="CB102" i="26"/>
  <c r="BV102" i="26"/>
  <c r="BP102" i="26"/>
  <c r="BJ102" i="26"/>
  <c r="BD102" i="26"/>
  <c r="AX102" i="26"/>
  <c r="AR102" i="26"/>
  <c r="AL102" i="26"/>
  <c r="AF102" i="26"/>
  <c r="Z102" i="26"/>
  <c r="G102" i="26"/>
  <c r="D102" i="26"/>
  <c r="A102" i="26" s="1"/>
  <c r="CJ101" i="26"/>
  <c r="CI101" i="26"/>
  <c r="CB101" i="26"/>
  <c r="BV101" i="26"/>
  <c r="BP101" i="26"/>
  <c r="BJ101" i="26"/>
  <c r="BD101" i="26"/>
  <c r="AX101" i="26"/>
  <c r="AR101" i="26"/>
  <c r="AL101" i="26"/>
  <c r="AF101" i="26"/>
  <c r="Z101" i="26"/>
  <c r="G101" i="26"/>
  <c r="D101" i="26"/>
  <c r="A101" i="26" s="1"/>
  <c r="CJ100" i="26"/>
  <c r="CI100" i="26"/>
  <c r="CB100" i="26"/>
  <c r="BV100" i="26"/>
  <c r="BP100" i="26"/>
  <c r="BJ100" i="26"/>
  <c r="BD100" i="26"/>
  <c r="AX100" i="26"/>
  <c r="AR100" i="26"/>
  <c r="AL100" i="26"/>
  <c r="AF100" i="26"/>
  <c r="Z100" i="26"/>
  <c r="G100" i="26"/>
  <c r="D100" i="26"/>
  <c r="A100" i="26" s="1"/>
  <c r="CJ99" i="26"/>
  <c r="CI99" i="26"/>
  <c r="CB99" i="26"/>
  <c r="BV99" i="26"/>
  <c r="BP99" i="26"/>
  <c r="BJ99" i="26"/>
  <c r="BD99" i="26"/>
  <c r="AX99" i="26"/>
  <c r="AR99" i="26"/>
  <c r="AL99" i="26"/>
  <c r="AF99" i="26"/>
  <c r="Z99" i="26"/>
  <c r="G99" i="26"/>
  <c r="D99" i="26"/>
  <c r="A99" i="26" s="1"/>
  <c r="CJ98" i="26"/>
  <c r="CI98" i="26"/>
  <c r="CB98" i="26"/>
  <c r="BV98" i="26"/>
  <c r="BP98" i="26"/>
  <c r="BJ98" i="26"/>
  <c r="BD98" i="26"/>
  <c r="AX98" i="26"/>
  <c r="AR98" i="26"/>
  <c r="AL98" i="26"/>
  <c r="AF98" i="26"/>
  <c r="Z98" i="26"/>
  <c r="G98" i="26"/>
  <c r="D98" i="26"/>
  <c r="A98" i="26" s="1"/>
  <c r="CJ97" i="26"/>
  <c r="CI97" i="26"/>
  <c r="CB97" i="26"/>
  <c r="BV97" i="26"/>
  <c r="BP97" i="26"/>
  <c r="BJ97" i="26"/>
  <c r="BD97" i="26"/>
  <c r="AX97" i="26"/>
  <c r="AR97" i="26"/>
  <c r="AL97" i="26"/>
  <c r="AF97" i="26"/>
  <c r="Z97" i="26"/>
  <c r="G97" i="26"/>
  <c r="D97" i="26"/>
  <c r="A97" i="26" s="1"/>
  <c r="CJ96" i="26"/>
  <c r="CI96" i="26"/>
  <c r="CB96" i="26"/>
  <c r="BV96" i="26"/>
  <c r="BP96" i="26"/>
  <c r="BJ96" i="26"/>
  <c r="BD96" i="26"/>
  <c r="AX96" i="26"/>
  <c r="AR96" i="26"/>
  <c r="AL96" i="26"/>
  <c r="AF96" i="26"/>
  <c r="Z96" i="26"/>
  <c r="G96" i="26"/>
  <c r="D96" i="26"/>
  <c r="A96" i="26" s="1"/>
  <c r="CJ95" i="26"/>
  <c r="CI95" i="26"/>
  <c r="CB95" i="26"/>
  <c r="BV95" i="26"/>
  <c r="BP95" i="26"/>
  <c r="BJ95" i="26"/>
  <c r="BD95" i="26"/>
  <c r="AX95" i="26"/>
  <c r="AR95" i="26"/>
  <c r="AL95" i="26"/>
  <c r="AF95" i="26"/>
  <c r="Z95" i="26"/>
  <c r="G95" i="26"/>
  <c r="D95" i="26"/>
  <c r="A95" i="26" s="1"/>
  <c r="CJ94" i="26"/>
  <c r="CI94" i="26"/>
  <c r="CB94" i="26"/>
  <c r="BV94" i="26"/>
  <c r="BP94" i="26"/>
  <c r="BJ94" i="26"/>
  <c r="BD94" i="26"/>
  <c r="AX94" i="26"/>
  <c r="AR94" i="26"/>
  <c r="AL94" i="26"/>
  <c r="AF94" i="26"/>
  <c r="Z94" i="26"/>
  <c r="G94" i="26"/>
  <c r="D94" i="26"/>
  <c r="A94" i="26" s="1"/>
  <c r="CJ93" i="26"/>
  <c r="CI93" i="26"/>
  <c r="CB93" i="26"/>
  <c r="BV93" i="26"/>
  <c r="BP93" i="26"/>
  <c r="BJ93" i="26"/>
  <c r="BD93" i="26"/>
  <c r="AX93" i="26"/>
  <c r="AR93" i="26"/>
  <c r="AL93" i="26"/>
  <c r="AF93" i="26"/>
  <c r="Z93" i="26"/>
  <c r="G93" i="26"/>
  <c r="D93" i="26"/>
  <c r="A93" i="26" s="1"/>
  <c r="CJ92" i="26"/>
  <c r="CI92" i="26"/>
  <c r="CB92" i="26"/>
  <c r="BV92" i="26"/>
  <c r="BP92" i="26"/>
  <c r="BJ92" i="26"/>
  <c r="BD92" i="26"/>
  <c r="AX92" i="26"/>
  <c r="AR92" i="26"/>
  <c r="AL92" i="26"/>
  <c r="AF92" i="26"/>
  <c r="Z92" i="26"/>
  <c r="G92" i="26"/>
  <c r="D92" i="26"/>
  <c r="A92" i="26" s="1"/>
  <c r="CJ91" i="26"/>
  <c r="CI91" i="26"/>
  <c r="CB91" i="26"/>
  <c r="BV91" i="26"/>
  <c r="BP91" i="26"/>
  <c r="BJ91" i="26"/>
  <c r="BD91" i="26"/>
  <c r="AX91" i="26"/>
  <c r="AR91" i="26"/>
  <c r="AL91" i="26"/>
  <c r="AF91" i="26"/>
  <c r="Z91" i="26"/>
  <c r="G91" i="26"/>
  <c r="D91" i="26"/>
  <c r="A91" i="26" s="1"/>
  <c r="CJ90" i="26"/>
  <c r="CI90" i="26"/>
  <c r="CB90" i="26"/>
  <c r="BV90" i="26"/>
  <c r="BP90" i="26"/>
  <c r="BJ90" i="26"/>
  <c r="BD90" i="26"/>
  <c r="AX90" i="26"/>
  <c r="AR90" i="26"/>
  <c r="AL90" i="26"/>
  <c r="AF90" i="26"/>
  <c r="Z90" i="26"/>
  <c r="G90" i="26"/>
  <c r="D90" i="26"/>
  <c r="A90" i="26" s="1"/>
  <c r="CJ89" i="26"/>
  <c r="CI89" i="26"/>
  <c r="CB89" i="26"/>
  <c r="BV89" i="26"/>
  <c r="BP89" i="26"/>
  <c r="BJ89" i="26"/>
  <c r="BD89" i="26"/>
  <c r="AX89" i="26"/>
  <c r="AR89" i="26"/>
  <c r="AL89" i="26"/>
  <c r="AF89" i="26"/>
  <c r="Z89" i="26"/>
  <c r="G89" i="26"/>
  <c r="D89" i="26"/>
  <c r="A89" i="26" s="1"/>
  <c r="CJ88" i="26"/>
  <c r="CI88" i="26"/>
  <c r="CB88" i="26"/>
  <c r="BV88" i="26"/>
  <c r="BP88" i="26"/>
  <c r="BJ88" i="26"/>
  <c r="BD88" i="26"/>
  <c r="AX88" i="26"/>
  <c r="AR88" i="26"/>
  <c r="AL88" i="26"/>
  <c r="AF88" i="26"/>
  <c r="Z88" i="26"/>
  <c r="G88" i="26"/>
  <c r="D88" i="26"/>
  <c r="A88" i="26" s="1"/>
  <c r="CJ87" i="26"/>
  <c r="CI87" i="26"/>
  <c r="CB87" i="26"/>
  <c r="BV87" i="26"/>
  <c r="BP87" i="26"/>
  <c r="BJ87" i="26"/>
  <c r="BD87" i="26"/>
  <c r="AX87" i="26"/>
  <c r="AR87" i="26"/>
  <c r="AL87" i="26"/>
  <c r="AF87" i="26"/>
  <c r="Z87" i="26"/>
  <c r="G87" i="26"/>
  <c r="D87" i="26"/>
  <c r="A87" i="26" s="1"/>
  <c r="CJ86" i="26"/>
  <c r="CI86" i="26"/>
  <c r="CB86" i="26"/>
  <c r="BV86" i="26"/>
  <c r="BP86" i="26"/>
  <c r="BJ86" i="26"/>
  <c r="BD86" i="26"/>
  <c r="AX86" i="26"/>
  <c r="AR86" i="26"/>
  <c r="AL86" i="26"/>
  <c r="AF86" i="26"/>
  <c r="Z86" i="26"/>
  <c r="G86" i="26"/>
  <c r="D86" i="26"/>
  <c r="A86" i="26" s="1"/>
  <c r="CJ85" i="26"/>
  <c r="CI85" i="26"/>
  <c r="CB85" i="26"/>
  <c r="BV85" i="26"/>
  <c r="BP85" i="26"/>
  <c r="BJ85" i="26"/>
  <c r="BD85" i="26"/>
  <c r="AX85" i="26"/>
  <c r="AR85" i="26"/>
  <c r="AL85" i="26"/>
  <c r="AF85" i="26"/>
  <c r="Z85" i="26"/>
  <c r="G85" i="26"/>
  <c r="D85" i="26"/>
  <c r="A85" i="26" s="1"/>
  <c r="CJ84" i="26"/>
  <c r="CI84" i="26"/>
  <c r="CB84" i="26"/>
  <c r="BV84" i="26"/>
  <c r="BP84" i="26"/>
  <c r="BJ84" i="26"/>
  <c r="BD84" i="26"/>
  <c r="AX84" i="26"/>
  <c r="AR84" i="26"/>
  <c r="AL84" i="26"/>
  <c r="AF84" i="26"/>
  <c r="Z84" i="26"/>
  <c r="G84" i="26"/>
  <c r="D84" i="26"/>
  <c r="A84" i="26" s="1"/>
  <c r="CJ83" i="26"/>
  <c r="CI83" i="26"/>
  <c r="CB83" i="26"/>
  <c r="BV83" i="26"/>
  <c r="BP83" i="26"/>
  <c r="BJ83" i="26"/>
  <c r="BD83" i="26"/>
  <c r="AX83" i="26"/>
  <c r="AR83" i="26"/>
  <c r="AL83" i="26"/>
  <c r="AF83" i="26"/>
  <c r="Z83" i="26"/>
  <c r="G83" i="26"/>
  <c r="D83" i="26"/>
  <c r="A83" i="26" s="1"/>
  <c r="CJ82" i="26"/>
  <c r="CI82" i="26"/>
  <c r="CB82" i="26"/>
  <c r="BV82" i="26"/>
  <c r="BP82" i="26"/>
  <c r="BJ82" i="26"/>
  <c r="BD82" i="26"/>
  <c r="AX82" i="26"/>
  <c r="AR82" i="26"/>
  <c r="AL82" i="26"/>
  <c r="AF82" i="26"/>
  <c r="Z82" i="26"/>
  <c r="G82" i="26"/>
  <c r="D82" i="26"/>
  <c r="A82" i="26" s="1"/>
  <c r="CJ81" i="26"/>
  <c r="CI81" i="26"/>
  <c r="CB81" i="26"/>
  <c r="BV81" i="26"/>
  <c r="BP81" i="26"/>
  <c r="BJ81" i="26"/>
  <c r="BD81" i="26"/>
  <c r="AX81" i="26"/>
  <c r="AR81" i="26"/>
  <c r="AL81" i="26"/>
  <c r="AF81" i="26"/>
  <c r="Z81" i="26"/>
  <c r="G81" i="26"/>
  <c r="D81" i="26"/>
  <c r="A81" i="26" s="1"/>
  <c r="CJ80" i="26"/>
  <c r="CI80" i="26"/>
  <c r="CB80" i="26"/>
  <c r="BV80" i="26"/>
  <c r="BP80" i="26"/>
  <c r="BJ80" i="26"/>
  <c r="BD80" i="26"/>
  <c r="AX80" i="26"/>
  <c r="AR80" i="26"/>
  <c r="AL80" i="26"/>
  <c r="AF80" i="26"/>
  <c r="Z80" i="26"/>
  <c r="G80" i="26"/>
  <c r="D80" i="26"/>
  <c r="A80" i="26" s="1"/>
  <c r="CJ79" i="26"/>
  <c r="CI79" i="26"/>
  <c r="CB79" i="26"/>
  <c r="BV79" i="26"/>
  <c r="BP79" i="26"/>
  <c r="BJ79" i="26"/>
  <c r="BD79" i="26"/>
  <c r="AX79" i="26"/>
  <c r="AR79" i="26"/>
  <c r="AL79" i="26"/>
  <c r="AF79" i="26"/>
  <c r="Z79" i="26"/>
  <c r="G79" i="26"/>
  <c r="D79" i="26"/>
  <c r="A79" i="26" s="1"/>
  <c r="CJ78" i="26"/>
  <c r="CI78" i="26"/>
  <c r="CB78" i="26"/>
  <c r="BV78" i="26"/>
  <c r="BP78" i="26"/>
  <c r="BJ78" i="26"/>
  <c r="BD78" i="26"/>
  <c r="AX78" i="26"/>
  <c r="AR78" i="26"/>
  <c r="AL78" i="26"/>
  <c r="AF78" i="26"/>
  <c r="Z78" i="26"/>
  <c r="G78" i="26"/>
  <c r="D78" i="26"/>
  <c r="A78" i="26" s="1"/>
  <c r="CJ77" i="26"/>
  <c r="CI77" i="26"/>
  <c r="CB77" i="26"/>
  <c r="BV77" i="26"/>
  <c r="BP77" i="26"/>
  <c r="BJ77" i="26"/>
  <c r="BD77" i="26"/>
  <c r="AX77" i="26"/>
  <c r="AR77" i="26"/>
  <c r="AL77" i="26"/>
  <c r="AF77" i="26"/>
  <c r="Z77" i="26"/>
  <c r="G77" i="26"/>
  <c r="D77" i="26"/>
  <c r="A77" i="26" s="1"/>
  <c r="CJ76" i="26"/>
  <c r="CI76" i="26"/>
  <c r="CB76" i="26"/>
  <c r="BV76" i="26"/>
  <c r="BP76" i="26"/>
  <c r="BJ76" i="26"/>
  <c r="BD76" i="26"/>
  <c r="AX76" i="26"/>
  <c r="AR76" i="26"/>
  <c r="AL76" i="26"/>
  <c r="AF76" i="26"/>
  <c r="Z76" i="26"/>
  <c r="G76" i="26"/>
  <c r="D76" i="26"/>
  <c r="A76" i="26" s="1"/>
  <c r="CJ75" i="26"/>
  <c r="CI75" i="26"/>
  <c r="CB75" i="26"/>
  <c r="BV75" i="26"/>
  <c r="BP75" i="26"/>
  <c r="BJ75" i="26"/>
  <c r="BD75" i="26"/>
  <c r="AX75" i="26"/>
  <c r="AR75" i="26"/>
  <c r="AL75" i="26"/>
  <c r="AF75" i="26"/>
  <c r="Z75" i="26"/>
  <c r="G75" i="26"/>
  <c r="D75" i="26"/>
  <c r="A75" i="26" s="1"/>
  <c r="CJ74" i="26"/>
  <c r="CI74" i="26"/>
  <c r="CB74" i="26"/>
  <c r="BV74" i="26"/>
  <c r="BP74" i="26"/>
  <c r="BJ74" i="26"/>
  <c r="BD74" i="26"/>
  <c r="AX74" i="26"/>
  <c r="AR74" i="26"/>
  <c r="AL74" i="26"/>
  <c r="AF74" i="26"/>
  <c r="Z74" i="26"/>
  <c r="G74" i="26"/>
  <c r="D74" i="26"/>
  <c r="A74" i="26" s="1"/>
  <c r="CJ73" i="26"/>
  <c r="CI73" i="26"/>
  <c r="CB73" i="26"/>
  <c r="BV73" i="26"/>
  <c r="BP73" i="26"/>
  <c r="BJ73" i="26"/>
  <c r="BD73" i="26"/>
  <c r="AX73" i="26"/>
  <c r="AR73" i="26"/>
  <c r="AL73" i="26"/>
  <c r="AF73" i="26"/>
  <c r="Z73" i="26"/>
  <c r="G73" i="26"/>
  <c r="D73" i="26"/>
  <c r="A73" i="26" s="1"/>
  <c r="CJ72" i="26"/>
  <c r="CI72" i="26"/>
  <c r="CB72" i="26"/>
  <c r="BV72" i="26"/>
  <c r="BP72" i="26"/>
  <c r="BJ72" i="26"/>
  <c r="BD72" i="26"/>
  <c r="AX72" i="26"/>
  <c r="AR72" i="26"/>
  <c r="AL72" i="26"/>
  <c r="AF72" i="26"/>
  <c r="Z72" i="26"/>
  <c r="G72" i="26"/>
  <c r="D72" i="26"/>
  <c r="A72" i="26" s="1"/>
  <c r="CJ71" i="26"/>
  <c r="CI71" i="26"/>
  <c r="CB71" i="26"/>
  <c r="BV71" i="26"/>
  <c r="BP71" i="26"/>
  <c r="BJ71" i="26"/>
  <c r="BD71" i="26"/>
  <c r="AX71" i="26"/>
  <c r="AR71" i="26"/>
  <c r="AL71" i="26"/>
  <c r="AF71" i="26"/>
  <c r="Z71" i="26"/>
  <c r="G71" i="26"/>
  <c r="D71" i="26"/>
  <c r="A71" i="26" s="1"/>
  <c r="CJ70" i="26"/>
  <c r="CI70" i="26"/>
  <c r="CB70" i="26"/>
  <c r="BV70" i="26"/>
  <c r="BP70" i="26"/>
  <c r="BJ70" i="26"/>
  <c r="BD70" i="26"/>
  <c r="AX70" i="26"/>
  <c r="AR70" i="26"/>
  <c r="AL70" i="26"/>
  <c r="AF70" i="26"/>
  <c r="Z70" i="26"/>
  <c r="G70" i="26"/>
  <c r="D70" i="26"/>
  <c r="A70" i="26" s="1"/>
  <c r="CJ69" i="26"/>
  <c r="CI69" i="26"/>
  <c r="CB69" i="26"/>
  <c r="BV69" i="26"/>
  <c r="BP69" i="26"/>
  <c r="BJ69" i="26"/>
  <c r="BD69" i="26"/>
  <c r="AX69" i="26"/>
  <c r="AR69" i="26"/>
  <c r="AL69" i="26"/>
  <c r="AF69" i="26"/>
  <c r="Z69" i="26"/>
  <c r="G69" i="26"/>
  <c r="D69" i="26"/>
  <c r="A69" i="26" s="1"/>
  <c r="CJ68" i="26"/>
  <c r="CI68" i="26"/>
  <c r="CB68" i="26"/>
  <c r="BV68" i="26"/>
  <c r="BP68" i="26"/>
  <c r="BJ68" i="26"/>
  <c r="BD68" i="26"/>
  <c r="AX68" i="26"/>
  <c r="AR68" i="26"/>
  <c r="AL68" i="26"/>
  <c r="AF68" i="26"/>
  <c r="Z68" i="26"/>
  <c r="G68" i="26"/>
  <c r="D68" i="26"/>
  <c r="A68" i="26" s="1"/>
  <c r="CJ67" i="26"/>
  <c r="CI67" i="26"/>
  <c r="CB67" i="26"/>
  <c r="BV67" i="26"/>
  <c r="BP67" i="26"/>
  <c r="BJ67" i="26"/>
  <c r="BD67" i="26"/>
  <c r="AX67" i="26"/>
  <c r="AR67" i="26"/>
  <c r="AL67" i="26"/>
  <c r="AF67" i="26"/>
  <c r="Z67" i="26"/>
  <c r="G67" i="26"/>
  <c r="D67" i="26"/>
  <c r="A67" i="26" s="1"/>
  <c r="CJ66" i="26"/>
  <c r="CI66" i="26"/>
  <c r="CB66" i="26"/>
  <c r="BV66" i="26"/>
  <c r="BP66" i="26"/>
  <c r="BJ66" i="26"/>
  <c r="BD66" i="26"/>
  <c r="AX66" i="26"/>
  <c r="AR66" i="26"/>
  <c r="AL66" i="26"/>
  <c r="AF66" i="26"/>
  <c r="Z66" i="26"/>
  <c r="G66" i="26"/>
  <c r="D66" i="26"/>
  <c r="A66" i="26" s="1"/>
  <c r="CJ65" i="26"/>
  <c r="CI65" i="26"/>
  <c r="CB65" i="26"/>
  <c r="BV65" i="26"/>
  <c r="BP65" i="26"/>
  <c r="BJ65" i="26"/>
  <c r="BD65" i="26"/>
  <c r="AX65" i="26"/>
  <c r="AR65" i="26"/>
  <c r="AL65" i="26"/>
  <c r="AF65" i="26"/>
  <c r="Z65" i="26"/>
  <c r="G65" i="26"/>
  <c r="D65" i="26"/>
  <c r="A65" i="26" s="1"/>
  <c r="CJ64" i="26"/>
  <c r="CI64" i="26"/>
  <c r="CB64" i="26"/>
  <c r="BV64" i="26"/>
  <c r="BP64" i="26"/>
  <c r="BJ64" i="26"/>
  <c r="BD64" i="26"/>
  <c r="AX64" i="26"/>
  <c r="AR64" i="26"/>
  <c r="AL64" i="26"/>
  <c r="AF64" i="26"/>
  <c r="Z64" i="26"/>
  <c r="G64" i="26"/>
  <c r="D64" i="26"/>
  <c r="A64" i="26" s="1"/>
  <c r="CJ63" i="26"/>
  <c r="CI63" i="26"/>
  <c r="CB63" i="26"/>
  <c r="BV63" i="26"/>
  <c r="BP63" i="26"/>
  <c r="BJ63" i="26"/>
  <c r="BD63" i="26"/>
  <c r="AX63" i="26"/>
  <c r="AR63" i="26"/>
  <c r="AL63" i="26"/>
  <c r="AF63" i="26"/>
  <c r="Z63" i="26"/>
  <c r="G63" i="26"/>
  <c r="D63" i="26"/>
  <c r="A63" i="26" s="1"/>
  <c r="CJ62" i="26"/>
  <c r="CI62" i="26"/>
  <c r="CB62" i="26"/>
  <c r="BV62" i="26"/>
  <c r="BP62" i="26"/>
  <c r="BJ62" i="26"/>
  <c r="BD62" i="26"/>
  <c r="AX62" i="26"/>
  <c r="AR62" i="26"/>
  <c r="AL62" i="26"/>
  <c r="AF62" i="26"/>
  <c r="Z62" i="26"/>
  <c r="G62" i="26"/>
  <c r="D62" i="26"/>
  <c r="A62" i="26" s="1"/>
  <c r="CJ61" i="26"/>
  <c r="CI61" i="26"/>
  <c r="CB61" i="26"/>
  <c r="BV61" i="26"/>
  <c r="BP61" i="26"/>
  <c r="BJ61" i="26"/>
  <c r="BD61" i="26"/>
  <c r="AX61" i="26"/>
  <c r="AR61" i="26"/>
  <c r="AL61" i="26"/>
  <c r="AF61" i="26"/>
  <c r="Z61" i="26"/>
  <c r="G61" i="26"/>
  <c r="D61" i="26"/>
  <c r="A61" i="26" s="1"/>
  <c r="CJ60" i="26"/>
  <c r="CI60" i="26"/>
  <c r="CB60" i="26"/>
  <c r="BV60" i="26"/>
  <c r="BP60" i="26"/>
  <c r="BJ60" i="26"/>
  <c r="BD60" i="26"/>
  <c r="AX60" i="26"/>
  <c r="AR60" i="26"/>
  <c r="AL60" i="26"/>
  <c r="AF60" i="26"/>
  <c r="Z60" i="26"/>
  <c r="G60" i="26"/>
  <c r="D60" i="26"/>
  <c r="A60" i="26" s="1"/>
  <c r="CJ59" i="26"/>
  <c r="CI59" i="26"/>
  <c r="CB59" i="26"/>
  <c r="BV59" i="26"/>
  <c r="BP59" i="26"/>
  <c r="BJ59" i="26"/>
  <c r="BD59" i="26"/>
  <c r="AX59" i="26"/>
  <c r="AR59" i="26"/>
  <c r="AL59" i="26"/>
  <c r="AF59" i="26"/>
  <c r="Z59" i="26"/>
  <c r="G59" i="26"/>
  <c r="D59" i="26"/>
  <c r="A59" i="26" s="1"/>
  <c r="CJ58" i="26"/>
  <c r="CI58" i="26"/>
  <c r="CB58" i="26"/>
  <c r="BV58" i="26"/>
  <c r="BP58" i="26"/>
  <c r="BJ58" i="26"/>
  <c r="BD58" i="26"/>
  <c r="AX58" i="26"/>
  <c r="AR58" i="26"/>
  <c r="AL58" i="26"/>
  <c r="AF58" i="26"/>
  <c r="Z58" i="26"/>
  <c r="G58" i="26"/>
  <c r="D58" i="26"/>
  <c r="A58" i="26" s="1"/>
  <c r="CJ57" i="26"/>
  <c r="CI57" i="26"/>
  <c r="CB57" i="26"/>
  <c r="BV57" i="26"/>
  <c r="BP57" i="26"/>
  <c r="BJ57" i="26"/>
  <c r="BD57" i="26"/>
  <c r="AX57" i="26"/>
  <c r="AR57" i="26"/>
  <c r="AL57" i="26"/>
  <c r="AF57" i="26"/>
  <c r="Z57" i="26"/>
  <c r="G57" i="26"/>
  <c r="D57" i="26"/>
  <c r="A57" i="26" s="1"/>
  <c r="CJ56" i="26"/>
  <c r="CI56" i="26"/>
  <c r="CB56" i="26"/>
  <c r="BV56" i="26"/>
  <c r="BP56" i="26"/>
  <c r="BJ56" i="26"/>
  <c r="BD56" i="26"/>
  <c r="AX56" i="26"/>
  <c r="AR56" i="26"/>
  <c r="AL56" i="26"/>
  <c r="AF56" i="26"/>
  <c r="Z56" i="26"/>
  <c r="G56" i="26"/>
  <c r="D56" i="26"/>
  <c r="A56" i="26" s="1"/>
  <c r="CJ55" i="26"/>
  <c r="CI55" i="26"/>
  <c r="CB55" i="26"/>
  <c r="BV55" i="26"/>
  <c r="BP55" i="26"/>
  <c r="BJ55" i="26"/>
  <c r="BD55" i="26"/>
  <c r="AX55" i="26"/>
  <c r="AR55" i="26"/>
  <c r="AL55" i="26"/>
  <c r="AF55" i="26"/>
  <c r="Z55" i="26"/>
  <c r="G55" i="26"/>
  <c r="D55" i="26"/>
  <c r="A55" i="26" s="1"/>
  <c r="CJ54" i="26"/>
  <c r="CI54" i="26"/>
  <c r="CB54" i="26"/>
  <c r="BV54" i="26"/>
  <c r="BP54" i="26"/>
  <c r="BJ54" i="26"/>
  <c r="BD54" i="26"/>
  <c r="AX54" i="26"/>
  <c r="AR54" i="26"/>
  <c r="AL54" i="26"/>
  <c r="AF54" i="26"/>
  <c r="Z54" i="26"/>
  <c r="G54" i="26"/>
  <c r="D54" i="26"/>
  <c r="A54" i="26" s="1"/>
  <c r="CJ53" i="26"/>
  <c r="CI53" i="26"/>
  <c r="CB53" i="26"/>
  <c r="BV53" i="26"/>
  <c r="BP53" i="26"/>
  <c r="BJ53" i="26"/>
  <c r="BD53" i="26"/>
  <c r="AX53" i="26"/>
  <c r="AR53" i="26"/>
  <c r="AL53" i="26"/>
  <c r="AF53" i="26"/>
  <c r="Z53" i="26"/>
  <c r="G53" i="26"/>
  <c r="D53" i="26"/>
  <c r="A53" i="26" s="1"/>
  <c r="CJ52" i="26"/>
  <c r="CI52" i="26"/>
  <c r="CB52" i="26"/>
  <c r="BV52" i="26"/>
  <c r="BP52" i="26"/>
  <c r="BJ52" i="26"/>
  <c r="BD52" i="26"/>
  <c r="AX52" i="26"/>
  <c r="AR52" i="26"/>
  <c r="AL52" i="26"/>
  <c r="AF52" i="26"/>
  <c r="Z52" i="26"/>
  <c r="G52" i="26"/>
  <c r="D52" i="26"/>
  <c r="A52" i="26" s="1"/>
  <c r="CJ51" i="26"/>
  <c r="CI51" i="26"/>
  <c r="CB51" i="26"/>
  <c r="BV51" i="26"/>
  <c r="BP51" i="26"/>
  <c r="BJ51" i="26"/>
  <c r="BD51" i="26"/>
  <c r="AX51" i="26"/>
  <c r="AR51" i="26"/>
  <c r="AL51" i="26"/>
  <c r="AF51" i="26"/>
  <c r="Z51" i="26"/>
  <c r="G51" i="26"/>
  <c r="D51" i="26"/>
  <c r="A51" i="26" s="1"/>
  <c r="CJ50" i="26"/>
  <c r="CI50" i="26"/>
  <c r="CB50" i="26"/>
  <c r="BV50" i="26"/>
  <c r="BP50" i="26"/>
  <c r="BJ50" i="26"/>
  <c r="BD50" i="26"/>
  <c r="AX50" i="26"/>
  <c r="AR50" i="26"/>
  <c r="AL50" i="26"/>
  <c r="AF50" i="26"/>
  <c r="Z50" i="26"/>
  <c r="G50" i="26"/>
  <c r="D50" i="26"/>
  <c r="A50" i="26" s="1"/>
  <c r="CJ49" i="26"/>
  <c r="CI49" i="26"/>
  <c r="CB49" i="26"/>
  <c r="BV49" i="26"/>
  <c r="BP49" i="26"/>
  <c r="BJ49" i="26"/>
  <c r="BD49" i="26"/>
  <c r="AX49" i="26"/>
  <c r="AR49" i="26"/>
  <c r="AL49" i="26"/>
  <c r="AF49" i="26"/>
  <c r="Z49" i="26"/>
  <c r="G49" i="26"/>
  <c r="D49" i="26"/>
  <c r="A49" i="26" s="1"/>
  <c r="CJ48" i="26"/>
  <c r="CI48" i="26"/>
  <c r="CB48" i="26"/>
  <c r="BV48" i="26"/>
  <c r="BP48" i="26"/>
  <c r="BJ48" i="26"/>
  <c r="BD48" i="26"/>
  <c r="AX48" i="26"/>
  <c r="AR48" i="26"/>
  <c r="AL48" i="26"/>
  <c r="AF48" i="26"/>
  <c r="Z48" i="26"/>
  <c r="G48" i="26"/>
  <c r="D48" i="26"/>
  <c r="A48" i="26" s="1"/>
  <c r="CJ47" i="26"/>
  <c r="CI47" i="26"/>
  <c r="CB47" i="26"/>
  <c r="BV47" i="26"/>
  <c r="BP47" i="26"/>
  <c r="BJ47" i="26"/>
  <c r="BD47" i="26"/>
  <c r="AX47" i="26"/>
  <c r="AR47" i="26"/>
  <c r="AL47" i="26"/>
  <c r="AF47" i="26"/>
  <c r="Z47" i="26"/>
  <c r="G47" i="26"/>
  <c r="D47" i="26"/>
  <c r="A47" i="26" s="1"/>
  <c r="CJ46" i="26"/>
  <c r="CI46" i="26"/>
  <c r="CB46" i="26"/>
  <c r="BV46" i="26"/>
  <c r="BP46" i="26"/>
  <c r="BJ46" i="26"/>
  <c r="BD46" i="26"/>
  <c r="AX46" i="26"/>
  <c r="AR46" i="26"/>
  <c r="AL46" i="26"/>
  <c r="AF46" i="26"/>
  <c r="Z46" i="26"/>
  <c r="G46" i="26"/>
  <c r="D46" i="26"/>
  <c r="A46" i="26" s="1"/>
  <c r="CJ45" i="26"/>
  <c r="CI45" i="26"/>
  <c r="CB45" i="26"/>
  <c r="BV45" i="26"/>
  <c r="BP45" i="26"/>
  <c r="BJ45" i="26"/>
  <c r="BD45" i="26"/>
  <c r="AX45" i="26"/>
  <c r="AR45" i="26"/>
  <c r="AL45" i="26"/>
  <c r="AF45" i="26"/>
  <c r="Z45" i="26"/>
  <c r="G45" i="26"/>
  <c r="D45" i="26"/>
  <c r="A45" i="26" s="1"/>
  <c r="CJ44" i="26"/>
  <c r="CI44" i="26"/>
  <c r="CB44" i="26"/>
  <c r="BV44" i="26"/>
  <c r="BP44" i="26"/>
  <c r="BJ44" i="26"/>
  <c r="BD44" i="26"/>
  <c r="AX44" i="26"/>
  <c r="AR44" i="26"/>
  <c r="AL44" i="26"/>
  <c r="AF44" i="26"/>
  <c r="Z44" i="26"/>
  <c r="G44" i="26"/>
  <c r="D44" i="26"/>
  <c r="A44" i="26" s="1"/>
  <c r="CJ43" i="26"/>
  <c r="CI43" i="26"/>
  <c r="CB43" i="26"/>
  <c r="BV43" i="26"/>
  <c r="BP43" i="26"/>
  <c r="BJ43" i="26"/>
  <c r="BD43" i="26"/>
  <c r="AX43" i="26"/>
  <c r="AR43" i="26"/>
  <c r="AL43" i="26"/>
  <c r="AF43" i="26"/>
  <c r="Z43" i="26"/>
  <c r="G43" i="26"/>
  <c r="D43" i="26"/>
  <c r="A43" i="26" s="1"/>
  <c r="CJ42" i="26"/>
  <c r="CI42" i="26"/>
  <c r="CB42" i="26"/>
  <c r="BV42" i="26"/>
  <c r="BP42" i="26"/>
  <c r="BJ42" i="26"/>
  <c r="BD42" i="26"/>
  <c r="AX42" i="26"/>
  <c r="AR42" i="26"/>
  <c r="AL42" i="26"/>
  <c r="AF42" i="26"/>
  <c r="Z42" i="26"/>
  <c r="G42" i="26"/>
  <c r="D42" i="26"/>
  <c r="A42" i="26" s="1"/>
  <c r="CJ41" i="26"/>
  <c r="CI41" i="26"/>
  <c r="CB41" i="26"/>
  <c r="BV41" i="26"/>
  <c r="BP41" i="26"/>
  <c r="BJ41" i="26"/>
  <c r="BD41" i="26"/>
  <c r="AX41" i="26"/>
  <c r="AR41" i="26"/>
  <c r="AL41" i="26"/>
  <c r="AF41" i="26"/>
  <c r="Z41" i="26"/>
  <c r="G41" i="26"/>
  <c r="D41" i="26"/>
  <c r="A41" i="26" s="1"/>
  <c r="CJ40" i="26"/>
  <c r="CI40" i="26"/>
  <c r="CB40" i="26"/>
  <c r="BV40" i="26"/>
  <c r="BP40" i="26"/>
  <c r="BJ40" i="26"/>
  <c r="BD40" i="26"/>
  <c r="AX40" i="26"/>
  <c r="AR40" i="26"/>
  <c r="AL40" i="26"/>
  <c r="AF40" i="26"/>
  <c r="Z40" i="26"/>
  <c r="G40" i="26"/>
  <c r="D40" i="26"/>
  <c r="A40" i="26" s="1"/>
  <c r="CJ39" i="26"/>
  <c r="CI39" i="26"/>
  <c r="CB39" i="26"/>
  <c r="BV39" i="26"/>
  <c r="BP39" i="26"/>
  <c r="BJ39" i="26"/>
  <c r="BD39" i="26"/>
  <c r="AX39" i="26"/>
  <c r="AR39" i="26"/>
  <c r="AL39" i="26"/>
  <c r="AF39" i="26"/>
  <c r="Z39" i="26"/>
  <c r="G39" i="26"/>
  <c r="D39" i="26"/>
  <c r="A39" i="26" s="1"/>
  <c r="CJ38" i="26"/>
  <c r="CI38" i="26"/>
  <c r="CB38" i="26"/>
  <c r="BV38" i="26"/>
  <c r="BP38" i="26"/>
  <c r="BJ38" i="26"/>
  <c r="BD38" i="26"/>
  <c r="AX38" i="26"/>
  <c r="AR38" i="26"/>
  <c r="AL38" i="26"/>
  <c r="AF38" i="26"/>
  <c r="Z38" i="26"/>
  <c r="G38" i="26"/>
  <c r="D38" i="26"/>
  <c r="A38" i="26" s="1"/>
  <c r="CJ37" i="26"/>
  <c r="CI37" i="26"/>
  <c r="CB37" i="26"/>
  <c r="BV37" i="26"/>
  <c r="BP37" i="26"/>
  <c r="BJ37" i="26"/>
  <c r="BD37" i="26"/>
  <c r="AX37" i="26"/>
  <c r="AR37" i="26"/>
  <c r="AL37" i="26"/>
  <c r="AF37" i="26"/>
  <c r="Z37" i="26"/>
  <c r="G37" i="26"/>
  <c r="D37" i="26"/>
  <c r="A37" i="26" s="1"/>
  <c r="CJ36" i="26"/>
  <c r="CI36" i="26"/>
  <c r="CB36" i="26"/>
  <c r="BV36" i="26"/>
  <c r="BP36" i="26"/>
  <c r="BJ36" i="26"/>
  <c r="BD36" i="26"/>
  <c r="AX36" i="26"/>
  <c r="AR36" i="26"/>
  <c r="AL36" i="26"/>
  <c r="AF36" i="26"/>
  <c r="Z36" i="26"/>
  <c r="G36" i="26"/>
  <c r="D36" i="26"/>
  <c r="A36" i="26" s="1"/>
  <c r="CJ35" i="26"/>
  <c r="CI35" i="26"/>
  <c r="CB35" i="26"/>
  <c r="BV35" i="26"/>
  <c r="BP35" i="26"/>
  <c r="BJ35" i="26"/>
  <c r="BD35" i="26"/>
  <c r="AX35" i="26"/>
  <c r="AR35" i="26"/>
  <c r="AL35" i="26"/>
  <c r="AF35" i="26"/>
  <c r="Z35" i="26"/>
  <c r="G35" i="26"/>
  <c r="D35" i="26"/>
  <c r="A35" i="26" s="1"/>
  <c r="CJ34" i="26"/>
  <c r="CI34" i="26"/>
  <c r="CB34" i="26"/>
  <c r="BV34" i="26"/>
  <c r="BP34" i="26"/>
  <c r="BJ34" i="26"/>
  <c r="BD34" i="26"/>
  <c r="AX34" i="26"/>
  <c r="AR34" i="26"/>
  <c r="AL34" i="26"/>
  <c r="AF34" i="26"/>
  <c r="Z34" i="26"/>
  <c r="G34" i="26"/>
  <c r="D34" i="26"/>
  <c r="A34" i="26" s="1"/>
  <c r="CJ33" i="26"/>
  <c r="CI33" i="26"/>
  <c r="CB33" i="26"/>
  <c r="BV33" i="26"/>
  <c r="BP33" i="26"/>
  <c r="BJ33" i="26"/>
  <c r="BD33" i="26"/>
  <c r="AX33" i="26"/>
  <c r="AR33" i="26"/>
  <c r="AL33" i="26"/>
  <c r="AF33" i="26"/>
  <c r="Z33" i="26"/>
  <c r="G33" i="26"/>
  <c r="D33" i="26"/>
  <c r="A33" i="26" s="1"/>
  <c r="CJ32" i="26"/>
  <c r="CI32" i="26"/>
  <c r="CB32" i="26"/>
  <c r="BV32" i="26"/>
  <c r="BP32" i="26"/>
  <c r="BJ32" i="26"/>
  <c r="BD32" i="26"/>
  <c r="AX32" i="26"/>
  <c r="AR32" i="26"/>
  <c r="AL32" i="26"/>
  <c r="AF32" i="26"/>
  <c r="Z32" i="26"/>
  <c r="G32" i="26"/>
  <c r="D32" i="26"/>
  <c r="A32" i="26" s="1"/>
  <c r="CJ31" i="26"/>
  <c r="CI31" i="26"/>
  <c r="CB31" i="26"/>
  <c r="BV31" i="26"/>
  <c r="BP31" i="26"/>
  <c r="BJ31" i="26"/>
  <c r="BD31" i="26"/>
  <c r="AX31" i="26"/>
  <c r="AR31" i="26"/>
  <c r="AL31" i="26"/>
  <c r="AF31" i="26"/>
  <c r="Z31" i="26"/>
  <c r="G31" i="26"/>
  <c r="D31" i="26"/>
  <c r="A31" i="26" s="1"/>
  <c r="CJ30" i="26"/>
  <c r="CI30" i="26"/>
  <c r="CB30" i="26"/>
  <c r="BV30" i="26"/>
  <c r="BP30" i="26"/>
  <c r="BJ30" i="26"/>
  <c r="BD30" i="26"/>
  <c r="AX30" i="26"/>
  <c r="AR30" i="26"/>
  <c r="AL30" i="26"/>
  <c r="AF30" i="26"/>
  <c r="Z30" i="26"/>
  <c r="G30" i="26"/>
  <c r="D30" i="26"/>
  <c r="A30" i="26" s="1"/>
  <c r="CJ29" i="26"/>
  <c r="CI29" i="26"/>
  <c r="CB29" i="26"/>
  <c r="BV29" i="26"/>
  <c r="BP29" i="26"/>
  <c r="BJ29" i="26"/>
  <c r="BD29" i="26"/>
  <c r="AX29" i="26"/>
  <c r="AR29" i="26"/>
  <c r="AL29" i="26"/>
  <c r="AF29" i="26"/>
  <c r="Z29" i="26"/>
  <c r="G29" i="26"/>
  <c r="D29" i="26"/>
  <c r="A29" i="26" s="1"/>
  <c r="CJ28" i="26"/>
  <c r="CI28" i="26"/>
  <c r="CB28" i="26"/>
  <c r="BV28" i="26"/>
  <c r="BP28" i="26"/>
  <c r="BJ28" i="26"/>
  <c r="BD28" i="26"/>
  <c r="AX28" i="26"/>
  <c r="AR28" i="26"/>
  <c r="AL28" i="26"/>
  <c r="AF28" i="26"/>
  <c r="Z28" i="26"/>
  <c r="G28" i="26"/>
  <c r="D28" i="26"/>
  <c r="A28" i="26" s="1"/>
  <c r="CJ27" i="26"/>
  <c r="CI27" i="26"/>
  <c r="CB27" i="26"/>
  <c r="BV27" i="26"/>
  <c r="BP27" i="26"/>
  <c r="BJ27" i="26"/>
  <c r="BD27" i="26"/>
  <c r="AX27" i="26"/>
  <c r="AR27" i="26"/>
  <c r="AL27" i="26"/>
  <c r="AF27" i="26"/>
  <c r="Z27" i="26"/>
  <c r="G27" i="26"/>
  <c r="D27" i="26"/>
  <c r="A27" i="26" s="1"/>
  <c r="CJ26" i="26"/>
  <c r="CI26" i="26"/>
  <c r="CB26" i="26"/>
  <c r="BV26" i="26"/>
  <c r="BP26" i="26"/>
  <c r="BJ26" i="26"/>
  <c r="BD26" i="26"/>
  <c r="AX26" i="26"/>
  <c r="AR26" i="26"/>
  <c r="AL26" i="26"/>
  <c r="AF26" i="26"/>
  <c r="Z26" i="26"/>
  <c r="G26" i="26"/>
  <c r="D26" i="26"/>
  <c r="A26" i="26" s="1"/>
  <c r="CJ25" i="26"/>
  <c r="CI25" i="26"/>
  <c r="CB25" i="26"/>
  <c r="BV25" i="26"/>
  <c r="BP25" i="26"/>
  <c r="BJ25" i="26"/>
  <c r="BD25" i="26"/>
  <c r="AX25" i="26"/>
  <c r="AR25" i="26"/>
  <c r="AL25" i="26"/>
  <c r="AF25" i="26"/>
  <c r="Z25" i="26"/>
  <c r="G25" i="26"/>
  <c r="D25" i="26"/>
  <c r="A25" i="26" s="1"/>
  <c r="CJ24" i="26"/>
  <c r="CI24" i="26"/>
  <c r="CB24" i="26"/>
  <c r="BV24" i="26"/>
  <c r="BP24" i="26"/>
  <c r="BJ24" i="26"/>
  <c r="BD24" i="26"/>
  <c r="AX24" i="26"/>
  <c r="AR24" i="26"/>
  <c r="AL24" i="26"/>
  <c r="AF24" i="26"/>
  <c r="Z24" i="26"/>
  <c r="G24" i="26"/>
  <c r="D24" i="26"/>
  <c r="A24" i="26" s="1"/>
  <c r="CJ23" i="26"/>
  <c r="CI23" i="26"/>
  <c r="CB23" i="26"/>
  <c r="BV23" i="26"/>
  <c r="BP23" i="26"/>
  <c r="BJ23" i="26"/>
  <c r="BD23" i="26"/>
  <c r="AX23" i="26"/>
  <c r="AR23" i="26"/>
  <c r="AL23" i="26"/>
  <c r="AF23" i="26"/>
  <c r="Z23" i="26"/>
  <c r="G23" i="26"/>
  <c r="D23" i="26"/>
  <c r="A227" i="26" s="1"/>
  <c r="C264" i="20"/>
  <c r="AE262" i="20"/>
  <c r="H255" i="20"/>
  <c r="C255" i="20"/>
  <c r="H254" i="20"/>
  <c r="C254" i="20"/>
  <c r="H253" i="20"/>
  <c r="C253" i="20"/>
  <c r="H252" i="20"/>
  <c r="C252" i="20"/>
  <c r="H251" i="20"/>
  <c r="C251" i="20"/>
  <c r="H250" i="20"/>
  <c r="C250" i="20"/>
  <c r="H249" i="20"/>
  <c r="C249" i="20"/>
  <c r="H248" i="20"/>
  <c r="C248" i="20"/>
  <c r="H247" i="20"/>
  <c r="C247" i="20"/>
  <c r="H246" i="20"/>
  <c r="C246" i="20"/>
  <c r="H245" i="20"/>
  <c r="C245" i="20"/>
  <c r="H244" i="20"/>
  <c r="C244" i="20"/>
  <c r="H243" i="20"/>
  <c r="C243" i="20"/>
  <c r="H242" i="20"/>
  <c r="C242" i="20"/>
  <c r="H241" i="20"/>
  <c r="C241" i="20"/>
  <c r="H240" i="20"/>
  <c r="C240" i="20"/>
  <c r="H239" i="20"/>
  <c r="C239" i="20"/>
  <c r="H238" i="20"/>
  <c r="C238" i="20"/>
  <c r="H237" i="20"/>
  <c r="C237" i="20"/>
  <c r="H236" i="20"/>
  <c r="C236" i="20"/>
  <c r="H235" i="20"/>
  <c r="C235" i="20"/>
  <c r="H234" i="20"/>
  <c r="C234" i="20"/>
  <c r="H233" i="20"/>
  <c r="C233" i="20"/>
  <c r="H232" i="20"/>
  <c r="C232" i="20"/>
  <c r="H231" i="20"/>
  <c r="C231" i="20"/>
  <c r="H230" i="20"/>
  <c r="C230" i="20"/>
  <c r="H229" i="20"/>
  <c r="C229" i="20"/>
  <c r="H228" i="20"/>
  <c r="C228" i="20"/>
  <c r="H227" i="20"/>
  <c r="C227" i="20"/>
  <c r="H226" i="20"/>
  <c r="C226" i="20"/>
  <c r="H225" i="20"/>
  <c r="C225" i="20"/>
  <c r="H224" i="20"/>
  <c r="C224" i="20"/>
  <c r="H223" i="20"/>
  <c r="C223" i="20"/>
  <c r="H222" i="20"/>
  <c r="C222" i="20"/>
  <c r="H221" i="20"/>
  <c r="C221" i="20"/>
  <c r="H220" i="20"/>
  <c r="C220" i="20"/>
  <c r="H219" i="20"/>
  <c r="C219" i="20"/>
  <c r="H218" i="20"/>
  <c r="C218" i="20"/>
  <c r="H217" i="20"/>
  <c r="C217" i="20"/>
  <c r="H216" i="20"/>
  <c r="C216" i="20"/>
  <c r="H215" i="20"/>
  <c r="C215" i="20"/>
  <c r="H214" i="20"/>
  <c r="C214" i="20"/>
  <c r="H213" i="20"/>
  <c r="C213" i="20"/>
  <c r="H212" i="20"/>
  <c r="C212" i="20"/>
  <c r="H211" i="20"/>
  <c r="C211" i="20"/>
  <c r="H210" i="20"/>
  <c r="C210" i="20"/>
  <c r="H209" i="20"/>
  <c r="C209" i="20"/>
  <c r="H208" i="20"/>
  <c r="C208" i="20"/>
  <c r="H207" i="20"/>
  <c r="C207" i="20"/>
  <c r="H206" i="20"/>
  <c r="C206" i="20"/>
  <c r="H205" i="20"/>
  <c r="C205" i="20"/>
  <c r="H204" i="20"/>
  <c r="C204" i="20"/>
  <c r="H203" i="20"/>
  <c r="C203" i="20"/>
  <c r="H202" i="20"/>
  <c r="C202" i="20"/>
  <c r="H201" i="20"/>
  <c r="C201" i="20"/>
  <c r="H200" i="20"/>
  <c r="C200" i="20"/>
  <c r="H199" i="20"/>
  <c r="C199" i="20"/>
  <c r="H198" i="20"/>
  <c r="C198" i="20"/>
  <c r="H197" i="20"/>
  <c r="C197" i="20"/>
  <c r="H196" i="20"/>
  <c r="C196" i="20"/>
  <c r="H195" i="20"/>
  <c r="C195" i="20"/>
  <c r="H194" i="20"/>
  <c r="C194" i="20"/>
  <c r="H193" i="20"/>
  <c r="C193" i="20"/>
  <c r="H192" i="20"/>
  <c r="C192" i="20"/>
  <c r="H191" i="20"/>
  <c r="C191" i="20"/>
  <c r="H190" i="20"/>
  <c r="C190" i="20"/>
  <c r="H189" i="20"/>
  <c r="C189" i="20"/>
  <c r="H188" i="20"/>
  <c r="C188" i="20"/>
  <c r="H187" i="20"/>
  <c r="C187" i="20"/>
  <c r="H186" i="20"/>
  <c r="C186" i="20"/>
  <c r="H185" i="20"/>
  <c r="C185" i="20"/>
  <c r="H184" i="20"/>
  <c r="C184" i="20"/>
  <c r="H183" i="20"/>
  <c r="C183" i="20"/>
  <c r="H182" i="20"/>
  <c r="C182" i="20"/>
  <c r="H181" i="20"/>
  <c r="C181" i="20"/>
  <c r="H180" i="20"/>
  <c r="C180" i="20"/>
  <c r="H179" i="20"/>
  <c r="C179" i="20"/>
  <c r="H178" i="20"/>
  <c r="C178" i="20"/>
  <c r="H177" i="20"/>
  <c r="C177" i="20"/>
  <c r="H176" i="20"/>
  <c r="C176" i="20"/>
  <c r="H175" i="20"/>
  <c r="C175" i="20"/>
  <c r="H174" i="20"/>
  <c r="C174" i="20"/>
  <c r="H173" i="20"/>
  <c r="C173" i="20"/>
  <c r="H172" i="20"/>
  <c r="C172" i="20"/>
  <c r="H171" i="20"/>
  <c r="C171" i="20"/>
  <c r="H170" i="20"/>
  <c r="C170" i="20"/>
  <c r="H169" i="20"/>
  <c r="C169" i="20"/>
  <c r="H168" i="20"/>
  <c r="C168" i="20"/>
  <c r="H167" i="20"/>
  <c r="C167" i="20"/>
  <c r="H166" i="20"/>
  <c r="C166" i="20"/>
  <c r="H165" i="20"/>
  <c r="C165" i="20"/>
  <c r="H164" i="20"/>
  <c r="C164" i="20"/>
  <c r="H163" i="20"/>
  <c r="C163" i="20"/>
  <c r="H162" i="20"/>
  <c r="C162" i="20"/>
  <c r="H161" i="20"/>
  <c r="C161" i="20"/>
  <c r="H160" i="20"/>
  <c r="C160" i="20"/>
  <c r="H159" i="20"/>
  <c r="C159" i="20"/>
  <c r="H158" i="20"/>
  <c r="C158" i="20"/>
  <c r="H157" i="20"/>
  <c r="C157" i="20"/>
  <c r="H156" i="20"/>
  <c r="C156" i="20"/>
  <c r="H155" i="20"/>
  <c r="C155" i="20"/>
  <c r="H154" i="20"/>
  <c r="C154" i="20"/>
  <c r="H153" i="20"/>
  <c r="C153" i="20"/>
  <c r="H152" i="20"/>
  <c r="C152" i="20"/>
  <c r="H151" i="20"/>
  <c r="C151" i="20"/>
  <c r="H150" i="20"/>
  <c r="C150" i="20"/>
  <c r="H149" i="20"/>
  <c r="C149" i="20"/>
  <c r="H148" i="20"/>
  <c r="C148" i="20"/>
  <c r="H147" i="20"/>
  <c r="C147" i="20"/>
  <c r="H146" i="20"/>
  <c r="C146" i="20"/>
  <c r="BG146" i="20" s="1"/>
  <c r="A146" i="20" s="1"/>
  <c r="H145" i="20"/>
  <c r="C145" i="20"/>
  <c r="BG145" i="20" s="1"/>
  <c r="A145" i="20" s="1"/>
  <c r="H144" i="20"/>
  <c r="C144" i="20"/>
  <c r="BG144" i="20" s="1"/>
  <c r="A144" i="20" s="1"/>
  <c r="H143" i="20"/>
  <c r="C143" i="20"/>
  <c r="BG143" i="20" s="1"/>
  <c r="A143" i="20" s="1"/>
  <c r="H142" i="20"/>
  <c r="C142" i="20"/>
  <c r="BG142" i="20" s="1"/>
  <c r="A142" i="20" s="1"/>
  <c r="H141" i="20"/>
  <c r="C141" i="20"/>
  <c r="BG141" i="20" s="1"/>
  <c r="A141" i="20" s="1"/>
  <c r="H140" i="20"/>
  <c r="C140" i="20"/>
  <c r="BG140" i="20" s="1"/>
  <c r="A140" i="20" s="1"/>
  <c r="H139" i="20"/>
  <c r="C139" i="20"/>
  <c r="BG139" i="20" s="1"/>
  <c r="A139" i="20" s="1"/>
  <c r="H138" i="20"/>
  <c r="C138" i="20"/>
  <c r="BG138" i="20" s="1"/>
  <c r="A138" i="20" s="1"/>
  <c r="H137" i="20"/>
  <c r="C137" i="20"/>
  <c r="BG137" i="20" s="1"/>
  <c r="A137" i="20" s="1"/>
  <c r="H136" i="20"/>
  <c r="C136" i="20"/>
  <c r="BG136" i="20" s="1"/>
  <c r="A136" i="20" s="1"/>
  <c r="H135" i="20"/>
  <c r="C135" i="20"/>
  <c r="BG135" i="20" s="1"/>
  <c r="A135" i="20" s="1"/>
  <c r="H134" i="20"/>
  <c r="C134" i="20"/>
  <c r="BG134" i="20" s="1"/>
  <c r="A134" i="20" s="1"/>
  <c r="H133" i="20"/>
  <c r="C133" i="20"/>
  <c r="BG133" i="20" s="1"/>
  <c r="A133" i="20" s="1"/>
  <c r="H132" i="20"/>
  <c r="C132" i="20"/>
  <c r="BG132" i="20" s="1"/>
  <c r="A132" i="20" s="1"/>
  <c r="H131" i="20"/>
  <c r="C131" i="20"/>
  <c r="BG131" i="20" s="1"/>
  <c r="A131" i="20" s="1"/>
  <c r="H130" i="20"/>
  <c r="C130" i="20"/>
  <c r="BG130" i="20" s="1"/>
  <c r="A130" i="20" s="1"/>
  <c r="H129" i="20"/>
  <c r="C129" i="20"/>
  <c r="BG129" i="20" s="1"/>
  <c r="A129" i="20" s="1"/>
  <c r="H128" i="20"/>
  <c r="C128" i="20"/>
  <c r="BG128" i="20" s="1"/>
  <c r="A128" i="20" s="1"/>
  <c r="H127" i="20"/>
  <c r="C127" i="20"/>
  <c r="BG127" i="20" s="1"/>
  <c r="A127" i="20" s="1"/>
  <c r="H126" i="20"/>
  <c r="C126" i="20"/>
  <c r="BG126" i="20" s="1"/>
  <c r="A126" i="20" s="1"/>
  <c r="H125" i="20"/>
  <c r="C125" i="20"/>
  <c r="BG125" i="20" s="1"/>
  <c r="A125" i="20" s="1"/>
  <c r="H124" i="20"/>
  <c r="C124" i="20"/>
  <c r="BG124" i="20" s="1"/>
  <c r="A124" i="20" s="1"/>
  <c r="H123" i="20"/>
  <c r="C123" i="20"/>
  <c r="BG123" i="20" s="1"/>
  <c r="A123" i="20" s="1"/>
  <c r="H122" i="20"/>
  <c r="C122" i="20"/>
  <c r="BG122" i="20" s="1"/>
  <c r="A122" i="20" s="1"/>
  <c r="H121" i="20"/>
  <c r="C121" i="20"/>
  <c r="BG121" i="20" s="1"/>
  <c r="A121" i="20" s="1"/>
  <c r="H120" i="20"/>
  <c r="C120" i="20"/>
  <c r="BG120" i="20" s="1"/>
  <c r="A120" i="20" s="1"/>
  <c r="H119" i="20"/>
  <c r="C119" i="20"/>
  <c r="BG119" i="20" s="1"/>
  <c r="A119" i="20" s="1"/>
  <c r="H118" i="20"/>
  <c r="C118" i="20"/>
  <c r="BG118" i="20" s="1"/>
  <c r="A118" i="20" s="1"/>
  <c r="H117" i="20"/>
  <c r="C117" i="20"/>
  <c r="BG117" i="20" s="1"/>
  <c r="A117" i="20" s="1"/>
  <c r="H116" i="20"/>
  <c r="C116" i="20"/>
  <c r="BG116" i="20" s="1"/>
  <c r="A116" i="20" s="1"/>
  <c r="H115" i="20"/>
  <c r="C115" i="20"/>
  <c r="BG115" i="20" s="1"/>
  <c r="A115" i="20" s="1"/>
  <c r="H114" i="20"/>
  <c r="C114" i="20"/>
  <c r="BG114" i="20" s="1"/>
  <c r="A114" i="20" s="1"/>
  <c r="H113" i="20"/>
  <c r="C113" i="20"/>
  <c r="BG113" i="20" s="1"/>
  <c r="A113" i="20" s="1"/>
  <c r="H112" i="20"/>
  <c r="C112" i="20"/>
  <c r="BG112" i="20" s="1"/>
  <c r="A112" i="20" s="1"/>
  <c r="H111" i="20"/>
  <c r="C111" i="20"/>
  <c r="BG111" i="20" s="1"/>
  <c r="A111" i="20" s="1"/>
  <c r="H110" i="20"/>
  <c r="C110" i="20"/>
  <c r="BG110" i="20" s="1"/>
  <c r="A110" i="20" s="1"/>
  <c r="H109" i="20"/>
  <c r="C109" i="20"/>
  <c r="BG109" i="20" s="1"/>
  <c r="A109" i="20" s="1"/>
  <c r="H108" i="20"/>
  <c r="C108" i="20"/>
  <c r="BG108" i="20" s="1"/>
  <c r="A108" i="20" s="1"/>
  <c r="H107" i="20"/>
  <c r="C107" i="20"/>
  <c r="BG107" i="20" s="1"/>
  <c r="A107" i="20" s="1"/>
  <c r="H106" i="20"/>
  <c r="C106" i="20"/>
  <c r="BG106" i="20" s="1"/>
  <c r="A106" i="20" s="1"/>
  <c r="H105" i="20"/>
  <c r="C105" i="20"/>
  <c r="BG105" i="20" s="1"/>
  <c r="A105" i="20" s="1"/>
  <c r="H104" i="20"/>
  <c r="C104" i="20"/>
  <c r="BG104" i="20" s="1"/>
  <c r="A104" i="20" s="1"/>
  <c r="H103" i="20"/>
  <c r="C103" i="20"/>
  <c r="BG103" i="20" s="1"/>
  <c r="A103" i="20" s="1"/>
  <c r="H102" i="20"/>
  <c r="C102" i="20"/>
  <c r="BG102" i="20" s="1"/>
  <c r="A102" i="20" s="1"/>
  <c r="H101" i="20"/>
  <c r="C101" i="20"/>
  <c r="BG101" i="20" s="1"/>
  <c r="A101" i="20" s="1"/>
  <c r="H100" i="20"/>
  <c r="C100" i="20"/>
  <c r="BG100" i="20" s="1"/>
  <c r="A100" i="20" s="1"/>
  <c r="H99" i="20"/>
  <c r="C99" i="20"/>
  <c r="BG99" i="20" s="1"/>
  <c r="A99" i="20" s="1"/>
  <c r="H98" i="20"/>
  <c r="C98" i="20"/>
  <c r="BG98" i="20" s="1"/>
  <c r="A98" i="20" s="1"/>
  <c r="H97" i="20"/>
  <c r="C97" i="20"/>
  <c r="BG97" i="20" s="1"/>
  <c r="A97" i="20" s="1"/>
  <c r="H96" i="20"/>
  <c r="C96" i="20"/>
  <c r="BG96" i="20" s="1"/>
  <c r="A96" i="20" s="1"/>
  <c r="H95" i="20"/>
  <c r="C95" i="20"/>
  <c r="BG95" i="20" s="1"/>
  <c r="A95" i="20" s="1"/>
  <c r="H94" i="20"/>
  <c r="C94" i="20"/>
  <c r="BG94" i="20" s="1"/>
  <c r="A94" i="20" s="1"/>
  <c r="H93" i="20"/>
  <c r="C93" i="20"/>
  <c r="BG93" i="20" s="1"/>
  <c r="A93" i="20" s="1"/>
  <c r="H92" i="20"/>
  <c r="C92" i="20"/>
  <c r="BG92" i="20" s="1"/>
  <c r="A92" i="20" s="1"/>
  <c r="H91" i="20"/>
  <c r="C91" i="20"/>
  <c r="BG91" i="20" s="1"/>
  <c r="A91" i="20" s="1"/>
  <c r="H90" i="20"/>
  <c r="C90" i="20"/>
  <c r="BG90" i="20" s="1"/>
  <c r="A90" i="20" s="1"/>
  <c r="H89" i="20"/>
  <c r="C89" i="20"/>
  <c r="BG89" i="20" s="1"/>
  <c r="A89" i="20" s="1"/>
  <c r="H88" i="20"/>
  <c r="C88" i="20"/>
  <c r="BG88" i="20" s="1"/>
  <c r="A88" i="20" s="1"/>
  <c r="H87" i="20"/>
  <c r="C87" i="20"/>
  <c r="BG87" i="20" s="1"/>
  <c r="A87" i="20" s="1"/>
  <c r="H86" i="20"/>
  <c r="C86" i="20"/>
  <c r="BG86" i="20" s="1"/>
  <c r="A86" i="20" s="1"/>
  <c r="H85" i="20"/>
  <c r="C85" i="20"/>
  <c r="BG85" i="20" s="1"/>
  <c r="A85" i="20" s="1"/>
  <c r="H84" i="20"/>
  <c r="C84" i="20"/>
  <c r="BG84" i="20" s="1"/>
  <c r="A84" i="20" s="1"/>
  <c r="H83" i="20"/>
  <c r="C83" i="20"/>
  <c r="BG83" i="20" s="1"/>
  <c r="A83" i="20" s="1"/>
  <c r="H82" i="20"/>
  <c r="C82" i="20"/>
  <c r="BG82" i="20" s="1"/>
  <c r="A82" i="20" s="1"/>
  <c r="H81" i="20"/>
  <c r="C81" i="20"/>
  <c r="BG81" i="20" s="1"/>
  <c r="A81" i="20" s="1"/>
  <c r="H80" i="20"/>
  <c r="C80" i="20"/>
  <c r="BG80" i="20" s="1"/>
  <c r="A80" i="20" s="1"/>
  <c r="H79" i="20"/>
  <c r="C79" i="20"/>
  <c r="BG79" i="20" s="1"/>
  <c r="A79" i="20" s="1"/>
  <c r="H78" i="20"/>
  <c r="C78" i="20"/>
  <c r="BG78" i="20" s="1"/>
  <c r="A78" i="20" s="1"/>
  <c r="H77" i="20"/>
  <c r="C77" i="20"/>
  <c r="BG77" i="20" s="1"/>
  <c r="A77" i="20" s="1"/>
  <c r="H76" i="20"/>
  <c r="C76" i="20"/>
  <c r="BG76" i="20" s="1"/>
  <c r="A76" i="20" s="1"/>
  <c r="H75" i="20"/>
  <c r="C75" i="20"/>
  <c r="BG75" i="20" s="1"/>
  <c r="A75" i="20" s="1"/>
  <c r="H74" i="20"/>
  <c r="C74" i="20"/>
  <c r="BG74" i="20" s="1"/>
  <c r="A74" i="20" s="1"/>
  <c r="H73" i="20"/>
  <c r="C73" i="20"/>
  <c r="BG73" i="20" s="1"/>
  <c r="A73" i="20" s="1"/>
  <c r="H72" i="20"/>
  <c r="C72" i="20"/>
  <c r="BG72" i="20" s="1"/>
  <c r="A72" i="20" s="1"/>
  <c r="H71" i="20"/>
  <c r="C71" i="20"/>
  <c r="BG71" i="20" s="1"/>
  <c r="A71" i="20" s="1"/>
  <c r="H70" i="20"/>
  <c r="C70" i="20"/>
  <c r="BG70" i="20" s="1"/>
  <c r="A70" i="20" s="1"/>
  <c r="H69" i="20"/>
  <c r="C69" i="20"/>
  <c r="BG69" i="20" s="1"/>
  <c r="A69" i="20" s="1"/>
  <c r="H68" i="20"/>
  <c r="C68" i="20"/>
  <c r="BG68" i="20" s="1"/>
  <c r="A68" i="20" s="1"/>
  <c r="H67" i="20"/>
  <c r="C67" i="20"/>
  <c r="BG67" i="20" s="1"/>
  <c r="A67" i="20" s="1"/>
  <c r="H66" i="20"/>
  <c r="C66" i="20"/>
  <c r="BG66" i="20" s="1"/>
  <c r="A66" i="20" s="1"/>
  <c r="H65" i="20"/>
  <c r="C65" i="20"/>
  <c r="BG65" i="20" s="1"/>
  <c r="A65" i="20" s="1"/>
  <c r="H64" i="20"/>
  <c r="C64" i="20"/>
  <c r="BG64" i="20" s="1"/>
  <c r="A64" i="20" s="1"/>
  <c r="H63" i="20"/>
  <c r="C63" i="20"/>
  <c r="BG63" i="20" s="1"/>
  <c r="A63" i="20" s="1"/>
  <c r="H62" i="20"/>
  <c r="C62" i="20"/>
  <c r="BG62" i="20" s="1"/>
  <c r="A62" i="20" s="1"/>
  <c r="H61" i="20"/>
  <c r="C61" i="20"/>
  <c r="BG61" i="20" s="1"/>
  <c r="A61" i="20" s="1"/>
  <c r="H60" i="20"/>
  <c r="C60" i="20"/>
  <c r="BG60" i="20" s="1"/>
  <c r="A60" i="20" s="1"/>
  <c r="H59" i="20"/>
  <c r="C59" i="20"/>
  <c r="BG59" i="20" s="1"/>
  <c r="A59" i="20" s="1"/>
  <c r="H58" i="20"/>
  <c r="C58" i="20"/>
  <c r="BG58" i="20" s="1"/>
  <c r="A58" i="20" s="1"/>
  <c r="H57" i="20"/>
  <c r="C57" i="20"/>
  <c r="BG57" i="20" s="1"/>
  <c r="A57" i="20" s="1"/>
  <c r="H56" i="20"/>
  <c r="C56" i="20"/>
  <c r="BG56" i="20" s="1"/>
  <c r="A56" i="20" s="1"/>
  <c r="H55" i="20"/>
  <c r="C55" i="20"/>
  <c r="N40" i="30"/>
  <c r="N39" i="30"/>
  <c r="N38" i="30"/>
  <c r="N37" i="30"/>
  <c r="N36" i="30"/>
  <c r="N35" i="30"/>
  <c r="N34" i="30"/>
  <c r="N33" i="30"/>
  <c r="N32" i="30"/>
  <c r="N31" i="30"/>
  <c r="N30" i="30"/>
  <c r="N29" i="30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14" i="30"/>
  <c r="M40" i="30"/>
  <c r="M39" i="30"/>
  <c r="M38" i="30"/>
  <c r="M37" i="30"/>
  <c r="M36" i="30"/>
  <c r="M35" i="30"/>
  <c r="M34" i="30"/>
  <c r="M33" i="30"/>
  <c r="M32" i="30"/>
  <c r="M31" i="30"/>
  <c r="M30" i="30"/>
  <c r="M29" i="30"/>
  <c r="M28" i="30"/>
  <c r="M27" i="30"/>
  <c r="M26" i="30"/>
  <c r="M25" i="30"/>
  <c r="M24" i="30"/>
  <c r="M23" i="30"/>
  <c r="M22" i="30"/>
  <c r="M21" i="30"/>
  <c r="M20" i="30"/>
  <c r="M19" i="30"/>
  <c r="M18" i="30"/>
  <c r="M17" i="30"/>
  <c r="M16" i="30"/>
  <c r="M15" i="30"/>
  <c r="M14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E40" i="30"/>
  <c r="E39" i="30"/>
  <c r="E38" i="30"/>
  <c r="E37" i="30"/>
  <c r="E36" i="30"/>
  <c r="E35" i="30"/>
  <c r="E34" i="30"/>
  <c r="E33" i="30"/>
  <c r="E32" i="30"/>
  <c r="E31" i="30"/>
  <c r="E30" i="30"/>
  <c r="E29" i="30"/>
  <c r="E28" i="30"/>
  <c r="E27" i="30"/>
  <c r="E26" i="30"/>
  <c r="E25" i="30"/>
  <c r="E24" i="30"/>
  <c r="E23" i="30"/>
  <c r="E22" i="30"/>
  <c r="E21" i="30"/>
  <c r="E20" i="30"/>
  <c r="E19" i="30"/>
  <c r="E18" i="30"/>
  <c r="E17" i="30"/>
  <c r="E16" i="30"/>
  <c r="E15" i="30"/>
  <c r="E14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C40" i="30"/>
  <c r="C39" i="30"/>
  <c r="C38" i="30"/>
  <c r="C37" i="30"/>
  <c r="C36" i="30"/>
  <c r="C35" i="30"/>
  <c r="C34" i="30"/>
  <c r="C33" i="30"/>
  <c r="C32" i="30"/>
  <c r="C31" i="30"/>
  <c r="C30" i="30"/>
  <c r="C29" i="30"/>
  <c r="C28" i="30"/>
  <c r="C27" i="30"/>
  <c r="C26" i="30"/>
  <c r="C25" i="30"/>
  <c r="C24" i="30"/>
  <c r="C23" i="30"/>
  <c r="C22" i="30"/>
  <c r="C21" i="30"/>
  <c r="C20" i="30"/>
  <c r="C19" i="30"/>
  <c r="C18" i="30"/>
  <c r="C17" i="30"/>
  <c r="C16" i="30"/>
  <c r="C15" i="30"/>
  <c r="C14" i="30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J13" i="12"/>
  <c r="H13" i="12"/>
  <c r="B211" i="33"/>
  <c r="FZ208" i="33"/>
  <c r="D208" i="33"/>
  <c r="B619" i="26"/>
  <c r="B226" i="26"/>
  <c r="B435" i="26"/>
  <c r="B613" i="26"/>
  <c r="B220" i="26"/>
  <c r="B429" i="26"/>
  <c r="B211" i="26"/>
  <c r="B420" i="26"/>
  <c r="B210" i="26"/>
  <c r="B419" i="26"/>
  <c r="B209" i="26"/>
  <c r="B418" i="26"/>
  <c r="B208" i="26"/>
  <c r="B417" i="26"/>
  <c r="B207" i="26"/>
  <c r="B416" i="26"/>
  <c r="B206" i="26"/>
  <c r="B415" i="26"/>
  <c r="B205" i="26"/>
  <c r="B414" i="26"/>
  <c r="B204" i="26"/>
  <c r="B413" i="26"/>
  <c r="B203" i="26"/>
  <c r="B412" i="26"/>
  <c r="B202" i="26"/>
  <c r="B411" i="26"/>
  <c r="B201" i="26"/>
  <c r="B410" i="26"/>
  <c r="B200" i="26"/>
  <c r="B409" i="26"/>
  <c r="B199" i="26"/>
  <c r="B408" i="26"/>
  <c r="B198" i="26"/>
  <c r="B407" i="26"/>
  <c r="B197" i="26"/>
  <c r="B406" i="26"/>
  <c r="B196" i="26"/>
  <c r="B405" i="26"/>
  <c r="B612" i="26"/>
  <c r="B195" i="26"/>
  <c r="B404" i="26"/>
  <c r="B611" i="26"/>
  <c r="B194" i="26"/>
  <c r="B403" i="26"/>
  <c r="B610" i="26"/>
  <c r="B193" i="26"/>
  <c r="B402" i="26"/>
  <c r="B609" i="26"/>
  <c r="B192" i="26"/>
  <c r="B401" i="26"/>
  <c r="B608" i="26"/>
  <c r="B191" i="26"/>
  <c r="B400" i="26"/>
  <c r="B607" i="26"/>
  <c r="B190" i="26"/>
  <c r="B399" i="26"/>
  <c r="B606" i="26"/>
  <c r="B189" i="26"/>
  <c r="B398" i="26"/>
  <c r="B605" i="26"/>
  <c r="B188" i="26"/>
  <c r="B397" i="26"/>
  <c r="B604" i="26"/>
  <c r="B187" i="26"/>
  <c r="B396" i="26"/>
  <c r="B603" i="26"/>
  <c r="B186" i="26"/>
  <c r="B395" i="26"/>
  <c r="B602" i="26"/>
  <c r="B185" i="26"/>
  <c r="B394" i="26"/>
  <c r="B601" i="26"/>
  <c r="B184" i="26"/>
  <c r="B393" i="26"/>
  <c r="B600" i="26"/>
  <c r="B183" i="26"/>
  <c r="B392" i="26"/>
  <c r="B599" i="26"/>
  <c r="B182" i="26"/>
  <c r="B391" i="26"/>
  <c r="B598" i="26"/>
  <c r="B181" i="26"/>
  <c r="B390" i="26"/>
  <c r="B597" i="26"/>
  <c r="B180" i="26"/>
  <c r="B389" i="26"/>
  <c r="B596" i="26"/>
  <c r="B179" i="26"/>
  <c r="B388" i="26"/>
  <c r="B595" i="26"/>
  <c r="B178" i="26"/>
  <c r="B387" i="26"/>
  <c r="B594" i="26"/>
  <c r="B177" i="26"/>
  <c r="B386" i="26"/>
  <c r="B593" i="26"/>
  <c r="B176" i="26"/>
  <c r="B385" i="26"/>
  <c r="B592" i="26"/>
  <c r="B175" i="26"/>
  <c r="B384" i="26"/>
  <c r="B591" i="26"/>
  <c r="B174" i="26"/>
  <c r="B383" i="26"/>
  <c r="B590" i="26"/>
  <c r="B173" i="26"/>
  <c r="B382" i="26"/>
  <c r="B589" i="26"/>
  <c r="B172" i="26"/>
  <c r="B381" i="26"/>
  <c r="B588" i="26"/>
  <c r="B171" i="26"/>
  <c r="B380" i="26"/>
  <c r="B587" i="26"/>
  <c r="B170" i="26"/>
  <c r="B379" i="26"/>
  <c r="B586" i="26"/>
  <c r="B169" i="26"/>
  <c r="B378" i="26"/>
  <c r="B585" i="26"/>
  <c r="B168" i="26"/>
  <c r="B377" i="26"/>
  <c r="B584" i="26"/>
  <c r="B167" i="26"/>
  <c r="B376" i="26"/>
  <c r="B583" i="26"/>
  <c r="B166" i="26"/>
  <c r="B375" i="26"/>
  <c r="B582" i="26"/>
  <c r="B165" i="26"/>
  <c r="B374" i="26"/>
  <c r="B581" i="26"/>
  <c r="B164" i="26"/>
  <c r="B373" i="26"/>
  <c r="B580" i="26"/>
  <c r="B163" i="26"/>
  <c r="B372" i="26"/>
  <c r="B579" i="26"/>
  <c r="B162" i="26"/>
  <c r="B371" i="26"/>
  <c r="B578" i="26"/>
  <c r="B161" i="26"/>
  <c r="B370" i="26"/>
  <c r="B577" i="26"/>
  <c r="B160" i="26"/>
  <c r="B369" i="26"/>
  <c r="B576" i="26"/>
  <c r="B159" i="26"/>
  <c r="B368" i="26"/>
  <c r="B575" i="26"/>
  <c r="B158" i="26"/>
  <c r="B367" i="26"/>
  <c r="B574" i="26"/>
  <c r="B157" i="26"/>
  <c r="B366" i="26"/>
  <c r="B573" i="26"/>
  <c r="B156" i="26"/>
  <c r="B365" i="26"/>
  <c r="B572" i="26"/>
  <c r="B155" i="26"/>
  <c r="B364" i="26"/>
  <c r="B571" i="26"/>
  <c r="B154" i="26"/>
  <c r="B363" i="26"/>
  <c r="B570" i="26"/>
  <c r="B153" i="26"/>
  <c r="B362" i="26"/>
  <c r="B569" i="26"/>
  <c r="B152" i="26"/>
  <c r="B361" i="26"/>
  <c r="B568" i="26"/>
  <c r="B151" i="26"/>
  <c r="B360" i="26"/>
  <c r="B567" i="26"/>
  <c r="B150" i="26"/>
  <c r="B359" i="26"/>
  <c r="B566" i="26"/>
  <c r="B149" i="26"/>
  <c r="B358" i="26"/>
  <c r="B565" i="26"/>
  <c r="B148" i="26"/>
  <c r="B357" i="26"/>
  <c r="B564" i="26"/>
  <c r="B147" i="26"/>
  <c r="B356" i="26"/>
  <c r="B563" i="26"/>
  <c r="B146" i="26"/>
  <c r="B355" i="26"/>
  <c r="B562" i="26"/>
  <c r="B145" i="26"/>
  <c r="B354" i="26"/>
  <c r="B561" i="26"/>
  <c r="B144" i="26"/>
  <c r="B353" i="26"/>
  <c r="B560" i="26"/>
  <c r="B143" i="26"/>
  <c r="B352" i="26"/>
  <c r="B559" i="26"/>
  <c r="B142" i="26"/>
  <c r="B351" i="26"/>
  <c r="B558" i="26"/>
  <c r="B141" i="26"/>
  <c r="B350" i="26"/>
  <c r="B557" i="26"/>
  <c r="B140" i="26"/>
  <c r="B349" i="26"/>
  <c r="B556" i="26"/>
  <c r="B139" i="26"/>
  <c r="B348" i="26"/>
  <c r="B555" i="26"/>
  <c r="B138" i="26"/>
  <c r="B347" i="26"/>
  <c r="B554" i="26"/>
  <c r="B137" i="26"/>
  <c r="B346" i="26"/>
  <c r="B553" i="26"/>
  <c r="B136" i="26"/>
  <c r="B345" i="26"/>
  <c r="B552" i="26"/>
  <c r="B135" i="26"/>
  <c r="B344" i="26"/>
  <c r="B551" i="26"/>
  <c r="B134" i="26"/>
  <c r="B343" i="26"/>
  <c r="B550" i="26"/>
  <c r="B133" i="26"/>
  <c r="B342" i="26"/>
  <c r="B549" i="26"/>
  <c r="B132" i="26"/>
  <c r="B341" i="26"/>
  <c r="B548" i="26"/>
  <c r="B131" i="26"/>
  <c r="B340" i="26"/>
  <c r="B547" i="26"/>
  <c r="B130" i="26"/>
  <c r="B339" i="26"/>
  <c r="B546" i="26"/>
  <c r="B129" i="26"/>
  <c r="B338" i="26"/>
  <c r="B545" i="26"/>
  <c r="B128" i="26"/>
  <c r="B337" i="26"/>
  <c r="B544" i="26"/>
  <c r="B127" i="26"/>
  <c r="B336" i="26"/>
  <c r="B543" i="26"/>
  <c r="B126" i="26"/>
  <c r="B335" i="26"/>
  <c r="B542" i="26"/>
  <c r="B125" i="26"/>
  <c r="B334" i="26"/>
  <c r="B541" i="26"/>
  <c r="B124" i="26"/>
  <c r="B333" i="26"/>
  <c r="B540" i="26"/>
  <c r="B123" i="26"/>
  <c r="B332" i="26"/>
  <c r="B539" i="26"/>
  <c r="B122" i="26"/>
  <c r="B331" i="26"/>
  <c r="B538" i="26"/>
  <c r="B121" i="26"/>
  <c r="B330" i="26"/>
  <c r="B537" i="26"/>
  <c r="B120" i="26"/>
  <c r="B329" i="26"/>
  <c r="B536" i="26"/>
  <c r="B119" i="26"/>
  <c r="B328" i="26"/>
  <c r="B535" i="26"/>
  <c r="B118" i="26"/>
  <c r="B327" i="26"/>
  <c r="B534" i="26"/>
  <c r="B117" i="26"/>
  <c r="B326" i="26"/>
  <c r="B533" i="26"/>
  <c r="B116" i="26"/>
  <c r="B325" i="26"/>
  <c r="B532" i="26"/>
  <c r="B115" i="26"/>
  <c r="B324" i="26"/>
  <c r="B531" i="26"/>
  <c r="B114" i="26"/>
  <c r="B323" i="26"/>
  <c r="B530" i="26"/>
  <c r="B113" i="26"/>
  <c r="B322" i="26"/>
  <c r="B529" i="26"/>
  <c r="B112" i="26"/>
  <c r="B321" i="26"/>
  <c r="B528" i="26"/>
  <c r="B111" i="26"/>
  <c r="B320" i="26"/>
  <c r="B527" i="26"/>
  <c r="B110" i="26"/>
  <c r="B319" i="26"/>
  <c r="B526" i="26"/>
  <c r="B109" i="26"/>
  <c r="B318" i="26"/>
  <c r="B525" i="26"/>
  <c r="B108" i="26"/>
  <c r="B317" i="26"/>
  <c r="B524" i="26"/>
  <c r="B107" i="26"/>
  <c r="B316" i="26"/>
  <c r="B523" i="26"/>
  <c r="B106" i="26"/>
  <c r="B315" i="26"/>
  <c r="B522" i="26"/>
  <c r="B105" i="26"/>
  <c r="B314" i="26"/>
  <c r="B521" i="26"/>
  <c r="B104" i="26"/>
  <c r="B313" i="26"/>
  <c r="B520" i="26"/>
  <c r="B103" i="26"/>
  <c r="B312" i="26"/>
  <c r="B519" i="26"/>
  <c r="B102" i="26"/>
  <c r="B311" i="26"/>
  <c r="B518" i="26"/>
  <c r="B101" i="26"/>
  <c r="B310" i="26"/>
  <c r="B517" i="26"/>
  <c r="B100" i="26"/>
  <c r="B309" i="26"/>
  <c r="B516" i="26"/>
  <c r="B99" i="26"/>
  <c r="B308" i="26"/>
  <c r="B515" i="26"/>
  <c r="B98" i="26"/>
  <c r="B307" i="26"/>
  <c r="B514" i="26"/>
  <c r="B97" i="26"/>
  <c r="B306" i="26"/>
  <c r="B513" i="26"/>
  <c r="B96" i="26"/>
  <c r="B305" i="26"/>
  <c r="B512" i="26"/>
  <c r="B95" i="26"/>
  <c r="B304" i="26"/>
  <c r="B511" i="26"/>
  <c r="B94" i="26"/>
  <c r="B303" i="26"/>
  <c r="B510" i="26"/>
  <c r="B93" i="26"/>
  <c r="B302" i="26"/>
  <c r="B509" i="26"/>
  <c r="B92" i="26"/>
  <c r="B301" i="26"/>
  <c r="B508" i="26"/>
  <c r="B91" i="26"/>
  <c r="B300" i="26"/>
  <c r="B507" i="26"/>
  <c r="B90" i="26"/>
  <c r="B299" i="26"/>
  <c r="B506" i="26"/>
  <c r="B89" i="26"/>
  <c r="B298" i="26"/>
  <c r="B505" i="26"/>
  <c r="B88" i="26"/>
  <c r="B297" i="26"/>
  <c r="B504" i="26"/>
  <c r="B87" i="26"/>
  <c r="B296" i="26"/>
  <c r="B503" i="26"/>
  <c r="B86" i="26"/>
  <c r="B295" i="26"/>
  <c r="B502" i="26"/>
  <c r="B85" i="26"/>
  <c r="B294" i="26"/>
  <c r="B501" i="26"/>
  <c r="B84" i="26"/>
  <c r="B293" i="26"/>
  <c r="B500" i="26"/>
  <c r="B83" i="26"/>
  <c r="B292" i="26"/>
  <c r="B499" i="26"/>
  <c r="B82" i="26"/>
  <c r="B291" i="26"/>
  <c r="B498" i="26"/>
  <c r="B81" i="26"/>
  <c r="B290" i="26"/>
  <c r="B497" i="26"/>
  <c r="B80" i="26"/>
  <c r="B289" i="26"/>
  <c r="B496" i="26"/>
  <c r="B79" i="26"/>
  <c r="B288" i="26"/>
  <c r="B495" i="26"/>
  <c r="B78" i="26"/>
  <c r="B287" i="26"/>
  <c r="B494" i="26"/>
  <c r="B77" i="26"/>
  <c r="B286" i="26"/>
  <c r="B493" i="26"/>
  <c r="B76" i="26"/>
  <c r="B285" i="26"/>
  <c r="B492" i="26"/>
  <c r="B75" i="26"/>
  <c r="B284" i="26"/>
  <c r="B491" i="26"/>
  <c r="B74" i="26"/>
  <c r="B283" i="26"/>
  <c r="B490" i="26"/>
  <c r="B73" i="26"/>
  <c r="B282" i="26"/>
  <c r="B489" i="26"/>
  <c r="B72" i="26"/>
  <c r="B281" i="26"/>
  <c r="B488" i="26"/>
  <c r="B71" i="26"/>
  <c r="B280" i="26"/>
  <c r="B487" i="26"/>
  <c r="B70" i="26"/>
  <c r="B279" i="26"/>
  <c r="B486" i="26"/>
  <c r="B69" i="26"/>
  <c r="B278" i="26"/>
  <c r="B485" i="26"/>
  <c r="B68" i="26"/>
  <c r="B277" i="26"/>
  <c r="B484" i="26"/>
  <c r="B67" i="26"/>
  <c r="B276" i="26"/>
  <c r="B483" i="26"/>
  <c r="B66" i="26"/>
  <c r="B275" i="26"/>
  <c r="B482" i="26"/>
  <c r="B65" i="26"/>
  <c r="B274" i="26"/>
  <c r="B481" i="26"/>
  <c r="B64" i="26"/>
  <c r="B273" i="26"/>
  <c r="B480" i="26"/>
  <c r="B63" i="26"/>
  <c r="B272" i="26"/>
  <c r="B479" i="26"/>
  <c r="B62" i="26"/>
  <c r="B271" i="26"/>
  <c r="B478" i="26"/>
  <c r="B61" i="26"/>
  <c r="B270" i="26"/>
  <c r="B477" i="26"/>
  <c r="B60" i="26"/>
  <c r="B269" i="26"/>
  <c r="B476" i="26"/>
  <c r="B59" i="26"/>
  <c r="B268" i="26"/>
  <c r="B475" i="26"/>
  <c r="B58" i="26"/>
  <c r="B267" i="26"/>
  <c r="B474" i="26"/>
  <c r="B57" i="26"/>
  <c r="B266" i="26"/>
  <c r="B473" i="26"/>
  <c r="B56" i="26"/>
  <c r="B265" i="26"/>
  <c r="B472" i="26"/>
  <c r="B55" i="26"/>
  <c r="B264" i="26"/>
  <c r="B471" i="26"/>
  <c r="B54" i="26"/>
  <c r="B263" i="26"/>
  <c r="B470" i="26"/>
  <c r="B53" i="26"/>
  <c r="B262" i="26"/>
  <c r="B469" i="26"/>
  <c r="B52" i="26"/>
  <c r="B261" i="26"/>
  <c r="B468" i="26"/>
  <c r="B51" i="26"/>
  <c r="B260" i="26"/>
  <c r="B467" i="26"/>
  <c r="B50" i="26"/>
  <c r="B259" i="26"/>
  <c r="L40" i="30"/>
  <c r="I40" i="30"/>
  <c r="B40" i="30"/>
  <c r="B466" i="26"/>
  <c r="B49" i="26"/>
  <c r="B258" i="26"/>
  <c r="L39" i="30"/>
  <c r="I39" i="30"/>
  <c r="B39" i="30"/>
  <c r="B465" i="26"/>
  <c r="B48" i="26"/>
  <c r="B257" i="26"/>
  <c r="L38" i="30"/>
  <c r="I38" i="30"/>
  <c r="B38" i="30"/>
  <c r="B464" i="26"/>
  <c r="B47" i="26"/>
  <c r="B256" i="26"/>
  <c r="L37" i="30"/>
  <c r="I37" i="30"/>
  <c r="B37" i="30"/>
  <c r="B463" i="26"/>
  <c r="B46" i="26"/>
  <c r="B255" i="26"/>
  <c r="P38" i="7"/>
  <c r="L38" i="7"/>
  <c r="J38" i="7"/>
  <c r="H38" i="7"/>
  <c r="F38" i="7"/>
  <c r="D38" i="7"/>
  <c r="L36" i="30"/>
  <c r="I36" i="30"/>
  <c r="B36" i="30"/>
  <c r="B462" i="26"/>
  <c r="B45" i="26"/>
  <c r="B254" i="26"/>
  <c r="L35" i="30"/>
  <c r="I35" i="30"/>
  <c r="B35" i="30"/>
  <c r="B461" i="26"/>
  <c r="B44" i="26"/>
  <c r="B253" i="26"/>
  <c r="L34" i="30"/>
  <c r="I34" i="30"/>
  <c r="B34" i="30"/>
  <c r="B460" i="26"/>
  <c r="B43" i="26"/>
  <c r="B252" i="26"/>
  <c r="L33" i="30"/>
  <c r="I33" i="30"/>
  <c r="B33" i="30"/>
  <c r="B459" i="26"/>
  <c r="B42" i="26"/>
  <c r="B251" i="26"/>
  <c r="L32" i="30"/>
  <c r="I32" i="30"/>
  <c r="B32" i="30"/>
  <c r="B458" i="26"/>
  <c r="B41" i="26"/>
  <c r="B250" i="26"/>
  <c r="L31" i="30"/>
  <c r="I31" i="30"/>
  <c r="B31" i="30"/>
  <c r="B457" i="26"/>
  <c r="B40" i="26"/>
  <c r="B249" i="26"/>
  <c r="L30" i="30"/>
  <c r="I30" i="30"/>
  <c r="B30" i="30"/>
  <c r="B456" i="26"/>
  <c r="B39" i="26"/>
  <c r="B248" i="26"/>
  <c r="L29" i="30"/>
  <c r="I29" i="30"/>
  <c r="B29" i="30"/>
  <c r="B455" i="26"/>
  <c r="B38" i="26"/>
  <c r="B247" i="26"/>
  <c r="L28" i="30"/>
  <c r="I28" i="30"/>
  <c r="B28" i="30"/>
  <c r="B454" i="26"/>
  <c r="B37" i="26"/>
  <c r="B246" i="26"/>
  <c r="L27" i="30"/>
  <c r="I27" i="30"/>
  <c r="B27" i="30"/>
  <c r="B453" i="26"/>
  <c r="B36" i="26"/>
  <c r="B245" i="26"/>
  <c r="L26" i="30"/>
  <c r="I26" i="30"/>
  <c r="B26" i="30"/>
  <c r="B452" i="26"/>
  <c r="B35" i="26"/>
  <c r="B244" i="26"/>
  <c r="L25" i="30"/>
  <c r="I25" i="30"/>
  <c r="B25" i="30"/>
  <c r="B451" i="26"/>
  <c r="B34" i="26"/>
  <c r="B243" i="26"/>
  <c r="L24" i="30"/>
  <c r="I24" i="30"/>
  <c r="B24" i="30"/>
  <c r="B450" i="26"/>
  <c r="B33" i="26"/>
  <c r="B242" i="26"/>
  <c r="L23" i="30"/>
  <c r="I23" i="30"/>
  <c r="B23" i="30"/>
  <c r="B449" i="26"/>
  <c r="B32" i="26"/>
  <c r="B241" i="26"/>
  <c r="L22" i="30"/>
  <c r="I22" i="30"/>
  <c r="B22" i="30"/>
  <c r="B448" i="26"/>
  <c r="B31" i="26"/>
  <c r="B240" i="26"/>
  <c r="L21" i="30"/>
  <c r="I21" i="30"/>
  <c r="B21" i="30"/>
  <c r="B447" i="26"/>
  <c r="B30" i="26"/>
  <c r="B239" i="26"/>
  <c r="L20" i="30"/>
  <c r="I20" i="30"/>
  <c r="B20" i="30"/>
  <c r="B446" i="26"/>
  <c r="B29" i="26"/>
  <c r="B238" i="26"/>
  <c r="L19" i="30"/>
  <c r="I19" i="30"/>
  <c r="B19" i="30"/>
  <c r="B445" i="26"/>
  <c r="B28" i="26"/>
  <c r="B237" i="26"/>
  <c r="L18" i="30"/>
  <c r="I18" i="30"/>
  <c r="B18" i="30"/>
  <c r="B444" i="26"/>
  <c r="B27" i="26"/>
  <c r="B236" i="26"/>
  <c r="L17" i="30"/>
  <c r="I17" i="30"/>
  <c r="B17" i="30"/>
  <c r="B443" i="26"/>
  <c r="B26" i="26"/>
  <c r="B235" i="26"/>
  <c r="L16" i="30"/>
  <c r="I16" i="30"/>
  <c r="B16" i="30"/>
  <c r="B442" i="26"/>
  <c r="B25" i="26"/>
  <c r="B234" i="26"/>
  <c r="L15" i="30"/>
  <c r="I15" i="30"/>
  <c r="B15" i="30"/>
  <c r="B441" i="26"/>
  <c r="B24" i="26"/>
  <c r="B233" i="26"/>
  <c r="B15" i="19"/>
  <c r="L14" i="30"/>
  <c r="I14" i="30"/>
  <c r="B14" i="30"/>
  <c r="B440" i="26"/>
  <c r="B23" i="26"/>
  <c r="B232" i="26"/>
  <c r="B14" i="19"/>
  <c r="P15" i="7"/>
  <c r="D15" i="7"/>
  <c r="BG149" i="20" l="1"/>
  <c r="A149" i="20" s="1"/>
  <c r="BG152" i="20"/>
  <c r="A152" i="20" s="1"/>
  <c r="BG155" i="20"/>
  <c r="A155" i="20" s="1"/>
  <c r="BG158" i="20"/>
  <c r="A158" i="20" s="1"/>
  <c r="BG161" i="20"/>
  <c r="A161" i="20" s="1"/>
  <c r="BG164" i="20"/>
  <c r="A164" i="20" s="1"/>
  <c r="BG167" i="20"/>
  <c r="A167" i="20" s="1"/>
  <c r="BG170" i="20"/>
  <c r="A170" i="20" s="1"/>
  <c r="BG173" i="20"/>
  <c r="A173" i="20" s="1"/>
  <c r="BG176" i="20"/>
  <c r="A176" i="20" s="1"/>
  <c r="BG179" i="20"/>
  <c r="A179" i="20" s="1"/>
  <c r="BG182" i="20"/>
  <c r="A182" i="20" s="1"/>
  <c r="BG185" i="20"/>
  <c r="A185" i="20" s="1"/>
  <c r="BG188" i="20"/>
  <c r="A188" i="20" s="1"/>
  <c r="BG191" i="20"/>
  <c r="A191" i="20" s="1"/>
  <c r="BG194" i="20"/>
  <c r="A194" i="20" s="1"/>
  <c r="BG197" i="20"/>
  <c r="A197" i="20" s="1"/>
  <c r="BG200" i="20"/>
  <c r="A200" i="20" s="1"/>
  <c r="BG203" i="20"/>
  <c r="A203" i="20" s="1"/>
  <c r="BG206" i="20"/>
  <c r="A206" i="20" s="1"/>
  <c r="BG209" i="20"/>
  <c r="A209" i="20" s="1"/>
  <c r="BG215" i="20"/>
  <c r="A215" i="20" s="1"/>
  <c r="BG218" i="20"/>
  <c r="A218" i="20" s="1"/>
  <c r="BG221" i="20"/>
  <c r="A221" i="20" s="1"/>
  <c r="BG224" i="20"/>
  <c r="A224" i="20" s="1"/>
  <c r="BG227" i="20"/>
  <c r="A227" i="20" s="1"/>
  <c r="BG230" i="20"/>
  <c r="A230" i="20" s="1"/>
  <c r="BG233" i="20"/>
  <c r="A233" i="20" s="1"/>
  <c r="BG236" i="20"/>
  <c r="A236" i="20" s="1"/>
  <c r="BG239" i="20"/>
  <c r="A239" i="20" s="1"/>
  <c r="BG242" i="20"/>
  <c r="A242" i="20" s="1"/>
  <c r="BG245" i="20"/>
  <c r="A245" i="20" s="1"/>
  <c r="BG248" i="20"/>
  <c r="A248" i="20" s="1"/>
  <c r="BG251" i="20"/>
  <c r="A251" i="20" s="1"/>
  <c r="BG254" i="20"/>
  <c r="A254" i="20" s="1"/>
  <c r="B254" i="20"/>
  <c r="BG212" i="20"/>
  <c r="A212" i="20" s="1"/>
  <c r="BG147" i="20"/>
  <c r="A147" i="20" s="1"/>
  <c r="BG150" i="20"/>
  <c r="A150" i="20" s="1"/>
  <c r="BG153" i="20"/>
  <c r="A153" i="20" s="1"/>
  <c r="BG156" i="20"/>
  <c r="A156" i="20" s="1"/>
  <c r="BG159" i="20"/>
  <c r="A159" i="20" s="1"/>
  <c r="BG162" i="20"/>
  <c r="A162" i="20" s="1"/>
  <c r="BG165" i="20"/>
  <c r="A165" i="20" s="1"/>
  <c r="BG168" i="20"/>
  <c r="A168" i="20" s="1"/>
  <c r="BG171" i="20"/>
  <c r="A171" i="20" s="1"/>
  <c r="BG174" i="20"/>
  <c r="A174" i="20" s="1"/>
  <c r="BG177" i="20"/>
  <c r="A177" i="20" s="1"/>
  <c r="BG180" i="20"/>
  <c r="A180" i="20" s="1"/>
  <c r="BG183" i="20"/>
  <c r="A183" i="20" s="1"/>
  <c r="BG186" i="20"/>
  <c r="A186" i="20" s="1"/>
  <c r="BG189" i="20"/>
  <c r="A189" i="20" s="1"/>
  <c r="BG192" i="20"/>
  <c r="A192" i="20" s="1"/>
  <c r="BG195" i="20"/>
  <c r="A195" i="20" s="1"/>
  <c r="BG198" i="20"/>
  <c r="A198" i="20" s="1"/>
  <c r="BG201" i="20"/>
  <c r="A201" i="20" s="1"/>
  <c r="BG204" i="20"/>
  <c r="A204" i="20" s="1"/>
  <c r="BG207" i="20"/>
  <c r="A207" i="20" s="1"/>
  <c r="BG210" i="20"/>
  <c r="A210" i="20" s="1"/>
  <c r="BG213" i="20"/>
  <c r="A213" i="20" s="1"/>
  <c r="BG216" i="20"/>
  <c r="A216" i="20" s="1"/>
  <c r="BG219" i="20"/>
  <c r="A219" i="20" s="1"/>
  <c r="BG222" i="20"/>
  <c r="A222" i="20" s="1"/>
  <c r="BG225" i="20"/>
  <c r="A225" i="20" s="1"/>
  <c r="BG228" i="20"/>
  <c r="A228" i="20" s="1"/>
  <c r="BG231" i="20"/>
  <c r="A231" i="20" s="1"/>
  <c r="BG234" i="20"/>
  <c r="A234" i="20" s="1"/>
  <c r="BG237" i="20"/>
  <c r="A237" i="20" s="1"/>
  <c r="BG240" i="20"/>
  <c r="A240" i="20" s="1"/>
  <c r="BG243" i="20"/>
  <c r="A243" i="20" s="1"/>
  <c r="BG246" i="20"/>
  <c r="A246" i="20" s="1"/>
  <c r="BG249" i="20"/>
  <c r="A249" i="20" s="1"/>
  <c r="BG252" i="20"/>
  <c r="A252" i="20" s="1"/>
  <c r="BG255" i="20"/>
  <c r="A255" i="20" s="1"/>
  <c r="B255" i="20"/>
  <c r="BG55" i="20"/>
  <c r="A55" i="20" s="1"/>
  <c r="B55" i="20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71" i="20" s="1"/>
  <c r="B72" i="20" s="1"/>
  <c r="B73" i="20" s="1"/>
  <c r="B74" i="20" s="1"/>
  <c r="B75" i="20" s="1"/>
  <c r="B76" i="20" s="1"/>
  <c r="B77" i="20" s="1"/>
  <c r="B78" i="20" s="1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95" i="20" s="1"/>
  <c r="B96" i="20" s="1"/>
  <c r="B97" i="20" s="1"/>
  <c r="B98" i="20" s="1"/>
  <c r="B99" i="20" s="1"/>
  <c r="B100" i="20" s="1"/>
  <c r="B101" i="20" s="1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119" i="20" s="1"/>
  <c r="B120" i="20" s="1"/>
  <c r="B121" i="20" s="1"/>
  <c r="B122" i="20" s="1"/>
  <c r="B123" i="20" s="1"/>
  <c r="B124" i="20" s="1"/>
  <c r="B125" i="20" s="1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43" i="20" s="1"/>
  <c r="B144" i="20" s="1"/>
  <c r="B145" i="20" s="1"/>
  <c r="B146" i="20" s="1"/>
  <c r="B147" i="20" s="1"/>
  <c r="B148" i="20" s="1"/>
  <c r="B149" i="20" s="1"/>
  <c r="B150" i="20" s="1"/>
  <c r="B151" i="20" s="1"/>
  <c r="B152" i="20" s="1"/>
  <c r="B153" i="20" s="1"/>
  <c r="B154" i="20" s="1"/>
  <c r="B155" i="20" s="1"/>
  <c r="B156" i="20" s="1"/>
  <c r="B157" i="20" s="1"/>
  <c r="B158" i="20" s="1"/>
  <c r="B159" i="20" s="1"/>
  <c r="B160" i="20" s="1"/>
  <c r="B161" i="20" s="1"/>
  <c r="B162" i="20" s="1"/>
  <c r="B163" i="20" s="1"/>
  <c r="B164" i="20" s="1"/>
  <c r="B165" i="20" s="1"/>
  <c r="B166" i="20" s="1"/>
  <c r="B167" i="20" s="1"/>
  <c r="B168" i="20" s="1"/>
  <c r="B169" i="20" s="1"/>
  <c r="B170" i="20" s="1"/>
  <c r="B171" i="20" s="1"/>
  <c r="B172" i="20" s="1"/>
  <c r="B173" i="20" s="1"/>
  <c r="B174" i="20" s="1"/>
  <c r="B175" i="20" s="1"/>
  <c r="B176" i="20" s="1"/>
  <c r="B177" i="20" s="1"/>
  <c r="B178" i="20" s="1"/>
  <c r="B179" i="20" s="1"/>
  <c r="B180" i="20" s="1"/>
  <c r="B181" i="20" s="1"/>
  <c r="B182" i="20" s="1"/>
  <c r="B183" i="20" s="1"/>
  <c r="B184" i="20" s="1"/>
  <c r="B185" i="20" s="1"/>
  <c r="B186" i="20" s="1"/>
  <c r="B187" i="20" s="1"/>
  <c r="B188" i="20" s="1"/>
  <c r="B189" i="20" s="1"/>
  <c r="B190" i="20" s="1"/>
  <c r="B191" i="20" s="1"/>
  <c r="B192" i="20" s="1"/>
  <c r="B193" i="20" s="1"/>
  <c r="B194" i="20" s="1"/>
  <c r="B195" i="20" s="1"/>
  <c r="B196" i="20" s="1"/>
  <c r="B197" i="20" s="1"/>
  <c r="B198" i="20" s="1"/>
  <c r="B199" i="20" s="1"/>
  <c r="B200" i="20" s="1"/>
  <c r="B201" i="20" s="1"/>
  <c r="B202" i="20" s="1"/>
  <c r="B203" i="20" s="1"/>
  <c r="B204" i="20" s="1"/>
  <c r="B205" i="20" s="1"/>
  <c r="B206" i="20" s="1"/>
  <c r="B207" i="20" s="1"/>
  <c r="B208" i="20" s="1"/>
  <c r="B209" i="20" s="1"/>
  <c r="B210" i="20" s="1"/>
  <c r="B211" i="20" s="1"/>
  <c r="B212" i="20" s="1"/>
  <c r="B213" i="20" s="1"/>
  <c r="B214" i="20" s="1"/>
  <c r="B215" i="20" s="1"/>
  <c r="B216" i="20" s="1"/>
  <c r="B217" i="20" s="1"/>
  <c r="B218" i="20" s="1"/>
  <c r="B219" i="20" s="1"/>
  <c r="B220" i="20" s="1"/>
  <c r="B221" i="20" s="1"/>
  <c r="B222" i="20" s="1"/>
  <c r="B223" i="20" s="1"/>
  <c r="B224" i="20" s="1"/>
  <c r="B225" i="20" s="1"/>
  <c r="B226" i="20" s="1"/>
  <c r="B227" i="20" s="1"/>
  <c r="B228" i="20" s="1"/>
  <c r="B229" i="20" s="1"/>
  <c r="B230" i="20" s="1"/>
  <c r="B231" i="20" s="1"/>
  <c r="B232" i="20" s="1"/>
  <c r="B233" i="20" s="1"/>
  <c r="B234" i="20" s="1"/>
  <c r="B235" i="20" s="1"/>
  <c r="B236" i="20" s="1"/>
  <c r="B237" i="20" s="1"/>
  <c r="B238" i="20" s="1"/>
  <c r="B239" i="20" s="1"/>
  <c r="B240" i="20" s="1"/>
  <c r="B241" i="20" s="1"/>
  <c r="B242" i="20" s="1"/>
  <c r="B243" i="20" s="1"/>
  <c r="B244" i="20" s="1"/>
  <c r="B245" i="20" s="1"/>
  <c r="B246" i="20" s="1"/>
  <c r="B247" i="20" s="1"/>
  <c r="B248" i="20" s="1"/>
  <c r="B249" i="20" s="1"/>
  <c r="B250" i="20" s="1"/>
  <c r="B251" i="20" s="1"/>
  <c r="B252" i="20" s="1"/>
  <c r="BG148" i="20"/>
  <c r="A148" i="20" s="1"/>
  <c r="BG151" i="20"/>
  <c r="A151" i="20" s="1"/>
  <c r="BG154" i="20"/>
  <c r="A154" i="20" s="1"/>
  <c r="BG157" i="20"/>
  <c r="A157" i="20" s="1"/>
  <c r="BG160" i="20"/>
  <c r="A160" i="20" s="1"/>
  <c r="BG163" i="20"/>
  <c r="A163" i="20" s="1"/>
  <c r="BG166" i="20"/>
  <c r="A166" i="20" s="1"/>
  <c r="BG169" i="20"/>
  <c r="A169" i="20" s="1"/>
  <c r="BG172" i="20"/>
  <c r="A172" i="20" s="1"/>
  <c r="BG175" i="20"/>
  <c r="A175" i="20" s="1"/>
  <c r="BG178" i="20"/>
  <c r="A178" i="20" s="1"/>
  <c r="BG181" i="20"/>
  <c r="A181" i="20" s="1"/>
  <c r="BG184" i="20"/>
  <c r="A184" i="20" s="1"/>
  <c r="BG187" i="20"/>
  <c r="A187" i="20" s="1"/>
  <c r="BG190" i="20"/>
  <c r="A190" i="20" s="1"/>
  <c r="BG193" i="20"/>
  <c r="A193" i="20" s="1"/>
  <c r="BG196" i="20"/>
  <c r="A196" i="20" s="1"/>
  <c r="BG199" i="20"/>
  <c r="A199" i="20" s="1"/>
  <c r="BG202" i="20"/>
  <c r="A202" i="20" s="1"/>
  <c r="BG205" i="20"/>
  <c r="A205" i="20" s="1"/>
  <c r="BG208" i="20"/>
  <c r="A208" i="20" s="1"/>
  <c r="BG211" i="20"/>
  <c r="A211" i="20" s="1"/>
  <c r="BG214" i="20"/>
  <c r="A214" i="20" s="1"/>
  <c r="BG217" i="20"/>
  <c r="A217" i="20" s="1"/>
  <c r="BG220" i="20"/>
  <c r="A220" i="20" s="1"/>
  <c r="BG223" i="20"/>
  <c r="A223" i="20" s="1"/>
  <c r="BG226" i="20"/>
  <c r="A226" i="20" s="1"/>
  <c r="BG229" i="20"/>
  <c r="A229" i="20" s="1"/>
  <c r="BG232" i="20"/>
  <c r="A232" i="20" s="1"/>
  <c r="BG235" i="20"/>
  <c r="A235" i="20" s="1"/>
  <c r="BG238" i="20"/>
  <c r="A238" i="20" s="1"/>
  <c r="BG241" i="20"/>
  <c r="A241" i="20" s="1"/>
  <c r="BG244" i="20"/>
  <c r="A244" i="20" s="1"/>
  <c r="BG247" i="20"/>
  <c r="A247" i="20" s="1"/>
  <c r="BG250" i="20"/>
  <c r="A250" i="20" s="1"/>
  <c r="BG253" i="20"/>
  <c r="A253" i="20" s="1"/>
  <c r="B253" i="20"/>
  <c r="F15" i="7"/>
  <c r="HR3" i="33"/>
  <c r="C15" i="7"/>
  <c r="M16" i="7"/>
  <c r="I16" i="7"/>
  <c r="B214" i="33"/>
  <c r="G208" i="33"/>
  <c r="O9" i="35"/>
  <c r="L9" i="35" s="1"/>
  <c r="O8" i="35"/>
  <c r="L8" i="35" s="1"/>
  <c r="C38" i="7"/>
  <c r="E38" i="7"/>
  <c r="G38" i="7"/>
  <c r="I38" i="7"/>
  <c r="K38" i="7"/>
  <c r="P3" i="35"/>
  <c r="P1" i="35"/>
  <c r="C39" i="7"/>
  <c r="G39" i="7"/>
  <c r="K39" i="7"/>
  <c r="C40" i="7"/>
  <c r="G40" i="7"/>
  <c r="K40" i="7"/>
  <c r="C41" i="7"/>
  <c r="G41" i="7"/>
  <c r="K41" i="7"/>
  <c r="C42" i="7"/>
  <c r="G42" i="7"/>
  <c r="K42" i="7"/>
  <c r="C43" i="7"/>
  <c r="G43" i="7"/>
  <c r="K43" i="7"/>
  <c r="C44" i="7"/>
  <c r="G44" i="7"/>
  <c r="K44" i="7"/>
  <c r="E30" i="7"/>
  <c r="I30" i="7"/>
  <c r="E31" i="7"/>
  <c r="I31" i="7"/>
  <c r="E32" i="7"/>
  <c r="I32" i="7"/>
  <c r="E33" i="7"/>
  <c r="I33" i="7"/>
  <c r="E34" i="7"/>
  <c r="I34" i="7"/>
  <c r="E35" i="7"/>
  <c r="I35" i="7"/>
  <c r="I36" i="7"/>
  <c r="I37" i="7"/>
  <c r="F16" i="7"/>
  <c r="J16" i="7"/>
  <c r="P16" i="7"/>
  <c r="F17" i="7"/>
  <c r="J17" i="7"/>
  <c r="P17" i="7"/>
  <c r="F18" i="7"/>
  <c r="J18" i="7"/>
  <c r="P18" i="7"/>
  <c r="F19" i="7"/>
  <c r="J19" i="7"/>
  <c r="P19" i="7"/>
  <c r="F20" i="7"/>
  <c r="J20" i="7"/>
  <c r="P20" i="7"/>
  <c r="F21" i="7"/>
  <c r="J21" i="7"/>
  <c r="P21" i="7"/>
  <c r="F22" i="7"/>
  <c r="J22" i="7"/>
  <c r="P22" i="7"/>
  <c r="P24" i="7"/>
  <c r="F25" i="7"/>
  <c r="J25" i="7"/>
  <c r="P25" i="7"/>
  <c r="F26" i="7"/>
  <c r="J26" i="7"/>
  <c r="P26" i="7"/>
  <c r="F27" i="7"/>
  <c r="J27" i="7"/>
  <c r="P27" i="7"/>
  <c r="F28" i="7"/>
  <c r="J28" i="7"/>
  <c r="P28" i="7"/>
  <c r="F29" i="7"/>
  <c r="J29" i="7"/>
  <c r="P29" i="7"/>
  <c r="F30" i="7"/>
  <c r="J30" i="7"/>
  <c r="P30" i="7"/>
  <c r="F31" i="7"/>
  <c r="J31" i="7"/>
  <c r="P31" i="7"/>
  <c r="F32" i="7"/>
  <c r="J32" i="7"/>
  <c r="P32" i="7"/>
  <c r="F33" i="7"/>
  <c r="J33" i="7"/>
  <c r="P33" i="7"/>
  <c r="F34" i="7"/>
  <c r="J34" i="7"/>
  <c r="P34" i="7"/>
  <c r="F35" i="7"/>
  <c r="J35" i="7"/>
  <c r="P35" i="7"/>
  <c r="F36" i="7"/>
  <c r="J36" i="7"/>
  <c r="P36" i="7"/>
  <c r="F37" i="7"/>
  <c r="J37" i="7"/>
  <c r="P37" i="7"/>
  <c r="D39" i="7"/>
  <c r="H39" i="7"/>
  <c r="L39" i="7"/>
  <c r="D40" i="7"/>
  <c r="H40" i="7"/>
  <c r="L40" i="7"/>
  <c r="D41" i="7"/>
  <c r="H41" i="7"/>
  <c r="L41" i="7"/>
  <c r="D42" i="7"/>
  <c r="H42" i="7"/>
  <c r="L42" i="7"/>
  <c r="D43" i="7"/>
  <c r="H43" i="7"/>
  <c r="L43" i="7"/>
  <c r="D44" i="7"/>
  <c r="H44" i="7"/>
  <c r="L44" i="7"/>
  <c r="C16" i="7"/>
  <c r="G16" i="7"/>
  <c r="K16" i="7"/>
  <c r="C17" i="7"/>
  <c r="G17" i="7"/>
  <c r="K17" i="7"/>
  <c r="C18" i="7"/>
  <c r="G18" i="7"/>
  <c r="K18" i="7"/>
  <c r="C19" i="7"/>
  <c r="G19" i="7"/>
  <c r="K19" i="7"/>
  <c r="C20" i="7"/>
  <c r="G20" i="7"/>
  <c r="K20" i="7"/>
  <c r="C22" i="7"/>
  <c r="G22" i="7"/>
  <c r="K22" i="7"/>
  <c r="C23" i="7"/>
  <c r="G23" i="7"/>
  <c r="K23" i="7"/>
  <c r="C24" i="7"/>
  <c r="G24" i="7"/>
  <c r="K24" i="7"/>
  <c r="C25" i="7"/>
  <c r="G25" i="7"/>
  <c r="K25" i="7"/>
  <c r="C26" i="7"/>
  <c r="G26" i="7"/>
  <c r="K26" i="7"/>
  <c r="C27" i="7"/>
  <c r="G27" i="7"/>
  <c r="K27" i="7"/>
  <c r="C28" i="7"/>
  <c r="G28" i="7"/>
  <c r="K28" i="7"/>
  <c r="C29" i="7"/>
  <c r="G29" i="7"/>
  <c r="K29" i="7"/>
  <c r="C30" i="7"/>
  <c r="G30" i="7"/>
  <c r="K30" i="7"/>
  <c r="C31" i="7"/>
  <c r="G31" i="7"/>
  <c r="K31" i="7"/>
  <c r="C32" i="7"/>
  <c r="G32" i="7"/>
  <c r="K32" i="7"/>
  <c r="C33" i="7"/>
  <c r="G33" i="7"/>
  <c r="K33" i="7"/>
  <c r="C34" i="7"/>
  <c r="G34" i="7"/>
  <c r="K34" i="7"/>
  <c r="C35" i="7"/>
  <c r="G35" i="7"/>
  <c r="K35" i="7"/>
  <c r="C36" i="7"/>
  <c r="G36" i="7"/>
  <c r="K36" i="7"/>
  <c r="C37" i="7"/>
  <c r="G37" i="7"/>
  <c r="K37" i="7"/>
  <c r="E39" i="7"/>
  <c r="I39" i="7"/>
  <c r="E40" i="7"/>
  <c r="I40" i="7"/>
  <c r="E41" i="7"/>
  <c r="I41" i="7"/>
  <c r="E42" i="7"/>
  <c r="I42" i="7"/>
  <c r="E43" i="7"/>
  <c r="I43" i="7"/>
  <c r="E44" i="7"/>
  <c r="I44" i="7"/>
  <c r="E36" i="7"/>
  <c r="E37" i="7"/>
  <c r="D30" i="7"/>
  <c r="H30" i="7"/>
  <c r="L30" i="7"/>
  <c r="D31" i="7"/>
  <c r="H31" i="7"/>
  <c r="L31" i="7"/>
  <c r="D32" i="7"/>
  <c r="H32" i="7"/>
  <c r="L32" i="7"/>
  <c r="D33" i="7"/>
  <c r="H33" i="7"/>
  <c r="L33" i="7"/>
  <c r="D34" i="7"/>
  <c r="H34" i="7"/>
  <c r="L34" i="7"/>
  <c r="D35" i="7"/>
  <c r="H35" i="7"/>
  <c r="L35" i="7"/>
  <c r="D36" i="7"/>
  <c r="H36" i="7"/>
  <c r="L36" i="7"/>
  <c r="D37" i="7"/>
  <c r="H37" i="7"/>
  <c r="L37" i="7"/>
  <c r="F39" i="7"/>
  <c r="J39" i="7"/>
  <c r="P39" i="7"/>
  <c r="F40" i="7"/>
  <c r="J40" i="7"/>
  <c r="P40" i="7"/>
  <c r="F41" i="7"/>
  <c r="J41" i="7"/>
  <c r="P41" i="7"/>
  <c r="F42" i="7"/>
  <c r="J42" i="7"/>
  <c r="P42" i="7"/>
  <c r="F43" i="7"/>
  <c r="J43" i="7"/>
  <c r="P43" i="7"/>
  <c r="F44" i="7"/>
  <c r="J44" i="7"/>
  <c r="P44" i="7"/>
  <c r="D16" i="7"/>
  <c r="H16" i="7"/>
  <c r="L16" i="7"/>
  <c r="D17" i="7"/>
  <c r="H17" i="7"/>
  <c r="L17" i="7"/>
  <c r="D18" i="7"/>
  <c r="H18" i="7"/>
  <c r="L18" i="7"/>
  <c r="D19" i="7"/>
  <c r="H19" i="7"/>
  <c r="L19" i="7"/>
  <c r="D20" i="7"/>
  <c r="H20" i="7"/>
  <c r="L20" i="7"/>
  <c r="D21" i="7"/>
  <c r="H21" i="7"/>
  <c r="L21" i="7"/>
  <c r="D22" i="7"/>
  <c r="H22" i="7"/>
  <c r="L22" i="7"/>
  <c r="L24" i="7"/>
  <c r="D25" i="7"/>
  <c r="H25" i="7"/>
  <c r="D26" i="7"/>
  <c r="H26" i="7"/>
  <c r="L26" i="7"/>
  <c r="D27" i="7"/>
  <c r="H27" i="7"/>
  <c r="L27" i="7"/>
  <c r="D28" i="7"/>
  <c r="H28" i="7"/>
  <c r="L28" i="7"/>
  <c r="D29" i="7"/>
  <c r="H29" i="7"/>
  <c r="L29" i="7"/>
  <c r="E16" i="7"/>
  <c r="E17" i="7"/>
  <c r="I17" i="7"/>
  <c r="E18" i="7"/>
  <c r="I18" i="7"/>
  <c r="E19" i="7"/>
  <c r="I19" i="7"/>
  <c r="E20" i="7"/>
  <c r="I20" i="7"/>
  <c r="E22" i="7"/>
  <c r="I22" i="7"/>
  <c r="E23" i="7"/>
  <c r="I23" i="7"/>
  <c r="E24" i="7"/>
  <c r="I24" i="7"/>
  <c r="E25" i="7"/>
  <c r="I25" i="7"/>
  <c r="E26" i="7"/>
  <c r="I26" i="7"/>
  <c r="E27" i="7"/>
  <c r="I27" i="7"/>
  <c r="E28" i="7"/>
  <c r="I28" i="7"/>
  <c r="E29" i="7"/>
  <c r="I29" i="7"/>
  <c r="C21" i="7"/>
  <c r="E21" i="7"/>
  <c r="G21" i="7"/>
  <c r="I21" i="7"/>
  <c r="K21" i="7"/>
  <c r="D23" i="7"/>
  <c r="F23" i="7"/>
  <c r="H23" i="7"/>
  <c r="J23" i="7"/>
  <c r="P23" i="7"/>
  <c r="D24" i="7"/>
  <c r="F24" i="7"/>
  <c r="H24" i="7"/>
  <c r="J24" i="7"/>
  <c r="E118" i="34"/>
  <c r="E114" i="34"/>
  <c r="B213" i="33"/>
  <c r="F131" i="34"/>
  <c r="G65" i="34"/>
  <c r="E128" i="34"/>
  <c r="E108" i="34"/>
  <c r="F127" i="34"/>
  <c r="E7" i="34"/>
  <c r="E33" i="34"/>
  <c r="G157" i="34"/>
  <c r="E38" i="34"/>
  <c r="I127" i="34"/>
  <c r="J128" i="34"/>
  <c r="G160" i="34"/>
  <c r="E19" i="34"/>
  <c r="E41" i="34"/>
  <c r="F100" i="34"/>
  <c r="F103" i="34"/>
  <c r="F106" i="34"/>
  <c r="E111" i="34"/>
  <c r="AF227" i="26"/>
  <c r="BD227" i="26"/>
  <c r="CB227" i="26"/>
  <c r="I26" i="34"/>
  <c r="E209" i="34"/>
  <c r="E37" i="34"/>
  <c r="I45" i="34"/>
  <c r="I96" i="34"/>
  <c r="E116" i="34"/>
  <c r="E140" i="34"/>
  <c r="G156" i="34"/>
  <c r="E208" i="34"/>
  <c r="G57" i="34"/>
  <c r="J69" i="34"/>
  <c r="G84" i="34"/>
  <c r="J115" i="34"/>
  <c r="F117" i="34"/>
  <c r="E124" i="34"/>
  <c r="G163" i="34"/>
  <c r="E9" i="34"/>
  <c r="E17" i="34"/>
  <c r="I25" i="34"/>
  <c r="E26" i="34"/>
  <c r="E27" i="34"/>
  <c r="E34" i="34"/>
  <c r="E42" i="34"/>
  <c r="I49" i="34"/>
  <c r="J61" i="34"/>
  <c r="G69" i="34"/>
  <c r="G79" i="34"/>
  <c r="J95" i="34"/>
  <c r="E96" i="34"/>
  <c r="E100" i="34"/>
  <c r="E115" i="34"/>
  <c r="I119" i="34"/>
  <c r="F121" i="34"/>
  <c r="F125" i="34"/>
  <c r="I133" i="34"/>
  <c r="F135" i="34"/>
  <c r="G164" i="34"/>
  <c r="G191" i="34"/>
  <c r="I204" i="34"/>
  <c r="J125" i="34"/>
  <c r="I37" i="34"/>
  <c r="E49" i="34"/>
  <c r="E50" i="34"/>
  <c r="G73" i="34"/>
  <c r="F94" i="34"/>
  <c r="E95" i="34"/>
  <c r="F98" i="34"/>
  <c r="E99" i="34"/>
  <c r="J108" i="34"/>
  <c r="F111" i="34"/>
  <c r="F112" i="34"/>
  <c r="E121" i="34"/>
  <c r="I123" i="34"/>
  <c r="J124" i="34"/>
  <c r="E125" i="34"/>
  <c r="E135" i="34"/>
  <c r="E188" i="34"/>
  <c r="I189" i="34"/>
  <c r="E191" i="34"/>
  <c r="G199" i="34"/>
  <c r="B439" i="26"/>
  <c r="A439" i="26" s="1"/>
  <c r="AL227" i="26"/>
  <c r="BJ227" i="26"/>
  <c r="AR227" i="26"/>
  <c r="BP227" i="26"/>
  <c r="Z227" i="26"/>
  <c r="AX227" i="26"/>
  <c r="BV227" i="26"/>
  <c r="E11" i="34"/>
  <c r="I22" i="34"/>
  <c r="I30" i="34"/>
  <c r="E45" i="34"/>
  <c r="E46" i="34"/>
  <c r="I53" i="34"/>
  <c r="G61" i="34"/>
  <c r="J63" i="34"/>
  <c r="G71" i="34"/>
  <c r="G77" i="34"/>
  <c r="I95" i="34"/>
  <c r="J99" i="34"/>
  <c r="J100" i="34"/>
  <c r="E103" i="34"/>
  <c r="F104" i="34"/>
  <c r="F107" i="34"/>
  <c r="I108" i="34"/>
  <c r="F110" i="34"/>
  <c r="E112" i="34"/>
  <c r="I115" i="34"/>
  <c r="F119" i="34"/>
  <c r="J121" i="34"/>
  <c r="F123" i="34"/>
  <c r="I125" i="34"/>
  <c r="I129" i="34"/>
  <c r="E131" i="34"/>
  <c r="J132" i="34"/>
  <c r="F133" i="34"/>
  <c r="J135" i="34"/>
  <c r="E136" i="34"/>
  <c r="E141" i="34"/>
  <c r="F156" i="34"/>
  <c r="G172" i="34"/>
  <c r="I184" i="34"/>
  <c r="G187" i="34"/>
  <c r="E204" i="34"/>
  <c r="E205" i="34"/>
  <c r="I104" i="34"/>
  <c r="J107" i="34"/>
  <c r="J103" i="34"/>
  <c r="J104" i="34"/>
  <c r="I112" i="34"/>
  <c r="I131" i="34"/>
  <c r="I208" i="34"/>
  <c r="E13" i="34"/>
  <c r="E15" i="34"/>
  <c r="I21" i="34"/>
  <c r="E22" i="34"/>
  <c r="E23" i="34"/>
  <c r="I29" i="34"/>
  <c r="E30" i="34"/>
  <c r="E31" i="34"/>
  <c r="I33" i="34"/>
  <c r="I34" i="34"/>
  <c r="I41" i="34"/>
  <c r="E53" i="34"/>
  <c r="E54" i="34"/>
  <c r="J65" i="34"/>
  <c r="G75" i="34"/>
  <c r="F95" i="34"/>
  <c r="J96" i="34"/>
  <c r="F99" i="34"/>
  <c r="I100" i="34"/>
  <c r="F102" i="34"/>
  <c r="E104" i="34"/>
  <c r="E107" i="34"/>
  <c r="F108" i="34"/>
  <c r="J111" i="34"/>
  <c r="J112" i="34"/>
  <c r="F115" i="34"/>
  <c r="I117" i="34"/>
  <c r="I121" i="34"/>
  <c r="F129" i="34"/>
  <c r="J131" i="34"/>
  <c r="E132" i="34"/>
  <c r="I135" i="34"/>
  <c r="E137" i="34"/>
  <c r="E144" i="34"/>
  <c r="G170" i="34"/>
  <c r="E184" i="34"/>
  <c r="E187" i="34"/>
  <c r="G195" i="34"/>
  <c r="O17" i="7"/>
  <c r="M17" i="7"/>
  <c r="O19" i="7"/>
  <c r="M19" i="7"/>
  <c r="O21" i="7"/>
  <c r="M21" i="7"/>
  <c r="O23" i="7"/>
  <c r="M23" i="7"/>
  <c r="O27" i="7"/>
  <c r="M27" i="7"/>
  <c r="O31" i="7"/>
  <c r="M31" i="7"/>
  <c r="O35" i="7"/>
  <c r="M35" i="7"/>
  <c r="O39" i="7"/>
  <c r="M39" i="7"/>
  <c r="O43" i="7"/>
  <c r="M43" i="7"/>
  <c r="L25" i="7"/>
  <c r="O30" i="7"/>
  <c r="M30" i="7"/>
  <c r="O34" i="7"/>
  <c r="M34" i="7"/>
  <c r="O38" i="7"/>
  <c r="M38" i="7"/>
  <c r="O42" i="7"/>
  <c r="M42" i="7"/>
  <c r="O18" i="7"/>
  <c r="M18" i="7"/>
  <c r="O20" i="7"/>
  <c r="M20" i="7"/>
  <c r="O22" i="7"/>
  <c r="M22" i="7"/>
  <c r="O25" i="7"/>
  <c r="M25" i="7"/>
  <c r="O26" i="7"/>
  <c r="M26" i="7"/>
  <c r="O29" i="7"/>
  <c r="M29" i="7"/>
  <c r="O33" i="7"/>
  <c r="M33" i="7"/>
  <c r="O37" i="7"/>
  <c r="M37" i="7"/>
  <c r="O41" i="7"/>
  <c r="M41" i="7"/>
  <c r="L23" i="7"/>
  <c r="O24" i="7"/>
  <c r="M24" i="7"/>
  <c r="O28" i="7"/>
  <c r="M28" i="7"/>
  <c r="O32" i="7"/>
  <c r="M32" i="7"/>
  <c r="O36" i="7"/>
  <c r="M36" i="7"/>
  <c r="O40" i="7"/>
  <c r="M40" i="7"/>
  <c r="O44" i="7"/>
  <c r="M44" i="7"/>
  <c r="I24" i="34"/>
  <c r="E24" i="34"/>
  <c r="I35" i="34"/>
  <c r="E35" i="34"/>
  <c r="F93" i="34"/>
  <c r="J93" i="34"/>
  <c r="E93" i="34"/>
  <c r="I93" i="34"/>
  <c r="E32" i="34"/>
  <c r="I32" i="34"/>
  <c r="F59" i="34"/>
  <c r="J59" i="34"/>
  <c r="G59" i="34"/>
  <c r="J113" i="34"/>
  <c r="F113" i="34"/>
  <c r="E113" i="34"/>
  <c r="I113" i="34"/>
  <c r="I20" i="34"/>
  <c r="E20" i="34"/>
  <c r="I28" i="34"/>
  <c r="E28" i="34"/>
  <c r="I51" i="34"/>
  <c r="E51" i="34"/>
  <c r="F67" i="34"/>
  <c r="J67" i="34"/>
  <c r="G67" i="34"/>
  <c r="I43" i="34"/>
  <c r="E43" i="34"/>
  <c r="G159" i="34"/>
  <c r="G168" i="34"/>
  <c r="J182" i="34"/>
  <c r="E196" i="34"/>
  <c r="M207" i="34"/>
  <c r="E207" i="34"/>
  <c r="I207" i="34"/>
  <c r="I8" i="34"/>
  <c r="I10" i="34"/>
  <c r="I12" i="34"/>
  <c r="I14" i="34"/>
  <c r="I16" i="34"/>
  <c r="I18" i="34"/>
  <c r="E40" i="34"/>
  <c r="E48" i="34"/>
  <c r="F58" i="34"/>
  <c r="F66" i="34"/>
  <c r="F78" i="34"/>
  <c r="F97" i="34"/>
  <c r="J97" i="34"/>
  <c r="E97" i="34"/>
  <c r="I97" i="34"/>
  <c r="F109" i="34"/>
  <c r="J109" i="34"/>
  <c r="E109" i="34"/>
  <c r="I109" i="34"/>
  <c r="I19" i="34"/>
  <c r="I23" i="34"/>
  <c r="I27" i="34"/>
  <c r="I31" i="34"/>
  <c r="I39" i="34"/>
  <c r="E39" i="34"/>
  <c r="I47" i="34"/>
  <c r="E47" i="34"/>
  <c r="I55" i="34"/>
  <c r="J55" i="34"/>
  <c r="E55" i="34"/>
  <c r="F63" i="34"/>
  <c r="F74" i="34"/>
  <c r="F105" i="34"/>
  <c r="J105" i="34"/>
  <c r="E105" i="34"/>
  <c r="I105" i="34"/>
  <c r="I7" i="34"/>
  <c r="E8" i="34"/>
  <c r="I9" i="34"/>
  <c r="E10" i="34"/>
  <c r="I11" i="34"/>
  <c r="E12" i="34"/>
  <c r="I13" i="34"/>
  <c r="E14" i="34"/>
  <c r="I15" i="34"/>
  <c r="E16" i="34"/>
  <c r="I17" i="34"/>
  <c r="E18" i="34"/>
  <c r="E21" i="34"/>
  <c r="E25" i="34"/>
  <c r="E29" i="34"/>
  <c r="E36" i="34"/>
  <c r="I40" i="34"/>
  <c r="E44" i="34"/>
  <c r="I48" i="34"/>
  <c r="E52" i="34"/>
  <c r="F62" i="34"/>
  <c r="F70" i="34"/>
  <c r="G80" i="34"/>
  <c r="F101" i="34"/>
  <c r="J101" i="34"/>
  <c r="E101" i="34"/>
  <c r="I101" i="34"/>
  <c r="J71" i="34"/>
  <c r="J75" i="34"/>
  <c r="J79" i="34"/>
  <c r="F120" i="34"/>
  <c r="I120" i="34"/>
  <c r="J120" i="34"/>
  <c r="I185" i="34"/>
  <c r="G201" i="34"/>
  <c r="I201" i="34"/>
  <c r="I38" i="34"/>
  <c r="I42" i="34"/>
  <c r="I46" i="34"/>
  <c r="I50" i="34"/>
  <c r="I54" i="34"/>
  <c r="J57" i="34"/>
  <c r="J73" i="34"/>
  <c r="J77" i="34"/>
  <c r="I94" i="34"/>
  <c r="F96" i="34"/>
  <c r="I98" i="34"/>
  <c r="I102" i="34"/>
  <c r="I106" i="34"/>
  <c r="I110" i="34"/>
  <c r="I114" i="34"/>
  <c r="F114" i="34"/>
  <c r="J114" i="34"/>
  <c r="I118" i="34"/>
  <c r="F118" i="34"/>
  <c r="J118" i="34"/>
  <c r="J122" i="34"/>
  <c r="E122" i="34"/>
  <c r="I122" i="34"/>
  <c r="F122" i="34"/>
  <c r="J130" i="34"/>
  <c r="E130" i="34"/>
  <c r="I130" i="34"/>
  <c r="F130" i="34"/>
  <c r="F161" i="34"/>
  <c r="G161" i="34"/>
  <c r="E183" i="34"/>
  <c r="G183" i="34"/>
  <c r="G197" i="34"/>
  <c r="I197" i="34"/>
  <c r="F71" i="34"/>
  <c r="F75" i="34"/>
  <c r="F79" i="34"/>
  <c r="E94" i="34"/>
  <c r="J94" i="34"/>
  <c r="E98" i="34"/>
  <c r="J98" i="34"/>
  <c r="I99" i="34"/>
  <c r="E102" i="34"/>
  <c r="J102" i="34"/>
  <c r="I103" i="34"/>
  <c r="E106" i="34"/>
  <c r="J106" i="34"/>
  <c r="I107" i="34"/>
  <c r="E110" i="34"/>
  <c r="J110" i="34"/>
  <c r="I111" i="34"/>
  <c r="F116" i="34"/>
  <c r="I116" i="34"/>
  <c r="J116" i="34"/>
  <c r="E120" i="34"/>
  <c r="J126" i="34"/>
  <c r="E126" i="34"/>
  <c r="I126" i="34"/>
  <c r="F126" i="34"/>
  <c r="J134" i="34"/>
  <c r="E134" i="34"/>
  <c r="I134" i="34"/>
  <c r="F134" i="34"/>
  <c r="E200" i="34"/>
  <c r="E203" i="34"/>
  <c r="I203" i="34"/>
  <c r="E119" i="34"/>
  <c r="J119" i="34"/>
  <c r="E123" i="34"/>
  <c r="J123" i="34"/>
  <c r="I124" i="34"/>
  <c r="E127" i="34"/>
  <c r="J127" i="34"/>
  <c r="I128" i="34"/>
  <c r="I132" i="34"/>
  <c r="G146" i="34"/>
  <c r="G148" i="34"/>
  <c r="F157" i="34"/>
  <c r="F160" i="34"/>
  <c r="G174" i="34"/>
  <c r="E192" i="34"/>
  <c r="I193" i="34"/>
  <c r="E195" i="34"/>
  <c r="E199" i="34"/>
  <c r="E117" i="34"/>
  <c r="J117" i="34"/>
  <c r="F124" i="34"/>
  <c r="F128" i="34"/>
  <c r="E129" i="34"/>
  <c r="J129" i="34"/>
  <c r="F132" i="34"/>
  <c r="E133" i="34"/>
  <c r="J133" i="34"/>
  <c r="G137" i="34"/>
  <c r="G141" i="34"/>
  <c r="J157" i="34"/>
  <c r="I195" i="34"/>
  <c r="I199" i="34"/>
  <c r="I205" i="34"/>
  <c r="E206" i="34"/>
  <c r="I209" i="34"/>
  <c r="E210" i="34"/>
  <c r="I206" i="34"/>
  <c r="I210" i="34"/>
  <c r="I56" i="34"/>
  <c r="E56" i="34"/>
  <c r="I60" i="34"/>
  <c r="E60" i="34"/>
  <c r="I64" i="34"/>
  <c r="E64" i="34"/>
  <c r="I68" i="34"/>
  <c r="E68" i="34"/>
  <c r="I72" i="34"/>
  <c r="E72" i="34"/>
  <c r="I76" i="34"/>
  <c r="E76" i="34"/>
  <c r="B7" i="34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B71" i="34" s="1"/>
  <c r="B72" i="34" s="1"/>
  <c r="B73" i="34" s="1"/>
  <c r="B74" i="34" s="1"/>
  <c r="B75" i="34" s="1"/>
  <c r="B76" i="34" s="1"/>
  <c r="B77" i="34" s="1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95" i="34" s="1"/>
  <c r="B96" i="34" s="1"/>
  <c r="B97" i="34" s="1"/>
  <c r="B98" i="34" s="1"/>
  <c r="B99" i="34" s="1"/>
  <c r="B100" i="34" s="1"/>
  <c r="B101" i="34" s="1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119" i="34" s="1"/>
  <c r="B120" i="34" s="1"/>
  <c r="B121" i="34" s="1"/>
  <c r="B122" i="34" s="1"/>
  <c r="B123" i="34" s="1"/>
  <c r="B124" i="34" s="1"/>
  <c r="B125" i="34" s="1"/>
  <c r="B126" i="34" s="1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43" i="34" s="1"/>
  <c r="B144" i="34" s="1"/>
  <c r="B145" i="34" s="1"/>
  <c r="B146" i="34" s="1"/>
  <c r="B147" i="34" s="1"/>
  <c r="B148" i="34" s="1"/>
  <c r="B149" i="34" s="1"/>
  <c r="B150" i="34" s="1"/>
  <c r="B151" i="34" s="1"/>
  <c r="B152" i="34" s="1"/>
  <c r="B153" i="34" s="1"/>
  <c r="B154" i="34" s="1"/>
  <c r="B155" i="34" s="1"/>
  <c r="B156" i="34" s="1"/>
  <c r="B157" i="34" s="1"/>
  <c r="B158" i="34" s="1"/>
  <c r="B159" i="34" s="1"/>
  <c r="B160" i="34" s="1"/>
  <c r="B161" i="34" s="1"/>
  <c r="B162" i="34" s="1"/>
  <c r="B163" i="34" s="1"/>
  <c r="B164" i="34" s="1"/>
  <c r="B165" i="34" s="1"/>
  <c r="B166" i="34" s="1"/>
  <c r="B167" i="34" s="1"/>
  <c r="B168" i="34" s="1"/>
  <c r="B169" i="34" s="1"/>
  <c r="B170" i="34" s="1"/>
  <c r="B171" i="34" s="1"/>
  <c r="B172" i="34" s="1"/>
  <c r="B173" i="34" s="1"/>
  <c r="B174" i="34" s="1"/>
  <c r="B175" i="34" s="1"/>
  <c r="B176" i="34" s="1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7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B201" i="34" s="1"/>
  <c r="B202" i="34" s="1"/>
  <c r="B203" i="34" s="1"/>
  <c r="B204" i="34" s="1"/>
  <c r="B205" i="34" s="1"/>
  <c r="F7" i="34"/>
  <c r="J7" i="34"/>
  <c r="F8" i="34"/>
  <c r="J8" i="34"/>
  <c r="F9" i="34"/>
  <c r="J9" i="34"/>
  <c r="F10" i="34"/>
  <c r="J10" i="34"/>
  <c r="F11" i="34"/>
  <c r="J11" i="34"/>
  <c r="F12" i="34"/>
  <c r="J12" i="34"/>
  <c r="F13" i="34"/>
  <c r="J13" i="34"/>
  <c r="F14" i="34"/>
  <c r="J14" i="34"/>
  <c r="F15" i="34"/>
  <c r="J15" i="34"/>
  <c r="F16" i="34"/>
  <c r="J16" i="34"/>
  <c r="F17" i="34"/>
  <c r="J17" i="34"/>
  <c r="F18" i="34"/>
  <c r="J18" i="34"/>
  <c r="F19" i="34"/>
  <c r="J19" i="34"/>
  <c r="F20" i="34"/>
  <c r="J20" i="34"/>
  <c r="F21" i="34"/>
  <c r="J21" i="34"/>
  <c r="F22" i="34"/>
  <c r="J22" i="34"/>
  <c r="F23" i="34"/>
  <c r="J23" i="34"/>
  <c r="F24" i="34"/>
  <c r="J24" i="34"/>
  <c r="F25" i="34"/>
  <c r="J25" i="34"/>
  <c r="F26" i="34"/>
  <c r="J26" i="34"/>
  <c r="F27" i="34"/>
  <c r="J27" i="34"/>
  <c r="F28" i="34"/>
  <c r="J28" i="34"/>
  <c r="F29" i="34"/>
  <c r="J29" i="34"/>
  <c r="F30" i="34"/>
  <c r="J30" i="34"/>
  <c r="F31" i="34"/>
  <c r="J31" i="34"/>
  <c r="F32" i="34"/>
  <c r="J32" i="34"/>
  <c r="F33" i="34"/>
  <c r="J33" i="34"/>
  <c r="F34" i="34"/>
  <c r="J34" i="34"/>
  <c r="F35" i="34"/>
  <c r="J35" i="34"/>
  <c r="F36" i="34"/>
  <c r="J36" i="34"/>
  <c r="F37" i="34"/>
  <c r="J37" i="34"/>
  <c r="F38" i="34"/>
  <c r="J38" i="34"/>
  <c r="F39" i="34"/>
  <c r="J39" i="34"/>
  <c r="F40" i="34"/>
  <c r="J40" i="34"/>
  <c r="F41" i="34"/>
  <c r="J41" i="34"/>
  <c r="F42" i="34"/>
  <c r="J42" i="34"/>
  <c r="F43" i="34"/>
  <c r="J43" i="34"/>
  <c r="F44" i="34"/>
  <c r="J44" i="34"/>
  <c r="F45" i="34"/>
  <c r="J45" i="34"/>
  <c r="F46" i="34"/>
  <c r="J46" i="34"/>
  <c r="F47" i="34"/>
  <c r="J47" i="34"/>
  <c r="F48" i="34"/>
  <c r="J48" i="34"/>
  <c r="F49" i="34"/>
  <c r="J49" i="34"/>
  <c r="F50" i="34"/>
  <c r="J50" i="34"/>
  <c r="F51" i="34"/>
  <c r="J51" i="34"/>
  <c r="F52" i="34"/>
  <c r="J52" i="34"/>
  <c r="F53" i="34"/>
  <c r="J53" i="34"/>
  <c r="F54" i="34"/>
  <c r="J54" i="34"/>
  <c r="F55" i="34"/>
  <c r="J56" i="34"/>
  <c r="I57" i="34"/>
  <c r="E57" i="34"/>
  <c r="G58" i="34"/>
  <c r="J60" i="34"/>
  <c r="I61" i="34"/>
  <c r="E61" i="34"/>
  <c r="G62" i="34"/>
  <c r="J64" i="34"/>
  <c r="I65" i="34"/>
  <c r="E65" i="34"/>
  <c r="G66" i="34"/>
  <c r="J68" i="34"/>
  <c r="I69" i="34"/>
  <c r="E69" i="34"/>
  <c r="G70" i="34"/>
  <c r="J72" i="34"/>
  <c r="I73" i="34"/>
  <c r="E73" i="34"/>
  <c r="G74" i="34"/>
  <c r="J76" i="34"/>
  <c r="I77" i="34"/>
  <c r="E77" i="34"/>
  <c r="G78" i="34"/>
  <c r="J81" i="34"/>
  <c r="F81" i="34"/>
  <c r="I81" i="34"/>
  <c r="E81" i="34"/>
  <c r="J83" i="34"/>
  <c r="F83" i="34"/>
  <c r="I83" i="34"/>
  <c r="E83" i="34"/>
  <c r="J85" i="34"/>
  <c r="F85" i="34"/>
  <c r="I85" i="34"/>
  <c r="E85" i="34"/>
  <c r="J87" i="34"/>
  <c r="F87" i="34"/>
  <c r="I87" i="34"/>
  <c r="E87" i="34"/>
  <c r="J89" i="34"/>
  <c r="F89" i="34"/>
  <c r="I89" i="34"/>
  <c r="E89" i="34"/>
  <c r="J91" i="34"/>
  <c r="F91" i="34"/>
  <c r="I91" i="34"/>
  <c r="E91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F56" i="34"/>
  <c r="I58" i="34"/>
  <c r="E58" i="34"/>
  <c r="F60" i="34"/>
  <c r="I62" i="34"/>
  <c r="E62" i="34"/>
  <c r="F64" i="34"/>
  <c r="I66" i="34"/>
  <c r="E66" i="34"/>
  <c r="F68" i="34"/>
  <c r="I70" i="34"/>
  <c r="E70" i="34"/>
  <c r="F72" i="34"/>
  <c r="I74" i="34"/>
  <c r="E74" i="34"/>
  <c r="F76" i="34"/>
  <c r="I78" i="34"/>
  <c r="E78" i="34"/>
  <c r="J138" i="34"/>
  <c r="F138" i="34"/>
  <c r="G138" i="34"/>
  <c r="E138" i="34"/>
  <c r="I138" i="34"/>
  <c r="J142" i="34"/>
  <c r="F142" i="34"/>
  <c r="G142" i="34"/>
  <c r="E142" i="34"/>
  <c r="I142" i="34"/>
  <c r="G56" i="34"/>
  <c r="F57" i="34"/>
  <c r="J58" i="34"/>
  <c r="I59" i="34"/>
  <c r="E59" i="34"/>
  <c r="G60" i="34"/>
  <c r="F61" i="34"/>
  <c r="J62" i="34"/>
  <c r="I63" i="34"/>
  <c r="E63" i="34"/>
  <c r="G64" i="34"/>
  <c r="F65" i="34"/>
  <c r="J66" i="34"/>
  <c r="I67" i="34"/>
  <c r="E67" i="34"/>
  <c r="G68" i="34"/>
  <c r="F69" i="34"/>
  <c r="J70" i="34"/>
  <c r="I71" i="34"/>
  <c r="E71" i="34"/>
  <c r="G72" i="34"/>
  <c r="F73" i="34"/>
  <c r="J74" i="34"/>
  <c r="I75" i="34"/>
  <c r="E75" i="34"/>
  <c r="G76" i="34"/>
  <c r="F77" i="34"/>
  <c r="J78" i="34"/>
  <c r="I79" i="34"/>
  <c r="E79" i="34"/>
  <c r="J80" i="34"/>
  <c r="F80" i="34"/>
  <c r="I80" i="34"/>
  <c r="E80" i="34"/>
  <c r="G81" i="34"/>
  <c r="J82" i="34"/>
  <c r="F82" i="34"/>
  <c r="I82" i="34"/>
  <c r="E82" i="34"/>
  <c r="G83" i="34"/>
  <c r="J84" i="34"/>
  <c r="F84" i="34"/>
  <c r="I84" i="34"/>
  <c r="E84" i="34"/>
  <c r="G85" i="34"/>
  <c r="J86" i="34"/>
  <c r="F86" i="34"/>
  <c r="I86" i="34"/>
  <c r="E86" i="34"/>
  <c r="G87" i="34"/>
  <c r="J88" i="34"/>
  <c r="F88" i="34"/>
  <c r="I88" i="34"/>
  <c r="E88" i="34"/>
  <c r="G89" i="34"/>
  <c r="J90" i="34"/>
  <c r="F90" i="34"/>
  <c r="I90" i="34"/>
  <c r="E90" i="34"/>
  <c r="G91" i="34"/>
  <c r="E92" i="34"/>
  <c r="I92" i="34"/>
  <c r="G136" i="34"/>
  <c r="J139" i="34"/>
  <c r="F139" i="34"/>
  <c r="G140" i="34"/>
  <c r="J143" i="34"/>
  <c r="F143" i="34"/>
  <c r="J145" i="34"/>
  <c r="F145" i="34"/>
  <c r="I145" i="34"/>
  <c r="E145" i="34"/>
  <c r="J147" i="34"/>
  <c r="F147" i="34"/>
  <c r="I147" i="34"/>
  <c r="E147" i="34"/>
  <c r="J149" i="34"/>
  <c r="F149" i="34"/>
  <c r="I149" i="34"/>
  <c r="E149" i="34"/>
  <c r="I162" i="34"/>
  <c r="E162" i="34"/>
  <c r="G162" i="34"/>
  <c r="F162" i="34"/>
  <c r="J162" i="34"/>
  <c r="J167" i="34"/>
  <c r="F167" i="34"/>
  <c r="I167" i="34"/>
  <c r="E167" i="34"/>
  <c r="G167" i="34"/>
  <c r="J171" i="34"/>
  <c r="F171" i="34"/>
  <c r="I171" i="34"/>
  <c r="E171" i="34"/>
  <c r="G171" i="34"/>
  <c r="J186" i="34"/>
  <c r="F186" i="34"/>
  <c r="G186" i="34"/>
  <c r="E186" i="34"/>
  <c r="I186" i="34"/>
  <c r="F92" i="34"/>
  <c r="J92" i="34"/>
  <c r="J136" i="34"/>
  <c r="F136" i="34"/>
  <c r="I139" i="34"/>
  <c r="J140" i="34"/>
  <c r="F140" i="34"/>
  <c r="I143" i="34"/>
  <c r="J144" i="34"/>
  <c r="F144" i="34"/>
  <c r="I144" i="34"/>
  <c r="I158" i="34"/>
  <c r="E158" i="34"/>
  <c r="G158" i="34"/>
  <c r="F158" i="34"/>
  <c r="J158" i="34"/>
  <c r="J165" i="34"/>
  <c r="F165" i="34"/>
  <c r="I165" i="34"/>
  <c r="E165" i="34"/>
  <c r="G165" i="34"/>
  <c r="G92" i="34"/>
  <c r="G93" i="34"/>
  <c r="G94" i="34"/>
  <c r="G95" i="34"/>
  <c r="G96" i="34"/>
  <c r="G97" i="34"/>
  <c r="G98" i="34"/>
  <c r="G99" i="34"/>
  <c r="G100" i="34"/>
  <c r="G101" i="34"/>
  <c r="G102" i="34"/>
  <c r="G103" i="34"/>
  <c r="G104" i="34"/>
  <c r="G105" i="34"/>
  <c r="G106" i="34"/>
  <c r="G107" i="34"/>
  <c r="G108" i="34"/>
  <c r="G109" i="34"/>
  <c r="G110" i="34"/>
  <c r="G111" i="34"/>
  <c r="G112" i="34"/>
  <c r="G113" i="34"/>
  <c r="G114" i="34"/>
  <c r="G115" i="34"/>
  <c r="G116" i="34"/>
  <c r="G117" i="34"/>
  <c r="G118" i="34"/>
  <c r="G119" i="34"/>
  <c r="G120" i="34"/>
  <c r="G121" i="34"/>
  <c r="G122" i="34"/>
  <c r="G123" i="34"/>
  <c r="G124" i="34"/>
  <c r="G125" i="34"/>
  <c r="G126" i="34"/>
  <c r="G127" i="34"/>
  <c r="G128" i="34"/>
  <c r="G129" i="34"/>
  <c r="G130" i="34"/>
  <c r="G131" i="34"/>
  <c r="G132" i="34"/>
  <c r="G133" i="34"/>
  <c r="G134" i="34"/>
  <c r="G135" i="34"/>
  <c r="I136" i="34"/>
  <c r="J137" i="34"/>
  <c r="F137" i="34"/>
  <c r="E139" i="34"/>
  <c r="I140" i="34"/>
  <c r="J141" i="34"/>
  <c r="F141" i="34"/>
  <c r="E143" i="34"/>
  <c r="G145" i="34"/>
  <c r="J146" i="34"/>
  <c r="F146" i="34"/>
  <c r="I146" i="34"/>
  <c r="E146" i="34"/>
  <c r="G147" i="34"/>
  <c r="J148" i="34"/>
  <c r="F148" i="34"/>
  <c r="I148" i="34"/>
  <c r="E148" i="34"/>
  <c r="G149" i="34"/>
  <c r="J150" i="34"/>
  <c r="F150" i="34"/>
  <c r="I150" i="34"/>
  <c r="E150" i="34"/>
  <c r="J151" i="34"/>
  <c r="F151" i="34"/>
  <c r="I151" i="34"/>
  <c r="E151" i="34"/>
  <c r="J152" i="34"/>
  <c r="F152" i="34"/>
  <c r="I152" i="34"/>
  <c r="E152" i="34"/>
  <c r="J153" i="34"/>
  <c r="F153" i="34"/>
  <c r="I153" i="34"/>
  <c r="E153" i="34"/>
  <c r="I154" i="34"/>
  <c r="E154" i="34"/>
  <c r="G154" i="34"/>
  <c r="F154" i="34"/>
  <c r="J154" i="34"/>
  <c r="J169" i="34"/>
  <c r="F169" i="34"/>
  <c r="I169" i="34"/>
  <c r="E169" i="34"/>
  <c r="G169" i="34"/>
  <c r="J173" i="34"/>
  <c r="F173" i="34"/>
  <c r="I173" i="34"/>
  <c r="E173" i="34"/>
  <c r="G173" i="34"/>
  <c r="I155" i="34"/>
  <c r="E155" i="34"/>
  <c r="I159" i="34"/>
  <c r="E159" i="34"/>
  <c r="I163" i="34"/>
  <c r="E163" i="34"/>
  <c r="J155" i="34"/>
  <c r="I156" i="34"/>
  <c r="E156" i="34"/>
  <c r="J159" i="34"/>
  <c r="I160" i="34"/>
  <c r="E160" i="34"/>
  <c r="J163" i="34"/>
  <c r="J164" i="34"/>
  <c r="F164" i="34"/>
  <c r="I164" i="34"/>
  <c r="E164" i="34"/>
  <c r="J166" i="34"/>
  <c r="F166" i="34"/>
  <c r="I166" i="34"/>
  <c r="E166" i="34"/>
  <c r="J168" i="34"/>
  <c r="F168" i="34"/>
  <c r="I168" i="34"/>
  <c r="E168" i="34"/>
  <c r="J170" i="34"/>
  <c r="F170" i="34"/>
  <c r="I170" i="34"/>
  <c r="E170" i="34"/>
  <c r="J172" i="34"/>
  <c r="F172" i="34"/>
  <c r="I172" i="34"/>
  <c r="E172" i="34"/>
  <c r="J174" i="34"/>
  <c r="F174" i="34"/>
  <c r="I174" i="34"/>
  <c r="E174" i="34"/>
  <c r="J194" i="34"/>
  <c r="F194" i="34"/>
  <c r="G194" i="34"/>
  <c r="E194" i="34"/>
  <c r="I194" i="34"/>
  <c r="J198" i="34"/>
  <c r="F198" i="34"/>
  <c r="G198" i="34"/>
  <c r="E198" i="34"/>
  <c r="I198" i="34"/>
  <c r="G202" i="34"/>
  <c r="J202" i="34"/>
  <c r="F202" i="34"/>
  <c r="I202" i="34"/>
  <c r="E202" i="34"/>
  <c r="F155" i="34"/>
  <c r="J156" i="34"/>
  <c r="I157" i="34"/>
  <c r="E157" i="34"/>
  <c r="F159" i="34"/>
  <c r="J160" i="34"/>
  <c r="I161" i="34"/>
  <c r="E161" i="34"/>
  <c r="F163" i="34"/>
  <c r="J190" i="34"/>
  <c r="F190" i="34"/>
  <c r="G190" i="34"/>
  <c r="E190" i="34"/>
  <c r="I190" i="34"/>
  <c r="E175" i="34"/>
  <c r="I175" i="34"/>
  <c r="E176" i="34"/>
  <c r="I176" i="34"/>
  <c r="E177" i="34"/>
  <c r="I177" i="34"/>
  <c r="E178" i="34"/>
  <c r="I178" i="34"/>
  <c r="E179" i="34"/>
  <c r="I179" i="34"/>
  <c r="E180" i="34"/>
  <c r="I180" i="34"/>
  <c r="E181" i="34"/>
  <c r="I181" i="34"/>
  <c r="E182" i="34"/>
  <c r="I182" i="34"/>
  <c r="J183" i="34"/>
  <c r="F183" i="34"/>
  <c r="G184" i="34"/>
  <c r="E185" i="34"/>
  <c r="J187" i="34"/>
  <c r="F187" i="34"/>
  <c r="G188" i="34"/>
  <c r="E189" i="34"/>
  <c r="J191" i="34"/>
  <c r="F191" i="34"/>
  <c r="G192" i="34"/>
  <c r="E193" i="34"/>
  <c r="J195" i="34"/>
  <c r="F195" i="34"/>
  <c r="G196" i="34"/>
  <c r="E197" i="34"/>
  <c r="J199" i="34"/>
  <c r="F199" i="34"/>
  <c r="G200" i="34"/>
  <c r="E201" i="34"/>
  <c r="F175" i="34"/>
  <c r="J175" i="34"/>
  <c r="F176" i="34"/>
  <c r="J176" i="34"/>
  <c r="F177" i="34"/>
  <c r="J177" i="34"/>
  <c r="F178" i="34"/>
  <c r="J178" i="34"/>
  <c r="F179" i="34"/>
  <c r="J179" i="34"/>
  <c r="F180" i="34"/>
  <c r="J180" i="34"/>
  <c r="F181" i="34"/>
  <c r="J181" i="34"/>
  <c r="F182" i="34"/>
  <c r="J184" i="34"/>
  <c r="F184" i="34"/>
  <c r="G185" i="34"/>
  <c r="J188" i="34"/>
  <c r="F188" i="34"/>
  <c r="G189" i="34"/>
  <c r="J192" i="34"/>
  <c r="F192" i="34"/>
  <c r="G193" i="34"/>
  <c r="J196" i="34"/>
  <c r="F196" i="34"/>
  <c r="J200" i="34"/>
  <c r="F200" i="34"/>
  <c r="G175" i="34"/>
  <c r="G176" i="34"/>
  <c r="G177" i="34"/>
  <c r="G178" i="34"/>
  <c r="G179" i="34"/>
  <c r="G180" i="34"/>
  <c r="G181" i="34"/>
  <c r="G182" i="34"/>
  <c r="J185" i="34"/>
  <c r="F185" i="34"/>
  <c r="I188" i="34"/>
  <c r="J189" i="34"/>
  <c r="F189" i="34"/>
  <c r="I192" i="34"/>
  <c r="J193" i="34"/>
  <c r="F193" i="34"/>
  <c r="I196" i="34"/>
  <c r="J197" i="34"/>
  <c r="F197" i="34"/>
  <c r="I200" i="34"/>
  <c r="J201" i="34"/>
  <c r="F201" i="34"/>
  <c r="F203" i="34"/>
  <c r="J203" i="34"/>
  <c r="F204" i="34"/>
  <c r="J204" i="34"/>
  <c r="F205" i="34"/>
  <c r="J205" i="34"/>
  <c r="B206" i="34"/>
  <c r="F206" i="34"/>
  <c r="J206" i="34"/>
  <c r="B207" i="34"/>
  <c r="F207" i="34"/>
  <c r="J207" i="34"/>
  <c r="B208" i="34"/>
  <c r="F208" i="34"/>
  <c r="J208" i="34"/>
  <c r="B209" i="34"/>
  <c r="F209" i="34"/>
  <c r="J209" i="34"/>
  <c r="B210" i="34"/>
  <c r="F210" i="34"/>
  <c r="J210" i="34"/>
  <c r="G203" i="34"/>
  <c r="G204" i="34"/>
  <c r="G205" i="34"/>
  <c r="G206" i="34"/>
  <c r="L206" i="34"/>
  <c r="G207" i="34"/>
  <c r="L207" i="34"/>
  <c r="G208" i="34"/>
  <c r="L208" i="34"/>
  <c r="G209" i="34"/>
  <c r="L209" i="34"/>
  <c r="G210" i="34"/>
  <c r="L210" i="34"/>
  <c r="H206" i="34"/>
  <c r="H207" i="34"/>
  <c r="H208" i="34"/>
  <c r="H209" i="34"/>
  <c r="H210" i="34"/>
  <c r="A23" i="26"/>
  <c r="B231" i="26"/>
  <c r="L208" i="33"/>
  <c r="H208" i="33"/>
  <c r="F208" i="33"/>
  <c r="E208" i="33"/>
  <c r="CJ208" i="33"/>
  <c r="B15" i="7"/>
  <c r="J208" i="33"/>
  <c r="GU208" i="33"/>
  <c r="K208" i="33"/>
  <c r="BF208" i="33"/>
  <c r="L205" i="34" l="1"/>
  <c r="L204" i="34"/>
  <c r="J15" i="7"/>
  <c r="K15" i="7"/>
  <c r="E15" i="7"/>
  <c r="L201" i="34"/>
  <c r="O15" i="7"/>
  <c r="I208" i="33"/>
  <c r="C17" i="12" s="1"/>
  <c r="O16" i="7"/>
  <c r="M208" i="33"/>
  <c r="D17" i="12" s="1"/>
  <c r="D13" i="12"/>
  <c r="C14" i="12"/>
  <c r="C16" i="12"/>
  <c r="D12" i="12"/>
  <c r="C13" i="12"/>
  <c r="C12" i="12"/>
  <c r="D16" i="12"/>
  <c r="L203" i="34"/>
  <c r="L202" i="34"/>
  <c r="P4" i="35"/>
  <c r="L4" i="35"/>
  <c r="L191" i="34"/>
  <c r="L200" i="34"/>
  <c r="L196" i="34"/>
  <c r="L197" i="34"/>
  <c r="L199" i="34"/>
  <c r="L198" i="34"/>
  <c r="L90" i="34"/>
  <c r="L193" i="34"/>
  <c r="L181" i="34"/>
  <c r="L192" i="34"/>
  <c r="L176" i="34"/>
  <c r="L186" i="34"/>
  <c r="L188" i="34"/>
  <c r="L168" i="34"/>
  <c r="L156" i="34"/>
  <c r="L184" i="34"/>
  <c r="L162" i="34"/>
  <c r="L179" i="34"/>
  <c r="L160" i="34"/>
  <c r="L161" i="34"/>
  <c r="L163" i="34"/>
  <c r="L174" i="34"/>
  <c r="L144" i="34"/>
  <c r="L183" i="34"/>
  <c r="L154" i="34"/>
  <c r="L149" i="34"/>
  <c r="L159" i="34"/>
  <c r="L146" i="34"/>
  <c r="L140" i="34"/>
  <c r="L141" i="34"/>
  <c r="L185" i="34"/>
  <c r="L157" i="34"/>
  <c r="L145" i="34"/>
  <c r="L150" i="34"/>
  <c r="L130" i="34"/>
  <c r="L129" i="34"/>
  <c r="L128" i="34"/>
  <c r="L83" i="34"/>
  <c r="L127" i="34"/>
  <c r="L165" i="34"/>
  <c r="L136" i="34"/>
  <c r="L143" i="34"/>
  <c r="L118" i="34"/>
  <c r="L121" i="34"/>
  <c r="L164" i="34"/>
  <c r="L120" i="34"/>
  <c r="L190" i="34"/>
  <c r="L119" i="34"/>
  <c r="L148" i="34"/>
  <c r="L50" i="34"/>
  <c r="L46" i="34"/>
  <c r="L38" i="34"/>
  <c r="L34" i="34"/>
  <c r="L26" i="34"/>
  <c r="L67" i="34"/>
  <c r="L30" i="34"/>
  <c r="L117" i="34"/>
  <c r="L166" i="34"/>
  <c r="L170" i="34"/>
  <c r="L155" i="34"/>
  <c r="L116" i="34"/>
  <c r="L79" i="34"/>
  <c r="L59" i="34"/>
  <c r="L74" i="34"/>
  <c r="L66" i="34"/>
  <c r="L48" i="34"/>
  <c r="L42" i="34"/>
  <c r="L36" i="34"/>
  <c r="L189" i="34"/>
  <c r="L182" i="34"/>
  <c r="L153" i="34"/>
  <c r="L137" i="34"/>
  <c r="L28" i="34"/>
  <c r="L22" i="34"/>
  <c r="L115" i="34"/>
  <c r="L195" i="34"/>
  <c r="L194" i="34"/>
  <c r="L75" i="34"/>
  <c r="L58" i="34"/>
  <c r="L187" i="34"/>
  <c r="L111" i="34"/>
  <c r="L180" i="34"/>
  <c r="L109" i="34"/>
  <c r="L178" i="34"/>
  <c r="L177" i="34"/>
  <c r="L107" i="34"/>
  <c r="L175" i="34"/>
  <c r="L106" i="34"/>
  <c r="L173" i="34"/>
  <c r="L172" i="34"/>
  <c r="L103" i="34"/>
  <c r="L171" i="34"/>
  <c r="L102" i="34"/>
  <c r="L169" i="34"/>
  <c r="L101" i="34"/>
  <c r="L167" i="34"/>
  <c r="L100" i="34"/>
  <c r="L98" i="34"/>
  <c r="L158" i="34"/>
  <c r="L96" i="34"/>
  <c r="L93" i="34"/>
  <c r="L152" i="34"/>
  <c r="L77" i="34"/>
  <c r="L78" i="34"/>
  <c r="L62" i="34"/>
  <c r="L55" i="34"/>
  <c r="L53" i="34"/>
  <c r="L43" i="34"/>
  <c r="L33" i="34"/>
  <c r="L151" i="34"/>
  <c r="L91" i="34"/>
  <c r="L147" i="34"/>
  <c r="L86" i="34"/>
  <c r="L142" i="34"/>
  <c r="L139" i="34"/>
  <c r="L87" i="34"/>
  <c r="L138" i="34"/>
  <c r="L85" i="34"/>
  <c r="L135" i="34"/>
  <c r="L84" i="34"/>
  <c r="L134" i="34"/>
  <c r="L133" i="34"/>
  <c r="L80" i="34"/>
  <c r="L132" i="34"/>
  <c r="L131" i="34"/>
  <c r="L126" i="34"/>
  <c r="L125" i="34"/>
  <c r="L124" i="34"/>
  <c r="L76" i="34"/>
  <c r="L123" i="34"/>
  <c r="L122" i="34"/>
  <c r="L114" i="34"/>
  <c r="L71" i="34"/>
  <c r="L63" i="34"/>
  <c r="L70" i="34"/>
  <c r="L49" i="34"/>
  <c r="L47" i="34"/>
  <c r="L37" i="34"/>
  <c r="L113" i="34"/>
  <c r="L112" i="34"/>
  <c r="L110" i="34"/>
  <c r="L108" i="34"/>
  <c r="L105" i="34"/>
  <c r="L104" i="34"/>
  <c r="L99" i="34"/>
  <c r="L97" i="34"/>
  <c r="L64" i="34"/>
  <c r="L95" i="34"/>
  <c r="L94" i="34"/>
  <c r="L92" i="34"/>
  <c r="L89" i="34"/>
  <c r="L88" i="34"/>
  <c r="L82" i="34"/>
  <c r="L81" i="34"/>
  <c r="L73" i="34"/>
  <c r="L72" i="34"/>
  <c r="L69" i="34"/>
  <c r="L68" i="34"/>
  <c r="L65" i="34"/>
  <c r="L61" i="34"/>
  <c r="L60" i="34"/>
  <c r="L57" i="34"/>
  <c r="L56" i="34"/>
  <c r="L54" i="34"/>
  <c r="L52" i="34"/>
  <c r="L51" i="34"/>
  <c r="L45" i="34"/>
  <c r="L44" i="34"/>
  <c r="L41" i="34"/>
  <c r="L29" i="34"/>
  <c r="L25" i="34"/>
  <c r="L23" i="34"/>
  <c r="L21" i="34"/>
  <c r="L19" i="34"/>
  <c r="L40" i="34"/>
  <c r="L39" i="34"/>
  <c r="L35" i="34"/>
  <c r="L32" i="34"/>
  <c r="L31" i="34"/>
  <c r="L27" i="34"/>
  <c r="L24" i="34"/>
  <c r="L20" i="34"/>
  <c r="L18" i="34"/>
  <c r="L17" i="34"/>
  <c r="L13" i="34"/>
  <c r="L16" i="34"/>
  <c r="L15" i="34"/>
  <c r="L14" i="34"/>
  <c r="L12" i="34"/>
  <c r="L11" i="34"/>
  <c r="L10" i="34"/>
  <c r="L7" i="34"/>
  <c r="L9" i="34"/>
  <c r="L8" i="34"/>
  <c r="A437" i="26"/>
  <c r="A438" i="26"/>
  <c r="A436" i="26"/>
  <c r="D437" i="26"/>
  <c r="DO208" i="33"/>
  <c r="D48" i="20" s="1"/>
  <c r="A48" i="20" s="1"/>
  <c r="A229" i="26"/>
  <c r="A231" i="26"/>
  <c r="A228" i="26"/>
  <c r="A230" i="26"/>
  <c r="D229" i="26"/>
  <c r="H7" i="34"/>
  <c r="M7" i="34" s="1"/>
  <c r="I15" i="7" l="1"/>
  <c r="M15" i="7"/>
  <c r="H8" i="34"/>
  <c r="M8" i="34" s="1"/>
  <c r="H9" i="34" l="1"/>
  <c r="M9" i="34" s="1"/>
  <c r="H10" i="34" l="1"/>
  <c r="M10" i="34" s="1"/>
  <c r="H11" i="34" l="1"/>
  <c r="M11" i="34" s="1"/>
  <c r="H12" i="34" l="1"/>
  <c r="M12" i="34" s="1"/>
  <c r="H13" i="34" l="1"/>
  <c r="M13" i="34" s="1"/>
  <c r="H14" i="34" l="1"/>
  <c r="M14" i="34" s="1"/>
  <c r="H15" i="34" l="1"/>
  <c r="M15" i="34" s="1"/>
  <c r="H16" i="34" l="1"/>
  <c r="M16" i="34" s="1"/>
  <c r="H17" i="34" l="1"/>
  <c r="M17" i="34" s="1"/>
  <c r="H18" i="34" l="1"/>
  <c r="M18" i="34" s="1"/>
  <c r="H19" i="34" l="1"/>
  <c r="M19" i="34" s="1"/>
  <c r="H20" i="34" l="1"/>
  <c r="M20" i="34" s="1"/>
  <c r="H21" i="34" l="1"/>
  <c r="M21" i="34" s="1"/>
  <c r="H22" i="34" l="1"/>
  <c r="M22" i="34" s="1"/>
  <c r="H23" i="34" l="1"/>
  <c r="M23" i="34" s="1"/>
  <c r="H24" i="34" l="1"/>
  <c r="M24" i="34" s="1"/>
  <c r="H25" i="34" l="1"/>
  <c r="M25" i="34" s="1"/>
  <c r="H26" i="34" l="1"/>
  <c r="M26" i="34" s="1"/>
  <c r="H27" i="34" l="1"/>
  <c r="M27" i="34" s="1"/>
  <c r="H28" i="34" l="1"/>
  <c r="M28" i="34" s="1"/>
  <c r="H29" i="34" l="1"/>
  <c r="M29" i="34" s="1"/>
  <c r="H30" i="34" l="1"/>
  <c r="M30" i="34" s="1"/>
  <c r="H31" i="34" l="1"/>
  <c r="M31" i="34" s="1"/>
  <c r="H32" i="34" l="1"/>
  <c r="M32" i="34" s="1"/>
  <c r="H33" i="34" l="1"/>
  <c r="M33" i="34" s="1"/>
  <c r="H34" i="34" l="1"/>
  <c r="M34" i="34" s="1"/>
  <c r="H35" i="34" l="1"/>
  <c r="M35" i="34" s="1"/>
  <c r="H36" i="34" l="1"/>
  <c r="M36" i="34" s="1"/>
  <c r="H37" i="34" l="1"/>
  <c r="M37" i="34" s="1"/>
  <c r="H38" i="34" l="1"/>
  <c r="M38" i="34" s="1"/>
  <c r="H39" i="34" l="1"/>
  <c r="M39" i="34" s="1"/>
  <c r="H40" i="34" l="1"/>
  <c r="M40" i="34" s="1"/>
  <c r="H41" i="34" l="1"/>
  <c r="M41" i="34" s="1"/>
  <c r="H42" i="34" l="1"/>
  <c r="M42" i="34" s="1"/>
  <c r="H43" i="34" l="1"/>
  <c r="M43" i="34" s="1"/>
  <c r="H44" i="34" l="1"/>
  <c r="M44" i="34" s="1"/>
  <c r="H45" i="34" l="1"/>
  <c r="M45" i="34" s="1"/>
  <c r="H46" i="34" l="1"/>
  <c r="M46" i="34" s="1"/>
  <c r="H47" i="34" l="1"/>
  <c r="M47" i="34" s="1"/>
  <c r="H48" i="34" l="1"/>
  <c r="M48" i="34" s="1"/>
  <c r="H49" i="34" l="1"/>
  <c r="M49" i="34" s="1"/>
  <c r="H50" i="34" l="1"/>
  <c r="M50" i="34" s="1"/>
  <c r="H51" i="34" l="1"/>
  <c r="M51" i="34" s="1"/>
  <c r="H52" i="34" l="1"/>
  <c r="M52" i="34" s="1"/>
  <c r="H53" i="34" l="1"/>
  <c r="M53" i="34" s="1"/>
  <c r="H54" i="34" l="1"/>
  <c r="M54" i="34" s="1"/>
  <c r="H55" i="34" l="1"/>
  <c r="M55" i="34" s="1"/>
  <c r="H56" i="34" l="1"/>
  <c r="M56" i="34" s="1"/>
  <c r="H57" i="34" l="1"/>
  <c r="M57" i="34" s="1"/>
  <c r="H58" i="34" l="1"/>
  <c r="M58" i="34" s="1"/>
  <c r="H59" i="34" l="1"/>
  <c r="M59" i="34" s="1"/>
  <c r="H60" i="34" l="1"/>
  <c r="M60" i="34" s="1"/>
  <c r="H61" i="34" l="1"/>
  <c r="M61" i="34" s="1"/>
  <c r="H62" i="34" l="1"/>
  <c r="M62" i="34" s="1"/>
  <c r="H63" i="34" l="1"/>
  <c r="M63" i="34" s="1"/>
  <c r="H64" i="34" l="1"/>
  <c r="M64" i="34" s="1"/>
  <c r="H65" i="34" l="1"/>
  <c r="M65" i="34" s="1"/>
  <c r="H66" i="34" l="1"/>
  <c r="M66" i="34" s="1"/>
  <c r="H67" i="34" l="1"/>
  <c r="M67" i="34" s="1"/>
  <c r="H68" i="34" l="1"/>
  <c r="M68" i="34" s="1"/>
  <c r="H69" i="34" l="1"/>
  <c r="M69" i="34" s="1"/>
  <c r="H70" i="34" l="1"/>
  <c r="M70" i="34" s="1"/>
  <c r="H71" i="34" l="1"/>
  <c r="M71" i="34" s="1"/>
  <c r="H72" i="34" l="1"/>
  <c r="M72" i="34" s="1"/>
  <c r="H73" i="34" l="1"/>
  <c r="M73" i="34" s="1"/>
  <c r="H74" i="34" l="1"/>
  <c r="M74" i="34" s="1"/>
  <c r="H75" i="34" l="1"/>
  <c r="M75" i="34" s="1"/>
  <c r="H76" i="34" l="1"/>
  <c r="M76" i="34" s="1"/>
  <c r="H77" i="34" l="1"/>
  <c r="M77" i="34" s="1"/>
  <c r="H78" i="34" l="1"/>
  <c r="M78" i="34" s="1"/>
  <c r="H79" i="34" l="1"/>
  <c r="M79" i="34" s="1"/>
  <c r="H80" i="34" l="1"/>
  <c r="M80" i="34" s="1"/>
  <c r="H81" i="34" l="1"/>
  <c r="M81" i="34" s="1"/>
  <c r="H82" i="34" l="1"/>
  <c r="M82" i="34" s="1"/>
  <c r="H83" i="34" l="1"/>
  <c r="M83" i="34" s="1"/>
  <c r="H84" i="34" l="1"/>
  <c r="M84" i="34" s="1"/>
  <c r="H85" i="34" l="1"/>
  <c r="M85" i="34" s="1"/>
  <c r="H86" i="34" l="1"/>
  <c r="M86" i="34" s="1"/>
  <c r="H87" i="34" l="1"/>
  <c r="M87" i="34" s="1"/>
  <c r="H88" i="34" l="1"/>
  <c r="M88" i="34" s="1"/>
  <c r="H89" i="34" l="1"/>
  <c r="M89" i="34" s="1"/>
  <c r="H90" i="34" l="1"/>
  <c r="M90" i="34" s="1"/>
  <c r="H91" i="34" l="1"/>
  <c r="M91" i="34" s="1"/>
  <c r="H92" i="34" l="1"/>
  <c r="M92" i="34" s="1"/>
  <c r="H93" i="34" l="1"/>
  <c r="M93" i="34" s="1"/>
  <c r="H94" i="34" l="1"/>
  <c r="M94" i="34" s="1"/>
  <c r="H95" i="34" l="1"/>
  <c r="M95" i="34" s="1"/>
  <c r="H96" i="34" l="1"/>
  <c r="M96" i="34" s="1"/>
  <c r="H97" i="34" l="1"/>
  <c r="M97" i="34" s="1"/>
  <c r="H98" i="34" l="1"/>
  <c r="M98" i="34" s="1"/>
  <c r="H99" i="34" l="1"/>
  <c r="M99" i="34" s="1"/>
  <c r="H100" i="34" l="1"/>
  <c r="M100" i="34" s="1"/>
  <c r="H101" i="34" l="1"/>
  <c r="M101" i="34" s="1"/>
  <c r="H102" i="34" l="1"/>
  <c r="M102" i="34" s="1"/>
  <c r="H103" i="34" l="1"/>
  <c r="M103" i="34" s="1"/>
  <c r="H104" i="34" l="1"/>
  <c r="M104" i="34" s="1"/>
  <c r="H105" i="34" l="1"/>
  <c r="M105" i="34" s="1"/>
  <c r="H106" i="34" l="1"/>
  <c r="M106" i="34" s="1"/>
  <c r="H107" i="34" l="1"/>
  <c r="M107" i="34" s="1"/>
  <c r="H108" i="34" l="1"/>
  <c r="M108" i="34" s="1"/>
  <c r="H109" i="34" l="1"/>
  <c r="M109" i="34" s="1"/>
  <c r="H110" i="34" l="1"/>
  <c r="M110" i="34" s="1"/>
  <c r="H111" i="34" l="1"/>
  <c r="M111" i="34" s="1"/>
  <c r="H112" i="34" l="1"/>
  <c r="M112" i="34" s="1"/>
  <c r="H113" i="34" l="1"/>
  <c r="M113" i="34" s="1"/>
  <c r="H114" i="34" l="1"/>
  <c r="M114" i="34" s="1"/>
  <c r="H115" i="34" l="1"/>
  <c r="M115" i="34" s="1"/>
  <c r="H116" i="34" l="1"/>
  <c r="M116" i="34" s="1"/>
  <c r="H117" i="34" l="1"/>
  <c r="M117" i="34" s="1"/>
  <c r="H118" i="34" l="1"/>
  <c r="M118" i="34" s="1"/>
  <c r="H119" i="34" l="1"/>
  <c r="M119" i="34" s="1"/>
  <c r="H120" i="34" l="1"/>
  <c r="M120" i="34" s="1"/>
  <c r="H121" i="34" l="1"/>
  <c r="M121" i="34" s="1"/>
  <c r="H122" i="34" l="1"/>
  <c r="M122" i="34" s="1"/>
  <c r="H123" i="34" l="1"/>
  <c r="M123" i="34" s="1"/>
  <c r="H124" i="34" l="1"/>
  <c r="M124" i="34" s="1"/>
  <c r="H125" i="34" l="1"/>
  <c r="M125" i="34" s="1"/>
  <c r="H126" i="34" l="1"/>
  <c r="M126" i="34" s="1"/>
  <c r="H127" i="34" l="1"/>
  <c r="M127" i="34" s="1"/>
  <c r="H128" i="34" l="1"/>
  <c r="M128" i="34" s="1"/>
  <c r="H129" i="34" l="1"/>
  <c r="M129" i="34" s="1"/>
  <c r="H130" i="34" l="1"/>
  <c r="M130" i="34" s="1"/>
  <c r="H131" i="34" l="1"/>
  <c r="M131" i="34" s="1"/>
  <c r="H132" i="34" l="1"/>
  <c r="M132" i="34" s="1"/>
  <c r="H133" i="34" l="1"/>
  <c r="M133" i="34" s="1"/>
  <c r="H134" i="34" l="1"/>
  <c r="M134" i="34" s="1"/>
  <c r="H135" i="34" l="1"/>
  <c r="M135" i="34" s="1"/>
  <c r="H136" i="34" l="1"/>
  <c r="M136" i="34" s="1"/>
  <c r="H137" i="34" l="1"/>
  <c r="M137" i="34" s="1"/>
  <c r="H138" i="34" l="1"/>
  <c r="M138" i="34" s="1"/>
  <c r="H139" i="34" l="1"/>
  <c r="M139" i="34" s="1"/>
  <c r="H140" i="34" l="1"/>
  <c r="M140" i="34" s="1"/>
  <c r="H141" i="34" l="1"/>
  <c r="M141" i="34" s="1"/>
  <c r="H142" i="34" l="1"/>
  <c r="M142" i="34" s="1"/>
  <c r="H143" i="34" l="1"/>
  <c r="M143" i="34" s="1"/>
  <c r="H144" i="34" l="1"/>
  <c r="M144" i="34" s="1"/>
  <c r="H145" i="34" l="1"/>
  <c r="M145" i="34" s="1"/>
  <c r="H146" i="34" l="1"/>
  <c r="M146" i="34" s="1"/>
  <c r="H147" i="34" l="1"/>
  <c r="M147" i="34" s="1"/>
  <c r="H148" i="34" l="1"/>
  <c r="M148" i="34" s="1"/>
  <c r="H149" i="34" l="1"/>
  <c r="M149" i="34" s="1"/>
  <c r="H150" i="34" l="1"/>
  <c r="M150" i="34" s="1"/>
  <c r="H151" i="34" l="1"/>
  <c r="M151" i="34" s="1"/>
  <c r="H152" i="34" l="1"/>
  <c r="M152" i="34" s="1"/>
  <c r="H153" i="34" l="1"/>
  <c r="M153" i="34" s="1"/>
  <c r="H154" i="34" l="1"/>
  <c r="M154" i="34" s="1"/>
  <c r="H155" i="34" l="1"/>
  <c r="M155" i="34" s="1"/>
  <c r="H156" i="34" l="1"/>
  <c r="M156" i="34" s="1"/>
  <c r="H157" i="34" l="1"/>
  <c r="M157" i="34" s="1"/>
  <c r="H158" i="34" l="1"/>
  <c r="M158" i="34" s="1"/>
  <c r="H159" i="34" l="1"/>
  <c r="M159" i="34" s="1"/>
  <c r="H160" i="34" l="1"/>
  <c r="M160" i="34" s="1"/>
  <c r="H161" i="34" l="1"/>
  <c r="M161" i="34" s="1"/>
  <c r="H162" i="34" l="1"/>
  <c r="M162" i="34" s="1"/>
  <c r="H163" i="34" l="1"/>
  <c r="M163" i="34" s="1"/>
  <c r="H164" i="34" l="1"/>
  <c r="M164" i="34" s="1"/>
  <c r="H165" i="34" l="1"/>
  <c r="M165" i="34" s="1"/>
  <c r="H166" i="34" l="1"/>
  <c r="M166" i="34" s="1"/>
  <c r="H167" i="34" l="1"/>
  <c r="M167" i="34" s="1"/>
  <c r="H168" i="34" l="1"/>
  <c r="M168" i="34" s="1"/>
  <c r="H169" i="34" l="1"/>
  <c r="M169" i="34" s="1"/>
  <c r="H170" i="34" l="1"/>
  <c r="M170" i="34" s="1"/>
  <c r="H171" i="34" l="1"/>
  <c r="M171" i="34" s="1"/>
  <c r="H172" i="34" l="1"/>
  <c r="M172" i="34" s="1"/>
  <c r="H173" i="34" l="1"/>
  <c r="M173" i="34" s="1"/>
  <c r="H174" i="34" l="1"/>
  <c r="M174" i="34" s="1"/>
  <c r="H175" i="34" l="1"/>
  <c r="M175" i="34" s="1"/>
  <c r="H176" i="34" l="1"/>
  <c r="M176" i="34" s="1"/>
  <c r="H177" i="34" l="1"/>
  <c r="M177" i="34" s="1"/>
  <c r="H178" i="34" l="1"/>
  <c r="M178" i="34" s="1"/>
  <c r="H179" i="34" l="1"/>
  <c r="M179" i="34" s="1"/>
  <c r="B42" i="7"/>
  <c r="H180" i="34" l="1"/>
  <c r="M180" i="34" s="1"/>
  <c r="B43" i="7"/>
  <c r="H181" i="34" l="1"/>
  <c r="M181" i="34" s="1"/>
  <c r="B44" i="7"/>
  <c r="B16" i="7" l="1"/>
  <c r="H182" i="34"/>
  <c r="M182" i="34" s="1"/>
  <c r="B17" i="7" l="1"/>
  <c r="H183" i="34"/>
  <c r="M183" i="34" s="1"/>
  <c r="B18" i="7" l="1"/>
  <c r="H184" i="34"/>
  <c r="M184" i="34" s="1"/>
  <c r="B19" i="7" l="1"/>
  <c r="H185" i="34"/>
  <c r="M185" i="34" s="1"/>
  <c r="B20" i="7" l="1"/>
  <c r="H186" i="34"/>
  <c r="M186" i="34" s="1"/>
  <c r="B21" i="7" l="1"/>
  <c r="H187" i="34"/>
  <c r="M187" i="34" s="1"/>
  <c r="B22" i="7" l="1"/>
  <c r="H188" i="34"/>
  <c r="M188" i="34" s="1"/>
  <c r="B23" i="7" l="1"/>
  <c r="H189" i="34"/>
  <c r="M189" i="34" s="1"/>
  <c r="B24" i="7" l="1"/>
  <c r="H190" i="34"/>
  <c r="M190" i="34" s="1"/>
  <c r="B25" i="7" l="1"/>
  <c r="H191" i="34"/>
  <c r="M191" i="34" s="1"/>
  <c r="B26" i="7" l="1"/>
  <c r="H192" i="34"/>
  <c r="M192" i="34" s="1"/>
  <c r="B27" i="7" l="1"/>
  <c r="H193" i="34"/>
  <c r="M193" i="34" s="1"/>
  <c r="B28" i="7" l="1"/>
  <c r="H194" i="34"/>
  <c r="M194" i="34" s="1"/>
  <c r="B29" i="7" l="1"/>
  <c r="H195" i="34"/>
  <c r="M195" i="34" s="1"/>
  <c r="H196" i="34" l="1"/>
  <c r="M196" i="34" s="1"/>
  <c r="B30" i="7"/>
  <c r="H198" i="34" l="1"/>
  <c r="M198" i="34" s="1"/>
  <c r="H197" i="34"/>
  <c r="M197" i="34" s="1"/>
  <c r="B31" i="7"/>
  <c r="B32" i="7" l="1"/>
  <c r="H199" i="34"/>
  <c r="M199" i="34" s="1"/>
  <c r="D34" i="8"/>
  <c r="C34" i="8"/>
  <c r="B33" i="7" l="1"/>
  <c r="H200" i="34"/>
  <c r="M200" i="34" s="1"/>
  <c r="B34" i="7" l="1"/>
  <c r="H201" i="34" l="1"/>
  <c r="M201" i="34" s="1"/>
  <c r="B35" i="7"/>
  <c r="D9" i="8"/>
  <c r="M9" i="30" s="1"/>
  <c r="A1" i="8"/>
  <c r="F11" i="8" s="1"/>
  <c r="AO19" i="26" s="1"/>
  <c r="B2" i="34"/>
  <c r="AC26" i="20"/>
  <c r="L4" i="26"/>
  <c r="B13" i="26"/>
  <c r="B16" i="26"/>
  <c r="CM19" i="26"/>
  <c r="CK21" i="26"/>
  <c r="B5" i="20"/>
  <c r="A11" i="20"/>
  <c r="A13" i="20"/>
  <c r="BJ14" i="20"/>
  <c r="C13" i="20" s="1"/>
  <c r="D18" i="20"/>
  <c r="C48" i="20"/>
  <c r="C49" i="20"/>
  <c r="C50" i="20"/>
  <c r="B9" i="30"/>
  <c r="E45" i="30"/>
  <c r="I45" i="30"/>
  <c r="L45" i="30"/>
  <c r="B10" i="7"/>
  <c r="D52" i="7"/>
  <c r="G52" i="7"/>
  <c r="K52" i="7"/>
  <c r="B9" i="19"/>
  <c r="C40" i="19"/>
  <c r="G40" i="19"/>
  <c r="K40" i="19"/>
  <c r="B8" i="12"/>
  <c r="E23" i="12"/>
  <c r="I23" i="12" s="1"/>
  <c r="B17" i="35"/>
  <c r="B12" i="35" s="1"/>
  <c r="N2" i="19"/>
  <c r="I15" i="12"/>
  <c r="G5" i="8"/>
  <c r="Q12" i="35" s="1"/>
  <c r="D7" i="8"/>
  <c r="H9" i="19" s="1"/>
  <c r="F14" i="8"/>
  <c r="C16" i="8"/>
  <c r="AC28" i="20" s="1"/>
  <c r="E16" i="8"/>
  <c r="C17" i="8"/>
  <c r="AM28" i="20" s="1"/>
  <c r="B6" i="35"/>
  <c r="B7" i="35"/>
  <c r="C22" i="35"/>
  <c r="B22" i="35" s="1"/>
  <c r="A22" i="35" s="1"/>
  <c r="D22" i="35"/>
  <c r="C23" i="35"/>
  <c r="D23" i="35"/>
  <c r="C24" i="35"/>
  <c r="D24" i="35"/>
  <c r="C25" i="35"/>
  <c r="D25" i="35"/>
  <c r="C26" i="35"/>
  <c r="D26" i="35"/>
  <c r="C27" i="35"/>
  <c r="D27" i="35"/>
  <c r="C28" i="35"/>
  <c r="D28" i="35"/>
  <c r="C29" i="35"/>
  <c r="D29" i="35"/>
  <c r="C30" i="35"/>
  <c r="D30" i="35"/>
  <c r="C31" i="35"/>
  <c r="D31" i="35"/>
  <c r="C32" i="35"/>
  <c r="D32" i="35"/>
  <c r="C33" i="35"/>
  <c r="D33" i="35"/>
  <c r="C34" i="35"/>
  <c r="D34" i="35"/>
  <c r="C35" i="35"/>
  <c r="D35" i="35"/>
  <c r="C36" i="35"/>
  <c r="D36" i="35"/>
  <c r="C37" i="35"/>
  <c r="D37" i="35"/>
  <c r="C38" i="35"/>
  <c r="D38" i="35"/>
  <c r="C39" i="35"/>
  <c r="D39" i="35"/>
  <c r="C40" i="35"/>
  <c r="D40" i="35"/>
  <c r="C41" i="35"/>
  <c r="D41" i="35"/>
  <c r="C42" i="35"/>
  <c r="D42" i="35"/>
  <c r="C43" i="35"/>
  <c r="D43" i="35"/>
  <c r="C44" i="35"/>
  <c r="D44" i="35"/>
  <c r="C45" i="35"/>
  <c r="D45" i="35"/>
  <c r="C46" i="35"/>
  <c r="D46" i="35"/>
  <c r="C47" i="35"/>
  <c r="D47" i="35"/>
  <c r="C48" i="35"/>
  <c r="D48" i="35"/>
  <c r="C49" i="35"/>
  <c r="D49" i="35"/>
  <c r="C50" i="35"/>
  <c r="D50" i="35"/>
  <c r="C51" i="35"/>
  <c r="D51" i="35"/>
  <c r="C52" i="35"/>
  <c r="D52" i="35"/>
  <c r="C53" i="35"/>
  <c r="D53" i="35"/>
  <c r="C54" i="35"/>
  <c r="D54" i="35"/>
  <c r="C55" i="35"/>
  <c r="D55" i="35"/>
  <c r="C56" i="35"/>
  <c r="D56" i="35"/>
  <c r="C57" i="35"/>
  <c r="D57" i="35"/>
  <c r="C58" i="35"/>
  <c r="D58" i="35"/>
  <c r="C59" i="35"/>
  <c r="D59" i="35"/>
  <c r="C60" i="35"/>
  <c r="D60" i="35"/>
  <c r="C61" i="35"/>
  <c r="D61" i="35"/>
  <c r="C62" i="35"/>
  <c r="D62" i="35"/>
  <c r="C63" i="35"/>
  <c r="D63" i="35"/>
  <c r="C64" i="35"/>
  <c r="D64" i="35"/>
  <c r="C65" i="35"/>
  <c r="D65" i="35"/>
  <c r="C66" i="35"/>
  <c r="D66" i="35"/>
  <c r="C67" i="35"/>
  <c r="D67" i="35"/>
  <c r="C68" i="35"/>
  <c r="D68" i="35"/>
  <c r="C69" i="35"/>
  <c r="D69" i="35"/>
  <c r="C70" i="35"/>
  <c r="D70" i="35"/>
  <c r="C71" i="35"/>
  <c r="D71" i="35"/>
  <c r="C72" i="35"/>
  <c r="D72" i="35"/>
  <c r="C73" i="35"/>
  <c r="D73" i="35"/>
  <c r="C74" i="35"/>
  <c r="D74" i="35"/>
  <c r="C75" i="35"/>
  <c r="D75" i="35"/>
  <c r="C76" i="35"/>
  <c r="D76" i="35"/>
  <c r="C77" i="35"/>
  <c r="D77" i="35"/>
  <c r="C78" i="35"/>
  <c r="D78" i="35"/>
  <c r="C79" i="35"/>
  <c r="D79" i="35"/>
  <c r="C80" i="35"/>
  <c r="D80" i="35"/>
  <c r="C81" i="35"/>
  <c r="D81" i="35"/>
  <c r="C82" i="35"/>
  <c r="D82" i="35"/>
  <c r="C83" i="35"/>
  <c r="D83" i="35"/>
  <c r="C84" i="35"/>
  <c r="D84" i="35"/>
  <c r="C85" i="35"/>
  <c r="D85" i="35"/>
  <c r="C86" i="35"/>
  <c r="D86" i="35"/>
  <c r="C87" i="35"/>
  <c r="D87" i="35"/>
  <c r="C88" i="35"/>
  <c r="D88" i="35"/>
  <c r="C89" i="35"/>
  <c r="D89" i="35"/>
  <c r="C90" i="35"/>
  <c r="D90" i="35"/>
  <c r="C91" i="35"/>
  <c r="D91" i="35"/>
  <c r="C92" i="35"/>
  <c r="D92" i="35"/>
  <c r="C93" i="35"/>
  <c r="D93" i="35"/>
  <c r="C94" i="35"/>
  <c r="D94" i="35"/>
  <c r="C95" i="35"/>
  <c r="D95" i="35"/>
  <c r="C96" i="35"/>
  <c r="D96" i="35"/>
  <c r="C97" i="35"/>
  <c r="D97" i="35"/>
  <c r="C98" i="35"/>
  <c r="D98" i="35"/>
  <c r="C99" i="35"/>
  <c r="D99" i="35"/>
  <c r="C100" i="35"/>
  <c r="D100" i="35"/>
  <c r="C101" i="35"/>
  <c r="D101" i="35"/>
  <c r="C102" i="35"/>
  <c r="D102" i="35"/>
  <c r="C103" i="35"/>
  <c r="D103" i="35"/>
  <c r="C104" i="35"/>
  <c r="D104" i="35"/>
  <c r="C105" i="35"/>
  <c r="D105" i="35"/>
  <c r="C106" i="35"/>
  <c r="D106" i="35"/>
  <c r="C107" i="35"/>
  <c r="D107" i="35"/>
  <c r="C108" i="35"/>
  <c r="D108" i="35"/>
  <c r="C109" i="35"/>
  <c r="D109" i="35"/>
  <c r="C110" i="35"/>
  <c r="D110" i="35"/>
  <c r="C111" i="35"/>
  <c r="D111" i="35"/>
  <c r="C112" i="35"/>
  <c r="D112" i="35"/>
  <c r="C113" i="35"/>
  <c r="D113" i="35"/>
  <c r="C114" i="35"/>
  <c r="D114" i="35"/>
  <c r="C115" i="35"/>
  <c r="D115" i="35"/>
  <c r="C116" i="35"/>
  <c r="D116" i="35"/>
  <c r="C117" i="35"/>
  <c r="D117" i="35"/>
  <c r="C118" i="35"/>
  <c r="D118" i="35"/>
  <c r="C119" i="35"/>
  <c r="D119" i="35"/>
  <c r="C120" i="35"/>
  <c r="D120" i="35"/>
  <c r="C121" i="35"/>
  <c r="D121" i="35"/>
  <c r="C122" i="35"/>
  <c r="D122" i="35"/>
  <c r="C123" i="35"/>
  <c r="D123" i="35"/>
  <c r="C124" i="35"/>
  <c r="D124" i="35"/>
  <c r="C125" i="35"/>
  <c r="D125" i="35"/>
  <c r="C126" i="35"/>
  <c r="D126" i="35"/>
  <c r="C127" i="35"/>
  <c r="D127" i="35"/>
  <c r="C128" i="35"/>
  <c r="D128" i="35"/>
  <c r="C129" i="35"/>
  <c r="D129" i="35"/>
  <c r="C130" i="35"/>
  <c r="D130" i="35"/>
  <c r="C131" i="35"/>
  <c r="D131" i="35"/>
  <c r="C132" i="35"/>
  <c r="D132" i="35"/>
  <c r="C133" i="35"/>
  <c r="D133" i="35"/>
  <c r="C134" i="35"/>
  <c r="D134" i="35"/>
  <c r="C135" i="35"/>
  <c r="D135" i="35"/>
  <c r="C136" i="35"/>
  <c r="D136" i="35"/>
  <c r="C137" i="35"/>
  <c r="D137" i="35"/>
  <c r="C138" i="35"/>
  <c r="D138" i="35"/>
  <c r="C139" i="35"/>
  <c r="D139" i="35"/>
  <c r="C140" i="35"/>
  <c r="D140" i="35"/>
  <c r="C141" i="35"/>
  <c r="D141" i="35"/>
  <c r="C142" i="35"/>
  <c r="D142" i="35"/>
  <c r="C143" i="35"/>
  <c r="D143" i="35"/>
  <c r="C144" i="35"/>
  <c r="D144" i="35"/>
  <c r="C145" i="35"/>
  <c r="D145" i="35"/>
  <c r="C146" i="35"/>
  <c r="D146" i="35"/>
  <c r="C147" i="35"/>
  <c r="D147" i="35"/>
  <c r="C148" i="35"/>
  <c r="D148" i="35"/>
  <c r="C149" i="35"/>
  <c r="D149" i="35"/>
  <c r="C150" i="35"/>
  <c r="D150" i="35"/>
  <c r="C151" i="35"/>
  <c r="D151" i="35"/>
  <c r="C152" i="35"/>
  <c r="D152" i="35"/>
  <c r="C153" i="35"/>
  <c r="D153" i="35"/>
  <c r="C154" i="35"/>
  <c r="D154" i="35"/>
  <c r="C155" i="35"/>
  <c r="D155" i="35"/>
  <c r="C156" i="35"/>
  <c r="D156" i="35"/>
  <c r="C157" i="35"/>
  <c r="D157" i="35"/>
  <c r="C158" i="35"/>
  <c r="D158" i="35"/>
  <c r="C159" i="35"/>
  <c r="D159" i="35"/>
  <c r="C160" i="35"/>
  <c r="D160" i="35"/>
  <c r="C161" i="35"/>
  <c r="D161" i="35"/>
  <c r="C162" i="35"/>
  <c r="D162" i="35"/>
  <c r="C163" i="35"/>
  <c r="D163" i="35"/>
  <c r="C164" i="35"/>
  <c r="D164" i="35"/>
  <c r="C165" i="35"/>
  <c r="D165" i="35"/>
  <c r="C166" i="35"/>
  <c r="D166" i="35"/>
  <c r="C167" i="35"/>
  <c r="D167" i="35"/>
  <c r="C168" i="35"/>
  <c r="D168" i="35"/>
  <c r="C169" i="35"/>
  <c r="D169" i="35"/>
  <c r="C170" i="35"/>
  <c r="D170" i="35"/>
  <c r="C171" i="35"/>
  <c r="D171" i="35"/>
  <c r="C172" i="35"/>
  <c r="D172" i="35"/>
  <c r="C173" i="35"/>
  <c r="D173" i="35"/>
  <c r="C174" i="35"/>
  <c r="D174" i="35"/>
  <c r="C175" i="35"/>
  <c r="D175" i="35"/>
  <c r="C176" i="35"/>
  <c r="D176" i="35"/>
  <c r="C177" i="35"/>
  <c r="D177" i="35"/>
  <c r="C178" i="35"/>
  <c r="D178" i="35"/>
  <c r="C179" i="35"/>
  <c r="D179" i="35"/>
  <c r="C180" i="35"/>
  <c r="D180" i="35"/>
  <c r="C181" i="35"/>
  <c r="D181" i="35"/>
  <c r="C182" i="35"/>
  <c r="D182" i="35"/>
  <c r="C183" i="35"/>
  <c r="D183" i="35"/>
  <c r="C184" i="35"/>
  <c r="D184" i="35"/>
  <c r="C185" i="35"/>
  <c r="D185" i="35"/>
  <c r="C186" i="35"/>
  <c r="D186" i="35"/>
  <c r="C187" i="35"/>
  <c r="D187" i="35"/>
  <c r="C188" i="35"/>
  <c r="D188" i="35"/>
  <c r="C189" i="35"/>
  <c r="D189" i="35"/>
  <c r="C190" i="35"/>
  <c r="D190" i="35"/>
  <c r="C191" i="35"/>
  <c r="D191" i="35"/>
  <c r="C192" i="35"/>
  <c r="D192" i="35"/>
  <c r="C193" i="35"/>
  <c r="D193" i="35"/>
  <c r="C194" i="35"/>
  <c r="D194" i="35"/>
  <c r="C195" i="35"/>
  <c r="D195" i="35"/>
  <c r="C14" i="8"/>
  <c r="L16" i="12"/>
  <c r="L17" i="12"/>
  <c r="CL19" i="26"/>
  <c r="CN19" i="26"/>
  <c r="B1" i="49" l="1"/>
  <c r="B1" i="48"/>
  <c r="B1" i="47"/>
  <c r="B1" i="46"/>
  <c r="B1" i="44"/>
  <c r="B1" i="40"/>
  <c r="B1" i="41"/>
  <c r="M13" i="12"/>
  <c r="B1" i="38"/>
  <c r="B1" i="36"/>
  <c r="H204" i="34"/>
  <c r="M204" i="34" s="1"/>
  <c r="BI7" i="20"/>
  <c r="Y2" i="35"/>
  <c r="P13" i="20"/>
  <c r="A22" i="20" s="1"/>
  <c r="L15" i="35"/>
  <c r="CL22" i="26"/>
  <c r="D18" i="26" s="1"/>
  <c r="Y4" i="35"/>
  <c r="H203" i="34"/>
  <c r="M203" i="34" s="1"/>
  <c r="H202" i="34"/>
  <c r="M202" i="34" s="1"/>
  <c r="B36" i="7"/>
  <c r="FN3" i="33"/>
  <c r="N2" i="30" s="1"/>
  <c r="G10" i="7"/>
  <c r="G9" i="30"/>
  <c r="D11" i="8"/>
  <c r="AH19" i="26" s="1"/>
  <c r="B14" i="8"/>
  <c r="M9" i="19"/>
  <c r="BH11" i="20"/>
  <c r="M8" i="12"/>
  <c r="L10" i="7"/>
  <c r="L9" i="19"/>
  <c r="L9" i="30"/>
  <c r="D8" i="12"/>
  <c r="K10" i="7"/>
  <c r="G15" i="35"/>
  <c r="C6" i="35" s="1"/>
  <c r="E12" i="35" s="1"/>
  <c r="D11" i="35" s="1"/>
  <c r="K8" i="12"/>
  <c r="CN11" i="26"/>
  <c r="BJ9" i="20"/>
  <c r="N18" i="12"/>
  <c r="Q19" i="12" s="1"/>
  <c r="B23" i="35"/>
  <c r="A23" i="35" s="1"/>
  <c r="N41" i="30"/>
  <c r="K41" i="30"/>
  <c r="B48" i="7"/>
  <c r="J41" i="30"/>
  <c r="L41" i="30"/>
  <c r="I41" i="30"/>
  <c r="M37" i="19"/>
  <c r="B47" i="19"/>
  <c r="H37" i="19"/>
  <c r="L37" i="19"/>
  <c r="B21" i="26"/>
  <c r="J37" i="19"/>
  <c r="I37" i="19"/>
  <c r="K37" i="19"/>
  <c r="M41" i="30"/>
  <c r="B13" i="35"/>
  <c r="AW28" i="20"/>
  <c r="C21" i="35"/>
  <c r="A20" i="35"/>
  <c r="B11" i="35"/>
  <c r="D21" i="35"/>
  <c r="B21" i="35"/>
  <c r="A21" i="35" s="1"/>
  <c r="C53" i="20"/>
  <c r="C52" i="20" s="1"/>
  <c r="AM23" i="20"/>
  <c r="AM29" i="20" s="1"/>
  <c r="K45" i="7"/>
  <c r="AM27" i="20"/>
  <c r="P49" i="7"/>
  <c r="P48" i="7"/>
  <c r="P51" i="7"/>
  <c r="AM26" i="20"/>
  <c r="I45" i="7"/>
  <c r="AC23" i="20"/>
  <c r="AC29" i="20" s="1"/>
  <c r="H205" i="34" l="1"/>
  <c r="M205" i="34" s="1"/>
  <c r="A29" i="20"/>
  <c r="A25" i="20"/>
  <c r="A17" i="20"/>
  <c r="A21" i="20"/>
  <c r="A27" i="20"/>
  <c r="A20" i="20"/>
  <c r="L19" i="26"/>
  <c r="F20" i="26"/>
  <c r="AU19" i="26"/>
  <c r="A18" i="20"/>
  <c r="A28" i="20"/>
  <c r="A26" i="20"/>
  <c r="A24" i="20"/>
  <c r="A23" i="20"/>
  <c r="J9" i="30"/>
  <c r="CK3" i="26"/>
  <c r="BH7" i="20"/>
  <c r="X3" i="35"/>
  <c r="Y3" i="35" s="1"/>
  <c r="CK4" i="26"/>
  <c r="CK5" i="26"/>
  <c r="CK2" i="26"/>
  <c r="B37" i="7"/>
  <c r="B38" i="7"/>
  <c r="BH9" i="20"/>
  <c r="E15" i="35"/>
  <c r="B4" i="34"/>
  <c r="H8" i="12"/>
  <c r="CL11" i="26"/>
  <c r="I10" i="7"/>
  <c r="J9" i="19"/>
  <c r="B5" i="35"/>
  <c r="CO11" i="26"/>
  <c r="B13" i="8"/>
  <c r="L45" i="7"/>
  <c r="H45" i="7"/>
  <c r="J45" i="7"/>
  <c r="E45" i="7"/>
  <c r="G45" i="7"/>
  <c r="F45" i="7"/>
  <c r="M45" i="7"/>
  <c r="B24" i="35"/>
  <c r="E13" i="12"/>
  <c r="AW23" i="20" s="1"/>
  <c r="AW29" i="20" s="1"/>
  <c r="A32" i="20" s="1"/>
  <c r="C13" i="35"/>
  <c r="BG53" i="20"/>
  <c r="A53" i="20" s="1"/>
  <c r="BG54" i="20"/>
  <c r="A54" i="20" s="1"/>
  <c r="BG52" i="20"/>
  <c r="A52" i="20" s="1"/>
  <c r="C12" i="35"/>
  <c r="F12" i="35"/>
  <c r="AQ23" i="20"/>
  <c r="AN23" i="20"/>
  <c r="AQ22" i="20"/>
  <c r="AP22" i="20"/>
  <c r="AP23" i="20"/>
  <c r="AU23" i="20"/>
  <c r="AP26" i="20"/>
  <c r="AV23" i="20"/>
  <c r="AT23" i="20"/>
  <c r="AP27" i="20"/>
  <c r="AO23" i="20"/>
  <c r="AN25" i="20"/>
  <c r="AQ25" i="20"/>
  <c r="AS22" i="20"/>
  <c r="AT22" i="20"/>
  <c r="AU26" i="20"/>
  <c r="AR26" i="20"/>
  <c r="AV25" i="20"/>
  <c r="AU22" i="20"/>
  <c r="AS26" i="20"/>
  <c r="AU25" i="20"/>
  <c r="AT26" i="20"/>
  <c r="AV26" i="20"/>
  <c r="AN27" i="20"/>
  <c r="AT25" i="20"/>
  <c r="AV22" i="20"/>
  <c r="AS23" i="20"/>
  <c r="AS25" i="20"/>
  <c r="AP25" i="20"/>
  <c r="AO26" i="20"/>
  <c r="AQ27" i="20"/>
  <c r="AN22" i="20"/>
  <c r="AR25" i="20"/>
  <c r="AO25" i="20"/>
  <c r="AR22" i="20"/>
  <c r="AR23" i="20"/>
  <c r="AN26" i="20"/>
  <c r="AO27" i="20"/>
  <c r="AV27" i="20"/>
  <c r="AR27" i="20"/>
  <c r="D15" i="12"/>
  <c r="AM25" i="20" s="1"/>
  <c r="AQ26" i="20"/>
  <c r="AU27" i="20"/>
  <c r="AM22" i="20"/>
  <c r="AT27" i="20"/>
  <c r="AO22" i="20"/>
  <c r="AS27" i="20"/>
  <c r="AC24" i="20"/>
  <c r="E14" i="12"/>
  <c r="AW24" i="20" s="1"/>
  <c r="E16" i="12"/>
  <c r="AC27" i="20"/>
  <c r="E17" i="12"/>
  <c r="AG24" i="20"/>
  <c r="AE26" i="20"/>
  <c r="AG27" i="20"/>
  <c r="AJ23" i="20"/>
  <c r="AH22" i="20"/>
  <c r="AF26" i="20"/>
  <c r="AG26" i="20"/>
  <c r="AH26" i="20"/>
  <c r="AG23" i="20"/>
  <c r="AJ25" i="20"/>
  <c r="AL25" i="20"/>
  <c r="AF27" i="20"/>
  <c r="AG22" i="20"/>
  <c r="AH23" i="20"/>
  <c r="AD26" i="20"/>
  <c r="AC22" i="20"/>
  <c r="AL23" i="20"/>
  <c r="AL26" i="20"/>
  <c r="AK24" i="20"/>
  <c r="AF24" i="20"/>
  <c r="AD27" i="20"/>
  <c r="AF25" i="20"/>
  <c r="AG25" i="20"/>
  <c r="AI22" i="20"/>
  <c r="AJ24" i="20"/>
  <c r="AK22" i="20"/>
  <c r="C15" i="12"/>
  <c r="AF23" i="20"/>
  <c r="AE25" i="20"/>
  <c r="AH25" i="20"/>
  <c r="AJ22" i="20"/>
  <c r="AE27" i="20"/>
  <c r="AD25" i="20"/>
  <c r="AK27" i="20"/>
  <c r="AF22" i="20"/>
  <c r="AD22" i="20"/>
  <c r="AH24" i="20"/>
  <c r="AI24" i="20"/>
  <c r="AD23" i="20"/>
  <c r="AE23" i="20"/>
  <c r="AD24" i="20"/>
  <c r="AK26" i="20"/>
  <c r="AK23" i="20"/>
  <c r="AI23" i="20"/>
  <c r="AJ26" i="20"/>
  <c r="AL27" i="20"/>
  <c r="AH27" i="20"/>
  <c r="AI25" i="20"/>
  <c r="AI26" i="20"/>
  <c r="E12" i="12"/>
  <c r="AK25" i="20"/>
  <c r="AL24" i="20"/>
  <c r="AL22" i="20"/>
  <c r="AE24" i="20"/>
  <c r="AI27" i="20"/>
  <c r="AE22" i="20"/>
  <c r="AJ27" i="20"/>
  <c r="B3" i="49" l="1"/>
  <c r="B3" i="47"/>
  <c r="B3" i="46"/>
  <c r="B3" i="48"/>
  <c r="B3" i="44"/>
  <c r="B3" i="41"/>
  <c r="B3" i="40"/>
  <c r="B3" i="38"/>
  <c r="B3" i="36"/>
  <c r="C17" i="20"/>
  <c r="C31" i="20"/>
  <c r="B39" i="7"/>
  <c r="B41" i="7"/>
  <c r="A24" i="35"/>
  <c r="B25" i="35"/>
  <c r="AW27" i="20"/>
  <c r="BH37" i="20"/>
  <c r="E15" i="12"/>
  <c r="AC25" i="20"/>
  <c r="BD24" i="20"/>
  <c r="BC25" i="20"/>
  <c r="AY23" i="20"/>
  <c r="BF25" i="20"/>
  <c r="BF24" i="20"/>
  <c r="AX24" i="20"/>
  <c r="BB23" i="20"/>
  <c r="BA22" i="20"/>
  <c r="BC22" i="20"/>
  <c r="BB24" i="20"/>
  <c r="BA24" i="20"/>
  <c r="BD23" i="20"/>
  <c r="BE25" i="20"/>
  <c r="BC24" i="20"/>
  <c r="BA27" i="20"/>
  <c r="BF23" i="20"/>
  <c r="AY26" i="20"/>
  <c r="AZ23" i="20"/>
  <c r="AY25" i="20"/>
  <c r="AY24" i="20"/>
  <c r="BD26" i="20"/>
  <c r="BB22" i="20"/>
  <c r="AX25" i="20"/>
  <c r="BA23" i="20"/>
  <c r="BB25" i="20"/>
  <c r="BD22" i="20"/>
  <c r="AX27" i="20"/>
  <c r="AY22" i="20"/>
  <c r="AZ22" i="20"/>
  <c r="BE22" i="20"/>
  <c r="AW22" i="20"/>
  <c r="BD27" i="20"/>
  <c r="BB26" i="20"/>
  <c r="BA26" i="20"/>
  <c r="BF27" i="20"/>
  <c r="AZ27" i="20"/>
  <c r="AY27" i="20"/>
  <c r="AX26" i="20"/>
  <c r="BE23" i="20"/>
  <c r="BD25" i="20"/>
  <c r="BC27" i="20"/>
  <c r="BF26" i="20"/>
  <c r="BE26" i="20"/>
  <c r="BB27" i="20"/>
  <c r="AZ26" i="20"/>
  <c r="AZ25" i="20"/>
  <c r="BE27" i="20"/>
  <c r="BC23" i="20"/>
  <c r="BF22" i="20"/>
  <c r="BA25" i="20"/>
  <c r="AX22" i="20"/>
  <c r="AX23" i="20"/>
  <c r="AZ24" i="20"/>
  <c r="BC26" i="20"/>
  <c r="BE24" i="20"/>
  <c r="AW26" i="20"/>
  <c r="BH34" i="20"/>
  <c r="BH38" i="20"/>
  <c r="BH35" i="20"/>
  <c r="A31" i="20" l="1"/>
  <c r="B210" i="33"/>
  <c r="A25" i="35"/>
  <c r="B26" i="35"/>
  <c r="BH31" i="20"/>
  <c r="AW25" i="20"/>
  <c r="BH32" i="20"/>
  <c r="N2" i="7" l="1"/>
  <c r="B40" i="7"/>
  <c r="G13" i="12"/>
  <c r="B215" i="33"/>
  <c r="B212" i="33"/>
  <c r="P2" i="35"/>
  <c r="L3" i="35" s="1"/>
  <c r="A26" i="35"/>
  <c r="B27" i="35"/>
  <c r="A27" i="35" l="1"/>
  <c r="B28" i="35"/>
  <c r="A28" i="35" l="1"/>
  <c r="B29" i="35"/>
  <c r="A29" i="35" l="1"/>
  <c r="B30" i="35"/>
  <c r="A30" i="35" l="1"/>
  <c r="B31" i="35"/>
  <c r="A31" i="35" l="1"/>
  <c r="B32" i="35"/>
  <c r="A32" i="35" l="1"/>
  <c r="B33" i="35"/>
  <c r="A33" i="35" l="1"/>
  <c r="B34" i="35"/>
  <c r="A34" i="35" l="1"/>
  <c r="B35" i="35"/>
  <c r="A35" i="35" l="1"/>
  <c r="B36" i="35"/>
  <c r="A36" i="35" l="1"/>
  <c r="B37" i="35"/>
  <c r="A37" i="35" l="1"/>
  <c r="B38" i="35"/>
  <c r="A38" i="35" l="1"/>
  <c r="B39" i="35"/>
  <c r="A39" i="35" l="1"/>
  <c r="B40" i="35"/>
  <c r="A40" i="35" l="1"/>
  <c r="B41" i="35"/>
  <c r="A41" i="35" l="1"/>
  <c r="B42" i="35"/>
  <c r="A42" i="35" l="1"/>
  <c r="B43" i="35"/>
  <c r="A43" i="35" l="1"/>
  <c r="B44" i="35"/>
  <c r="A44" i="35" l="1"/>
  <c r="B45" i="35"/>
  <c r="A45" i="35" l="1"/>
  <c r="B46" i="35"/>
  <c r="A46" i="35" l="1"/>
  <c r="B47" i="35"/>
  <c r="A47" i="35" l="1"/>
  <c r="B48" i="35"/>
  <c r="A48" i="35" l="1"/>
  <c r="B49" i="35"/>
  <c r="A49" i="35" l="1"/>
  <c r="B50" i="35"/>
  <c r="A50" i="35" l="1"/>
  <c r="B51" i="35"/>
  <c r="A51" i="35" l="1"/>
  <c r="B52" i="35"/>
  <c r="A52" i="35" l="1"/>
  <c r="B53" i="35"/>
  <c r="A53" i="35" l="1"/>
  <c r="B54" i="35"/>
  <c r="A54" i="35" l="1"/>
  <c r="B55" i="35"/>
  <c r="A55" i="35" l="1"/>
  <c r="B56" i="35"/>
  <c r="A56" i="35" l="1"/>
  <c r="B57" i="35"/>
  <c r="A57" i="35" l="1"/>
  <c r="B58" i="35"/>
  <c r="A58" i="35" l="1"/>
  <c r="B59" i="35"/>
  <c r="A59" i="35" l="1"/>
  <c r="B60" i="35"/>
  <c r="A60" i="35" l="1"/>
  <c r="B61" i="35"/>
  <c r="A61" i="35" l="1"/>
  <c r="B62" i="35"/>
  <c r="A62" i="35" l="1"/>
  <c r="B63" i="35"/>
  <c r="A63" i="35" l="1"/>
  <c r="B64" i="35"/>
  <c r="A64" i="35" l="1"/>
  <c r="B65" i="35"/>
  <c r="A65" i="35" l="1"/>
  <c r="B66" i="35"/>
  <c r="A66" i="35" l="1"/>
  <c r="B67" i="35"/>
  <c r="A67" i="35" l="1"/>
  <c r="B68" i="35"/>
  <c r="A68" i="35" l="1"/>
  <c r="B69" i="35"/>
  <c r="A69" i="35" l="1"/>
  <c r="B70" i="35"/>
  <c r="A70" i="35" l="1"/>
  <c r="B71" i="35"/>
  <c r="A71" i="35" l="1"/>
  <c r="B72" i="35"/>
  <c r="A72" i="35" l="1"/>
  <c r="B73" i="35"/>
  <c r="A73" i="35" l="1"/>
  <c r="B74" i="35"/>
  <c r="A74" i="35" l="1"/>
  <c r="B75" i="35"/>
  <c r="A75" i="35" l="1"/>
  <c r="B76" i="35"/>
  <c r="A76" i="35" l="1"/>
  <c r="B77" i="35"/>
  <c r="A77" i="35" l="1"/>
  <c r="B78" i="35"/>
  <c r="A78" i="35" l="1"/>
  <c r="B79" i="35"/>
  <c r="A79" i="35" l="1"/>
  <c r="B80" i="35"/>
  <c r="A80" i="35" l="1"/>
  <c r="B81" i="35"/>
  <c r="A81" i="35" l="1"/>
  <c r="B82" i="35"/>
  <c r="A82" i="35" l="1"/>
  <c r="B83" i="35"/>
  <c r="A83" i="35" l="1"/>
  <c r="B84" i="35"/>
  <c r="A84" i="35" l="1"/>
  <c r="B85" i="35"/>
  <c r="A85" i="35" l="1"/>
  <c r="B86" i="35"/>
  <c r="A86" i="35" l="1"/>
  <c r="B87" i="35"/>
  <c r="A87" i="35" l="1"/>
  <c r="B88" i="35"/>
  <c r="A88" i="35" l="1"/>
  <c r="B89" i="35"/>
  <c r="A89" i="35" l="1"/>
  <c r="B90" i="35"/>
  <c r="A90" i="35" l="1"/>
  <c r="B91" i="35"/>
  <c r="A91" i="35" l="1"/>
  <c r="B92" i="35"/>
  <c r="A92" i="35" l="1"/>
  <c r="B93" i="35"/>
  <c r="A93" i="35" l="1"/>
  <c r="B94" i="35"/>
  <c r="A94" i="35" l="1"/>
  <c r="B95" i="35"/>
  <c r="A95" i="35" l="1"/>
  <c r="B96" i="35"/>
  <c r="A96" i="35" l="1"/>
  <c r="B97" i="35"/>
  <c r="A97" i="35" l="1"/>
  <c r="B98" i="35"/>
  <c r="A98" i="35" l="1"/>
  <c r="B99" i="35"/>
  <c r="A99" i="35" l="1"/>
  <c r="B100" i="35"/>
  <c r="A100" i="35" l="1"/>
  <c r="B101" i="35"/>
  <c r="A101" i="35" l="1"/>
  <c r="B102" i="35"/>
  <c r="A102" i="35" l="1"/>
  <c r="B103" i="35"/>
  <c r="A103" i="35" l="1"/>
  <c r="B104" i="35"/>
  <c r="A104" i="35" l="1"/>
  <c r="B105" i="35"/>
  <c r="A105" i="35" l="1"/>
  <c r="B106" i="35"/>
  <c r="A106" i="35" l="1"/>
  <c r="B107" i="35"/>
  <c r="A107" i="35" l="1"/>
  <c r="B108" i="35"/>
  <c r="A108" i="35" l="1"/>
  <c r="B109" i="35"/>
  <c r="A109" i="35" l="1"/>
  <c r="B110" i="35"/>
  <c r="A110" i="35" l="1"/>
  <c r="B111" i="35"/>
  <c r="A111" i="35" l="1"/>
  <c r="B112" i="35"/>
  <c r="A112" i="35" l="1"/>
  <c r="B113" i="35"/>
  <c r="A113" i="35" l="1"/>
  <c r="B114" i="35"/>
  <c r="A114" i="35" l="1"/>
  <c r="B115" i="35"/>
  <c r="A115" i="35" l="1"/>
  <c r="B116" i="35"/>
  <c r="A116" i="35" l="1"/>
  <c r="B117" i="35"/>
  <c r="A117" i="35" l="1"/>
  <c r="B118" i="35"/>
  <c r="A118" i="35" l="1"/>
  <c r="B119" i="35"/>
  <c r="A119" i="35" l="1"/>
  <c r="B120" i="35"/>
  <c r="A120" i="35" l="1"/>
  <c r="B121" i="35"/>
  <c r="A121" i="35" l="1"/>
  <c r="B122" i="35"/>
  <c r="A122" i="35" l="1"/>
  <c r="B123" i="35"/>
  <c r="A123" i="35" l="1"/>
  <c r="B124" i="35"/>
  <c r="A124" i="35" l="1"/>
  <c r="B125" i="35"/>
  <c r="A125" i="35" l="1"/>
  <c r="B126" i="35"/>
  <c r="A126" i="35" l="1"/>
  <c r="B127" i="35"/>
  <c r="A127" i="35" l="1"/>
  <c r="B128" i="35"/>
  <c r="A128" i="35" l="1"/>
  <c r="B129" i="35"/>
  <c r="A129" i="35" l="1"/>
  <c r="B130" i="35"/>
  <c r="A130" i="35" l="1"/>
  <c r="B131" i="35"/>
  <c r="A131" i="35" l="1"/>
  <c r="B132" i="35"/>
  <c r="A132" i="35" l="1"/>
  <c r="B133" i="35"/>
  <c r="A133" i="35" l="1"/>
  <c r="B134" i="35"/>
  <c r="A134" i="35" l="1"/>
  <c r="B135" i="35"/>
  <c r="A135" i="35" l="1"/>
  <c r="B136" i="35"/>
  <c r="A136" i="35" l="1"/>
  <c r="B137" i="35"/>
  <c r="A137" i="35" l="1"/>
  <c r="B138" i="35"/>
  <c r="A138" i="35" l="1"/>
  <c r="B139" i="35"/>
  <c r="A139" i="35" l="1"/>
  <c r="B140" i="35"/>
  <c r="A140" i="35" l="1"/>
  <c r="B141" i="35"/>
  <c r="A141" i="35" l="1"/>
  <c r="B142" i="35"/>
  <c r="A142" i="35" l="1"/>
  <c r="B143" i="35"/>
  <c r="A143" i="35" l="1"/>
  <c r="B144" i="35"/>
  <c r="A144" i="35" l="1"/>
  <c r="B145" i="35"/>
  <c r="A145" i="35" l="1"/>
  <c r="B146" i="35"/>
  <c r="A146" i="35" l="1"/>
  <c r="B147" i="35"/>
  <c r="A147" i="35" l="1"/>
  <c r="B148" i="35"/>
  <c r="A148" i="35" l="1"/>
  <c r="B149" i="35"/>
  <c r="A149" i="35" l="1"/>
  <c r="B150" i="35"/>
  <c r="A150" i="35" l="1"/>
  <c r="B151" i="35"/>
  <c r="A151" i="35" l="1"/>
  <c r="B152" i="35"/>
  <c r="A152" i="35" l="1"/>
  <c r="B153" i="35"/>
  <c r="A153" i="35" l="1"/>
  <c r="B154" i="35"/>
  <c r="A154" i="35" l="1"/>
  <c r="B155" i="35"/>
  <c r="A155" i="35" l="1"/>
  <c r="B156" i="35"/>
  <c r="A156" i="35" l="1"/>
  <c r="B157" i="35"/>
  <c r="A157" i="35" l="1"/>
  <c r="B158" i="35"/>
  <c r="A158" i="35" l="1"/>
  <c r="B159" i="35"/>
  <c r="A159" i="35" l="1"/>
  <c r="B160" i="35"/>
  <c r="A160" i="35" l="1"/>
  <c r="B161" i="35"/>
  <c r="A161" i="35" l="1"/>
  <c r="B162" i="35"/>
  <c r="A162" i="35" l="1"/>
  <c r="B163" i="35"/>
  <c r="A163" i="35" l="1"/>
  <c r="B164" i="35"/>
  <c r="A164" i="35" l="1"/>
  <c r="B165" i="35"/>
  <c r="A165" i="35" l="1"/>
  <c r="B166" i="35"/>
  <c r="A166" i="35" l="1"/>
  <c r="B167" i="35"/>
  <c r="A167" i="35" l="1"/>
  <c r="B168" i="35"/>
  <c r="A168" i="35" l="1"/>
  <c r="B169" i="35"/>
  <c r="A169" i="35" l="1"/>
  <c r="B170" i="35"/>
  <c r="A170" i="35" l="1"/>
  <c r="B171" i="35"/>
  <c r="A171" i="35" l="1"/>
  <c r="B172" i="35"/>
  <c r="A172" i="35" l="1"/>
  <c r="B173" i="35"/>
  <c r="A173" i="35" l="1"/>
  <c r="B174" i="35"/>
  <c r="A174" i="35" l="1"/>
  <c r="B175" i="35"/>
  <c r="A175" i="35" l="1"/>
  <c r="B176" i="35"/>
  <c r="A176" i="35" l="1"/>
  <c r="B177" i="35"/>
  <c r="A177" i="35" l="1"/>
  <c r="B178" i="35"/>
  <c r="A178" i="35" l="1"/>
  <c r="B179" i="35"/>
  <c r="A179" i="35" l="1"/>
  <c r="B180" i="35"/>
  <c r="A180" i="35" l="1"/>
  <c r="B181" i="35"/>
  <c r="A181" i="35" l="1"/>
  <c r="B182" i="35"/>
  <c r="A182" i="35" l="1"/>
  <c r="B183" i="35"/>
  <c r="A183" i="35" l="1"/>
  <c r="B184" i="35"/>
  <c r="A184" i="35" l="1"/>
  <c r="B185" i="35"/>
  <c r="A185" i="35" l="1"/>
  <c r="B186" i="35"/>
  <c r="A186" i="35" l="1"/>
  <c r="B187" i="35"/>
  <c r="A187" i="35" l="1"/>
  <c r="B188" i="35"/>
  <c r="A188" i="35" l="1"/>
  <c r="B189" i="35"/>
  <c r="A189" i="35" l="1"/>
  <c r="B190" i="35"/>
  <c r="A190" i="35" l="1"/>
  <c r="B191" i="35"/>
  <c r="A191" i="35" l="1"/>
  <c r="B192" i="35"/>
  <c r="A192" i="35" l="1"/>
  <c r="B193" i="35"/>
  <c r="A193" i="35" l="1"/>
  <c r="B194" i="35"/>
  <c r="A194" i="35" l="1"/>
  <c r="B195" i="35"/>
  <c r="A195" i="35" l="1"/>
  <c r="B196" i="35"/>
  <c r="A196" i="35" l="1"/>
  <c r="B197" i="35"/>
  <c r="A197" i="35" l="1"/>
  <c r="B198" i="35"/>
  <c r="A198" i="35" l="1"/>
  <c r="B199" i="35"/>
  <c r="A199" i="35" l="1"/>
  <c r="B200" i="35"/>
  <c r="A200" i="35" l="1"/>
  <c r="B201" i="35"/>
  <c r="A201" i="35" l="1"/>
  <c r="B202" i="35"/>
  <c r="A202" i="35" l="1"/>
  <c r="B203" i="35"/>
  <c r="A203" i="35" l="1"/>
  <c r="B204" i="35"/>
  <c r="A204" i="35" l="1"/>
  <c r="B205" i="35"/>
  <c r="A205" i="35" l="1"/>
  <c r="B206" i="35"/>
  <c r="A206" i="35" l="1"/>
  <c r="B207" i="35"/>
  <c r="A207" i="35" l="1"/>
  <c r="B208" i="35"/>
  <c r="A208" i="35" l="1"/>
  <c r="B209" i="35"/>
  <c r="A209" i="35" l="1"/>
  <c r="B210" i="35"/>
  <c r="A210" i="35" l="1"/>
  <c r="B211" i="35"/>
  <c r="A211" i="35" l="1"/>
  <c r="B212" i="35"/>
  <c r="A212" i="35" l="1"/>
  <c r="B213" i="35"/>
  <c r="A213" i="35" l="1"/>
  <c r="B214" i="35"/>
  <c r="A214" i="35" l="1"/>
  <c r="B215" i="35"/>
  <c r="A215" i="35" l="1"/>
  <c r="B216" i="35"/>
  <c r="A216" i="35" l="1"/>
  <c r="B217" i="35"/>
  <c r="A217" i="35" l="1"/>
  <c r="B218" i="35"/>
  <c r="A218" i="35" l="1"/>
  <c r="B219" i="35"/>
  <c r="A219" i="35" s="1"/>
</calcChain>
</file>

<file path=xl/comments1.xml><?xml version="1.0" encoding="utf-8"?>
<comments xmlns="http://schemas.openxmlformats.org/spreadsheetml/2006/main">
  <authors>
    <author>d749633</author>
  </authors>
  <commentList>
    <comment ref="D36" authorId="0">
      <text>
        <r>
          <rPr>
            <b/>
            <sz val="8"/>
            <color indexed="81"/>
            <rFont val="Tahoma"/>
            <family val="2"/>
          </rPr>
          <t>Digite a DATA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Digite a DATA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6" authorId="0">
      <text>
        <r>
          <rPr>
            <b/>
            <sz val="8"/>
            <color indexed="81"/>
            <rFont val="Tahoma"/>
            <family val="2"/>
          </rPr>
          <t>Digite a DATA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<sst xmlns="http://schemas.openxmlformats.org/spreadsheetml/2006/main" count="1247" uniqueCount="574">
  <si>
    <t>Ass. e carimbo do Responsável pela Área Contábil da D.R.E.</t>
  </si>
  <si>
    <t>Ass. e carimbo do Presidente da Comissão Específica da D.R.E.</t>
  </si>
  <si>
    <t>Demonstrativo Analítico da Execução Físico-Financeira</t>
  </si>
  <si>
    <t>BLOCO 1 – IDENTIFICAÇÃO</t>
  </si>
  <si>
    <t>BLOCO 2 – DADOS FÍSICO-FINANCEIRO DA EXECUÇÃO (R$)</t>
  </si>
  <si>
    <t>Prestação de Contas - Modelo VIII</t>
  </si>
  <si>
    <t>07 - CUSTEIO</t>
  </si>
  <si>
    <t>REPROGRAMADO</t>
  </si>
  <si>
    <t>RECEBIDO</t>
  </si>
  <si>
    <t>RENDIMENTOS</t>
  </si>
  <si>
    <t>VALOR UTILIZADO</t>
  </si>
  <si>
    <t>SALDO</t>
  </si>
  <si>
    <t>08 - CAPITAL</t>
  </si>
  <si>
    <t>03 -  PERÍODO DE REALIZAÇÃO</t>
  </si>
  <si>
    <t>04 -  EXERCÍCIO</t>
  </si>
  <si>
    <t>09 - SITUAÇÃO</t>
  </si>
  <si>
    <t>BLOCO 3 – OBSERVAÇÃO</t>
  </si>
  <si>
    <t>BLOCO 4 - AUTENTICAÇÃO</t>
  </si>
  <si>
    <t>10 - TOTAL</t>
  </si>
  <si>
    <t xml:space="preserve">                ______________________________________________________</t>
  </si>
  <si>
    <t xml:space="preserve">   ___________________________________________________</t>
  </si>
  <si>
    <t xml:space="preserve">          ____________________________________________________</t>
  </si>
  <si>
    <t>02 -  Nº DO CNPJ (C.E.)</t>
  </si>
  <si>
    <t>PRESTAÇÃO CONTAS</t>
  </si>
  <si>
    <t>a</t>
  </si>
  <si>
    <t>Exercício:</t>
  </si>
  <si>
    <t>CNPJ:</t>
  </si>
  <si>
    <t>A</t>
  </si>
  <si>
    <t>01 - DIRETORIA REGIONAL DE EDUCAÇÃO</t>
  </si>
  <si>
    <t>05 -  Nº ORDEM</t>
  </si>
  <si>
    <t>CNPJ</t>
  </si>
  <si>
    <t>46.392.114/0014-40</t>
  </si>
  <si>
    <t>BUTANTÃ</t>
  </si>
  <si>
    <t>Prestação de Contas - Modelo VI</t>
  </si>
  <si>
    <t>Demonstrativo Sintético da Execução Físico-Financeira</t>
  </si>
  <si>
    <t>02 - N.º DO CNPJ</t>
  </si>
  <si>
    <t>03 - PERÍODO DE REALIZAÇÃO</t>
  </si>
  <si>
    <t>04 - EXERCÍCIO</t>
  </si>
  <si>
    <t>BLOCO 2 – EXECUÇÃO FINANCEIRA (R$)</t>
  </si>
  <si>
    <t>BLOCO 3 – EXECUÇÃO FÍSICA</t>
  </si>
  <si>
    <t>05 - ORIGEM DOS RECURSOS</t>
  </si>
  <si>
    <t>CUSTEIO</t>
  </si>
  <si>
    <t>CAPITAL</t>
  </si>
  <si>
    <t>TOTAL (R$)</t>
  </si>
  <si>
    <t>06 - ATENDIMENTO</t>
  </si>
  <si>
    <t>SALDO REPROGRAMADO PERÍODO ANTERIOR</t>
  </si>
  <si>
    <t xml:space="preserve">UEs. COM APMs </t>
  </si>
  <si>
    <t>UEs. DESATIVADAS</t>
  </si>
  <si>
    <t>Nº DE APMs. HABILITADAS</t>
  </si>
  <si>
    <t>(+) REND.DE APLICAÇÃO FINANCEIRA</t>
  </si>
  <si>
    <t>07 - PRESTAÇÃO DE CONTAS DAS APM'S</t>
  </si>
  <si>
    <t xml:space="preserve">(=) VALOR TOTAL </t>
  </si>
  <si>
    <t>(-) DESPESA APROVADA</t>
  </si>
  <si>
    <t>SALDO REPROGRAMADO PRÓXIMO PERÍODO</t>
  </si>
  <si>
    <t>BLOCO 4 – PARECER CONCLUSIVO SOBRE A EXECUÇÃO DOS RECURSOS DO PTRF</t>
  </si>
  <si>
    <t xml:space="preserve"> BLOCO 5 - DECLARAÇÃO</t>
  </si>
  <si>
    <t>BLOCO 6 -  AUTENTICAÇÃO</t>
  </si>
  <si>
    <t>Ass. e carimbo do Responsável pela Área Contábil da DRE</t>
  </si>
  <si>
    <t>Ass. e carimbo do Presidente da Comissão Específica da DRE</t>
  </si>
  <si>
    <t>Período:</t>
  </si>
  <si>
    <t>_________________________________</t>
  </si>
  <si>
    <t>Ass. e carimbo do Diretor Regional de Educação da DRE</t>
  </si>
  <si>
    <t>(+) TRANSFERIDO PELA D.R.E. NO PERÍODO</t>
  </si>
  <si>
    <t>Conforme Ata do Parecer Técnico Conclusivo nº</t>
  </si>
  <si>
    <t>de</t>
  </si>
  <si>
    <t>APROVADAS</t>
  </si>
  <si>
    <t>NÃO APRESENTADAS</t>
  </si>
  <si>
    <t>NÃO APROVADAS</t>
  </si>
  <si>
    <t>DEVIDAS</t>
  </si>
  <si>
    <t>TOTAL</t>
  </si>
  <si>
    <t xml:space="preserve">06 - APM da(o) </t>
  </si>
  <si>
    <t>06 - APM  da(o)</t>
  </si>
  <si>
    <t>SITUAÇÃO</t>
  </si>
  <si>
    <t>Prestação de Contas - Modelo VII</t>
  </si>
  <si>
    <t>Relação das APM Inadimplentes com prestação de contas</t>
  </si>
  <si>
    <t>02 - N.º DO CNPJ (DRE)</t>
  </si>
  <si>
    <t>BLOCO 2 – IDENTIFICAÇÃO DA APM E DA UNIDADE EDUCACIONAL</t>
  </si>
  <si>
    <t>05 - Nº ORD.</t>
  </si>
  <si>
    <t xml:space="preserve">07 - Nº DO CNPJ </t>
  </si>
  <si>
    <t>08 - Nº DO CCM</t>
  </si>
  <si>
    <t>09 - RECEITA CUSTEIO</t>
  </si>
  <si>
    <t>10 - RECEITA CAPITAL</t>
  </si>
  <si>
    <t xml:space="preserve">11 - SITUAÇÃO    </t>
  </si>
  <si>
    <t>PRESTAÇÃO  CONTAS</t>
  </si>
  <si>
    <t>BLOCO 3 – AUTENTICAÇÃO</t>
  </si>
  <si>
    <t xml:space="preserve">     ________________________________________________</t>
  </si>
  <si>
    <t>___________________________________________________</t>
  </si>
  <si>
    <t>________________________________________________</t>
  </si>
  <si>
    <t>Ass. e carimbo Presidente da Comissão Específica da DRE</t>
  </si>
  <si>
    <t>12 - TOTAL</t>
  </si>
  <si>
    <t>CCM</t>
  </si>
  <si>
    <t>PREFEITURA DO MUNICÍPIO DE SÃO PAULO</t>
  </si>
  <si>
    <t>SECRETARIA MUNICIPAL DE EDUCAÇÃO</t>
  </si>
  <si>
    <t>DIRETORIA REGIONAL DE EDUCAÇÃO</t>
  </si>
  <si>
    <t>São Paulo,</t>
  </si>
  <si>
    <t>OFÍCIO Nº.:</t>
  </si>
  <si>
    <t>Ass. e carimbo do Diretor Regional de Educação da D.R.E.</t>
  </si>
  <si>
    <t xml:space="preserve"> a </t>
  </si>
  <si>
    <t xml:space="preserve"> (</t>
  </si>
  <si>
    <t xml:space="preserve">). </t>
  </si>
  <si>
    <t>Os valores previstos pela SME e os efetivamente pagos nas dotações referentes ao repasse estão especificados em quadro abaixo:</t>
  </si>
  <si>
    <t>LEGENDA:    01 - Não Apresentada   -  02 - Não Aprovada</t>
  </si>
  <si>
    <t>Os recursos foram aplicados de acordo com o artigo 3º, incisos de I a VI, da lei Municipal 13.991, de 10 de junho de 2005.</t>
  </si>
  <si>
    <t>Integram esta prestação de contas:</t>
  </si>
  <si>
    <t>Relação de APM inadimplentes com a prestação de contas (modelo VII)</t>
  </si>
  <si>
    <t>●</t>
  </si>
  <si>
    <t>Secretaria Municipal de Educação</t>
  </si>
  <si>
    <t>.</t>
  </si>
  <si>
    <t>ATA DE PARECER TÉCNICO CONCLUSIVO</t>
  </si>
  <si>
    <t>Dia:</t>
  </si>
  <si>
    <t>Mês:</t>
  </si>
  <si>
    <t>Ano:</t>
  </si>
  <si>
    <t xml:space="preserve"> h.</t>
  </si>
  <si>
    <t xml:space="preserve">, </t>
  </si>
  <si>
    <t xml:space="preserve">às </t>
  </si>
  <si>
    <t xml:space="preserve"> de </t>
  </si>
  <si>
    <t xml:space="preserve">reuniu – se a Comissão Específica da Diretoria Regional de Educação - </t>
  </si>
  <si>
    <t>Reprogr.</t>
  </si>
  <si>
    <t>Transfer.</t>
  </si>
  <si>
    <t>Rendim.</t>
  </si>
  <si>
    <t>Despesas</t>
  </si>
  <si>
    <t>Saldo</t>
  </si>
  <si>
    <t>Devol. Tes.</t>
  </si>
  <si>
    <t>Data:</t>
  </si>
  <si>
    <t>PUBLICADO</t>
  </si>
  <si>
    <t>Prestação de Contas - Modelo IX</t>
  </si>
  <si>
    <t>Relação de APMs Excluídas da Inadimplência</t>
  </si>
  <si>
    <t>05- Nº ORD.</t>
  </si>
  <si>
    <t>09 -  CUSTEIO</t>
  </si>
  <si>
    <t>10 - CAPITAL</t>
  </si>
  <si>
    <t>RECEITA</t>
  </si>
  <si>
    <t>DESPESA</t>
  </si>
  <si>
    <t>11 - TOTAL</t>
  </si>
  <si>
    <t>BLOCO 3 – DECLARAÇÃO</t>
  </si>
  <si>
    <t>BLOCO 4 – AUTENTICAÇÃO</t>
  </si>
  <si>
    <t>Declaro, sob as penas da lei, que todas as APMs constantes deste anexo tiveram as suas prestações de contas aprovadas.</t>
  </si>
  <si>
    <t>______________________________________</t>
  </si>
  <si>
    <t>________________________________</t>
  </si>
  <si>
    <t>Ass.e carimbo do Responsável pela Área Contábil da DRE</t>
  </si>
  <si>
    <t>, para proceder a análise da prestação de contas dos recursos transferidos pelo PTRF, de acordo com o Item II, subitem 8 e Item V, subitem 16 do Anexo I da Portaria SME n°. 4.554/2008 e deliberou:</t>
  </si>
  <si>
    <t>UNIDADE EXECUTORA</t>
  </si>
  <si>
    <t>MOTIVO</t>
  </si>
  <si>
    <t>Nada mais a ser tratado, os trabalhos foram encerrados, a Ata lida e achada conforme, vai assinada pelos membros da Comissão.</t>
  </si>
  <si>
    <t>Parecer Técnico Nº.:</t>
  </si>
  <si>
    <t>cnpj</t>
  </si>
  <si>
    <t>ccm</t>
  </si>
  <si>
    <t xml:space="preserve"> 06 - APM do(a)</t>
  </si>
  <si>
    <t>DESPESAS</t>
  </si>
  <si>
    <t>Nº ORDEM</t>
  </si>
  <si>
    <t xml:space="preserve">APM da(o) </t>
  </si>
  <si>
    <t xml:space="preserve">No exercício de atribuição conferida pela Portaria SME nº 2.946/05, mediante Parecer Técnico Conclusivo de Comissão Específica da Diretoria Regional de Educação </t>
  </si>
  <si>
    <t>, das Associações de Pais e Mestres - APMs abaixo relacionadas:</t>
  </si>
  <si>
    <t xml:space="preserve">, expedido através da ATA nº </t>
  </si>
  <si>
    <t>Previsto Custeio:</t>
  </si>
  <si>
    <t>Previsto Capital:</t>
  </si>
  <si>
    <t>LEGENDA:    01 - Não Apresentada   -  02 - Não Aprovada   -   03 - Aprovada</t>
  </si>
  <si>
    <t>Relação de APM excluídas da inadimplência (modelo IX)</t>
  </si>
  <si>
    <t>Atualização:</t>
  </si>
  <si>
    <t>Período</t>
  </si>
  <si>
    <t>MODELOS: 6 - 7 -  8 - 9 - OFÍCIO - ATA - LAUDA</t>
  </si>
  <si>
    <t/>
  </si>
  <si>
    <t>total pag. Mod 7</t>
  </si>
  <si>
    <t>total itens Mod 7</t>
  </si>
  <si>
    <t>PÁGINAS</t>
  </si>
  <si>
    <t>formula</t>
  </si>
  <si>
    <t>total pag. Mod 8</t>
  </si>
  <si>
    <t>total itens Mod 8</t>
  </si>
  <si>
    <t>Itens - Mod 8</t>
  </si>
  <si>
    <t>página Mod 8</t>
  </si>
  <si>
    <t>receita C</t>
  </si>
  <si>
    <t>receita K</t>
  </si>
  <si>
    <t>vazio</t>
  </si>
  <si>
    <t>total geral</t>
  </si>
  <si>
    <t>UEs. DA D.R.E.</t>
  </si>
  <si>
    <t>Os rendimentos de aplicação financeira no valor de:</t>
  </si>
  <si>
    <t>Perfazendo o total de:</t>
  </si>
  <si>
    <t>-</t>
  </si>
  <si>
    <t>O valor das despesas realizadas foram de:</t>
  </si>
  <si>
    <t>E o saldo reprogramado para o próximo período é de:</t>
  </si>
  <si>
    <t>DRE</t>
  </si>
  <si>
    <t>CAMPO LIMPO</t>
  </si>
  <si>
    <t>46.392.114/0007-10</t>
  </si>
  <si>
    <t>CAPELA DO SOCORRO</t>
  </si>
  <si>
    <t>46.392.114/0008-10</t>
  </si>
  <si>
    <t>FREGUESIA/BRASILÂNDIA</t>
  </si>
  <si>
    <t>46.392.114/0005-59</t>
  </si>
  <si>
    <t>GUAIANASES</t>
  </si>
  <si>
    <t>46.392.114/0013-69</t>
  </si>
  <si>
    <t>IPIRANGA</t>
  </si>
  <si>
    <t>46.392.114/0003-97</t>
  </si>
  <si>
    <t>ITAQUERA</t>
  </si>
  <si>
    <t>46.392.114/0011-05</t>
  </si>
  <si>
    <t>JAÇANÃ/TREMEMBÉ</t>
  </si>
  <si>
    <t>46.392.114/0004-78</t>
  </si>
  <si>
    <t>PENHA</t>
  </si>
  <si>
    <t>46.392.114/0009-82</t>
  </si>
  <si>
    <t>46.392.114/0006-30</t>
  </si>
  <si>
    <t>SANTO AMARO</t>
  </si>
  <si>
    <t>46.392.114/0010-16</t>
  </si>
  <si>
    <t>SÃO MATEUS</t>
  </si>
  <si>
    <t>46.392.114/0015-20</t>
  </si>
  <si>
    <t>46.392.114/0012-88</t>
  </si>
  <si>
    <t>Nº
ORDEM</t>
  </si>
  <si>
    <t>Total de Unidades</t>
  </si>
  <si>
    <t>Habilitadas</t>
  </si>
  <si>
    <t>Unidades com APM</t>
  </si>
  <si>
    <t>Nesta oportunidade reiteramos nossos protestos de estima e consideração.</t>
  </si>
  <si>
    <t>Diretor Regional de Educação</t>
  </si>
  <si>
    <t>Nome:</t>
  </si>
  <si>
    <t>Cargo:</t>
  </si>
  <si>
    <t>R.F.:</t>
  </si>
  <si>
    <t>Assinatura</t>
  </si>
  <si>
    <t>Submeter ao Sr. Diretor Regional de Educação a presente Ata, com o parecer conclusivo desta Comissão atendendo ao Inciso II, item 8 do Anexo I da Portaria SME nº 4.554/08.</t>
  </si>
  <si>
    <t>Manter sob custódia até a publicação do despacho no DOC e juntar cópia desta Ata ao processo.</t>
  </si>
  <si>
    <t>Em</t>
  </si>
  <si>
    <t>VAI PARA MODELO 9 ?</t>
  </si>
  <si>
    <t>MODELO 7</t>
  </si>
  <si>
    <t>SAIU DA INADIMPLENCIA</t>
  </si>
  <si>
    <t>SÓ 2 - NÃO APROVADO</t>
  </si>
  <si>
    <t>ATA E LAUDA</t>
  </si>
  <si>
    <t>SÓ 1 - NÃO APRESENTOU</t>
  </si>
  <si>
    <t>Bloqueados</t>
  </si>
  <si>
    <t>Não Habilitada (Zerado)</t>
  </si>
  <si>
    <t xml:space="preserve">      Declaro, sob as penas da lei, que as informações prestadas são  a  expressão  da  verdade, e  visam  o atendimento do disposto no Decreto nº 46.230, de 23 de agosto de 2005 e Decreto nº 47.837, de 31 de outubro de 2.006.</t>
  </si>
  <si>
    <t>EOL</t>
  </si>
  <si>
    <t>SIGLA</t>
  </si>
  <si>
    <t>BT</t>
  </si>
  <si>
    <t>CL</t>
  </si>
  <si>
    <t>CS</t>
  </si>
  <si>
    <t>FO</t>
  </si>
  <si>
    <t>G</t>
  </si>
  <si>
    <t>IP</t>
  </si>
  <si>
    <t>JT</t>
  </si>
  <si>
    <t>PE</t>
  </si>
  <si>
    <t>PJ</t>
  </si>
  <si>
    <t>SA</t>
  </si>
  <si>
    <t>SM</t>
  </si>
  <si>
    <t>MP</t>
  </si>
  <si>
    <t>A APM da Unidade Escolar, abaixo, não apresentou despesas de custeio neste período.</t>
  </si>
  <si>
    <t>Unidades Escolares</t>
  </si>
  <si>
    <t>OK</t>
  </si>
  <si>
    <t>PROGRAMA DE TRANSFERENCIA DE RECURSOS FINANCEIROS - PTRF</t>
  </si>
  <si>
    <t>As APMs das Unidades Escolares abaixo, não apresentaram despesas de custeio neste período.</t>
  </si>
  <si>
    <t>Escola</t>
  </si>
  <si>
    <t>Escolas</t>
  </si>
  <si>
    <t>custeio</t>
  </si>
  <si>
    <t>capital</t>
  </si>
  <si>
    <t>NÃO HOUVE DESPESAS EM CUSTEIO</t>
  </si>
  <si>
    <t>JUSTIFICATIVA DIFERENÇA ENTRE PREVISTO E PAGO</t>
  </si>
  <si>
    <t>Tipo de Ata:</t>
  </si>
  <si>
    <t>s</t>
  </si>
  <si>
    <t>p</t>
  </si>
  <si>
    <t>Horas:</t>
  </si>
  <si>
    <t>Ata Anterior Nº:</t>
  </si>
  <si>
    <t>DOC Nº:</t>
  </si>
  <si>
    <t>Página:</t>
  </si>
  <si>
    <t>ORIGEM DOS RECURSOS</t>
  </si>
  <si>
    <t xml:space="preserve">VALOR TOTAL </t>
  </si>
  <si>
    <t>CUSTEIO (R$)</t>
  </si>
  <si>
    <t>CAPITAL (R$)</t>
  </si>
  <si>
    <t>RENDIMENTO DE APLICAÇÃO FINANCEIRA</t>
  </si>
  <si>
    <t>SALDO REPROGRAMADO DO PERÍODO ANTERIOR</t>
  </si>
  <si>
    <t>DESPESAS APROVADAS</t>
  </si>
  <si>
    <t>SALDO REPROGRAMADO PARA O PRÓXIMO PERÍODO</t>
  </si>
  <si>
    <t>Justificamos a diferença entre os valores previstos e os transferidos</t>
  </si>
  <si>
    <t>Justifique a diferença entre os valores previstos e os transferidos</t>
  </si>
  <si>
    <t xml:space="preserve">, período de </t>
  </si>
  <si>
    <t xml:space="preserve"> do Programa de Transferência de Recursos Financeiros - PTRF.</t>
  </si>
  <si>
    <t>TRANSFERIDO PELA DRE NO PERÍODO</t>
  </si>
  <si>
    <t>VALOR PREVISTO PELA SME</t>
  </si>
  <si>
    <t>DIFERENÇA ENTRE VALORES PREVISTOS E TRANSFERIDOS</t>
  </si>
  <si>
    <t>Informamos também que as respectivas prestações de contas das APMs foram analisadas e aprovadas sob os aspectos legal e formal, pela comissão específica constituída nesta Diretoria Regional de Educação, para esta finalidade.</t>
  </si>
  <si>
    <t>Justificativa</t>
  </si>
  <si>
    <t>Ata do Parecer Técnico Conclusivo;</t>
  </si>
  <si>
    <t>Demonstrativo Sintético da Execução Físico-Financeira (modelo VI);</t>
  </si>
  <si>
    <t>Demonstrativo Analítico da Execução Físico-Financeira (modelo VIII);</t>
  </si>
  <si>
    <t>Cópia da última folha dos pagamentos efetuados contendo o total por dotação orçamentária obtida no SOF;</t>
  </si>
  <si>
    <t>Cópia da publicação no DOC das  APM aprovadas;</t>
  </si>
  <si>
    <t>Cópia do DAMSP de devolução ao Tesouro;</t>
  </si>
  <si>
    <t>No quadro abaixo encontra-se a sintese dos valores do período:</t>
  </si>
  <si>
    <r>
      <t>P</t>
    </r>
    <r>
      <rPr>
        <b/>
        <sz val="10"/>
        <rFont val="Arial"/>
        <family val="2"/>
      </rPr>
      <t xml:space="preserve">ROGRAMA DE </t>
    </r>
    <r>
      <rPr>
        <b/>
        <sz val="16"/>
        <color indexed="10"/>
        <rFont val="Arial"/>
        <family val="2"/>
      </rPr>
      <t>T</t>
    </r>
    <r>
      <rPr>
        <b/>
        <sz val="10"/>
        <rFont val="Arial"/>
        <family val="2"/>
      </rPr>
      <t xml:space="preserve">RANSFERÊNCIA DE </t>
    </r>
    <r>
      <rPr>
        <b/>
        <sz val="16"/>
        <color indexed="10"/>
        <rFont val="Arial"/>
        <family val="2"/>
      </rPr>
      <t>R</t>
    </r>
    <r>
      <rPr>
        <b/>
        <sz val="10"/>
        <rFont val="Arial"/>
        <family val="2"/>
      </rPr>
      <t xml:space="preserve">ECURSOS </t>
    </r>
    <r>
      <rPr>
        <b/>
        <sz val="16"/>
        <color indexed="10"/>
        <rFont val="Arial"/>
        <family val="2"/>
      </rPr>
      <t>F</t>
    </r>
    <r>
      <rPr>
        <b/>
        <sz val="10"/>
        <rFont val="Arial"/>
        <family val="2"/>
      </rPr>
      <t>INANCEIROS</t>
    </r>
  </si>
  <si>
    <t>DEVOL.
MOD. 4 C</t>
  </si>
  <si>
    <t>DEVOL.
MOD. 4 K</t>
  </si>
  <si>
    <t>DEVOL.</t>
  </si>
  <si>
    <t>ERROS</t>
  </si>
  <si>
    <t>%</t>
  </si>
  <si>
    <t>3º Repasse de</t>
  </si>
  <si>
    <t>Senhor Secretário Municipal de Educação</t>
  </si>
  <si>
    <t>1º Repasse de</t>
  </si>
  <si>
    <t>2º Repasse de</t>
  </si>
  <si>
    <t>*Extinta*</t>
  </si>
  <si>
    <t>Dir. Regional:</t>
  </si>
  <si>
    <t>RF</t>
  </si>
  <si>
    <t>DIRETOR</t>
  </si>
  <si>
    <t>Diretoria Regional:</t>
  </si>
  <si>
    <t>PORTARIA COMISSÃO</t>
  </si>
  <si>
    <t>Nº PORTARIA</t>
  </si>
  <si>
    <t>DATA PORTARIA</t>
  </si>
  <si>
    <t>Publicação</t>
  </si>
  <si>
    <t>Retificação</t>
  </si>
  <si>
    <t>Selecione Aqui !!!</t>
  </si>
  <si>
    <t>&lt;&lt;&lt;&lt;&lt; Selecione ao Lado</t>
  </si>
  <si>
    <t>&lt;&lt;&lt;&lt;&lt;&lt;&lt; ERRO - CORRIGIR</t>
  </si>
  <si>
    <t>1ª</t>
  </si>
  <si>
    <t>2ª</t>
  </si>
  <si>
    <t>3ª</t>
  </si>
  <si>
    <t>4ª</t>
  </si>
  <si>
    <t>5ª</t>
  </si>
  <si>
    <t>Única</t>
  </si>
  <si>
    <t>Selecione Abaixo</t>
  </si>
  <si>
    <t>&lt;&lt;&lt;&lt;&lt;&lt;&lt; SELECIONE: PUBLICAÇÃO ou RETIFICAÇÃO NA CÉLULA A12</t>
  </si>
  <si>
    <t>&lt;&lt;&lt;&lt;&lt;&lt;&lt; SELECIONE: UMA PUBLICAÇÃO NA CÉLULA A14</t>
  </si>
  <si>
    <t>&lt;&lt;&lt;&lt;&lt;&lt;&lt; SELECIONE: UMA RETIFICAÇÃO NA CÉLULA A14</t>
  </si>
  <si>
    <t>Portaria DRE:</t>
  </si>
  <si>
    <t>, instituída pela Portaria DRE-</t>
  </si>
  <si>
    <t xml:space="preserve"> nº.: </t>
  </si>
  <si>
    <t>item</t>
  </si>
  <si>
    <t>valor</t>
  </si>
  <si>
    <t xml:space="preserve">Nº </t>
  </si>
  <si>
    <t xml:space="preserve">R$ </t>
  </si>
  <si>
    <t xml:space="preserve"> - </t>
  </si>
  <si>
    <t>Lançamento Capital
Modelo 3</t>
  </si>
  <si>
    <t>Status</t>
  </si>
  <si>
    <t>cj trasnf 0</t>
  </si>
  <si>
    <t>Rec. Próprios
Ou
Desconto</t>
  </si>
  <si>
    <t xml:space="preserve">, ((NG))APROVO((CL)) a Prestação de Contas do PTRF, período </t>
  </si>
  <si>
    <t>ORDEM</t>
  </si>
  <si>
    <t>VERIFICA SE OS CÁLCULOS ESTÃO CORRETOS</t>
  </si>
  <si>
    <t>Versões Planilha U.E.</t>
  </si>
  <si>
    <t xml:space="preserve">   |   </t>
  </si>
  <si>
    <t>Digitou
Saldo Bancário ?</t>
  </si>
  <si>
    <t>a  prestação  de  contas  do  PTRF,  período de</t>
  </si>
  <si>
    <t>as  prestações de  contas do  PTRF,  período de</t>
  </si>
  <si>
    <t>a  aprovação  da  prestação de contas,  período</t>
  </si>
  <si>
    <t>a aprovação das prestações de contas, período</t>
  </si>
  <si>
    <t xml:space="preserve"> para as APM's / APMSUAC's</t>
  </si>
  <si>
    <t>, das Associações de Pais e Mestres - APMs e das Associações de Pais, Mestres, Servidores, Usuários e Amigos do CEU - APMSUAC's, abaixo relacionadas:</t>
  </si>
  <si>
    <t xml:space="preserve"> REGINA PAULA COLLAZO BERTUCCIOLI </t>
  </si>
  <si>
    <t>694.014.5</t>
  </si>
  <si>
    <t xml:space="preserve"> LUCIMEIRE CABRAL DE SANTANA </t>
  </si>
  <si>
    <t>676.749.4</t>
  </si>
  <si>
    <t xml:space="preserve"> MARCIA MARQUES DOS SANTOS </t>
  </si>
  <si>
    <t>590.871.0</t>
  </si>
  <si>
    <t xml:space="preserve"> SIMONE APARECIDA MACHADO </t>
  </si>
  <si>
    <t>576.603.6</t>
  </si>
  <si>
    <t xml:space="preserve"> MARIA APARECIDA DE SOUSA </t>
  </si>
  <si>
    <t>602.021.6</t>
  </si>
  <si>
    <t xml:space="preserve"> LUCI BATISTA COSTA SOARES DE MIRANDA </t>
  </si>
  <si>
    <t>601.136.5</t>
  </si>
  <si>
    <t xml:space="preserve"> CARLOS ANTONIO VIEIRA </t>
  </si>
  <si>
    <t>578.102.7</t>
  </si>
  <si>
    <t xml:space="preserve"> MIRTES INNOCENCIO DA SILVA </t>
  </si>
  <si>
    <t>638.991.1</t>
  </si>
  <si>
    <t>ATE - I</t>
  </si>
  <si>
    <t>791.732.5</t>
  </si>
  <si>
    <t>FÁBIO RODRIGO BOTTAS</t>
  </si>
  <si>
    <t>677.838.1</t>
  </si>
  <si>
    <t>STE - Presidente</t>
  </si>
  <si>
    <t>745.714.6</t>
  </si>
  <si>
    <t>Sr.</t>
  </si>
  <si>
    <t>Secretário Municipal de Educação</t>
  </si>
  <si>
    <t xml:space="preserve">VANIA FIGUEIREDO DE ALMEIDA SANTANA </t>
  </si>
  <si>
    <t>CLAUDIO HENRIQUE DE SOUZA</t>
  </si>
  <si>
    <t>753.054.4/1</t>
  </si>
  <si>
    <t>JOSÉ LUIZ FRANCISCO CHAGAS</t>
  </si>
  <si>
    <t>839.702.3/1</t>
  </si>
  <si>
    <t>CONTADOR</t>
  </si>
  <si>
    <t xml:space="preserve">ATE I </t>
  </si>
  <si>
    <t>ADRIANA MONTERIO SILVA</t>
  </si>
  <si>
    <t>CEI - JARDIM KAGOHARA</t>
  </si>
  <si>
    <t>Alunos</t>
  </si>
  <si>
    <t>Pendências</t>
  </si>
  <si>
    <t>Saldo Bancário Incorreto</t>
  </si>
  <si>
    <t>STOP</t>
  </si>
  <si>
    <t>Data Depósito Custeio</t>
  </si>
  <si>
    <t>Data Depósito Capital</t>
  </si>
  <si>
    <r>
      <t xml:space="preserve">Data do Repasse
 no Extrato
</t>
    </r>
    <r>
      <rPr>
        <b/>
        <sz val="7"/>
        <color indexed="17"/>
        <rFont val="Arial"/>
        <family val="2"/>
      </rPr>
      <t>Capital</t>
    </r>
  </si>
  <si>
    <r>
      <t xml:space="preserve">Data do Repasse
 no Extrato
</t>
    </r>
    <r>
      <rPr>
        <b/>
        <sz val="7"/>
        <color indexed="10"/>
        <rFont val="Arial"/>
        <family val="2"/>
      </rPr>
      <t>Custeio</t>
    </r>
  </si>
  <si>
    <t>Saldo Bancário Correto</t>
  </si>
  <si>
    <t>Saldo (Falta ou Incorreto)</t>
  </si>
  <si>
    <t xml:space="preserve"> RUI FRANCISCO DA SILVA</t>
  </si>
  <si>
    <t>666.364.8</t>
  </si>
  <si>
    <t xml:space="preserve"> CAROLINA NOGUEIRA DROGA</t>
  </si>
  <si>
    <t>694.109.5</t>
  </si>
  <si>
    <t xml:space="preserve"> RUI DA SILVA LIMA</t>
  </si>
  <si>
    <t>565.428.3</t>
  </si>
  <si>
    <t>14/03/2018</t>
  </si>
  <si>
    <t>Favor preencher os 3 campos abaixo antes de encaminhar à S.M.E.</t>
  </si>
  <si>
    <t>_</t>
  </si>
  <si>
    <t>MOD8</t>
  </si>
  <si>
    <t>PUBLIC</t>
  </si>
  <si>
    <t>UNICA</t>
  </si>
  <si>
    <t>Data da Publicação D.O.C</t>
  </si>
  <si>
    <t>Nº do D.O.C.</t>
  </si>
  <si>
    <t>Página do D.O.C.</t>
  </si>
  <si>
    <t>PTRF_SME</t>
  </si>
  <si>
    <t>(3) - Aprovadas</t>
  </si>
  <si>
    <t>(2) - Pendentes</t>
  </si>
  <si>
    <t>(1) - Não Apresentadas</t>
  </si>
  <si>
    <t>APROVAR</t>
  </si>
  <si>
    <t xml:space="preserve"> MARTA MALHEIROS ADRIANO</t>
  </si>
  <si>
    <t>690.979.5</t>
  </si>
  <si>
    <t>Secretário  Munic.:</t>
  </si>
  <si>
    <t>escreva sua justificativa aqui ...............................</t>
  </si>
  <si>
    <t>da seguinte APM e da APMSUAC, analisada sob aspecto da exatidão numérica e</t>
  </si>
  <si>
    <t>das seguintes APMs e das APMSUAC's, analisadas sob aspecto da exatidão numérica e</t>
  </si>
  <si>
    <t>obediência à legislação:</t>
  </si>
  <si>
    <t>exatidão numérica e obediência à legislação:</t>
  </si>
  <si>
    <t>IQ</t>
  </si>
  <si>
    <t>VOLTA ÀS AULAS</t>
  </si>
  <si>
    <t>REPROG.</t>
  </si>
  <si>
    <t>UTILIZADO</t>
  </si>
  <si>
    <t>DEVOLUÇÃO</t>
  </si>
  <si>
    <t>UNIDADE</t>
  </si>
  <si>
    <t>FAZENDO FUTURO</t>
  </si>
  <si>
    <t>Não apresentou a prestação</t>
  </si>
  <si>
    <t xml:space="preserve"> JOSÉ ROBERTO LARA</t>
  </si>
  <si>
    <t>792.437-2</t>
  </si>
  <si>
    <t>PIRITUBA/JARAGUÁ</t>
  </si>
  <si>
    <t>SÃO MIGUEL</t>
  </si>
  <si>
    <t>xxxxx</t>
  </si>
  <si>
    <t>dois mil e dezenove</t>
  </si>
  <si>
    <t>dois mil e vite</t>
  </si>
  <si>
    <t>dois mil e vinte e um</t>
  </si>
  <si>
    <t>dois mil e vinte e dois</t>
  </si>
  <si>
    <t>,</t>
  </si>
  <si>
    <t>dois mil e vinte e três</t>
  </si>
  <si>
    <t>dois mil e vinte e quatro</t>
  </si>
  <si>
    <t xml:space="preserve"> e </t>
  </si>
  <si>
    <t>dois mil e vinte e cinco</t>
  </si>
  <si>
    <t>primeiro</t>
  </si>
  <si>
    <t>uma hora</t>
  </si>
  <si>
    <t>um minuto</t>
  </si>
  <si>
    <t>dois</t>
  </si>
  <si>
    <t>duas horas</t>
  </si>
  <si>
    <t>dois  minutos</t>
  </si>
  <si>
    <t>três</t>
  </si>
  <si>
    <t>três horas</t>
  </si>
  <si>
    <t>três minutos</t>
  </si>
  <si>
    <t>quatro</t>
  </si>
  <si>
    <t>quatro horas</t>
  </si>
  <si>
    <t>quatro minutos</t>
  </si>
  <si>
    <t>cinco</t>
  </si>
  <si>
    <t>cinco horas</t>
  </si>
  <si>
    <t>cinco minutos</t>
  </si>
  <si>
    <t>seis</t>
  </si>
  <si>
    <t>seis horas</t>
  </si>
  <si>
    <t>seis minutos</t>
  </si>
  <si>
    <t>sete</t>
  </si>
  <si>
    <t>sete horas</t>
  </si>
  <si>
    <t>sete minutos</t>
  </si>
  <si>
    <t>oito</t>
  </si>
  <si>
    <t>oito horas</t>
  </si>
  <si>
    <t>oito minutos</t>
  </si>
  <si>
    <t>nove</t>
  </si>
  <si>
    <t>nove horas</t>
  </si>
  <si>
    <t>nove minutos</t>
  </si>
  <si>
    <t>dez</t>
  </si>
  <si>
    <t>dez horas</t>
  </si>
  <si>
    <t>dez minutos</t>
  </si>
  <si>
    <t>onze</t>
  </si>
  <si>
    <t>onze horas</t>
  </si>
  <si>
    <t>onze minutos</t>
  </si>
  <si>
    <t>doze</t>
  </si>
  <si>
    <t>doze horas</t>
  </si>
  <si>
    <t>doze minutos</t>
  </si>
  <si>
    <t>treze</t>
  </si>
  <si>
    <t>treze horas</t>
  </si>
  <si>
    <t>treze minutos</t>
  </si>
  <si>
    <t>quatorze</t>
  </si>
  <si>
    <t>quatorze horas</t>
  </si>
  <si>
    <t>quatorze minutos</t>
  </si>
  <si>
    <t>quinze</t>
  </si>
  <si>
    <t>quinze horas</t>
  </si>
  <si>
    <t>quinze minutos</t>
  </si>
  <si>
    <t>dezesseis</t>
  </si>
  <si>
    <t>dezesseis horas</t>
  </si>
  <si>
    <t>dezesseis minutos</t>
  </si>
  <si>
    <t>dezessete</t>
  </si>
  <si>
    <t>dezessete horas</t>
  </si>
  <si>
    <t>dezessete minutos</t>
  </si>
  <si>
    <t>dezoito</t>
  </si>
  <si>
    <t>dezoito horas</t>
  </si>
  <si>
    <t>dezoito minutos</t>
  </si>
  <si>
    <t>dezenove</t>
  </si>
  <si>
    <t>dezenove horas</t>
  </si>
  <si>
    <t>dezenove minutos</t>
  </si>
  <si>
    <t>vinte</t>
  </si>
  <si>
    <t>vinte horas</t>
  </si>
  <si>
    <t>vinte minutos</t>
  </si>
  <si>
    <t>vinte e um</t>
  </si>
  <si>
    <t>vinte e uma</t>
  </si>
  <si>
    <t>vinte e um minutos</t>
  </si>
  <si>
    <t>vinte e dois</t>
  </si>
  <si>
    <t>vinte e duas horas</t>
  </si>
  <si>
    <t>vinte e dois minutos</t>
  </si>
  <si>
    <t>vinte e três</t>
  </si>
  <si>
    <t>vinte e três horas</t>
  </si>
  <si>
    <t>vinte e três minutos</t>
  </si>
  <si>
    <t>vinte e quatro</t>
  </si>
  <si>
    <t>vinte e quatro horas</t>
  </si>
  <si>
    <t>vinte e quatro minutos</t>
  </si>
  <si>
    <t>vinte e cinco</t>
  </si>
  <si>
    <t>vinte e cinco minutos</t>
  </si>
  <si>
    <t>vinte e seis</t>
  </si>
  <si>
    <t>vinte e seis minutos</t>
  </si>
  <si>
    <t>vinte e sete</t>
  </si>
  <si>
    <t>vinte e sete minutos</t>
  </si>
  <si>
    <t>vinte e oito</t>
  </si>
  <si>
    <t>vinte e oito minutos</t>
  </si>
  <si>
    <t>vinte e nove</t>
  </si>
  <si>
    <t>vinte e nove minutos</t>
  </si>
  <si>
    <t>trinta</t>
  </si>
  <si>
    <t>trinta minutos</t>
  </si>
  <si>
    <t>trinta e um</t>
  </si>
  <si>
    <t>trinta e um minutos</t>
  </si>
  <si>
    <t>trinta e dois minutos</t>
  </si>
  <si>
    <t>trinta e três minutos</t>
  </si>
  <si>
    <t>trinta e quatro minutos</t>
  </si>
  <si>
    <t>trinta e cinco minutos</t>
  </si>
  <si>
    <t>trinta e seis minutos</t>
  </si>
  <si>
    <t>trinta e sete minutos</t>
  </si>
  <si>
    <t>trinta e oito minutos</t>
  </si>
  <si>
    <t>trinta e nove minutos</t>
  </si>
  <si>
    <t>quarenta minutos</t>
  </si>
  <si>
    <t>quarenta e um minutos</t>
  </si>
  <si>
    <t>quarenta e dois minutos</t>
  </si>
  <si>
    <t>quarenta e três minutos</t>
  </si>
  <si>
    <t>quarenta e quatro minutos</t>
  </si>
  <si>
    <t>quarenta e cinco minutos</t>
  </si>
  <si>
    <t>quarenta e seis minutos</t>
  </si>
  <si>
    <t>quarenta e sete minutos</t>
  </si>
  <si>
    <t>quarenta e oito minutos</t>
  </si>
  <si>
    <t>quarenta e nove minutos</t>
  </si>
  <si>
    <t>cinquoenta minutos</t>
  </si>
  <si>
    <t>cinquoenta e um minutos</t>
  </si>
  <si>
    <t>cinquoenta e dois minutos</t>
  </si>
  <si>
    <t>cinquoenta e três minutos</t>
  </si>
  <si>
    <t>cinquoenta e quatro minutos</t>
  </si>
  <si>
    <t>cinquoenta e cinco minutos</t>
  </si>
  <si>
    <t>cinquoenta e seis minutos</t>
  </si>
  <si>
    <t>cinquoenta e sete minutos</t>
  </si>
  <si>
    <t>cinquoenta e oito minutos</t>
  </si>
  <si>
    <t>cinquoenta e nove minutos</t>
  </si>
  <si>
    <t>zero minutos</t>
  </si>
  <si>
    <t>GRÊMIO</t>
  </si>
  <si>
    <t>ROLÊ CULTURAL</t>
  </si>
  <si>
    <t>IMPRENSA JOVEM</t>
  </si>
  <si>
    <t>EMEF - CLEMENTE PASTORE, PROF.</t>
  </si>
  <si>
    <t>EMEF - JOAO PEDRO DE CARVALHO NETO, DR.</t>
  </si>
  <si>
    <t>EMEI - CAMPO LIMPO VI</t>
  </si>
  <si>
    <t>CEU - CAPAO REDONDO - CELSO SEIXAS RIBEIRO BASTOS, PROF. E DR.</t>
  </si>
  <si>
    <t>SALDO C</t>
  </si>
  <si>
    <t>SALDO K</t>
  </si>
  <si>
    <t>01/12/2019</t>
  </si>
  <si>
    <t>31/10/2020</t>
  </si>
  <si>
    <t>PTRF BÁSICO</t>
  </si>
  <si>
    <t>FORMAÇÃO</t>
  </si>
  <si>
    <t>MAIS ESCOLA</t>
  </si>
  <si>
    <t>LIVRE APLICAÇÃO</t>
  </si>
  <si>
    <t xml:space="preserve">Versão 1.0.2020 </t>
  </si>
  <si>
    <t>Versão 1.0.2020</t>
  </si>
  <si>
    <t>Versão 1.1.2020</t>
  </si>
  <si>
    <t>Versão 1.2.2020</t>
  </si>
  <si>
    <t>Versão 1.3.2020</t>
  </si>
  <si>
    <t>Versão 1.4.2020</t>
  </si>
  <si>
    <t>data saldo</t>
  </si>
  <si>
    <t>saldo</t>
  </si>
  <si>
    <t>presidente DE</t>
  </si>
  <si>
    <t>presidente CF</t>
  </si>
  <si>
    <t>RENDIMENTO</t>
  </si>
  <si>
    <t>cartao_</t>
  </si>
  <si>
    <t xml:space="preserve">Encaminhamos a Vossa Senhoria documentos referentes à prestação de contas do </t>
  </si>
  <si>
    <t>BRUNO CAETANO RAIMUNDO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</si>
</sst>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&quot;R$ &quot;#,##0.00_);\(&quot;R$ &quot;#,##0.00\)"/>
    <numFmt numFmtId="166" formatCode="_(&quot;R$ &quot;* #,##0.00_);_(&quot;R$ &quot;* \(#,##0.00\);_(&quot;R$ &quot;* &quot;-&quot;??_);_(@_)"/>
    <numFmt numFmtId="167" formatCode="0;[Red]0"/>
    <numFmt numFmtId="168" formatCode="00"/>
    <numFmt numFmtId="169" formatCode="0&quot;.&quot;000&quot;.&quot;000&quot;-&quot;0"/>
    <numFmt numFmtId="170" formatCode="00&quot;.&quot;000&quot;.&quot;000&quot;/&quot;0000&quot;-&quot;00"/>
    <numFmt numFmtId="171" formatCode="000000"/>
  </numFmts>
  <fonts count="81">
    <font>
      <sz val="10"/>
      <name val="Arial"/>
    </font>
    <font>
      <sz val="10"/>
      <name val="Arial"/>
      <family val="2"/>
    </font>
    <font>
      <sz val="12"/>
      <name val="Times New Roman"/>
      <family val="1"/>
    </font>
    <font>
      <b/>
      <sz val="9"/>
      <name val="Arial"/>
      <family val="2"/>
    </font>
    <font>
      <sz val="9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8"/>
      <name val="Arial"/>
      <family val="2"/>
    </font>
    <font>
      <sz val="9"/>
      <name val="Times New Roman"/>
      <family val="1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6"/>
      <name val="Arial"/>
      <family val="2"/>
    </font>
    <font>
      <sz val="12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2"/>
      <name val="Arial"/>
      <family val="2"/>
    </font>
    <font>
      <sz val="8"/>
      <name val="Times New Roman"/>
      <family val="1"/>
    </font>
    <font>
      <sz val="7.5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7"/>
      <name val="Times New Roman"/>
      <family val="1"/>
    </font>
    <font>
      <b/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Times New Roman"/>
      <family val="1"/>
    </font>
    <font>
      <sz val="9"/>
      <color indexed="9"/>
      <name val="Arial"/>
      <family val="2"/>
    </font>
    <font>
      <sz val="5"/>
      <name val="Times New Roman"/>
      <family val="1"/>
    </font>
    <font>
      <b/>
      <sz val="12"/>
      <name val="Times New Roman"/>
      <family val="1"/>
    </font>
    <font>
      <b/>
      <sz val="9"/>
      <color indexed="10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10"/>
      <color indexed="47"/>
      <name val="Arial"/>
      <family val="2"/>
    </font>
    <font>
      <sz val="9"/>
      <color indexed="12"/>
      <name val="Arial"/>
      <family val="2"/>
    </font>
    <font>
      <sz val="10"/>
      <color indexed="12"/>
      <name val="Arial"/>
      <family val="2"/>
    </font>
    <font>
      <sz val="16"/>
      <name val="Arial"/>
      <family val="2"/>
    </font>
    <font>
      <sz val="9"/>
      <color indexed="10"/>
      <name val="Times New Roman"/>
      <family val="1"/>
    </font>
    <font>
      <b/>
      <sz val="16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2"/>
      <name val="Arial"/>
      <family val="2"/>
    </font>
    <font>
      <sz val="8"/>
      <color indexed="9"/>
      <name val="Arial"/>
      <family val="2"/>
    </font>
    <font>
      <b/>
      <sz val="16"/>
      <color indexed="10"/>
      <name val="Arial"/>
      <family val="2"/>
    </font>
    <font>
      <b/>
      <sz val="8"/>
      <color indexed="50"/>
      <name val="Antique Olive Roman"/>
      <family val="2"/>
    </font>
    <font>
      <b/>
      <sz val="9"/>
      <color indexed="50"/>
      <name val="Arial"/>
      <family val="2"/>
    </font>
    <font>
      <sz val="9"/>
      <color indexed="50"/>
      <name val="Arial"/>
      <family val="2"/>
    </font>
    <font>
      <sz val="10"/>
      <color indexed="10"/>
      <name val="Arial"/>
      <family val="2"/>
    </font>
    <font>
      <b/>
      <sz val="7"/>
      <color indexed="10"/>
      <name val="Arial"/>
      <family val="2"/>
    </font>
    <font>
      <b/>
      <sz val="7"/>
      <color indexed="17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2"/>
      <color theme="3" tint="0.59999389629810485"/>
      <name val="Arial"/>
      <family val="2"/>
    </font>
    <font>
      <sz val="9"/>
      <color rgb="FFC00000"/>
      <name val="Arial"/>
      <family val="2"/>
    </font>
    <font>
      <sz val="10"/>
      <color rgb="FFC00000"/>
      <name val="Arial"/>
      <family val="2"/>
    </font>
    <font>
      <b/>
      <sz val="8"/>
      <color rgb="FFFF0000"/>
      <name val="Arial"/>
      <family val="2"/>
    </font>
    <font>
      <sz val="1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10"/>
      <color rgb="FF7030A0"/>
      <name val="Arial"/>
      <family val="2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sz val="8"/>
      <color rgb="FFFF0000"/>
      <name val="Arial"/>
      <family val="2"/>
    </font>
    <font>
      <sz val="14"/>
      <name val="Arial"/>
      <family val="2"/>
    </font>
    <font>
      <b/>
      <sz val="10"/>
      <name val="Times New Roman"/>
      <family val="1"/>
    </font>
    <font>
      <b/>
      <i/>
      <sz val="10"/>
      <name val="Arial"/>
      <family val="2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7"/>
        <bgColor rgb="FFF7E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22"/>
        <bgColor rgb="FFF7E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F7EFFF"/>
      </patternFill>
    </fill>
    <fill>
      <patternFill patternType="solid">
        <fgColor theme="0" tint="-4.9989318521683403E-2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6" fontId="1" fillId="0" borderId="0" applyFont="0" applyFill="0" applyBorder="0" applyAlignment="0" applyProtection="0"/>
    <xf numFmtId="166" fontId="59" fillId="0" borderId="0" applyFont="0" applyFill="0" applyBorder="0" applyAlignment="0" applyProtection="0"/>
    <xf numFmtId="0" fontId="17" fillId="0" borderId="0"/>
    <xf numFmtId="0" fontId="60" fillId="0" borderId="0"/>
    <xf numFmtId="0" fontId="59" fillId="0" borderId="0"/>
    <xf numFmtId="0" fontId="2" fillId="0" borderId="0"/>
    <xf numFmtId="0" fontId="2" fillId="0" borderId="0"/>
  </cellStyleXfs>
  <cellXfs count="1199">
    <xf numFmtId="0" fontId="0" fillId="0" borderId="0" xfId="0"/>
    <xf numFmtId="0" fontId="3" fillId="2" borderId="0" xfId="0" applyFont="1" applyFill="1" applyProtection="1">
      <protection hidden="1"/>
    </xf>
    <xf numFmtId="0" fontId="3" fillId="2" borderId="0" xfId="0" applyFont="1" applyFill="1"/>
    <xf numFmtId="0" fontId="0" fillId="0" borderId="0" xfId="0" applyProtection="1">
      <protection hidden="1"/>
    </xf>
    <xf numFmtId="0" fontId="18" fillId="0" borderId="0" xfId="0" applyFont="1" applyProtection="1">
      <protection hidden="1"/>
    </xf>
    <xf numFmtId="0" fontId="11" fillId="0" borderId="1" xfId="0" applyFont="1" applyBorder="1" applyAlignment="1" applyProtection="1">
      <alignment horizontal="left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Protection="1">
      <protection hidden="1"/>
    </xf>
    <xf numFmtId="0" fontId="23" fillId="0" borderId="1" xfId="0" applyFont="1" applyBorder="1" applyAlignment="1" applyProtection="1">
      <alignment vertical="center" wrapText="1"/>
      <protection hidden="1"/>
    </xf>
    <xf numFmtId="0" fontId="23" fillId="0" borderId="1" xfId="0" applyFont="1" applyBorder="1" applyAlignment="1" applyProtection="1">
      <alignment wrapText="1"/>
      <protection hidden="1"/>
    </xf>
    <xf numFmtId="0" fontId="4" fillId="3" borderId="2" xfId="0" applyFont="1" applyFill="1" applyBorder="1" applyAlignment="1" applyProtection="1">
      <alignment wrapText="1"/>
      <protection hidden="1"/>
    </xf>
    <xf numFmtId="0" fontId="4" fillId="3" borderId="3" xfId="0" applyFont="1" applyFill="1" applyBorder="1" applyAlignment="1" applyProtection="1">
      <alignment wrapText="1"/>
      <protection hidden="1"/>
    </xf>
    <xf numFmtId="0" fontId="4" fillId="3" borderId="2" xfId="0" applyFont="1" applyFill="1" applyBorder="1" applyAlignment="1" applyProtection="1">
      <alignment horizontal="center" wrapText="1"/>
      <protection hidden="1"/>
    </xf>
    <xf numFmtId="0" fontId="10" fillId="0" borderId="4" xfId="0" applyFont="1" applyBorder="1" applyAlignment="1" applyProtection="1">
      <alignment horizontal="left"/>
      <protection hidden="1"/>
    </xf>
    <xf numFmtId="0" fontId="4" fillId="0" borderId="1" xfId="0" applyFont="1" applyBorder="1" applyAlignment="1" applyProtection="1">
      <alignment horizontal="left"/>
      <protection hidden="1"/>
    </xf>
    <xf numFmtId="0" fontId="4" fillId="3" borderId="5" xfId="0" applyFont="1" applyFill="1" applyBorder="1" applyAlignment="1" applyProtection="1">
      <alignment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7" fillId="0" borderId="0" xfId="0" applyFont="1" applyProtection="1">
      <protection hidden="1"/>
    </xf>
    <xf numFmtId="0" fontId="11" fillId="0" borderId="0" xfId="0" applyFont="1" applyAlignment="1" applyProtection="1">
      <alignment horizontal="right"/>
      <protection hidden="1"/>
    </xf>
    <xf numFmtId="0" fontId="10" fillId="0" borderId="0" xfId="0" applyFont="1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29" fillId="2" borderId="0" xfId="7" applyFont="1" applyFill="1" applyProtection="1">
      <protection hidden="1"/>
    </xf>
    <xf numFmtId="0" fontId="29" fillId="2" borderId="0" xfId="7" applyFont="1" applyFill="1" applyBorder="1" applyProtection="1">
      <protection hidden="1"/>
    </xf>
    <xf numFmtId="0" fontId="0" fillId="0" borderId="0" xfId="0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4" fillId="0" borderId="0" xfId="6" applyFont="1" applyFill="1" applyBorder="1" applyAlignment="1" applyProtection="1">
      <alignment horizontal="left" vertical="center"/>
      <protection hidden="1"/>
    </xf>
    <xf numFmtId="0" fontId="13" fillId="0" borderId="0" xfId="6" applyFont="1" applyFill="1" applyBorder="1" applyAlignment="1" applyProtection="1">
      <alignment vertical="center"/>
      <protection hidden="1"/>
    </xf>
    <xf numFmtId="0" fontId="16" fillId="0" borderId="0" xfId="6" applyFont="1" applyFill="1" applyBorder="1" applyAlignment="1" applyProtection="1">
      <alignment vertical="center"/>
      <protection hidden="1"/>
    </xf>
    <xf numFmtId="0" fontId="0" fillId="0" borderId="0" xfId="0" applyFill="1"/>
    <xf numFmtId="0" fontId="0" fillId="2" borderId="0" xfId="0" applyFill="1" applyProtection="1"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22" fillId="2" borderId="0" xfId="0" applyFont="1" applyFill="1" applyProtection="1">
      <protection hidden="1"/>
    </xf>
    <xf numFmtId="0" fontId="0" fillId="2" borderId="6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6" fillId="2" borderId="7" xfId="0" applyFont="1" applyFill="1" applyBorder="1" applyAlignment="1" applyProtection="1">
      <alignment wrapText="1"/>
      <protection hidden="1"/>
    </xf>
    <xf numFmtId="0" fontId="6" fillId="2" borderId="5" xfId="0" applyFont="1" applyFill="1" applyBorder="1" applyAlignment="1" applyProtection="1">
      <alignment wrapText="1"/>
      <protection hidden="1"/>
    </xf>
    <xf numFmtId="0" fontId="0" fillId="2" borderId="5" xfId="0" applyFill="1" applyBorder="1" applyAlignment="1" applyProtection="1">
      <protection hidden="1"/>
    </xf>
    <xf numFmtId="0" fontId="10" fillId="2" borderId="5" xfId="0" applyFont="1" applyFill="1" applyBorder="1" applyAlignment="1" applyProtection="1">
      <alignment horizontal="center" wrapText="1"/>
      <protection hidden="1"/>
    </xf>
    <xf numFmtId="0" fontId="0" fillId="2" borderId="8" xfId="0" applyFill="1" applyBorder="1" applyProtection="1">
      <protection hidden="1"/>
    </xf>
    <xf numFmtId="0" fontId="18" fillId="2" borderId="0" xfId="0" applyFont="1" applyFill="1" applyProtection="1">
      <protection hidden="1"/>
    </xf>
    <xf numFmtId="167" fontId="18" fillId="2" borderId="0" xfId="0" applyNumberFormat="1" applyFont="1" applyFill="1" applyProtection="1">
      <protection hidden="1"/>
    </xf>
    <xf numFmtId="0" fontId="1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right"/>
      <protection hidden="1"/>
    </xf>
    <xf numFmtId="0" fontId="4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right"/>
      <protection hidden="1"/>
    </xf>
    <xf numFmtId="0" fontId="3" fillId="2" borderId="5" xfId="0" applyFont="1" applyFill="1" applyBorder="1" applyAlignment="1" applyProtection="1">
      <alignment horizontal="center" vertical="center" wrapText="1"/>
      <protection hidden="1"/>
    </xf>
    <xf numFmtId="0" fontId="8" fillId="0" borderId="0" xfId="7" applyFont="1" applyProtection="1">
      <protection hidden="1"/>
    </xf>
    <xf numFmtId="167" fontId="4" fillId="2" borderId="0" xfId="0" applyNumberFormat="1" applyFont="1" applyFill="1" applyProtection="1">
      <protection hidden="1"/>
    </xf>
    <xf numFmtId="0" fontId="4" fillId="2" borderId="0" xfId="7" applyFont="1" applyFill="1" applyProtection="1">
      <protection hidden="1"/>
    </xf>
    <xf numFmtId="0" fontId="3" fillId="2" borderId="0" xfId="7" applyFont="1" applyFill="1" applyAlignment="1" applyProtection="1">
      <alignment horizontal="right"/>
      <protection hidden="1"/>
    </xf>
    <xf numFmtId="0" fontId="9" fillId="0" borderId="0" xfId="0" applyFont="1" applyProtection="1">
      <protection hidden="1"/>
    </xf>
    <xf numFmtId="14" fontId="3" fillId="0" borderId="9" xfId="7" applyNumberFormat="1" applyFont="1" applyBorder="1" applyAlignment="1" applyProtection="1">
      <alignment horizontal="right" vertical="center" wrapText="1"/>
      <protection hidden="1"/>
    </xf>
    <xf numFmtId="14" fontId="3" fillId="0" borderId="10" xfId="7" applyNumberFormat="1" applyFont="1" applyBorder="1" applyAlignment="1" applyProtection="1">
      <alignment horizontal="center" vertical="center" wrapText="1"/>
      <protection hidden="1"/>
    </xf>
    <xf numFmtId="14" fontId="3" fillId="0" borderId="11" xfId="7" applyNumberFormat="1" applyFont="1" applyBorder="1" applyAlignment="1" applyProtection="1">
      <alignment horizontal="left" vertical="center" wrapText="1"/>
      <protection hidden="1"/>
    </xf>
    <xf numFmtId="0" fontId="10" fillId="0" borderId="12" xfId="7" applyFont="1" applyBorder="1" applyAlignment="1" applyProtection="1">
      <alignment horizontal="center" vertical="center" wrapText="1"/>
      <protection hidden="1"/>
    </xf>
    <xf numFmtId="0" fontId="10" fillId="2" borderId="13" xfId="7" applyFont="1" applyFill="1" applyBorder="1" applyAlignment="1" applyProtection="1">
      <alignment wrapText="1"/>
      <protection hidden="1"/>
    </xf>
    <xf numFmtId="0" fontId="10" fillId="2" borderId="14" xfId="7" applyFont="1" applyFill="1" applyBorder="1" applyAlignment="1" applyProtection="1">
      <alignment wrapText="1"/>
      <protection hidden="1"/>
    </xf>
    <xf numFmtId="0" fontId="8" fillId="2" borderId="0" xfId="7" applyFont="1" applyFill="1" applyProtection="1">
      <protection hidden="1"/>
    </xf>
    <xf numFmtId="0" fontId="6" fillId="2" borderId="0" xfId="7" applyFont="1" applyFill="1" applyProtection="1">
      <protection hidden="1"/>
    </xf>
    <xf numFmtId="0" fontId="5" fillId="2" borderId="0" xfId="7" applyFont="1" applyFill="1" applyProtection="1">
      <protection hidden="1"/>
    </xf>
    <xf numFmtId="0" fontId="9" fillId="2" borderId="0" xfId="0" applyFont="1" applyFill="1" applyProtection="1">
      <protection hidden="1"/>
    </xf>
    <xf numFmtId="0" fontId="11" fillId="0" borderId="10" xfId="7" applyFont="1" applyBorder="1" applyAlignment="1" applyProtection="1">
      <alignment horizontal="right" vertical="center" wrapText="1"/>
      <protection hidden="1"/>
    </xf>
    <xf numFmtId="0" fontId="9" fillId="3" borderId="15" xfId="0" applyFont="1" applyFill="1" applyBorder="1" applyAlignment="1" applyProtection="1">
      <alignment vertical="center"/>
      <protection hidden="1"/>
    </xf>
    <xf numFmtId="0" fontId="10" fillId="3" borderId="15" xfId="7" applyFont="1" applyFill="1" applyBorder="1" applyAlignment="1" applyProtection="1">
      <alignment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18" fillId="0" borderId="0" xfId="0" applyFont="1"/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2" fillId="0" borderId="0" xfId="0" applyFont="1"/>
    <xf numFmtId="0" fontId="14" fillId="0" borderId="0" xfId="6" applyFont="1" applyFill="1" applyBorder="1" applyAlignment="1" applyProtection="1">
      <alignment vertical="center"/>
      <protection hidden="1"/>
    </xf>
    <xf numFmtId="0" fontId="0" fillId="2" borderId="0" xfId="0" applyFill="1"/>
    <xf numFmtId="0" fontId="19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0" fontId="0" fillId="0" borderId="0" xfId="0" applyAlignment="1" applyProtection="1">
      <alignment vertical="center"/>
      <protection hidden="1"/>
    </xf>
    <xf numFmtId="0" fontId="0" fillId="2" borderId="0" xfId="0" applyFill="1" applyAlignment="1" applyProtection="1">
      <alignment vertical="center"/>
      <protection hidden="1"/>
    </xf>
    <xf numFmtId="14" fontId="0" fillId="0" borderId="0" xfId="0" applyNumberFormat="1" applyProtection="1">
      <protection hidden="1"/>
    </xf>
    <xf numFmtId="0" fontId="0" fillId="0" borderId="0" xfId="0" applyAlignment="1" applyProtection="1">
      <alignment horizontal="left"/>
      <protection hidden="1"/>
    </xf>
    <xf numFmtId="14" fontId="0" fillId="0" borderId="0" xfId="0" applyNumberFormat="1" applyAlignment="1" applyProtection="1">
      <alignment horizontal="left"/>
      <protection hidden="1"/>
    </xf>
    <xf numFmtId="4" fontId="0" fillId="0" borderId="0" xfId="0" applyNumberFormat="1" applyAlignment="1" applyProtection="1">
      <alignment vertical="center"/>
      <protection hidden="1"/>
    </xf>
    <xf numFmtId="165" fontId="27" fillId="0" borderId="0" xfId="1" applyNumberFormat="1" applyFont="1" applyAlignment="1" applyProtection="1">
      <alignment vertical="center"/>
      <protection hidden="1"/>
    </xf>
    <xf numFmtId="165" fontId="27" fillId="0" borderId="0" xfId="0" applyNumberFormat="1" applyFont="1" applyAlignment="1" applyProtection="1">
      <alignment vertic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0" fillId="7" borderId="0" xfId="0" applyFill="1" applyProtection="1">
      <protection hidden="1"/>
    </xf>
    <xf numFmtId="0" fontId="13" fillId="7" borderId="0" xfId="0" applyFont="1" applyFill="1" applyProtection="1">
      <protection hidden="1"/>
    </xf>
    <xf numFmtId="0" fontId="0" fillId="7" borderId="0" xfId="0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0" fontId="14" fillId="7" borderId="0" xfId="6" applyFont="1" applyFill="1" applyBorder="1" applyAlignment="1" applyProtection="1">
      <alignment horizontal="left" vertical="center"/>
      <protection hidden="1"/>
    </xf>
    <xf numFmtId="0" fontId="13" fillId="7" borderId="0" xfId="6" applyFont="1" applyFill="1" applyBorder="1" applyAlignment="1" applyProtection="1">
      <alignment vertical="center"/>
      <protection hidden="1"/>
    </xf>
    <xf numFmtId="4" fontId="3" fillId="2" borderId="1" xfId="0" applyNumberFormat="1" applyFont="1" applyFill="1" applyBorder="1" applyAlignment="1" applyProtection="1">
      <alignment horizontal="right" wrapText="1" indent="1"/>
      <protection hidden="1"/>
    </xf>
    <xf numFmtId="4" fontId="3" fillId="0" borderId="1" xfId="0" applyNumberFormat="1" applyFont="1" applyBorder="1" applyAlignment="1" applyProtection="1">
      <alignment horizontal="right" wrapText="1" indent="1"/>
      <protection hidden="1"/>
    </xf>
    <xf numFmtId="4" fontId="4" fillId="3" borderId="1" xfId="0" applyNumberFormat="1" applyFont="1" applyFill="1" applyBorder="1" applyAlignment="1" applyProtection="1">
      <alignment horizontal="right" wrapText="1" indent="1"/>
      <protection hidden="1"/>
    </xf>
    <xf numFmtId="0" fontId="35" fillId="8" borderId="0" xfId="0" applyFont="1" applyFill="1" applyAlignment="1">
      <alignment horizontal="center"/>
    </xf>
    <xf numFmtId="0" fontId="32" fillId="2" borderId="0" xfId="0" applyFont="1" applyFill="1"/>
    <xf numFmtId="0" fontId="35" fillId="6" borderId="0" xfId="0" applyFont="1" applyFill="1" applyAlignment="1" applyProtection="1">
      <alignment horizontal="center"/>
      <protection hidden="1"/>
    </xf>
    <xf numFmtId="0" fontId="17" fillId="0" borderId="0" xfId="0" applyFont="1" applyAlignment="1" applyProtection="1">
      <protection hidden="1"/>
    </xf>
    <xf numFmtId="0" fontId="17" fillId="0" borderId="0" xfId="0" applyFont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14" fontId="14" fillId="7" borderId="0" xfId="6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center"/>
    </xf>
    <xf numFmtId="0" fontId="36" fillId="2" borderId="0" xfId="0" applyFont="1" applyFill="1" applyAlignment="1" applyProtection="1">
      <alignment vertical="top" wrapText="1"/>
      <protection hidden="1"/>
    </xf>
    <xf numFmtId="0" fontId="36" fillId="0" borderId="0" xfId="0" applyFont="1" applyProtection="1">
      <protection hidden="1"/>
    </xf>
    <xf numFmtId="0" fontId="0" fillId="2" borderId="0" xfId="0" applyFill="1" applyAlignment="1" applyProtection="1">
      <alignment vertical="top" wrapText="1"/>
      <protection hidden="1"/>
    </xf>
    <xf numFmtId="0" fontId="0" fillId="2" borderId="0" xfId="0" applyFill="1" applyAlignment="1" applyProtection="1">
      <protection hidden="1"/>
    </xf>
    <xf numFmtId="0" fontId="37" fillId="2" borderId="0" xfId="7" applyFont="1" applyFill="1" applyAlignment="1" applyProtection="1">
      <alignment horizontal="center"/>
      <protection hidden="1"/>
    </xf>
    <xf numFmtId="0" fontId="19" fillId="2" borderId="0" xfId="0" applyFont="1" applyFill="1" applyBorder="1" applyAlignment="1" applyProtection="1">
      <alignment vertical="center"/>
      <protection hidden="1"/>
    </xf>
    <xf numFmtId="0" fontId="27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alignment vertical="top" wrapText="1"/>
      <protection hidden="1"/>
    </xf>
    <xf numFmtId="0" fontId="3" fillId="3" borderId="16" xfId="0" applyFont="1" applyFill="1" applyBorder="1" applyAlignment="1" applyProtection="1">
      <alignment horizontal="center" wrapText="1"/>
      <protection hidden="1"/>
    </xf>
    <xf numFmtId="0" fontId="3" fillId="0" borderId="15" xfId="0" applyFont="1" applyBorder="1" applyAlignment="1" applyProtection="1">
      <alignment horizontal="right" wrapText="1"/>
      <protection hidden="1"/>
    </xf>
    <xf numFmtId="169" fontId="4" fillId="0" borderId="1" xfId="0" applyNumberFormat="1" applyFont="1" applyFill="1" applyBorder="1" applyAlignment="1" applyProtection="1">
      <protection hidden="1"/>
    </xf>
    <xf numFmtId="4" fontId="3" fillId="0" borderId="0" xfId="0" applyNumberFormat="1" applyFont="1" applyAlignment="1" applyProtection="1">
      <alignment horizontal="right" indent="1"/>
      <protection hidden="1"/>
    </xf>
    <xf numFmtId="0" fontId="3" fillId="2" borderId="10" xfId="0" applyFont="1" applyFill="1" applyBorder="1" applyAlignment="1" applyProtection="1">
      <alignment horizontal="center" vertical="center" wrapText="1"/>
      <protection hidden="1"/>
    </xf>
    <xf numFmtId="14" fontId="3" fillId="2" borderId="9" xfId="0" applyNumberFormat="1" applyFont="1" applyFill="1" applyBorder="1" applyAlignment="1" applyProtection="1">
      <alignment horizontal="right" vertical="center" wrapText="1"/>
      <protection hidden="1"/>
    </xf>
    <xf numFmtId="14" fontId="3" fillId="2" borderId="11" xfId="0" applyNumberFormat="1" applyFont="1" applyFill="1" applyBorder="1" applyAlignment="1" applyProtection="1">
      <alignment horizontal="left" vertical="center" wrapText="1"/>
      <protection hidden="1"/>
    </xf>
    <xf numFmtId="0" fontId="10" fillId="2" borderId="4" xfId="0" applyFont="1" applyFill="1" applyBorder="1" applyAlignment="1" applyProtection="1">
      <alignment horizontal="left" vertical="center" wrapText="1"/>
      <protection hidden="1"/>
    </xf>
    <xf numFmtId="0" fontId="10" fillId="2" borderId="17" xfId="0" applyFont="1" applyFill="1" applyBorder="1" applyAlignment="1" applyProtection="1">
      <alignment horizontal="left" vertical="center" wrapText="1"/>
      <protection hidden="1"/>
    </xf>
    <xf numFmtId="0" fontId="23" fillId="2" borderId="18" xfId="0" applyFont="1" applyFill="1" applyBorder="1" applyAlignment="1" applyProtection="1">
      <alignment horizontal="left" vertical="center" wrapText="1"/>
      <protection hidden="1"/>
    </xf>
    <xf numFmtId="0" fontId="0" fillId="2" borderId="10" xfId="0" applyFill="1" applyBorder="1" applyAlignment="1" applyProtection="1">
      <alignment vertical="center" wrapText="1"/>
      <protection hidden="1"/>
    </xf>
    <xf numFmtId="0" fontId="10" fillId="2" borderId="9" xfId="0" applyFont="1" applyFill="1" applyBorder="1" applyAlignment="1" applyProtection="1">
      <alignment horizontal="center" vertical="center" wrapText="1"/>
      <protection hidden="1"/>
    </xf>
    <xf numFmtId="0" fontId="12" fillId="2" borderId="19" xfId="0" applyFont="1" applyFill="1" applyBorder="1" applyAlignment="1" applyProtection="1">
      <alignment horizontal="center" vertical="center" wrapText="1"/>
      <protection hidden="1"/>
    </xf>
    <xf numFmtId="0" fontId="12" fillId="2" borderId="20" xfId="0" applyFont="1" applyFill="1" applyBorder="1" applyAlignment="1" applyProtection="1">
      <alignment horizontal="center" vertical="center" wrapText="1"/>
      <protection hidden="1"/>
    </xf>
    <xf numFmtId="0" fontId="12" fillId="2" borderId="21" xfId="0" applyFont="1" applyFill="1" applyBorder="1" applyAlignment="1" applyProtection="1">
      <alignment horizontal="center" wrapText="1"/>
      <protection hidden="1"/>
    </xf>
    <xf numFmtId="0" fontId="12" fillId="2" borderId="19" xfId="0" applyFont="1" applyFill="1" applyBorder="1" applyAlignment="1" applyProtection="1">
      <alignment horizontal="center" wrapText="1"/>
      <protection hidden="1"/>
    </xf>
    <xf numFmtId="0" fontId="12" fillId="2" borderId="22" xfId="0" applyFont="1" applyFill="1" applyBorder="1" applyAlignment="1" applyProtection="1">
      <alignment horizontal="center" wrapText="1"/>
      <protection hidden="1"/>
    </xf>
    <xf numFmtId="0" fontId="31" fillId="2" borderId="23" xfId="0" applyFont="1" applyFill="1" applyBorder="1" applyAlignment="1" applyProtection="1">
      <alignment horizontal="center" vertical="center"/>
      <protection hidden="1"/>
    </xf>
    <xf numFmtId="0" fontId="4" fillId="2" borderId="24" xfId="0" applyFont="1" applyFill="1" applyBorder="1" applyAlignment="1" applyProtection="1">
      <alignment horizontal="center" vertical="center" wrapText="1"/>
      <protection hidden="1"/>
    </xf>
    <xf numFmtId="0" fontId="4" fillId="2" borderId="25" xfId="0" applyFont="1" applyFill="1" applyBorder="1" applyAlignment="1" applyProtection="1">
      <alignment horizontal="center" vertical="center" wrapText="1"/>
      <protection hidden="1"/>
    </xf>
    <xf numFmtId="0" fontId="4" fillId="2" borderId="26" xfId="0" applyFont="1" applyFill="1" applyBorder="1" applyAlignment="1" applyProtection="1">
      <alignment horizontal="center" vertical="center" wrapText="1"/>
      <protection hidden="1"/>
    </xf>
    <xf numFmtId="169" fontId="4" fillId="2" borderId="27" xfId="0" applyNumberFormat="1" applyFont="1" applyFill="1" applyBorder="1" applyAlignment="1" applyProtection="1">
      <alignment horizontal="center" vertical="center" wrapText="1"/>
      <protection hidden="1"/>
    </xf>
    <xf numFmtId="4" fontId="4" fillId="2" borderId="26" xfId="0" applyNumberFormat="1" applyFont="1" applyFill="1" applyBorder="1" applyAlignment="1" applyProtection="1">
      <alignment horizontal="right" vertical="center" wrapText="1"/>
      <protection hidden="1"/>
    </xf>
    <xf numFmtId="4" fontId="4" fillId="2" borderId="1" xfId="0" applyNumberFormat="1" applyFont="1" applyFill="1" applyBorder="1" applyAlignment="1" applyProtection="1">
      <alignment horizontal="right" vertical="center" wrapText="1"/>
      <protection hidden="1"/>
    </xf>
    <xf numFmtId="0" fontId="4" fillId="2" borderId="12" xfId="0" applyFont="1" applyFill="1" applyBorder="1" applyAlignment="1" applyProtection="1">
      <alignment horizontal="center" vertical="center" wrapText="1"/>
      <protection hidden="1"/>
    </xf>
    <xf numFmtId="4" fontId="4" fillId="2" borderId="19" xfId="0" applyNumberFormat="1" applyFont="1" applyFill="1" applyBorder="1" applyAlignment="1" applyProtection="1">
      <alignment horizontal="right" vertical="center" wrapText="1"/>
      <protection hidden="1"/>
    </xf>
    <xf numFmtId="4" fontId="4" fillId="2" borderId="22" xfId="0" applyNumberFormat="1" applyFont="1" applyFill="1" applyBorder="1" applyAlignment="1" applyProtection="1">
      <alignment horizontal="right" vertical="center" wrapText="1"/>
      <protection hidden="1"/>
    </xf>
    <xf numFmtId="164" fontId="3" fillId="0" borderId="28" xfId="0" applyNumberFormat="1" applyFont="1" applyBorder="1" applyAlignment="1" applyProtection="1">
      <alignment horizontal="right" wrapText="1"/>
      <protection hidden="1"/>
    </xf>
    <xf numFmtId="164" fontId="3" fillId="0" borderId="29" xfId="0" applyNumberFormat="1" applyFont="1" applyBorder="1" applyAlignment="1" applyProtection="1">
      <alignment horizontal="right" wrapText="1"/>
      <protection hidden="1"/>
    </xf>
    <xf numFmtId="4" fontId="3" fillId="0" borderId="11" xfId="0" applyNumberFormat="1" applyFont="1" applyBorder="1" applyAlignment="1" applyProtection="1">
      <alignment horizontal="right" wrapText="1"/>
      <protection hidden="1"/>
    </xf>
    <xf numFmtId="4" fontId="3" fillId="0" borderId="28" xfId="0" applyNumberFormat="1" applyFont="1" applyBorder="1" applyAlignment="1" applyProtection="1">
      <alignment horizontal="right" wrapText="1"/>
      <protection hidden="1"/>
    </xf>
    <xf numFmtId="4" fontId="3" fillId="0" borderId="29" xfId="0" applyNumberFormat="1" applyFont="1" applyBorder="1" applyAlignment="1" applyProtection="1">
      <alignment horizontal="right" wrapText="1"/>
      <protection hidden="1"/>
    </xf>
    <xf numFmtId="4" fontId="3" fillId="0" borderId="10" xfId="0" applyNumberFormat="1" applyFont="1" applyBorder="1" applyAlignment="1" applyProtection="1">
      <alignment horizontal="right" wrapText="1"/>
      <protection hidden="1"/>
    </xf>
    <xf numFmtId="0" fontId="11" fillId="3" borderId="15" xfId="0" applyFont="1" applyFill="1" applyBorder="1" applyAlignment="1" applyProtection="1">
      <alignment wrapText="1"/>
      <protection hidden="1"/>
    </xf>
    <xf numFmtId="0" fontId="9" fillId="2" borderId="0" xfId="0" applyFont="1" applyFill="1" applyBorder="1" applyProtection="1">
      <protection hidden="1"/>
    </xf>
    <xf numFmtId="0" fontId="9" fillId="0" borderId="0" xfId="0" applyFont="1" applyBorder="1" applyProtection="1">
      <protection hidden="1"/>
    </xf>
    <xf numFmtId="0" fontId="33" fillId="2" borderId="1" xfId="0" applyFont="1" applyFill="1" applyBorder="1" applyAlignment="1" applyProtection="1">
      <alignment horizontal="center"/>
      <protection hidden="1"/>
    </xf>
    <xf numFmtId="0" fontId="4" fillId="0" borderId="0" xfId="7" applyFont="1" applyBorder="1" applyProtection="1">
      <protection hidden="1"/>
    </xf>
    <xf numFmtId="0" fontId="4" fillId="0" borderId="0" xfId="7" applyFont="1" applyProtection="1">
      <protection hidden="1"/>
    </xf>
    <xf numFmtId="4" fontId="11" fillId="0" borderId="28" xfId="7" applyNumberFormat="1" applyFont="1" applyBorder="1" applyAlignment="1" applyProtection="1">
      <alignment vertical="center" wrapText="1"/>
      <protection hidden="1"/>
    </xf>
    <xf numFmtId="4" fontId="11" fillId="0" borderId="29" xfId="7" applyNumberFormat="1" applyFont="1" applyBorder="1" applyAlignment="1" applyProtection="1">
      <alignment vertical="center" wrapText="1"/>
      <protection hidden="1"/>
    </xf>
    <xf numFmtId="4" fontId="11" fillId="0" borderId="11" xfId="7" applyNumberFormat="1" applyFont="1" applyBorder="1" applyAlignment="1" applyProtection="1">
      <alignment vertical="center" wrapText="1"/>
      <protection hidden="1"/>
    </xf>
    <xf numFmtId="4" fontId="11" fillId="0" borderId="10" xfId="7" applyNumberFormat="1" applyFont="1" applyBorder="1" applyAlignment="1" applyProtection="1">
      <alignment vertical="center" wrapText="1"/>
      <protection hidden="1"/>
    </xf>
    <xf numFmtId="0" fontId="10" fillId="0" borderId="30" xfId="7" applyFont="1" applyBorder="1" applyAlignment="1" applyProtection="1">
      <alignment horizontal="center" vertical="center" wrapText="1"/>
      <protection hidden="1"/>
    </xf>
    <xf numFmtId="0" fontId="5" fillId="0" borderId="31" xfId="0" applyFont="1" applyBorder="1" applyAlignment="1" applyProtection="1">
      <protection hidden="1"/>
    </xf>
    <xf numFmtId="0" fontId="5" fillId="0" borderId="20" xfId="7" applyFont="1" applyBorder="1" applyAlignment="1" applyProtection="1">
      <alignment horizontal="center" wrapText="1"/>
      <protection hidden="1"/>
    </xf>
    <xf numFmtId="0" fontId="5" fillId="0" borderId="22" xfId="7" applyFont="1" applyBorder="1" applyAlignment="1" applyProtection="1">
      <alignment horizontal="center" wrapText="1"/>
      <protection hidden="1"/>
    </xf>
    <xf numFmtId="0" fontId="5" fillId="0" borderId="32" xfId="7" applyFont="1" applyBorder="1" applyAlignment="1" applyProtection="1">
      <alignment horizontal="center" wrapText="1"/>
      <protection hidden="1"/>
    </xf>
    <xf numFmtId="0" fontId="5" fillId="0" borderId="19" xfId="7" applyFont="1" applyBorder="1" applyAlignment="1" applyProtection="1">
      <alignment horizontal="center" wrapText="1"/>
      <protection hidden="1"/>
    </xf>
    <xf numFmtId="0" fontId="5" fillId="0" borderId="22" xfId="7" applyFont="1" applyBorder="1" applyAlignment="1" applyProtection="1">
      <alignment wrapText="1"/>
      <protection hidden="1"/>
    </xf>
    <xf numFmtId="0" fontId="12" fillId="0" borderId="33" xfId="7" applyFont="1" applyBorder="1" applyAlignment="1" applyProtection="1">
      <alignment horizontal="center" wrapText="1"/>
      <protection hidden="1"/>
    </xf>
    <xf numFmtId="0" fontId="20" fillId="0" borderId="0" xfId="0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horizontal="right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center" wrapText="1"/>
      <protection hidden="1"/>
    </xf>
    <xf numFmtId="0" fontId="5" fillId="0" borderId="7" xfId="0" applyFont="1" applyBorder="1" applyAlignment="1" applyProtection="1">
      <alignment horizontal="center" wrapText="1"/>
      <protection hidden="1"/>
    </xf>
    <xf numFmtId="0" fontId="5" fillId="0" borderId="34" xfId="0" applyFont="1" applyBorder="1" applyAlignment="1" applyProtection="1">
      <alignment horizontal="center" wrapText="1"/>
      <protection hidden="1"/>
    </xf>
    <xf numFmtId="4" fontId="3" fillId="0" borderId="35" xfId="0" applyNumberFormat="1" applyFont="1" applyBorder="1" applyAlignment="1" applyProtection="1">
      <alignment horizontal="right" vertical="center" wrapText="1" indent="1"/>
      <protection hidden="1"/>
    </xf>
    <xf numFmtId="4" fontId="3" fillId="0" borderId="36" xfId="0" applyNumberFormat="1" applyFont="1" applyBorder="1" applyAlignment="1" applyProtection="1">
      <alignment horizontal="right" vertical="center" wrapText="1" indent="1"/>
      <protection hidden="1"/>
    </xf>
    <xf numFmtId="0" fontId="10" fillId="2" borderId="0" xfId="0" applyFont="1" applyFill="1" applyBorder="1" applyAlignment="1" applyProtection="1">
      <alignment wrapText="1"/>
      <protection hidden="1"/>
    </xf>
    <xf numFmtId="0" fontId="10" fillId="2" borderId="14" xfId="0" applyFont="1" applyFill="1" applyBorder="1" applyAlignment="1" applyProtection="1">
      <alignment wrapText="1"/>
      <protection hidden="1"/>
    </xf>
    <xf numFmtId="0" fontId="10" fillId="2" borderId="4" xfId="0" applyFont="1" applyFill="1" applyBorder="1" applyAlignment="1" applyProtection="1">
      <alignment wrapText="1"/>
      <protection hidden="1"/>
    </xf>
    <xf numFmtId="0" fontId="10" fillId="2" borderId="37" xfId="0" applyFont="1" applyFill="1" applyBorder="1" applyAlignment="1" applyProtection="1">
      <alignment wrapText="1"/>
      <protection hidden="1"/>
    </xf>
    <xf numFmtId="4" fontId="11" fillId="0" borderId="1" xfId="0" applyNumberFormat="1" applyFont="1" applyBorder="1" applyAlignment="1" applyProtection="1">
      <alignment horizontal="right" vertical="center" wrapText="1" indent="1"/>
      <protection hidden="1"/>
    </xf>
    <xf numFmtId="4" fontId="11" fillId="0" borderId="34" xfId="0" applyNumberFormat="1" applyFont="1" applyBorder="1" applyAlignment="1" applyProtection="1">
      <alignment horizontal="right" vertical="center" wrapText="1" indent="1"/>
      <protection hidden="1"/>
    </xf>
    <xf numFmtId="0" fontId="11" fillId="2" borderId="0" xfId="0" applyFont="1" applyFill="1" applyBorder="1" applyAlignment="1" applyProtection="1">
      <alignment vertical="center"/>
      <protection hidden="1"/>
    </xf>
    <xf numFmtId="0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11" fillId="0" borderId="1" xfId="0" applyFont="1" applyBorder="1" applyAlignment="1" applyProtection="1">
      <alignment horizontal="center"/>
      <protection hidden="1"/>
    </xf>
    <xf numFmtId="0" fontId="35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1" fillId="2" borderId="0" xfId="0" applyFont="1" applyFill="1" applyAlignment="1" applyProtection="1">
      <protection hidden="1"/>
    </xf>
    <xf numFmtId="0" fontId="38" fillId="2" borderId="0" xfId="0" applyFont="1" applyFill="1" applyAlignment="1" applyProtection="1">
      <alignment vertical="top" wrapText="1"/>
      <protection hidden="1"/>
    </xf>
    <xf numFmtId="0" fontId="7" fillId="2" borderId="0" xfId="0" applyFont="1" applyFill="1" applyAlignment="1" applyProtection="1">
      <protection hidden="1"/>
    </xf>
    <xf numFmtId="0" fontId="11" fillId="2" borderId="1" xfId="0" applyFont="1" applyFill="1" applyBorder="1" applyAlignment="1" applyProtection="1">
      <alignment horizontal="center"/>
      <protection hidden="1"/>
    </xf>
    <xf numFmtId="4" fontId="7" fillId="2" borderId="1" xfId="0" applyNumberFormat="1" applyFont="1" applyFill="1" applyBorder="1" applyProtection="1">
      <protection hidden="1"/>
    </xf>
    <xf numFmtId="0" fontId="7" fillId="2" borderId="0" xfId="0" applyFont="1" applyFill="1" applyAlignment="1" applyProtection="1">
      <alignment vertical="top" wrapText="1"/>
      <protection hidden="1"/>
    </xf>
    <xf numFmtId="0" fontId="0" fillId="0" borderId="0" xfId="0" applyAlignment="1" applyProtection="1">
      <alignment horizontal="right"/>
      <protection hidden="1"/>
    </xf>
    <xf numFmtId="170" fontId="4" fillId="0" borderId="3" xfId="0" applyNumberFormat="1" applyFont="1" applyFill="1" applyBorder="1" applyAlignment="1" applyProtection="1">
      <protection hidden="1"/>
    </xf>
    <xf numFmtId="0" fontId="14" fillId="7" borderId="0" xfId="6" applyFont="1" applyFill="1" applyBorder="1" applyAlignment="1" applyProtection="1">
      <alignment vertical="center"/>
      <protection hidden="1"/>
    </xf>
    <xf numFmtId="0" fontId="18" fillId="2" borderId="0" xfId="0" applyFont="1" applyFill="1"/>
    <xf numFmtId="0" fontId="42" fillId="2" borderId="38" xfId="0" applyFont="1" applyFill="1" applyBorder="1" applyAlignment="1" applyProtection="1">
      <alignment horizontal="center" vertical="center"/>
      <protection locked="0"/>
    </xf>
    <xf numFmtId="4" fontId="10" fillId="0" borderId="5" xfId="7" applyNumberFormat="1" applyFont="1" applyBorder="1" applyAlignment="1" applyProtection="1">
      <alignment horizontal="right" vertical="center" wrapText="1"/>
      <protection hidden="1"/>
    </xf>
    <xf numFmtId="4" fontId="10" fillId="0" borderId="6" xfId="7" applyNumberFormat="1" applyFont="1" applyBorder="1" applyAlignment="1" applyProtection="1">
      <alignment horizontal="right" vertical="center" wrapText="1"/>
      <protection hidden="1"/>
    </xf>
    <xf numFmtId="4" fontId="10" fillId="0" borderId="39" xfId="7" applyNumberFormat="1" applyFont="1" applyBorder="1" applyAlignment="1" applyProtection="1">
      <alignment horizontal="right" vertical="center" wrapText="1"/>
      <protection hidden="1"/>
    </xf>
    <xf numFmtId="4" fontId="10" fillId="0" borderId="40" xfId="7" applyNumberFormat="1" applyFont="1" applyBorder="1" applyAlignment="1" applyProtection="1">
      <alignment horizontal="right" vertical="center" wrapText="1"/>
      <protection hidden="1"/>
    </xf>
    <xf numFmtId="4" fontId="10" fillId="0" borderId="2" xfId="7" applyNumberFormat="1" applyFont="1" applyBorder="1" applyAlignment="1" applyProtection="1">
      <alignment horizontal="right" vertical="center" wrapText="1"/>
      <protection hidden="1"/>
    </xf>
    <xf numFmtId="4" fontId="10" fillId="0" borderId="27" xfId="7" applyNumberFormat="1" applyFont="1" applyBorder="1" applyAlignment="1" applyProtection="1">
      <alignment horizontal="right" vertical="center" wrapText="1"/>
      <protection hidden="1"/>
    </xf>
    <xf numFmtId="4" fontId="10" fillId="0" borderId="1" xfId="7" applyNumberFormat="1" applyFont="1" applyBorder="1" applyAlignment="1" applyProtection="1">
      <alignment horizontal="right" vertical="center" wrapText="1"/>
      <protection hidden="1"/>
    </xf>
    <xf numFmtId="4" fontId="10" fillId="0" borderId="41" xfId="7" applyNumberFormat="1" applyFont="1" applyBorder="1" applyAlignment="1" applyProtection="1">
      <alignment horizontal="right" vertical="center" wrapText="1"/>
      <protection hidden="1"/>
    </xf>
    <xf numFmtId="4" fontId="10" fillId="0" borderId="42" xfId="7" applyNumberFormat="1" applyFont="1" applyBorder="1" applyAlignment="1" applyProtection="1">
      <alignment horizontal="right" vertical="center" wrapText="1"/>
      <protection hidden="1"/>
    </xf>
    <xf numFmtId="4" fontId="10" fillId="0" borderId="43" xfId="7" applyNumberFormat="1" applyFont="1" applyBorder="1" applyAlignment="1" applyProtection="1">
      <alignment horizontal="right" vertical="center" wrapText="1"/>
      <protection hidden="1"/>
    </xf>
    <xf numFmtId="4" fontId="10" fillId="0" borderId="22" xfId="7" applyNumberFormat="1" applyFont="1" applyBorder="1" applyAlignment="1" applyProtection="1">
      <alignment horizontal="right" vertical="center" wrapText="1"/>
      <protection hidden="1"/>
    </xf>
    <xf numFmtId="4" fontId="10" fillId="0" borderId="44" xfId="7" applyNumberFormat="1" applyFont="1" applyBorder="1" applyAlignment="1" applyProtection="1">
      <alignment horizontal="right" vertical="center" wrapText="1"/>
      <protection hidden="1"/>
    </xf>
    <xf numFmtId="4" fontId="10" fillId="0" borderId="26" xfId="7" applyNumberFormat="1" applyFont="1" applyBorder="1" applyAlignment="1" applyProtection="1">
      <alignment horizontal="right" vertical="center" wrapText="1"/>
      <protection hidden="1"/>
    </xf>
    <xf numFmtId="4" fontId="10" fillId="0" borderId="19" xfId="7" applyNumberFormat="1" applyFont="1" applyBorder="1" applyAlignment="1" applyProtection="1">
      <alignment horizontal="right" vertical="center" wrapText="1"/>
      <protection hidden="1"/>
    </xf>
    <xf numFmtId="0" fontId="43" fillId="2" borderId="0" xfId="7" applyFont="1" applyFill="1" applyProtection="1">
      <protection hidden="1"/>
    </xf>
    <xf numFmtId="0" fontId="43" fillId="2" borderId="0" xfId="7" applyFont="1" applyFill="1" applyAlignment="1" applyProtection="1">
      <alignment horizontal="center"/>
      <protection hidden="1"/>
    </xf>
    <xf numFmtId="0" fontId="43" fillId="0" borderId="0" xfId="7" applyFont="1" applyProtection="1">
      <protection hidden="1"/>
    </xf>
    <xf numFmtId="4" fontId="11" fillId="0" borderId="45" xfId="7" applyNumberFormat="1" applyFont="1" applyBorder="1" applyAlignment="1" applyProtection="1">
      <alignment horizontal="right" vertical="center" wrapText="1"/>
      <protection hidden="1"/>
    </xf>
    <xf numFmtId="4" fontId="11" fillId="0" borderId="34" xfId="7" applyNumberFormat="1" applyFont="1" applyBorder="1" applyAlignment="1" applyProtection="1">
      <alignment horizontal="right" vertical="center" wrapText="1"/>
      <protection hidden="1"/>
    </xf>
    <xf numFmtId="4" fontId="11" fillId="0" borderId="21" xfId="7" applyNumberFormat="1" applyFont="1" applyBorder="1" applyAlignment="1" applyProtection="1">
      <alignment horizontal="right" vertical="center" wrapText="1"/>
      <protection hidden="1"/>
    </xf>
    <xf numFmtId="4" fontId="10" fillId="0" borderId="9" xfId="7" applyNumberFormat="1" applyFont="1" applyBorder="1" applyAlignment="1" applyProtection="1">
      <alignment horizontal="right" vertical="center" wrapText="1"/>
      <protection hidden="1"/>
    </xf>
    <xf numFmtId="168" fontId="10" fillId="0" borderId="30" xfId="7" applyNumberFormat="1" applyFont="1" applyBorder="1" applyAlignment="1" applyProtection="1">
      <alignment horizontal="center" vertical="center" wrapText="1"/>
      <protection hidden="1"/>
    </xf>
    <xf numFmtId="168" fontId="10" fillId="0" borderId="12" xfId="7" applyNumberFormat="1" applyFont="1" applyBorder="1" applyAlignment="1" applyProtection="1">
      <alignment horizontal="center" vertical="center" wrapText="1"/>
      <protection hidden="1"/>
    </xf>
    <xf numFmtId="168" fontId="10" fillId="0" borderId="46" xfId="7" applyNumberFormat="1" applyFont="1" applyBorder="1" applyAlignment="1" applyProtection="1">
      <alignment horizontal="center" vertical="center" wrapText="1"/>
      <protection hidden="1"/>
    </xf>
    <xf numFmtId="4" fontId="0" fillId="0" borderId="0" xfId="0" applyNumberFormat="1" applyFill="1" applyProtection="1">
      <protection hidden="1"/>
    </xf>
    <xf numFmtId="4" fontId="11" fillId="0" borderId="47" xfId="7" applyNumberFormat="1" applyFont="1" applyBorder="1" applyAlignment="1" applyProtection="1">
      <alignment horizontal="right" vertical="center" wrapText="1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9" fillId="0" borderId="0" xfId="0" applyFont="1" applyFill="1" applyProtection="1">
      <protection hidden="1"/>
    </xf>
    <xf numFmtId="0" fontId="8" fillId="0" borderId="0" xfId="7" applyFont="1" applyFill="1" applyProtection="1">
      <protection hidden="1"/>
    </xf>
    <xf numFmtId="0" fontId="3" fillId="0" borderId="0" xfId="7" applyFont="1" applyFill="1" applyAlignment="1" applyProtection="1">
      <alignment horizontal="right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18" fillId="2" borderId="0" xfId="0" applyFont="1" applyFill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4" fillId="2" borderId="0" xfId="7" applyFont="1" applyFill="1" applyAlignment="1" applyProtection="1">
      <alignment vertical="center"/>
      <protection hidden="1"/>
    </xf>
    <xf numFmtId="0" fontId="30" fillId="2" borderId="37" xfId="0" applyFont="1" applyFill="1" applyBorder="1" applyAlignment="1" applyProtection="1">
      <alignment horizontal="center" vertical="center"/>
      <protection hidden="1"/>
    </xf>
    <xf numFmtId="0" fontId="44" fillId="2" borderId="38" xfId="0" applyFont="1" applyFill="1" applyBorder="1" applyAlignment="1" applyProtection="1">
      <alignment horizontal="center" vertical="center"/>
      <protection locked="0"/>
    </xf>
    <xf numFmtId="0" fontId="19" fillId="2" borderId="15" xfId="0" applyFont="1" applyFill="1" applyBorder="1" applyAlignment="1" applyProtection="1">
      <alignment horizontal="center" vertical="center"/>
      <protection hidden="1"/>
    </xf>
    <xf numFmtId="4" fontId="3" fillId="2" borderId="34" xfId="0" applyNumberFormat="1" applyFont="1" applyFill="1" applyBorder="1" applyAlignment="1" applyProtection="1">
      <alignment horizontal="right" vertical="center" wrapText="1"/>
      <protection hidden="1"/>
    </xf>
    <xf numFmtId="4" fontId="3" fillId="2" borderId="47" xfId="0" applyNumberFormat="1" applyFont="1" applyFill="1" applyBorder="1" applyAlignment="1" applyProtection="1">
      <alignment horizontal="right" vertical="center" wrapText="1"/>
      <protection hidden="1"/>
    </xf>
    <xf numFmtId="4" fontId="3" fillId="2" borderId="21" xfId="0" applyNumberFormat="1" applyFont="1" applyFill="1" applyBorder="1" applyAlignment="1" applyProtection="1">
      <alignment horizontal="right" vertical="center" wrapText="1"/>
      <protection hidden="1"/>
    </xf>
    <xf numFmtId="0" fontId="0" fillId="2" borderId="0" xfId="0" applyFill="1" applyAlignment="1">
      <alignment vertical="center"/>
    </xf>
    <xf numFmtId="0" fontId="45" fillId="2" borderId="0" xfId="0" applyFont="1" applyFill="1" applyAlignment="1">
      <alignment horizontal="center" vertical="center"/>
    </xf>
    <xf numFmtId="0" fontId="45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27" fillId="2" borderId="0" xfId="0" applyFont="1" applyFill="1" applyBorder="1" applyAlignment="1" applyProtection="1">
      <alignment horizontal="center" vertical="top" wrapText="1"/>
      <protection hidden="1"/>
    </xf>
    <xf numFmtId="0" fontId="27" fillId="2" borderId="0" xfId="0" applyFont="1" applyFill="1" applyBorder="1" applyAlignment="1" applyProtection="1">
      <alignment vertical="top" wrapText="1"/>
      <protection hidden="1"/>
    </xf>
    <xf numFmtId="0" fontId="27" fillId="2" borderId="14" xfId="0" applyFont="1" applyFill="1" applyBorder="1" applyAlignment="1" applyProtection="1">
      <alignment vertical="top" wrapText="1"/>
      <protection hidden="1"/>
    </xf>
    <xf numFmtId="165" fontId="27" fillId="2" borderId="0" xfId="1" applyNumberFormat="1" applyFont="1" applyFill="1" applyAlignment="1" applyProtection="1">
      <alignment vertical="center"/>
      <protection hidden="1"/>
    </xf>
    <xf numFmtId="166" fontId="27" fillId="2" borderId="0" xfId="1" applyFont="1" applyFill="1" applyAlignment="1" applyProtection="1">
      <alignment vertical="center"/>
      <protection hidden="1"/>
    </xf>
    <xf numFmtId="166" fontId="17" fillId="2" borderId="0" xfId="1" applyFont="1" applyFill="1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horizontal="center" wrapText="1"/>
      <protection hidden="1"/>
    </xf>
    <xf numFmtId="0" fontId="17" fillId="3" borderId="2" xfId="0" applyFont="1" applyFill="1" applyBorder="1" applyProtection="1">
      <protection hidden="1"/>
    </xf>
    <xf numFmtId="0" fontId="17" fillId="3" borderId="3" xfId="0" applyFont="1" applyFill="1" applyBorder="1" applyProtection="1">
      <protection hidden="1"/>
    </xf>
    <xf numFmtId="4" fontId="4" fillId="2" borderId="26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1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19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22" xfId="1" applyNumberFormat="1" applyFont="1" applyFill="1" applyBorder="1" applyAlignment="1" applyProtection="1">
      <alignment horizontal="right" vertical="center" wrapText="1"/>
      <protection hidden="1"/>
    </xf>
    <xf numFmtId="0" fontId="45" fillId="2" borderId="0" xfId="0" applyFont="1" applyFill="1" applyProtection="1">
      <protection hidden="1"/>
    </xf>
    <xf numFmtId="0" fontId="40" fillId="4" borderId="48" xfId="0" applyFont="1" applyFill="1" applyBorder="1" applyProtection="1">
      <protection hidden="1"/>
    </xf>
    <xf numFmtId="4" fontId="41" fillId="4" borderId="31" xfId="0" applyNumberFormat="1" applyFont="1" applyFill="1" applyBorder="1" applyProtection="1">
      <protection hidden="1"/>
    </xf>
    <xf numFmtId="0" fontId="27" fillId="2" borderId="48" xfId="0" applyFont="1" applyFill="1" applyBorder="1" applyAlignment="1" applyProtection="1">
      <alignment horizontal="center" vertical="center"/>
      <protection hidden="1"/>
    </xf>
    <xf numFmtId="0" fontId="27" fillId="2" borderId="49" xfId="0" applyFont="1" applyFill="1" applyBorder="1" applyAlignment="1" applyProtection="1">
      <alignment horizontal="center" vertical="center"/>
      <protection hidden="1"/>
    </xf>
    <xf numFmtId="0" fontId="27" fillId="2" borderId="31" xfId="0" applyFont="1" applyFill="1" applyBorder="1" applyAlignment="1" applyProtection="1">
      <alignment horizontal="center" vertical="center"/>
      <protection hidden="1"/>
    </xf>
    <xf numFmtId="0" fontId="0" fillId="2" borderId="37" xfId="0" applyFill="1" applyBorder="1" applyAlignment="1" applyProtection="1">
      <alignment horizontal="center"/>
      <protection hidden="1"/>
    </xf>
    <xf numFmtId="0" fontId="27" fillId="2" borderId="50" xfId="0" applyFont="1" applyFill="1" applyBorder="1" applyAlignment="1" applyProtection="1">
      <alignment vertical="center"/>
      <protection hidden="1"/>
    </xf>
    <xf numFmtId="0" fontId="28" fillId="9" borderId="51" xfId="6" applyFont="1" applyFill="1" applyBorder="1" applyAlignment="1" applyProtection="1">
      <alignment horizontal="center" vertical="center"/>
      <protection hidden="1"/>
    </xf>
    <xf numFmtId="0" fontId="28" fillId="9" borderId="52" xfId="6" applyNumberFormat="1" applyFont="1" applyFill="1" applyBorder="1" applyAlignment="1" applyProtection="1">
      <alignment horizontal="left" vertical="center"/>
      <protection hidden="1"/>
    </xf>
    <xf numFmtId="168" fontId="10" fillId="0" borderId="25" xfId="7" applyNumberFormat="1" applyFont="1" applyBorder="1" applyAlignment="1" applyProtection="1">
      <alignment horizontal="center" vertical="center" wrapText="1"/>
      <protection hidden="1"/>
    </xf>
    <xf numFmtId="0" fontId="27" fillId="5" borderId="0" xfId="0" applyFont="1" applyFill="1" applyAlignment="1" applyProtection="1">
      <alignment horizontal="center"/>
      <protection locked="0"/>
    </xf>
    <xf numFmtId="0" fontId="10" fillId="2" borderId="53" xfId="0" applyFont="1" applyFill="1" applyBorder="1" applyAlignment="1" applyProtection="1">
      <alignment wrapText="1"/>
      <protection hidden="1"/>
    </xf>
    <xf numFmtId="0" fontId="10" fillId="2" borderId="8" xfId="0" applyFont="1" applyFill="1" applyBorder="1" applyAlignment="1" applyProtection="1">
      <alignment wrapText="1"/>
      <protection hidden="1"/>
    </xf>
    <xf numFmtId="0" fontId="10" fillId="2" borderId="54" xfId="0" applyFont="1" applyFill="1" applyBorder="1" applyAlignment="1" applyProtection="1">
      <alignment wrapText="1"/>
      <protection hidden="1"/>
    </xf>
    <xf numFmtId="0" fontId="10" fillId="2" borderId="55" xfId="0" applyFont="1" applyFill="1" applyBorder="1" applyAlignment="1" applyProtection="1">
      <alignment wrapText="1"/>
      <protection hidden="1"/>
    </xf>
    <xf numFmtId="0" fontId="10" fillId="2" borderId="31" xfId="7" applyFont="1" applyFill="1" applyBorder="1" applyAlignment="1" applyProtection="1">
      <alignment wrapText="1"/>
      <protection hidden="1"/>
    </xf>
    <xf numFmtId="0" fontId="10" fillId="2" borderId="56" xfId="7" applyFont="1" applyFill="1" applyBorder="1" applyAlignment="1" applyProtection="1">
      <alignment wrapText="1"/>
      <protection hidden="1"/>
    </xf>
    <xf numFmtId="14" fontId="10" fillId="2" borderId="49" xfId="7" applyNumberFormat="1" applyFont="1" applyFill="1" applyBorder="1" applyAlignment="1" applyProtection="1">
      <alignment wrapText="1"/>
      <protection hidden="1"/>
    </xf>
    <xf numFmtId="14" fontId="10" fillId="2" borderId="56" xfId="7" applyNumberFormat="1" applyFont="1" applyFill="1" applyBorder="1" applyAlignment="1" applyProtection="1">
      <alignment wrapText="1"/>
      <protection hidden="1"/>
    </xf>
    <xf numFmtId="14" fontId="10" fillId="2" borderId="48" xfId="7" applyNumberFormat="1" applyFont="1" applyFill="1" applyBorder="1" applyAlignment="1" applyProtection="1">
      <alignment horizontal="right" wrapText="1"/>
      <protection hidden="1"/>
    </xf>
    <xf numFmtId="14" fontId="10" fillId="2" borderId="49" xfId="7" applyNumberFormat="1" applyFont="1" applyFill="1" applyBorder="1" applyAlignment="1" applyProtection="1">
      <alignment horizontal="left" wrapText="1"/>
      <protection hidden="1"/>
    </xf>
    <xf numFmtId="14" fontId="10" fillId="2" borderId="57" xfId="7" applyNumberFormat="1" applyFont="1" applyFill="1" applyBorder="1" applyAlignment="1" applyProtection="1">
      <alignment horizontal="right" wrapText="1"/>
      <protection hidden="1"/>
    </xf>
    <xf numFmtId="14" fontId="10" fillId="2" borderId="4" xfId="0" applyNumberFormat="1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center"/>
      <protection hidden="1"/>
    </xf>
    <xf numFmtId="0" fontId="7" fillId="0" borderId="0" xfId="0" applyFont="1" applyFill="1" applyProtection="1">
      <protection hidden="1"/>
    </xf>
    <xf numFmtId="0" fontId="27" fillId="2" borderId="0" xfId="0" applyFont="1" applyFill="1" applyAlignment="1" applyProtection="1">
      <alignment vertical="top"/>
      <protection hidden="1"/>
    </xf>
    <xf numFmtId="0" fontId="0" fillId="0" borderId="0" xfId="0" applyBorder="1" applyProtection="1">
      <protection hidden="1"/>
    </xf>
    <xf numFmtId="14" fontId="47" fillId="2" borderId="13" xfId="0" applyNumberFormat="1" applyFont="1" applyFill="1" applyBorder="1" applyAlignment="1" applyProtection="1">
      <alignment horizontal="center" vertical="center"/>
      <protection hidden="1"/>
    </xf>
    <xf numFmtId="14" fontId="47" fillId="2" borderId="0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/>
    <xf numFmtId="0" fontId="7" fillId="0" borderId="0" xfId="0" applyFont="1"/>
    <xf numFmtId="0" fontId="44" fillId="2" borderId="15" xfId="0" applyFont="1" applyFill="1" applyBorder="1" applyAlignment="1" applyProtection="1">
      <alignment horizontal="center" vertical="center"/>
      <protection hidden="1"/>
    </xf>
    <xf numFmtId="4" fontId="3" fillId="0" borderId="58" xfId="0" applyNumberFormat="1" applyFont="1" applyBorder="1" applyAlignment="1" applyProtection="1">
      <alignment horizontal="right" vertical="center" wrapText="1" indent="1"/>
      <protection hidden="1"/>
    </xf>
    <xf numFmtId="14" fontId="10" fillId="2" borderId="49" xfId="7" applyNumberFormat="1" applyFont="1" applyFill="1" applyBorder="1" applyAlignment="1" applyProtection="1">
      <alignment horizontal="right" wrapText="1"/>
      <protection hidden="1"/>
    </xf>
    <xf numFmtId="0" fontId="10" fillId="2" borderId="0" xfId="7" applyFont="1" applyFill="1" applyBorder="1" applyAlignment="1" applyProtection="1">
      <alignment wrapText="1"/>
      <protection hidden="1"/>
    </xf>
    <xf numFmtId="171" fontId="10" fillId="2" borderId="59" xfId="7" applyNumberFormat="1" applyFont="1" applyFill="1" applyBorder="1" applyAlignment="1" applyProtection="1">
      <alignment horizontal="center" vertical="center"/>
      <protection hidden="1"/>
    </xf>
    <xf numFmtId="171" fontId="10" fillId="2" borderId="41" xfId="7" applyNumberFormat="1" applyFont="1" applyFill="1" applyBorder="1" applyAlignment="1" applyProtection="1">
      <alignment horizontal="center" vertical="center"/>
      <protection hidden="1"/>
    </xf>
    <xf numFmtId="0" fontId="10" fillId="2" borderId="60" xfId="7" applyFont="1" applyFill="1" applyBorder="1" applyAlignment="1" applyProtection="1">
      <alignment horizontal="left" vertical="center" shrinkToFit="1"/>
      <protection hidden="1"/>
    </xf>
    <xf numFmtId="171" fontId="10" fillId="2" borderId="44" xfId="7" applyNumberFormat="1" applyFont="1" applyFill="1" applyBorder="1" applyAlignment="1" applyProtection="1">
      <alignment horizontal="center" vertical="center"/>
      <protection hidden="1"/>
    </xf>
    <xf numFmtId="0" fontId="10" fillId="2" borderId="61" xfId="7" applyFont="1" applyFill="1" applyBorder="1" applyAlignment="1" applyProtection="1">
      <alignment horizontal="left" vertical="center" shrinkToFit="1"/>
      <protection hidden="1"/>
    </xf>
    <xf numFmtId="0" fontId="9" fillId="2" borderId="10" xfId="0" applyFont="1" applyFill="1" applyBorder="1" applyAlignment="1" applyProtection="1">
      <alignment vertical="center"/>
      <protection hidden="1"/>
    </xf>
    <xf numFmtId="0" fontId="11" fillId="0" borderId="1" xfId="0" applyFont="1" applyBorder="1" applyAlignment="1" applyProtection="1">
      <alignment vertical="top" shrinkToFit="1"/>
      <protection hidden="1"/>
    </xf>
    <xf numFmtId="0" fontId="0" fillId="2" borderId="0" xfId="0" applyFill="1" applyAlignment="1" applyProtection="1">
      <alignment horizontal="left" vertical="center"/>
      <protection hidden="1"/>
    </xf>
    <xf numFmtId="0" fontId="51" fillId="2" borderId="0" xfId="0" applyFont="1" applyFill="1" applyAlignment="1" applyProtection="1">
      <alignment horizontal="center"/>
      <protection hidden="1"/>
    </xf>
    <xf numFmtId="0" fontId="0" fillId="0" borderId="0" xfId="0" applyFill="1" applyBorder="1" applyProtection="1">
      <protection hidden="1"/>
    </xf>
    <xf numFmtId="0" fontId="0" fillId="10" borderId="0" xfId="0" applyFill="1" applyBorder="1" applyProtection="1">
      <protection hidden="1"/>
    </xf>
    <xf numFmtId="0" fontId="0" fillId="10" borderId="48" xfId="0" applyFill="1" applyBorder="1" applyAlignment="1" applyProtection="1">
      <alignment horizontal="center"/>
      <protection hidden="1"/>
    </xf>
    <xf numFmtId="0" fontId="0" fillId="10" borderId="31" xfId="0" applyFill="1" applyBorder="1" applyProtection="1">
      <protection hidden="1"/>
    </xf>
    <xf numFmtId="0" fontId="0" fillId="10" borderId="13" xfId="0" applyFill="1" applyBorder="1" applyProtection="1">
      <protection hidden="1"/>
    </xf>
    <xf numFmtId="0" fontId="50" fillId="10" borderId="0" xfId="0" applyFont="1" applyFill="1" applyBorder="1" applyProtection="1">
      <protection hidden="1"/>
    </xf>
    <xf numFmtId="0" fontId="0" fillId="10" borderId="37" xfId="0" applyFill="1" applyBorder="1" applyProtection="1">
      <protection hidden="1"/>
    </xf>
    <xf numFmtId="0" fontId="0" fillId="10" borderId="50" xfId="0" applyFill="1" applyBorder="1" applyProtection="1">
      <protection hidden="1"/>
    </xf>
    <xf numFmtId="0" fontId="50" fillId="10" borderId="10" xfId="0" applyFont="1" applyFill="1" applyBorder="1" applyProtection="1">
      <protection hidden="1"/>
    </xf>
    <xf numFmtId="0" fontId="0" fillId="10" borderId="33" xfId="0" applyFill="1" applyBorder="1" applyProtection="1">
      <protection hidden="1"/>
    </xf>
    <xf numFmtId="0" fontId="0" fillId="10" borderId="10" xfId="0" applyFill="1" applyBorder="1" applyProtection="1">
      <protection hidden="1"/>
    </xf>
    <xf numFmtId="0" fontId="0" fillId="2" borderId="0" xfId="0" applyFill="1" applyBorder="1" applyAlignment="1" applyProtection="1">
      <protection hidden="1"/>
    </xf>
    <xf numFmtId="0" fontId="45" fillId="2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4" fontId="10" fillId="2" borderId="62" xfId="0" applyNumberFormat="1" applyFont="1" applyFill="1" applyBorder="1" applyAlignment="1" applyProtection="1">
      <alignment horizontal="center" wrapText="1"/>
      <protection hidden="1"/>
    </xf>
    <xf numFmtId="0" fontId="53" fillId="3" borderId="27" xfId="0" applyFont="1" applyFill="1" applyBorder="1" applyAlignment="1" applyProtection="1">
      <alignment wrapText="1"/>
      <protection hidden="1"/>
    </xf>
    <xf numFmtId="4" fontId="54" fillId="3" borderId="1" xfId="0" applyNumberFormat="1" applyFont="1" applyFill="1" applyBorder="1" applyAlignment="1" applyProtection="1">
      <alignment horizontal="right" wrapText="1" indent="1"/>
      <protection hidden="1"/>
    </xf>
    <xf numFmtId="0" fontId="55" fillId="3" borderId="1" xfId="0" applyFont="1" applyFill="1" applyBorder="1" applyAlignment="1" applyProtection="1">
      <alignment wrapText="1"/>
      <protection hidden="1"/>
    </xf>
    <xf numFmtId="14" fontId="50" fillId="10" borderId="37" xfId="0" applyNumberFormat="1" applyFont="1" applyFill="1" applyBorder="1" applyAlignment="1" applyProtection="1">
      <protection hidden="1"/>
    </xf>
    <xf numFmtId="0" fontId="34" fillId="2" borderId="0" xfId="0" applyFont="1" applyFill="1" applyAlignment="1" applyProtection="1">
      <alignment vertical="center"/>
      <protection hidden="1"/>
    </xf>
    <xf numFmtId="0" fontId="7" fillId="0" borderId="1" xfId="0" applyFont="1" applyBorder="1" applyAlignment="1">
      <alignment horizontal="center"/>
    </xf>
    <xf numFmtId="4" fontId="0" fillId="0" borderId="0" xfId="0" applyNumberFormat="1"/>
    <xf numFmtId="4" fontId="0" fillId="0" borderId="0" xfId="0" applyNumberFormat="1" applyFill="1"/>
    <xf numFmtId="0" fontId="61" fillId="7" borderId="0" xfId="0" applyFont="1" applyFill="1" applyAlignment="1" applyProtection="1">
      <alignment horizontal="center" vertical="center"/>
      <protection hidden="1"/>
    </xf>
    <xf numFmtId="4" fontId="7" fillId="11" borderId="48" xfId="0" applyNumberFormat="1" applyFont="1" applyFill="1" applyBorder="1" applyAlignment="1" applyProtection="1">
      <alignment horizontal="right"/>
      <protection hidden="1"/>
    </xf>
    <xf numFmtId="0" fontId="7" fillId="11" borderId="50" xfId="0" applyFont="1" applyFill="1" applyBorder="1" applyAlignment="1" applyProtection="1">
      <alignment horizontal="right"/>
      <protection hidden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vertical="top" wrapText="1"/>
    </xf>
    <xf numFmtId="4" fontId="7" fillId="0" borderId="1" xfId="0" applyNumberFormat="1" applyFont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Border="1"/>
    <xf numFmtId="4" fontId="7" fillId="0" borderId="1" xfId="0" applyNumberFormat="1" applyFont="1" applyBorder="1" applyAlignment="1"/>
    <xf numFmtId="0" fontId="0" fillId="12" borderId="48" xfId="0" applyFill="1" applyBorder="1" applyAlignment="1" applyProtection="1">
      <alignment vertical="center"/>
      <protection hidden="1"/>
    </xf>
    <xf numFmtId="0" fontId="0" fillId="12" borderId="49" xfId="0" applyFill="1" applyBorder="1" applyAlignment="1" applyProtection="1">
      <alignment vertical="center"/>
      <protection hidden="1"/>
    </xf>
    <xf numFmtId="0" fontId="0" fillId="12" borderId="31" xfId="0" applyFill="1" applyBorder="1" applyAlignment="1" applyProtection="1">
      <alignment vertical="center"/>
      <protection hidden="1"/>
    </xf>
    <xf numFmtId="0" fontId="13" fillId="12" borderId="48" xfId="0" applyFont="1" applyFill="1" applyBorder="1" applyAlignment="1" applyProtection="1">
      <alignment vertical="center"/>
      <protection hidden="1"/>
    </xf>
    <xf numFmtId="0" fontId="13" fillId="12" borderId="49" xfId="0" applyFont="1" applyFill="1" applyBorder="1" applyAlignment="1" applyProtection="1">
      <alignment vertical="center"/>
      <protection hidden="1"/>
    </xf>
    <xf numFmtId="0" fontId="13" fillId="12" borderId="31" xfId="0" applyFont="1" applyFill="1" applyBorder="1" applyAlignment="1" applyProtection="1">
      <alignment vertical="center"/>
      <protection hidden="1"/>
    </xf>
    <xf numFmtId="0" fontId="13" fillId="12" borderId="13" xfId="0" applyFont="1" applyFill="1" applyBorder="1" applyAlignment="1" applyProtection="1">
      <alignment vertical="center"/>
      <protection hidden="1"/>
    </xf>
    <xf numFmtId="0" fontId="13" fillId="12" borderId="0" xfId="0" applyFont="1" applyFill="1" applyBorder="1" applyAlignment="1" applyProtection="1">
      <alignment vertical="center"/>
      <protection hidden="1"/>
    </xf>
    <xf numFmtId="0" fontId="13" fillId="12" borderId="37" xfId="0" applyFont="1" applyFill="1" applyBorder="1" applyAlignment="1" applyProtection="1">
      <alignment vertical="center"/>
      <protection hidden="1"/>
    </xf>
    <xf numFmtId="0" fontId="13" fillId="12" borderId="37" xfId="6" applyFont="1" applyFill="1" applyBorder="1" applyAlignment="1" applyProtection="1">
      <alignment vertical="center"/>
      <protection hidden="1"/>
    </xf>
    <xf numFmtId="0" fontId="13" fillId="12" borderId="37" xfId="6" applyFont="1" applyFill="1" applyBorder="1" applyAlignment="1" applyProtection="1">
      <alignment horizontal="center" vertical="center"/>
      <protection hidden="1"/>
    </xf>
    <xf numFmtId="0" fontId="0" fillId="12" borderId="37" xfId="0" applyFill="1" applyBorder="1" applyAlignment="1" applyProtection="1">
      <alignment vertical="center"/>
      <protection hidden="1"/>
    </xf>
    <xf numFmtId="0" fontId="0" fillId="12" borderId="37" xfId="0" applyFill="1" applyBorder="1" applyProtection="1">
      <protection hidden="1"/>
    </xf>
    <xf numFmtId="0" fontId="62" fillId="12" borderId="0" xfId="6" applyFont="1" applyFill="1" applyBorder="1" applyAlignment="1" applyProtection="1">
      <alignment horizontal="right" vertical="center"/>
      <protection hidden="1"/>
    </xf>
    <xf numFmtId="0" fontId="62" fillId="12" borderId="13" xfId="6" applyFont="1" applyFill="1" applyBorder="1" applyAlignment="1" applyProtection="1">
      <alignment horizontal="right" vertical="center"/>
      <protection hidden="1"/>
    </xf>
    <xf numFmtId="0" fontId="63" fillId="12" borderId="13" xfId="0" applyFont="1" applyFill="1" applyBorder="1" applyAlignment="1" applyProtection="1">
      <alignment horizontal="right" vertical="center"/>
      <protection hidden="1"/>
    </xf>
    <xf numFmtId="0" fontId="0" fillId="12" borderId="13" xfId="0" applyFill="1" applyBorder="1" applyAlignment="1" applyProtection="1">
      <alignment vertical="center"/>
      <protection hidden="1"/>
    </xf>
    <xf numFmtId="0" fontId="0" fillId="12" borderId="0" xfId="0" applyFill="1" applyBorder="1" applyAlignment="1" applyProtection="1">
      <alignment vertical="center"/>
      <protection hidden="1"/>
    </xf>
    <xf numFmtId="0" fontId="39" fillId="12" borderId="13" xfId="0" applyFont="1" applyFill="1" applyBorder="1" applyAlignment="1" applyProtection="1">
      <alignment horizontal="center" vertical="center"/>
      <protection hidden="1"/>
    </xf>
    <xf numFmtId="0" fontId="4" fillId="12" borderId="13" xfId="0" applyFont="1" applyFill="1" applyBorder="1" applyProtection="1">
      <protection hidden="1"/>
    </xf>
    <xf numFmtId="0" fontId="0" fillId="12" borderId="0" xfId="0" applyFill="1" applyBorder="1" applyProtection="1">
      <protection hidden="1"/>
    </xf>
    <xf numFmtId="0" fontId="7" fillId="12" borderId="0" xfId="0" applyFont="1" applyFill="1" applyBorder="1" applyAlignment="1" applyProtection="1">
      <alignment horizontal="center" vertical="center"/>
      <protection hidden="1"/>
    </xf>
    <xf numFmtId="0" fontId="0" fillId="12" borderId="0" xfId="0" applyFill="1" applyBorder="1" applyAlignment="1" applyProtection="1">
      <alignment horizontal="center" vertical="center"/>
      <protection hidden="1"/>
    </xf>
    <xf numFmtId="0" fontId="14" fillId="12" borderId="0" xfId="6" applyFont="1" applyFill="1" applyBorder="1" applyAlignment="1" applyProtection="1">
      <alignment horizontal="center" vertical="center"/>
      <protection hidden="1"/>
    </xf>
    <xf numFmtId="0" fontId="13" fillId="12" borderId="0" xfId="6" applyFont="1" applyFill="1" applyBorder="1" applyAlignment="1" applyProtection="1">
      <alignment vertical="center"/>
      <protection hidden="1"/>
    </xf>
    <xf numFmtId="14" fontId="14" fillId="12" borderId="0" xfId="6" applyNumberFormat="1" applyFont="1" applyFill="1" applyBorder="1" applyAlignment="1" applyProtection="1">
      <alignment horizontal="center" vertical="center"/>
      <protection hidden="1"/>
    </xf>
    <xf numFmtId="0" fontId="15" fillId="12" borderId="0" xfId="6" applyFont="1" applyFill="1" applyBorder="1" applyAlignment="1" applyProtection="1">
      <alignment vertical="center"/>
      <protection hidden="1"/>
    </xf>
    <xf numFmtId="0" fontId="13" fillId="12" borderId="0" xfId="6" applyFont="1" applyFill="1" applyBorder="1" applyAlignment="1" applyProtection="1">
      <alignment horizontal="right" vertical="center"/>
      <protection hidden="1"/>
    </xf>
    <xf numFmtId="0" fontId="62" fillId="12" borderId="0" xfId="6" applyFont="1" applyFill="1" applyBorder="1" applyAlignment="1" applyProtection="1">
      <alignment horizontal="center" vertical="center"/>
      <protection hidden="1"/>
    </xf>
    <xf numFmtId="0" fontId="64" fillId="12" borderId="37" xfId="6" applyFont="1" applyFill="1" applyBorder="1" applyAlignment="1" applyProtection="1">
      <alignment vertical="center"/>
      <protection hidden="1"/>
    </xf>
    <xf numFmtId="0" fontId="62" fillId="13" borderId="15" xfId="6" applyNumberFormat="1" applyFont="1" applyFill="1" applyBorder="1" applyAlignment="1" applyProtection="1">
      <alignment horizontal="center" vertical="center"/>
      <protection hidden="1"/>
    </xf>
    <xf numFmtId="14" fontId="62" fillId="13" borderId="15" xfId="0" applyNumberFormat="1" applyFont="1" applyFill="1" applyBorder="1" applyAlignment="1" applyProtection="1">
      <alignment horizontal="center" vertical="center"/>
      <protection hidden="1"/>
    </xf>
    <xf numFmtId="0" fontId="65" fillId="4" borderId="50" xfId="0" applyFont="1" applyFill="1" applyBorder="1" applyProtection="1">
      <protection hidden="1"/>
    </xf>
    <xf numFmtId="4" fontId="66" fillId="4" borderId="33" xfId="0" applyNumberFormat="1" applyFont="1" applyFill="1" applyBorder="1" applyProtection="1">
      <protection hidden="1"/>
    </xf>
    <xf numFmtId="0" fontId="62" fillId="12" borderId="13" xfId="0" applyFont="1" applyFill="1" applyBorder="1" applyAlignment="1" applyProtection="1">
      <alignment horizontal="right" vertical="center"/>
      <protection hidden="1"/>
    </xf>
    <xf numFmtId="0" fontId="62" fillId="12" borderId="0" xfId="0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7" fillId="14" borderId="0" xfId="0" applyFont="1" applyFill="1" applyProtection="1">
      <protection hidden="1"/>
    </xf>
    <xf numFmtId="0" fontId="27" fillId="0" borderId="0" xfId="0" applyFont="1" applyProtection="1">
      <protection hidden="1"/>
    </xf>
    <xf numFmtId="0" fontId="27" fillId="2" borderId="0" xfId="0" applyFont="1" applyFill="1" applyBorder="1" applyAlignment="1" applyProtection="1">
      <alignment horizontal="center"/>
      <protection locked="0"/>
    </xf>
    <xf numFmtId="0" fontId="27" fillId="2" borderId="0" xfId="0" applyFont="1" applyFill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protection hidden="1"/>
    </xf>
    <xf numFmtId="0" fontId="5" fillId="0" borderId="67" xfId="7" applyFont="1" applyFill="1" applyBorder="1" applyAlignment="1" applyProtection="1">
      <alignment horizontal="center" vertical="center" wrapText="1"/>
      <protection hidden="1"/>
    </xf>
    <xf numFmtId="0" fontId="5" fillId="0" borderId="68" xfId="7" applyFont="1" applyFill="1" applyBorder="1" applyAlignment="1" applyProtection="1">
      <alignment horizontal="center" vertical="center" wrapText="1"/>
      <protection hidden="1"/>
    </xf>
    <xf numFmtId="0" fontId="5" fillId="0" borderId="69" xfId="7" applyFont="1" applyFill="1" applyBorder="1" applyAlignment="1" applyProtection="1">
      <alignment horizontal="center" vertical="center" wrapText="1"/>
      <protection hidden="1"/>
    </xf>
    <xf numFmtId="14" fontId="0" fillId="0" borderId="0" xfId="0" applyNumberFormat="1" applyFill="1" applyBorder="1" applyProtection="1">
      <protection hidden="1"/>
    </xf>
    <xf numFmtId="4" fontId="0" fillId="0" borderId="0" xfId="0" applyNumberFormat="1" applyFill="1" applyBorder="1" applyProtection="1">
      <protection hidden="1"/>
    </xf>
    <xf numFmtId="168" fontId="4" fillId="0" borderId="74" xfId="0" applyNumberFormat="1" applyFont="1" applyFill="1" applyBorder="1" applyAlignment="1" applyProtection="1">
      <alignment horizontal="center"/>
      <protection locked="0"/>
    </xf>
    <xf numFmtId="0" fontId="46" fillId="0" borderId="75" xfId="0" applyNumberFormat="1" applyFont="1" applyFill="1" applyBorder="1" applyAlignment="1" applyProtection="1">
      <alignment horizontal="center"/>
      <protection locked="0"/>
    </xf>
    <xf numFmtId="0" fontId="7" fillId="0" borderId="75" xfId="0" applyNumberFormat="1" applyFont="1" applyFill="1" applyBorder="1" applyAlignment="1" applyProtection="1">
      <alignment horizontal="center" vertical="center"/>
      <protection hidden="1"/>
    </xf>
    <xf numFmtId="0" fontId="46" fillId="0" borderId="70" xfId="0" applyNumberFormat="1" applyFont="1" applyFill="1" applyBorder="1" applyAlignment="1" applyProtection="1">
      <alignment horizontal="center"/>
      <protection locked="0"/>
    </xf>
    <xf numFmtId="0" fontId="7" fillId="0" borderId="70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Fill="1" applyBorder="1" applyProtection="1">
      <protection hidden="1"/>
    </xf>
    <xf numFmtId="0" fontId="0" fillId="0" borderId="0" xfId="0" applyFill="1" applyProtection="1">
      <protection locked="0"/>
    </xf>
    <xf numFmtId="0" fontId="46" fillId="0" borderId="75" xfId="0" applyNumberFormat="1" applyFont="1" applyFill="1" applyBorder="1" applyAlignment="1" applyProtection="1">
      <alignment horizontal="center"/>
      <protection hidden="1"/>
    </xf>
    <xf numFmtId="0" fontId="46" fillId="0" borderId="70" xfId="0" applyNumberFormat="1" applyFont="1" applyFill="1" applyBorder="1" applyAlignment="1" applyProtection="1">
      <alignment horizontal="center"/>
      <protection hidden="1"/>
    </xf>
    <xf numFmtId="4" fontId="45" fillId="7" borderId="0" xfId="0" applyNumberFormat="1" applyFont="1" applyFill="1" applyProtection="1">
      <protection hidden="1"/>
    </xf>
    <xf numFmtId="0" fontId="0" fillId="7" borderId="0" xfId="0" applyFill="1" applyBorder="1" applyProtection="1">
      <protection hidden="1"/>
    </xf>
    <xf numFmtId="0" fontId="0" fillId="14" borderId="0" xfId="0" applyFill="1" applyProtection="1">
      <protection hidden="1"/>
    </xf>
    <xf numFmtId="0" fontId="0" fillId="15" borderId="0" xfId="0" applyFill="1" applyProtection="1">
      <protection hidden="1"/>
    </xf>
    <xf numFmtId="0" fontId="0" fillId="15" borderId="0" xfId="0" applyFill="1" applyAlignment="1" applyProtection="1">
      <alignment horizontal="right"/>
      <protection hidden="1"/>
    </xf>
    <xf numFmtId="0" fontId="0" fillId="15" borderId="0" xfId="0" applyFill="1" applyBorder="1" applyProtection="1">
      <protection hidden="1"/>
    </xf>
    <xf numFmtId="0" fontId="0" fillId="15" borderId="0" xfId="0" applyFill="1" applyBorder="1" applyAlignment="1" applyProtection="1">
      <alignment horizontal="center"/>
      <protection hidden="1"/>
    </xf>
    <xf numFmtId="4" fontId="45" fillId="0" borderId="0" xfId="0" applyNumberFormat="1" applyFont="1" applyFill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16" borderId="0" xfId="0" applyFill="1" applyBorder="1" applyProtection="1">
      <protection hidden="1"/>
    </xf>
    <xf numFmtId="0" fontId="17" fillId="14" borderId="0" xfId="0" applyFont="1" applyFill="1"/>
    <xf numFmtId="0" fontId="0" fillId="14" borderId="0" xfId="0" applyFill="1"/>
    <xf numFmtId="0" fontId="27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/>
    </xf>
    <xf numFmtId="171" fontId="0" fillId="14" borderId="0" xfId="0" applyNumberFormat="1" applyFill="1" applyAlignment="1">
      <alignment horizontal="center"/>
    </xf>
    <xf numFmtId="0" fontId="0" fillId="14" borderId="0" xfId="0" applyFill="1" applyAlignment="1" applyProtection="1">
      <alignment horizontal="left"/>
      <protection hidden="1"/>
    </xf>
    <xf numFmtId="0" fontId="61" fillId="7" borderId="0" xfId="0" applyFont="1" applyFill="1" applyProtection="1">
      <protection hidden="1"/>
    </xf>
    <xf numFmtId="0" fontId="0" fillId="16" borderId="0" xfId="0" applyFill="1" applyProtection="1">
      <protection hidden="1"/>
    </xf>
    <xf numFmtId="4" fontId="27" fillId="0" borderId="70" xfId="0" applyNumberFormat="1" applyFont="1" applyFill="1" applyBorder="1" applyAlignment="1" applyProtection="1">
      <alignment horizontal="right"/>
      <protection locked="0"/>
    </xf>
    <xf numFmtId="0" fontId="0" fillId="14" borderId="0" xfId="0" applyFill="1" applyAlignment="1">
      <alignment horizontal="center"/>
    </xf>
    <xf numFmtId="14" fontId="7" fillId="0" borderId="75" xfId="0" applyNumberFormat="1" applyFont="1" applyFill="1" applyBorder="1" applyAlignment="1" applyProtection="1">
      <alignment horizontal="center" vertical="center"/>
      <protection hidden="1"/>
    </xf>
    <xf numFmtId="14" fontId="7" fillId="0" borderId="7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right"/>
      <protection hidden="1"/>
    </xf>
    <xf numFmtId="4" fontId="67" fillId="2" borderId="0" xfId="0" applyNumberFormat="1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Protection="1">
      <protection hidden="1"/>
    </xf>
    <xf numFmtId="0" fontId="19" fillId="2" borderId="0" xfId="0" applyFont="1" applyFill="1" applyAlignment="1" applyProtection="1">
      <protection hidden="1"/>
    </xf>
    <xf numFmtId="0" fontId="13" fillId="2" borderId="0" xfId="0" applyFont="1" applyFill="1" applyAlignment="1" applyProtection="1">
      <alignment vertical="top" wrapText="1"/>
      <protection hidden="1"/>
    </xf>
    <xf numFmtId="0" fontId="25" fillId="2" borderId="0" xfId="0" applyFont="1" applyFill="1" applyAlignment="1" applyProtection="1">
      <alignment vertical="top" wrapText="1"/>
      <protection hidden="1"/>
    </xf>
    <xf numFmtId="4" fontId="19" fillId="2" borderId="0" xfId="0" applyNumberFormat="1" applyFont="1" applyFill="1" applyBorder="1" applyAlignment="1" applyProtection="1">
      <alignment horizontal="right" vertical="center"/>
      <protection hidden="1"/>
    </xf>
    <xf numFmtId="0" fontId="13" fillId="2" borderId="0" xfId="0" applyNumberFormat="1" applyFont="1" applyFill="1" applyBorder="1" applyAlignment="1" applyProtection="1">
      <alignment horizontal="center"/>
      <protection hidden="1"/>
    </xf>
    <xf numFmtId="171" fontId="13" fillId="2" borderId="0" xfId="0" applyNumberFormat="1" applyFont="1" applyFill="1" applyBorder="1" applyAlignment="1" applyProtection="1">
      <alignment horizontal="center"/>
      <protection hidden="1"/>
    </xf>
    <xf numFmtId="0" fontId="13" fillId="2" borderId="0" xfId="0" applyFont="1" applyFill="1" applyBorder="1" applyAlignment="1" applyProtection="1">
      <alignment horizontal="left"/>
      <protection hidden="1"/>
    </xf>
    <xf numFmtId="4" fontId="13" fillId="2" borderId="0" xfId="0" applyNumberFormat="1" applyFont="1" applyFill="1" applyBorder="1" applyAlignment="1" applyProtection="1">
      <alignment horizontal="right" vertical="center"/>
      <protection hidden="1"/>
    </xf>
    <xf numFmtId="0" fontId="17" fillId="0" borderId="0" xfId="0" applyFont="1" applyFill="1" applyBorder="1" applyProtection="1">
      <protection hidden="1"/>
    </xf>
    <xf numFmtId="0" fontId="17" fillId="0" borderId="0" xfId="0" quotePrefix="1" applyFont="1" applyFill="1" applyBorder="1" applyProtection="1">
      <protection hidden="1"/>
    </xf>
    <xf numFmtId="0" fontId="68" fillId="0" borderId="0" xfId="0" applyFont="1" applyFill="1" applyBorder="1" applyProtection="1">
      <protection hidden="1"/>
    </xf>
    <xf numFmtId="171" fontId="7" fillId="0" borderId="82" xfId="0" applyNumberFormat="1" applyFont="1" applyFill="1" applyBorder="1" applyAlignment="1" applyProtection="1">
      <alignment horizontal="center"/>
      <protection hidden="1"/>
    </xf>
    <xf numFmtId="0" fontId="0" fillId="17" borderId="48" xfId="0" applyFill="1" applyBorder="1" applyAlignment="1" applyProtection="1">
      <alignment horizontal="center"/>
      <protection hidden="1"/>
    </xf>
    <xf numFmtId="0" fontId="0" fillId="17" borderId="49" xfId="0" applyFill="1" applyBorder="1" applyAlignment="1" applyProtection="1">
      <alignment horizontal="center"/>
      <protection hidden="1"/>
    </xf>
    <xf numFmtId="0" fontId="0" fillId="17" borderId="31" xfId="0" applyFill="1" applyBorder="1" applyAlignment="1" applyProtection="1">
      <alignment horizontal="center"/>
      <protection hidden="1"/>
    </xf>
    <xf numFmtId="0" fontId="0" fillId="17" borderId="13" xfId="0" applyFill="1" applyBorder="1" applyAlignment="1" applyProtection="1">
      <alignment horizontal="center"/>
      <protection hidden="1"/>
    </xf>
    <xf numFmtId="0" fontId="0" fillId="17" borderId="0" xfId="0" applyFill="1" applyBorder="1" applyAlignment="1" applyProtection="1">
      <alignment horizontal="center"/>
      <protection hidden="1"/>
    </xf>
    <xf numFmtId="0" fontId="1" fillId="17" borderId="0" xfId="0" applyFont="1" applyFill="1" applyBorder="1" applyProtection="1">
      <protection hidden="1"/>
    </xf>
    <xf numFmtId="0" fontId="1" fillId="17" borderId="37" xfId="0" applyFont="1" applyFill="1" applyBorder="1" applyProtection="1">
      <protection hidden="1"/>
    </xf>
    <xf numFmtId="0" fontId="63" fillId="18" borderId="66" xfId="0" applyFont="1" applyFill="1" applyBorder="1" applyAlignment="1" applyProtection="1">
      <alignment horizontal="center" vertical="center"/>
      <protection hidden="1"/>
    </xf>
    <xf numFmtId="0" fontId="1" fillId="2" borderId="49" xfId="0" applyFont="1" applyFill="1" applyBorder="1" applyAlignment="1" applyProtection="1">
      <alignment vertical="center"/>
      <protection hidden="1"/>
    </xf>
    <xf numFmtId="0" fontId="73" fillId="18" borderId="66" xfId="0" applyFont="1" applyFill="1" applyBorder="1" applyAlignment="1" applyProtection="1">
      <alignment vertical="center"/>
      <protection hidden="1"/>
    </xf>
    <xf numFmtId="0" fontId="63" fillId="18" borderId="18" xfId="0" applyFont="1" applyFill="1" applyBorder="1" applyAlignment="1" applyProtection="1">
      <alignment horizontal="center" vertical="center"/>
      <protection hidden="1"/>
    </xf>
    <xf numFmtId="1" fontId="20" fillId="2" borderId="0" xfId="0" applyNumberFormat="1" applyFont="1" applyFill="1" applyBorder="1" applyAlignment="1" applyProtection="1">
      <alignment horizontal="center" vertical="center"/>
      <protection hidden="1"/>
    </xf>
    <xf numFmtId="0" fontId="74" fillId="18" borderId="18" xfId="0" applyFont="1" applyFill="1" applyBorder="1" applyAlignment="1" applyProtection="1">
      <alignment horizontal="center" vertical="center"/>
      <protection hidden="1"/>
    </xf>
    <xf numFmtId="0" fontId="63" fillId="18" borderId="23" xfId="0" applyFont="1" applyFill="1" applyBorder="1" applyAlignment="1" applyProtection="1">
      <alignment horizontal="center" vertical="center"/>
      <protection hidden="1"/>
    </xf>
    <xf numFmtId="14" fontId="74" fillId="18" borderId="23" xfId="0" applyNumberFormat="1" applyFont="1" applyFill="1" applyBorder="1" applyAlignment="1" applyProtection="1">
      <alignment horizontal="center" vertical="center"/>
      <protection hidden="1"/>
    </xf>
    <xf numFmtId="0" fontId="27" fillId="17" borderId="50" xfId="0" applyFont="1" applyFill="1" applyBorder="1" applyAlignment="1" applyProtection="1">
      <alignment horizontal="center"/>
      <protection hidden="1"/>
    </xf>
    <xf numFmtId="0" fontId="0" fillId="17" borderId="10" xfId="0" applyFill="1" applyBorder="1" applyAlignment="1" applyProtection="1">
      <alignment horizontal="center"/>
      <protection hidden="1"/>
    </xf>
    <xf numFmtId="0" fontId="0" fillId="17" borderId="10" xfId="0" applyFill="1" applyBorder="1" applyAlignment="1" applyProtection="1">
      <protection hidden="1"/>
    </xf>
    <xf numFmtId="0" fontId="72" fillId="2" borderId="10" xfId="0" applyFont="1" applyFill="1" applyBorder="1" applyAlignment="1" applyProtection="1">
      <alignment horizontal="right" vertical="center"/>
      <protection hidden="1"/>
    </xf>
    <xf numFmtId="14" fontId="72" fillId="2" borderId="10" xfId="0" applyNumberFormat="1" applyFont="1" applyFill="1" applyBorder="1" applyAlignment="1" applyProtection="1">
      <alignment horizontal="right" vertical="center"/>
      <protection hidden="1"/>
    </xf>
    <xf numFmtId="49" fontId="72" fillId="2" borderId="10" xfId="0" applyNumberFormat="1" applyFont="1" applyFill="1" applyBorder="1" applyAlignment="1" applyProtection="1">
      <alignment horizontal="left" vertical="center"/>
      <protection hidden="1"/>
    </xf>
    <xf numFmtId="0" fontId="1" fillId="0" borderId="0" xfId="0" applyFont="1" applyProtection="1">
      <protection hidden="1"/>
    </xf>
    <xf numFmtId="14" fontId="1" fillId="0" borderId="0" xfId="0" quotePrefix="1" applyNumberFormat="1" applyFont="1"/>
    <xf numFmtId="4" fontId="1" fillId="0" borderId="1" xfId="7" applyNumberFormat="1" applyFont="1" applyBorder="1" applyProtection="1">
      <protection hidden="1"/>
    </xf>
    <xf numFmtId="0" fontId="1" fillId="0" borderId="0" xfId="0" applyFont="1"/>
    <xf numFmtId="0" fontId="0" fillId="14" borderId="0" xfId="0" applyFill="1" applyAlignment="1" applyProtection="1">
      <alignment horizontal="center"/>
      <protection hidden="1"/>
    </xf>
    <xf numFmtId="0" fontId="0" fillId="14" borderId="0" xfId="0" applyFill="1" applyAlignment="1" applyProtection="1">
      <alignment vertic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7" borderId="1" xfId="0" applyFill="1" applyBorder="1" applyAlignment="1" applyProtection="1">
      <alignment horizontal="center"/>
      <protection hidden="1"/>
    </xf>
    <xf numFmtId="0" fontId="0" fillId="7" borderId="1" xfId="0" applyFill="1" applyBorder="1" applyProtection="1">
      <protection hidden="1"/>
    </xf>
    <xf numFmtId="0" fontId="0" fillId="7" borderId="0" xfId="0" applyFill="1" applyAlignment="1" applyProtection="1">
      <alignment horizontal="right"/>
      <protection hidden="1"/>
    </xf>
    <xf numFmtId="4" fontId="7" fillId="0" borderId="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7" fillId="0" borderId="70" xfId="0" applyFont="1" applyFill="1" applyBorder="1" applyAlignment="1" applyProtection="1">
      <alignment horizontal="center"/>
      <protection hidden="1"/>
    </xf>
    <xf numFmtId="4" fontId="7" fillId="0" borderId="71" xfId="0" applyNumberFormat="1" applyFont="1" applyFill="1" applyBorder="1" applyAlignment="1" applyProtection="1">
      <alignment horizontal="right" vertical="center"/>
      <protection hidden="1"/>
    </xf>
    <xf numFmtId="4" fontId="7" fillId="0" borderId="72" xfId="0" applyNumberFormat="1" applyFont="1" applyFill="1" applyBorder="1" applyAlignment="1" applyProtection="1">
      <alignment horizontal="right" vertical="center"/>
      <protection hidden="1"/>
    </xf>
    <xf numFmtId="4" fontId="7" fillId="0" borderId="73" xfId="0" applyNumberFormat="1" applyFont="1" applyFill="1" applyBorder="1" applyAlignment="1" applyProtection="1">
      <alignment horizontal="right" vertical="center"/>
      <protection hidden="1"/>
    </xf>
    <xf numFmtId="4" fontId="7" fillId="0" borderId="74" xfId="0" applyNumberFormat="1" applyFont="1" applyFill="1" applyBorder="1" applyAlignment="1" applyProtection="1">
      <alignment horizontal="right" vertical="center"/>
      <protection hidden="1"/>
    </xf>
    <xf numFmtId="169" fontId="7" fillId="0" borderId="74" xfId="0" applyNumberFormat="1" applyFont="1" applyFill="1" applyBorder="1" applyAlignment="1" applyProtection="1">
      <alignment horizontal="right" indent="1"/>
      <protection hidden="1"/>
    </xf>
    <xf numFmtId="4" fontId="1" fillId="0" borderId="75" xfId="0" applyNumberFormat="1" applyFont="1" applyFill="1" applyBorder="1" applyAlignment="1" applyProtection="1">
      <alignment horizontal="right"/>
      <protection hidden="1"/>
    </xf>
    <xf numFmtId="4" fontId="1" fillId="0" borderId="70" xfId="0" applyNumberFormat="1" applyFont="1" applyFill="1" applyBorder="1" applyAlignment="1" applyProtection="1">
      <alignment horizontal="right"/>
      <protection hidden="1"/>
    </xf>
    <xf numFmtId="4" fontId="1" fillId="0" borderId="70" xfId="0" applyNumberFormat="1" applyFont="1" applyFill="1" applyBorder="1" applyAlignment="1" applyProtection="1">
      <alignment horizontal="center" vertical="center"/>
      <protection hidden="1"/>
    </xf>
    <xf numFmtId="171" fontId="7" fillId="0" borderId="96" xfId="0" applyNumberFormat="1" applyFont="1" applyFill="1" applyBorder="1" applyAlignment="1" applyProtection="1">
      <alignment horizontal="center"/>
      <protection hidden="1"/>
    </xf>
    <xf numFmtId="0" fontId="7" fillId="0" borderId="97" xfId="0" applyFont="1" applyFill="1" applyBorder="1" applyAlignment="1" applyProtection="1">
      <alignment horizontal="left"/>
      <protection hidden="1"/>
    </xf>
    <xf numFmtId="4" fontId="7" fillId="0" borderId="98" xfId="0" applyNumberFormat="1" applyFont="1" applyFill="1" applyBorder="1" applyAlignment="1" applyProtection="1">
      <alignment horizontal="right" vertical="center"/>
      <protection hidden="1"/>
    </xf>
    <xf numFmtId="4" fontId="7" fillId="0" borderId="99" xfId="0" applyNumberFormat="1" applyFont="1" applyFill="1" applyBorder="1" applyAlignment="1" applyProtection="1">
      <alignment horizontal="right" vertical="center"/>
      <protection hidden="1"/>
    </xf>
    <xf numFmtId="4" fontId="7" fillId="0" borderId="100" xfId="0" applyNumberFormat="1" applyFont="1" applyFill="1" applyBorder="1" applyAlignment="1" applyProtection="1">
      <alignment horizontal="right" vertical="center"/>
      <protection hidden="1"/>
    </xf>
    <xf numFmtId="4" fontId="7" fillId="0" borderId="97" xfId="0" applyNumberFormat="1" applyFont="1" applyFill="1" applyBorder="1" applyAlignment="1" applyProtection="1">
      <alignment horizontal="right" vertical="center"/>
      <protection hidden="1"/>
    </xf>
    <xf numFmtId="170" fontId="7" fillId="0" borderId="98" xfId="0" applyNumberFormat="1" applyFont="1" applyFill="1" applyBorder="1" applyAlignment="1" applyProtection="1">
      <alignment horizontal="right" indent="1"/>
      <protection hidden="1"/>
    </xf>
    <xf numFmtId="169" fontId="7" fillId="0" borderId="97" xfId="0" applyNumberFormat="1" applyFont="1" applyFill="1" applyBorder="1" applyAlignment="1" applyProtection="1">
      <alignment horizontal="right" indent="1"/>
      <protection hidden="1"/>
    </xf>
    <xf numFmtId="168" fontId="4" fillId="0" borderId="97" xfId="0" applyNumberFormat="1" applyFont="1" applyFill="1" applyBorder="1" applyAlignment="1" applyProtection="1">
      <alignment horizontal="center"/>
      <protection hidden="1"/>
    </xf>
    <xf numFmtId="4" fontId="1" fillId="0" borderId="18" xfId="0" applyNumberFormat="1" applyFont="1" applyFill="1" applyBorder="1" applyAlignment="1" applyProtection="1">
      <alignment horizontal="right"/>
      <protection hidden="1"/>
    </xf>
    <xf numFmtId="4" fontId="1" fillId="0" borderId="101" xfId="0" applyNumberFormat="1" applyFont="1" applyFill="1" applyBorder="1" applyAlignment="1" applyProtection="1">
      <alignment horizontal="right"/>
      <protection hidden="1"/>
    </xf>
    <xf numFmtId="4" fontId="27" fillId="0" borderId="101" xfId="0" applyNumberFormat="1" applyFont="1" applyFill="1" applyBorder="1" applyAlignment="1" applyProtection="1">
      <alignment horizontal="right"/>
      <protection hidden="1"/>
    </xf>
    <xf numFmtId="4" fontId="1" fillId="0" borderId="101" xfId="0" applyNumberFormat="1" applyFont="1" applyFill="1" applyBorder="1" applyAlignment="1" applyProtection="1">
      <alignment horizontal="center" vertical="center"/>
      <protection hidden="1"/>
    </xf>
    <xf numFmtId="0" fontId="7" fillId="0" borderId="101" xfId="0" applyFont="1" applyFill="1" applyBorder="1" applyAlignment="1" applyProtection="1">
      <alignment horizontal="center"/>
      <protection hidden="1"/>
    </xf>
    <xf numFmtId="0" fontId="0" fillId="19" borderId="0" xfId="0" applyFill="1" applyProtection="1">
      <protection hidden="1"/>
    </xf>
    <xf numFmtId="0" fontId="1" fillId="2" borderId="0" xfId="0" applyFont="1" applyFill="1" applyProtection="1">
      <protection hidden="1"/>
    </xf>
    <xf numFmtId="0" fontId="7" fillId="2" borderId="0" xfId="0" applyFont="1" applyFill="1" applyBorder="1" applyAlignment="1" applyProtection="1">
      <protection hidden="1"/>
    </xf>
    <xf numFmtId="0" fontId="1" fillId="2" borderId="0" xfId="0" applyFont="1" applyFill="1" applyBorder="1" applyAlignment="1" applyProtection="1">
      <protection hidden="1"/>
    </xf>
    <xf numFmtId="0" fontId="1" fillId="2" borderId="0" xfId="0" applyFont="1" applyFill="1" applyBorder="1" applyProtection="1">
      <protection hidden="1"/>
    </xf>
    <xf numFmtId="4" fontId="75" fillId="2" borderId="0" xfId="0" applyNumberFormat="1" applyFont="1" applyFill="1" applyProtection="1">
      <protection hidden="1"/>
    </xf>
    <xf numFmtId="0" fontId="0" fillId="14" borderId="0" xfId="0" applyFill="1" applyAlignment="1">
      <alignment horizontal="center"/>
    </xf>
    <xf numFmtId="4" fontId="1" fillId="0" borderId="0" xfId="0" applyNumberFormat="1" applyFont="1" applyFill="1" applyProtection="1">
      <protection hidden="1"/>
    </xf>
    <xf numFmtId="169" fontId="4" fillId="2" borderId="6" xfId="0" applyNumberFormat="1" applyFont="1" applyFill="1" applyBorder="1" applyAlignment="1" applyProtection="1">
      <alignment horizontal="center" vertical="center" wrapText="1"/>
      <protection hidden="1"/>
    </xf>
    <xf numFmtId="4" fontId="4" fillId="2" borderId="64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65" xfId="1" applyNumberFormat="1" applyFont="1" applyFill="1" applyBorder="1" applyAlignment="1" applyProtection="1">
      <alignment horizontal="right" vertical="center" wrapText="1"/>
      <protection hidden="1"/>
    </xf>
    <xf numFmtId="4" fontId="4" fillId="2" borderId="64" xfId="0" applyNumberFormat="1" applyFont="1" applyFill="1" applyBorder="1" applyAlignment="1" applyProtection="1">
      <alignment horizontal="right" vertical="center" wrapText="1"/>
      <protection hidden="1"/>
    </xf>
    <xf numFmtId="4" fontId="4" fillId="2" borderId="65" xfId="0" applyNumberFormat="1" applyFont="1" applyFill="1" applyBorder="1" applyAlignment="1" applyProtection="1">
      <alignment horizontal="right" vertical="center" wrapText="1"/>
      <protection hidden="1"/>
    </xf>
    <xf numFmtId="0" fontId="72" fillId="2" borderId="10" xfId="0" applyFont="1" applyFill="1" applyBorder="1" applyAlignment="1" applyProtection="1">
      <alignment horizontal="center" vertic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3" fillId="2" borderId="33" xfId="0" applyFont="1" applyFill="1" applyBorder="1" applyAlignment="1" applyProtection="1">
      <alignment horizontal="center" vertical="center" wrapText="1"/>
      <protection hidden="1"/>
    </xf>
    <xf numFmtId="0" fontId="0" fillId="17" borderId="37" xfId="0" applyFill="1" applyBorder="1" applyAlignment="1" applyProtection="1">
      <alignment horizontal="center"/>
      <protection hidden="1"/>
    </xf>
    <xf numFmtId="0" fontId="0" fillId="20" borderId="0" xfId="0" applyFill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quotePrefix="1" applyFont="1" applyAlignment="1" applyProtection="1">
      <alignment vertical="center"/>
      <protection hidden="1"/>
    </xf>
    <xf numFmtId="0" fontId="19" fillId="14" borderId="1" xfId="0" applyFont="1" applyFill="1" applyBorder="1" applyAlignment="1" applyProtection="1">
      <alignment horizontal="center" vertical="center"/>
      <protection hidden="1"/>
    </xf>
    <xf numFmtId="0" fontId="1" fillId="17" borderId="1" xfId="0" applyFont="1" applyFill="1" applyBorder="1" applyAlignment="1" applyProtection="1">
      <alignment horizontal="left" vertical="center"/>
      <protection hidden="1"/>
    </xf>
    <xf numFmtId="0" fontId="70" fillId="0" borderId="0" xfId="0" applyFont="1" applyAlignment="1" applyProtection="1">
      <alignment vertical="center"/>
      <protection hidden="1"/>
    </xf>
    <xf numFmtId="0" fontId="0" fillId="20" borderId="0" xfId="0" applyFill="1" applyBorder="1" applyProtection="1">
      <protection hidden="1"/>
    </xf>
    <xf numFmtId="0" fontId="1" fillId="17" borderId="33" xfId="0" applyFont="1" applyFill="1" applyBorder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164" fontId="1" fillId="0" borderId="0" xfId="0" applyNumberFormat="1" applyFont="1" applyFill="1" applyBorder="1" applyProtection="1">
      <protection hidden="1"/>
    </xf>
    <xf numFmtId="0" fontId="1" fillId="0" borderId="0" xfId="0" applyFont="1" applyFill="1" applyProtection="1">
      <protection locked="0"/>
    </xf>
    <xf numFmtId="0" fontId="1" fillId="0" borderId="0" xfId="0" applyFont="1" applyFill="1" applyBorder="1" applyAlignment="1" applyProtection="1">
      <alignment horizontal="center"/>
      <protection hidden="1"/>
    </xf>
    <xf numFmtId="14" fontId="1" fillId="0" borderId="0" xfId="0" applyNumberFormat="1" applyFont="1" applyFill="1" applyBorder="1" applyProtection="1">
      <protection hidden="1"/>
    </xf>
    <xf numFmtId="4" fontId="1" fillId="0" borderId="0" xfId="0" applyNumberFormat="1" applyFont="1" applyFill="1" applyBorder="1" applyProtection="1">
      <protection hidden="1"/>
    </xf>
    <xf numFmtId="0" fontId="7" fillId="0" borderId="74" xfId="0" applyNumberFormat="1" applyFont="1" applyFill="1" applyBorder="1" applyAlignment="1" applyProtection="1">
      <alignment horizontal="center"/>
      <protection locked="0"/>
    </xf>
    <xf numFmtId="0" fontId="7" fillId="0" borderId="97" xfId="0" applyNumberFormat="1" applyFont="1" applyFill="1" applyBorder="1" applyAlignment="1" applyProtection="1">
      <alignment horizontal="center"/>
      <protection hidden="1"/>
    </xf>
    <xf numFmtId="171" fontId="7" fillId="2" borderId="63" xfId="0" applyNumberFormat="1" applyFont="1" applyFill="1" applyBorder="1" applyAlignment="1" applyProtection="1">
      <alignment horizontal="center" vertical="center"/>
      <protection hidden="1"/>
    </xf>
    <xf numFmtId="170" fontId="7" fillId="2" borderId="39" xfId="0" applyNumberFormat="1" applyFont="1" applyFill="1" applyBorder="1" applyAlignment="1" applyProtection="1">
      <alignment horizontal="center" vertical="center" wrapText="1"/>
      <protection hidden="1"/>
    </xf>
    <xf numFmtId="171" fontId="7" fillId="2" borderId="27" xfId="0" applyNumberFormat="1" applyFont="1" applyFill="1" applyBorder="1" applyAlignment="1" applyProtection="1">
      <alignment horizontal="center" vertical="center"/>
      <protection hidden="1"/>
    </xf>
    <xf numFmtId="170" fontId="7" fillId="2" borderId="1" xfId="0" applyNumberFormat="1" applyFont="1" applyFill="1" applyBorder="1" applyAlignment="1" applyProtection="1">
      <alignment horizontal="center" vertical="center" wrapText="1"/>
      <protection hidden="1"/>
    </xf>
    <xf numFmtId="171" fontId="7" fillId="2" borderId="43" xfId="0" applyNumberFormat="1" applyFont="1" applyFill="1" applyBorder="1" applyAlignment="1" applyProtection="1">
      <alignment horizontal="center" vertical="center"/>
      <protection hidden="1"/>
    </xf>
    <xf numFmtId="0" fontId="7" fillId="0" borderId="26" xfId="0" applyFont="1" applyBorder="1" applyAlignment="1" applyProtection="1">
      <alignment horizontal="center" vertical="center" wrapText="1"/>
      <protection hidden="1"/>
    </xf>
    <xf numFmtId="171" fontId="7" fillId="2" borderId="27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vertical="center" wrapText="1"/>
      <protection hidden="1"/>
    </xf>
    <xf numFmtId="4" fontId="7" fillId="0" borderId="1" xfId="0" applyNumberFormat="1" applyFont="1" applyBorder="1" applyAlignment="1" applyProtection="1">
      <alignment horizontal="right" vertical="center" wrapText="1" indent="1"/>
      <protection hidden="1"/>
    </xf>
    <xf numFmtId="171" fontId="7" fillId="2" borderId="43" xfId="0" applyNumberFormat="1" applyFont="1" applyFill="1" applyBorder="1" applyAlignment="1" applyProtection="1">
      <alignment horizontal="center" vertical="center" wrapText="1"/>
      <protection hidden="1"/>
    </xf>
    <xf numFmtId="0" fontId="7" fillId="2" borderId="42" xfId="0" applyFont="1" applyFill="1" applyBorder="1" applyAlignment="1" applyProtection="1">
      <alignment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14" fontId="27" fillId="14" borderId="1" xfId="0" applyNumberFormat="1" applyFont="1" applyFill="1" applyBorder="1" applyAlignment="1" applyProtection="1">
      <alignment horizontal="center" vertical="center"/>
      <protection locked="0"/>
    </xf>
    <xf numFmtId="0" fontId="1" fillId="17" borderId="1" xfId="0" applyFont="1" applyFill="1" applyBorder="1" applyAlignment="1" applyProtection="1">
      <alignment vertical="center"/>
      <protection hidden="1"/>
    </xf>
    <xf numFmtId="0" fontId="27" fillId="14" borderId="1" xfId="0" applyFont="1" applyFill="1" applyBorder="1" applyAlignment="1" applyProtection="1">
      <alignment horizontal="center" vertical="center"/>
      <protection locked="0"/>
    </xf>
    <xf numFmtId="0" fontId="0" fillId="11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49" fontId="1" fillId="11" borderId="0" xfId="0" applyNumberFormat="1" applyFont="1" applyFill="1" applyProtection="1">
      <protection hidden="1"/>
    </xf>
    <xf numFmtId="0" fontId="1" fillId="11" borderId="0" xfId="0" applyFont="1" applyFill="1" applyProtection="1">
      <protection hidden="1"/>
    </xf>
    <xf numFmtId="0" fontId="25" fillId="2" borderId="0" xfId="0" applyFont="1" applyFill="1" applyAlignment="1" applyProtection="1">
      <alignment vertical="center" wrapText="1"/>
      <protection hidden="1"/>
    </xf>
    <xf numFmtId="0" fontId="25" fillId="2" borderId="5" xfId="0" applyFont="1" applyFill="1" applyBorder="1" applyAlignment="1" applyProtection="1">
      <alignment vertical="top"/>
      <protection hidden="1"/>
    </xf>
    <xf numFmtId="0" fontId="7" fillId="2" borderId="84" xfId="7" applyFont="1" applyFill="1" applyBorder="1" applyAlignment="1" applyProtection="1">
      <alignment horizontal="left" vertical="center" shrinkToFit="1"/>
      <protection hidden="1"/>
    </xf>
    <xf numFmtId="4" fontId="7" fillId="0" borderId="64" xfId="7" applyNumberFormat="1" applyFont="1" applyBorder="1" applyAlignment="1" applyProtection="1">
      <alignment horizontal="right" vertical="center" wrapText="1"/>
      <protection hidden="1"/>
    </xf>
    <xf numFmtId="4" fontId="7" fillId="0" borderId="81" xfId="7" applyNumberFormat="1" applyFont="1" applyBorder="1" applyAlignment="1" applyProtection="1">
      <alignment horizontal="right" vertical="center" wrapText="1"/>
      <protection hidden="1"/>
    </xf>
    <xf numFmtId="4" fontId="7" fillId="0" borderId="65" xfId="7" applyNumberFormat="1" applyFont="1" applyBorder="1" applyAlignment="1" applyProtection="1">
      <alignment horizontal="right" vertical="center" wrapText="1"/>
      <protection hidden="1"/>
    </xf>
    <xf numFmtId="4" fontId="7" fillId="0" borderId="59" xfId="7" applyNumberFormat="1" applyFont="1" applyBorder="1" applyAlignment="1" applyProtection="1">
      <alignment horizontal="right" vertical="center" wrapText="1"/>
      <protection hidden="1"/>
    </xf>
    <xf numFmtId="4" fontId="7" fillId="0" borderId="63" xfId="7" applyNumberFormat="1" applyFont="1" applyBorder="1" applyAlignment="1" applyProtection="1">
      <alignment horizontal="right" vertical="center" wrapText="1"/>
      <protection hidden="1"/>
    </xf>
    <xf numFmtId="0" fontId="45" fillId="20" borderId="0" xfId="0" applyFont="1" applyFill="1" applyAlignment="1" applyProtection="1">
      <alignment horizontal="center"/>
      <protection hidden="1"/>
    </xf>
    <xf numFmtId="4" fontId="27" fillId="20" borderId="28" xfId="0" applyNumberFormat="1" applyFont="1" applyFill="1" applyBorder="1" applyAlignment="1" applyProtection="1">
      <alignment vertical="center"/>
      <protection hidden="1"/>
    </xf>
    <xf numFmtId="4" fontId="27" fillId="20" borderId="29" xfId="0" applyNumberFormat="1" applyFont="1" applyFill="1" applyBorder="1" applyAlignment="1" applyProtection="1">
      <alignment vertical="center"/>
      <protection hidden="1"/>
    </xf>
    <xf numFmtId="4" fontId="27" fillId="20" borderId="32" xfId="0" applyNumberFormat="1" applyFont="1" applyFill="1" applyBorder="1" applyAlignment="1" applyProtection="1">
      <alignment vertical="center"/>
      <protection hidden="1"/>
    </xf>
    <xf numFmtId="0" fontId="0" fillId="20" borderId="0" xfId="0" applyFill="1" applyAlignment="1" applyProtection="1">
      <alignment horizontal="right"/>
      <protection hidden="1"/>
    </xf>
    <xf numFmtId="4" fontId="27" fillId="20" borderId="15" xfId="0" applyNumberFormat="1" applyFont="1" applyFill="1" applyBorder="1" applyAlignment="1" applyProtection="1">
      <alignment horizontal="right"/>
      <protection hidden="1"/>
    </xf>
    <xf numFmtId="0" fontId="27" fillId="20" borderId="0" xfId="0" applyFont="1" applyFill="1" applyProtection="1">
      <protection hidden="1"/>
    </xf>
    <xf numFmtId="0" fontId="27" fillId="20" borderId="0" xfId="0" applyFont="1" applyFill="1" applyBorder="1" applyProtection="1">
      <protection hidden="1"/>
    </xf>
    <xf numFmtId="0" fontId="1" fillId="14" borderId="0" xfId="0" applyFont="1" applyFill="1" applyAlignment="1" applyProtection="1">
      <alignment horizontal="center"/>
      <protection hidden="1"/>
    </xf>
    <xf numFmtId="171" fontId="79" fillId="14" borderId="1" xfId="0" applyNumberFormat="1" applyFont="1" applyFill="1" applyBorder="1" applyAlignment="1" applyProtection="1">
      <alignment horizontal="center"/>
      <protection hidden="1"/>
    </xf>
    <xf numFmtId="4" fontId="79" fillId="14" borderId="1" xfId="0" applyNumberFormat="1" applyFont="1" applyFill="1" applyBorder="1" applyAlignment="1" applyProtection="1">
      <alignment horizontal="right" indent="1"/>
      <protection hidden="1"/>
    </xf>
    <xf numFmtId="0" fontId="79" fillId="14" borderId="1" xfId="0" applyFont="1" applyFill="1" applyBorder="1" applyAlignment="1" applyProtection="1">
      <alignment horizontal="left" indent="1"/>
      <protection hidden="1"/>
    </xf>
    <xf numFmtId="0" fontId="7" fillId="0" borderId="75" xfId="0" applyFont="1" applyFill="1" applyBorder="1" applyAlignment="1" applyProtection="1">
      <alignment horizontal="center"/>
      <protection hidden="1"/>
    </xf>
    <xf numFmtId="171" fontId="7" fillId="0" borderId="102" xfId="0" applyNumberFormat="1" applyFont="1" applyFill="1" applyBorder="1" applyAlignment="1" applyProtection="1">
      <alignment horizontal="center"/>
      <protection hidden="1"/>
    </xf>
    <xf numFmtId="4" fontId="7" fillId="0" borderId="104" xfId="0" applyNumberFormat="1" applyFont="1" applyFill="1" applyBorder="1" applyAlignment="1" applyProtection="1">
      <alignment horizontal="right" vertical="center"/>
      <protection hidden="1"/>
    </xf>
    <xf numFmtId="4" fontId="7" fillId="0" borderId="105" xfId="0" applyNumberFormat="1" applyFont="1" applyFill="1" applyBorder="1" applyAlignment="1" applyProtection="1">
      <alignment horizontal="right" vertical="center"/>
      <protection hidden="1"/>
    </xf>
    <xf numFmtId="4" fontId="7" fillId="0" borderId="106" xfId="0" applyNumberFormat="1" applyFont="1" applyFill="1" applyBorder="1" applyAlignment="1" applyProtection="1">
      <alignment horizontal="right" vertical="center"/>
      <protection hidden="1"/>
    </xf>
    <xf numFmtId="4" fontId="7" fillId="0" borderId="103" xfId="0" applyNumberFormat="1" applyFont="1" applyFill="1" applyBorder="1" applyAlignment="1" applyProtection="1">
      <alignment horizontal="right" vertical="center"/>
      <protection hidden="1"/>
    </xf>
    <xf numFmtId="169" fontId="7" fillId="0" borderId="103" xfId="0" applyNumberFormat="1" applyFont="1" applyFill="1" applyBorder="1" applyAlignment="1" applyProtection="1">
      <alignment horizontal="right" indent="1"/>
      <protection hidden="1"/>
    </xf>
    <xf numFmtId="4" fontId="27" fillId="0" borderId="75" xfId="0" applyNumberFormat="1" applyFont="1" applyFill="1" applyBorder="1" applyAlignment="1" applyProtection="1">
      <alignment horizontal="right"/>
      <protection hidden="1"/>
    </xf>
    <xf numFmtId="4" fontId="1" fillId="0" borderId="75" xfId="0" applyNumberFormat="1" applyFont="1" applyFill="1" applyBorder="1" applyAlignment="1" applyProtection="1">
      <alignment horizontal="center" vertical="center"/>
      <protection hidden="1"/>
    </xf>
    <xf numFmtId="0" fontId="7" fillId="0" borderId="103" xfId="0" applyNumberFormat="1" applyFont="1" applyFill="1" applyBorder="1" applyAlignment="1" applyProtection="1">
      <alignment horizontal="center"/>
      <protection locked="0"/>
    </xf>
    <xf numFmtId="168" fontId="4" fillId="0" borderId="103" xfId="0" applyNumberFormat="1" applyFont="1" applyFill="1" applyBorder="1" applyAlignment="1" applyProtection="1">
      <alignment horizontal="center"/>
      <protection locked="0"/>
    </xf>
    <xf numFmtId="0" fontId="0" fillId="11" borderId="0" xfId="0" applyFill="1" applyProtection="1">
      <protection hidden="1"/>
    </xf>
    <xf numFmtId="170" fontId="7" fillId="0" borderId="71" xfId="0" applyNumberFormat="1" applyFont="1" applyFill="1" applyBorder="1" applyAlignment="1" applyProtection="1">
      <alignment horizontal="right" indent="1"/>
      <protection hidden="1"/>
    </xf>
    <xf numFmtId="170" fontId="7" fillId="0" borderId="104" xfId="0" applyNumberFormat="1" applyFont="1" applyFill="1" applyBorder="1" applyAlignment="1" applyProtection="1">
      <alignment horizontal="right" indent="1"/>
      <protection hidden="1"/>
    </xf>
    <xf numFmtId="0" fontId="7" fillId="0" borderId="74" xfId="0" applyFont="1" applyFill="1" applyBorder="1" applyAlignment="1" applyProtection="1">
      <alignment horizontal="left"/>
      <protection hidden="1"/>
    </xf>
    <xf numFmtId="1" fontId="7" fillId="0" borderId="74" xfId="0" applyNumberFormat="1" applyFont="1" applyFill="1" applyBorder="1" applyAlignment="1" applyProtection="1">
      <alignment horizontal="left"/>
      <protection hidden="1"/>
    </xf>
    <xf numFmtId="0" fontId="7" fillId="0" borderId="103" xfId="0" applyFont="1" applyFill="1" applyBorder="1" applyAlignment="1" applyProtection="1">
      <alignment horizontal="left"/>
      <protection hidden="1"/>
    </xf>
    <xf numFmtId="0" fontId="27" fillId="14" borderId="64" xfId="0" applyFont="1" applyFill="1" applyBorder="1" applyAlignment="1" applyProtection="1">
      <alignment horizontal="center" vertical="center"/>
      <protection hidden="1"/>
    </xf>
    <xf numFmtId="0" fontId="27" fillId="14" borderId="65" xfId="0" applyFont="1" applyFill="1" applyBorder="1" applyAlignment="1" applyProtection="1">
      <alignment horizontal="center" vertical="center"/>
      <protection hidden="1"/>
    </xf>
    <xf numFmtId="0" fontId="27" fillId="14" borderId="47" xfId="0" applyFont="1" applyFill="1" applyBorder="1" applyAlignment="1" applyProtection="1">
      <alignment horizontal="center" vertical="center"/>
      <protection hidden="1"/>
    </xf>
    <xf numFmtId="4" fontId="78" fillId="14" borderId="19" xfId="0" applyNumberFormat="1" applyFont="1" applyFill="1" applyBorder="1" applyAlignment="1" applyProtection="1">
      <alignment horizontal="center"/>
      <protection hidden="1"/>
    </xf>
    <xf numFmtId="4" fontId="78" fillId="14" borderId="22" xfId="0" applyNumberFormat="1" applyFont="1" applyFill="1" applyBorder="1" applyAlignment="1" applyProtection="1">
      <alignment horizontal="center"/>
      <protection hidden="1"/>
    </xf>
    <xf numFmtId="4" fontId="78" fillId="14" borderId="21" xfId="0" applyNumberFormat="1" applyFont="1" applyFill="1" applyBorder="1" applyAlignment="1" applyProtection="1">
      <alignment horizontal="center"/>
      <protection hidden="1"/>
    </xf>
    <xf numFmtId="4" fontId="79" fillId="14" borderId="39" xfId="0" applyNumberFormat="1" applyFont="1" applyFill="1" applyBorder="1" applyAlignment="1" applyProtection="1">
      <alignment horizontal="right" indent="1"/>
      <protection hidden="1"/>
    </xf>
    <xf numFmtId="0" fontId="0" fillId="14" borderId="37" xfId="0" applyFill="1" applyBorder="1" applyProtection="1">
      <protection hidden="1"/>
    </xf>
    <xf numFmtId="0" fontId="27" fillId="14" borderId="91" xfId="0" applyFont="1" applyFill="1" applyBorder="1" applyAlignment="1" applyProtection="1">
      <alignment horizontal="center" vertical="center"/>
      <protection hidden="1"/>
    </xf>
    <xf numFmtId="0" fontId="27" fillId="14" borderId="35" xfId="0" applyFont="1" applyFill="1" applyBorder="1" applyAlignment="1" applyProtection="1">
      <alignment horizontal="center" vertical="center"/>
      <protection hidden="1"/>
    </xf>
    <xf numFmtId="0" fontId="27" fillId="14" borderId="36" xfId="0" applyFont="1" applyFill="1" applyBorder="1" applyAlignment="1" applyProtection="1">
      <alignment horizontal="center" vertical="center"/>
      <protection hidden="1"/>
    </xf>
    <xf numFmtId="0" fontId="27" fillId="14" borderId="92" xfId="0" applyFont="1" applyFill="1" applyBorder="1" applyAlignment="1" applyProtection="1">
      <alignment horizontal="center" vertical="center"/>
      <protection hidden="1"/>
    </xf>
    <xf numFmtId="4" fontId="78" fillId="14" borderId="20" xfId="0" applyNumberFormat="1" applyFont="1" applyFill="1" applyBorder="1" applyAlignment="1" applyProtection="1">
      <alignment horizontal="center"/>
      <protection hidden="1"/>
    </xf>
    <xf numFmtId="0" fontId="27" fillId="14" borderId="58" xfId="0" applyFont="1" applyFill="1" applyBorder="1" applyAlignment="1" applyProtection="1">
      <alignment horizontal="center" vertical="center"/>
      <protection hidden="1"/>
    </xf>
    <xf numFmtId="4" fontId="79" fillId="14" borderId="7" xfId="0" applyNumberFormat="1" applyFont="1" applyFill="1" applyBorder="1" applyAlignment="1" applyProtection="1">
      <alignment horizontal="right" indent="1"/>
      <protection hidden="1"/>
    </xf>
    <xf numFmtId="4" fontId="79" fillId="14" borderId="3" xfId="0" applyNumberFormat="1" applyFont="1" applyFill="1" applyBorder="1" applyAlignment="1" applyProtection="1">
      <alignment horizontal="right" indent="1"/>
      <protection hidden="1"/>
    </xf>
    <xf numFmtId="4" fontId="79" fillId="14" borderId="24" xfId="0" applyNumberFormat="1" applyFont="1" applyFill="1" applyBorder="1" applyAlignment="1" applyProtection="1">
      <alignment horizontal="right" indent="1"/>
      <protection hidden="1"/>
    </xf>
    <xf numFmtId="4" fontId="80" fillId="14" borderId="45" xfId="0" applyNumberFormat="1" applyFont="1" applyFill="1" applyBorder="1" applyAlignment="1" applyProtection="1">
      <alignment horizontal="right" indent="1"/>
      <protection hidden="1"/>
    </xf>
    <xf numFmtId="4" fontId="79" fillId="14" borderId="26" xfId="0" applyNumberFormat="1" applyFont="1" applyFill="1" applyBorder="1" applyAlignment="1" applyProtection="1">
      <alignment horizontal="right" indent="1"/>
      <protection hidden="1"/>
    </xf>
    <xf numFmtId="4" fontId="80" fillId="14" borderId="34" xfId="0" applyNumberFormat="1" applyFont="1" applyFill="1" applyBorder="1" applyAlignment="1" applyProtection="1">
      <alignment horizontal="right" indent="1"/>
      <protection hidden="1"/>
    </xf>
    <xf numFmtId="4" fontId="79" fillId="14" borderId="19" xfId="0" applyNumberFormat="1" applyFont="1" applyFill="1" applyBorder="1" applyAlignment="1" applyProtection="1">
      <alignment horizontal="right" indent="1"/>
      <protection hidden="1"/>
    </xf>
    <xf numFmtId="4" fontId="79" fillId="14" borderId="22" xfId="0" applyNumberFormat="1" applyFont="1" applyFill="1" applyBorder="1" applyAlignment="1" applyProtection="1">
      <alignment horizontal="right" indent="1"/>
      <protection hidden="1"/>
    </xf>
    <xf numFmtId="4" fontId="80" fillId="14" borderId="21" xfId="0" applyNumberFormat="1" applyFont="1" applyFill="1" applyBorder="1" applyAlignment="1" applyProtection="1">
      <alignment horizontal="right" indent="1"/>
      <protection hidden="1"/>
    </xf>
    <xf numFmtId="0" fontId="27" fillId="14" borderId="84" xfId="0" applyFont="1" applyFill="1" applyBorder="1" applyAlignment="1" applyProtection="1">
      <alignment horizontal="center" vertical="center"/>
      <protection hidden="1"/>
    </xf>
    <xf numFmtId="4" fontId="78" fillId="14" borderId="61" xfId="0" applyNumberFormat="1" applyFont="1" applyFill="1" applyBorder="1" applyAlignment="1" applyProtection="1">
      <alignment horizontal="center"/>
      <protection hidden="1"/>
    </xf>
    <xf numFmtId="4" fontId="79" fillId="14" borderId="20" xfId="0" applyNumberFormat="1" applyFont="1" applyFill="1" applyBorder="1" applyAlignment="1" applyProtection="1">
      <alignment horizontal="right" indent="1"/>
      <protection hidden="1"/>
    </xf>
    <xf numFmtId="0" fontId="79" fillId="14" borderId="26" xfId="0" applyNumberFormat="1" applyFont="1" applyFill="1" applyBorder="1" applyAlignment="1" applyProtection="1">
      <alignment horizontal="center"/>
      <protection hidden="1"/>
    </xf>
    <xf numFmtId="0" fontId="79" fillId="14" borderId="34" xfId="0" applyFont="1" applyFill="1" applyBorder="1" applyAlignment="1" applyProtection="1">
      <alignment horizontal="left" indent="1"/>
      <protection hidden="1"/>
    </xf>
    <xf numFmtId="0" fontId="79" fillId="14" borderId="19" xfId="0" applyNumberFormat="1" applyFont="1" applyFill="1" applyBorder="1" applyAlignment="1" applyProtection="1">
      <alignment horizontal="center"/>
      <protection hidden="1"/>
    </xf>
    <xf numFmtId="171" fontId="79" fillId="14" borderId="22" xfId="0" applyNumberFormat="1" applyFont="1" applyFill="1" applyBorder="1" applyAlignment="1" applyProtection="1">
      <alignment horizontal="center"/>
      <protection hidden="1"/>
    </xf>
    <xf numFmtId="0" fontId="79" fillId="14" borderId="21" xfId="0" applyFont="1" applyFill="1" applyBorder="1" applyAlignment="1" applyProtection="1">
      <alignment horizontal="left" indent="1"/>
      <protection hidden="1"/>
    </xf>
    <xf numFmtId="0" fontId="27" fillId="14" borderId="25" xfId="0" applyFont="1" applyFill="1" applyBorder="1" applyAlignment="1" applyProtection="1">
      <alignment horizontal="center" vertical="center"/>
      <protection hidden="1"/>
    </xf>
    <xf numFmtId="4" fontId="78" fillId="14" borderId="46" xfId="0" applyNumberFormat="1" applyFont="1" applyFill="1" applyBorder="1" applyAlignment="1" applyProtection="1">
      <alignment horizontal="center"/>
      <protection hidden="1"/>
    </xf>
    <xf numFmtId="0" fontId="0" fillId="14" borderId="18" xfId="0" applyFill="1" applyBorder="1" applyProtection="1">
      <protection hidden="1"/>
    </xf>
    <xf numFmtId="0" fontId="27" fillId="14" borderId="15" xfId="0" applyFont="1" applyFill="1" applyBorder="1" applyAlignment="1" applyProtection="1">
      <alignment horizontal="center" vertical="center"/>
      <protection hidden="1"/>
    </xf>
    <xf numFmtId="4" fontId="79" fillId="14" borderId="30" xfId="0" applyNumberFormat="1" applyFont="1" applyFill="1" applyBorder="1" applyAlignment="1" applyProtection="1">
      <alignment horizontal="right" indent="1"/>
      <protection hidden="1"/>
    </xf>
    <xf numFmtId="4" fontId="79" fillId="14" borderId="12" xfId="0" applyNumberFormat="1" applyFont="1" applyFill="1" applyBorder="1" applyAlignment="1" applyProtection="1">
      <alignment horizontal="right" indent="1"/>
      <protection hidden="1"/>
    </xf>
    <xf numFmtId="4" fontId="79" fillId="14" borderId="46" xfId="0" applyNumberFormat="1" applyFont="1" applyFill="1" applyBorder="1" applyAlignment="1" applyProtection="1">
      <alignment horizontal="right" indent="1"/>
      <protection hidden="1"/>
    </xf>
    <xf numFmtId="0" fontId="7" fillId="0" borderId="76" xfId="0" applyFont="1" applyFill="1" applyBorder="1" applyAlignment="1" applyProtection="1">
      <alignment horizontal="center"/>
      <protection hidden="1"/>
    </xf>
    <xf numFmtId="171" fontId="7" fillId="0" borderId="83" xfId="0" applyNumberFormat="1" applyFont="1" applyFill="1" applyBorder="1" applyAlignment="1" applyProtection="1">
      <alignment horizontal="center"/>
      <protection hidden="1"/>
    </xf>
    <xf numFmtId="0" fontId="7" fillId="0" borderId="80" xfId="0" applyFont="1" applyFill="1" applyBorder="1" applyAlignment="1" applyProtection="1">
      <alignment horizontal="left"/>
      <protection hidden="1"/>
    </xf>
    <xf numFmtId="4" fontId="7" fillId="0" borderId="77" xfId="0" applyNumberFormat="1" applyFont="1" applyFill="1" applyBorder="1" applyAlignment="1" applyProtection="1">
      <alignment horizontal="right" vertical="center"/>
      <protection hidden="1"/>
    </xf>
    <xf numFmtId="4" fontId="7" fillId="0" borderId="78" xfId="0" applyNumberFormat="1" applyFont="1" applyFill="1" applyBorder="1" applyAlignment="1" applyProtection="1">
      <alignment horizontal="right" vertical="center"/>
      <protection hidden="1"/>
    </xf>
    <xf numFmtId="4" fontId="7" fillId="0" borderId="79" xfId="0" applyNumberFormat="1" applyFont="1" applyFill="1" applyBorder="1" applyAlignment="1" applyProtection="1">
      <alignment horizontal="right" vertical="center"/>
      <protection hidden="1"/>
    </xf>
    <xf numFmtId="4" fontId="7" fillId="0" borderId="80" xfId="0" applyNumberFormat="1" applyFont="1" applyFill="1" applyBorder="1" applyAlignment="1" applyProtection="1">
      <alignment horizontal="right" vertical="center"/>
      <protection hidden="1"/>
    </xf>
    <xf numFmtId="170" fontId="7" fillId="0" borderId="77" xfId="0" applyNumberFormat="1" applyFont="1" applyFill="1" applyBorder="1" applyAlignment="1" applyProtection="1">
      <alignment horizontal="right" indent="1"/>
      <protection hidden="1"/>
    </xf>
    <xf numFmtId="169" fontId="7" fillId="0" borderId="80" xfId="0" applyNumberFormat="1" applyFont="1" applyFill="1" applyBorder="1" applyAlignment="1" applyProtection="1">
      <alignment horizontal="right" indent="1"/>
      <protection hidden="1"/>
    </xf>
    <xf numFmtId="0" fontId="7" fillId="0" borderId="80" xfId="0" applyNumberFormat="1" applyFont="1" applyFill="1" applyBorder="1" applyAlignment="1" applyProtection="1">
      <alignment horizontal="center"/>
      <protection hidden="1"/>
    </xf>
    <xf numFmtId="168" fontId="4" fillId="0" borderId="80" xfId="0" applyNumberFormat="1" applyFont="1" applyFill="1" applyBorder="1" applyAlignment="1" applyProtection="1">
      <alignment horizontal="center"/>
      <protection hidden="1"/>
    </xf>
    <xf numFmtId="0" fontId="7" fillId="0" borderId="76" xfId="0" applyNumberFormat="1" applyFont="1" applyFill="1" applyBorder="1" applyAlignment="1" applyProtection="1">
      <alignment horizontal="left"/>
      <protection hidden="1"/>
    </xf>
    <xf numFmtId="4" fontId="1" fillId="0" borderId="76" xfId="0" applyNumberFormat="1" applyFont="1" applyFill="1" applyBorder="1" applyAlignment="1" applyProtection="1">
      <alignment horizontal="right"/>
      <protection hidden="1"/>
    </xf>
    <xf numFmtId="4" fontId="27" fillId="0" borderId="76" xfId="0" applyNumberFormat="1" applyFont="1" applyFill="1" applyBorder="1" applyAlignment="1" applyProtection="1">
      <alignment horizontal="right"/>
      <protection hidden="1"/>
    </xf>
    <xf numFmtId="4" fontId="1" fillId="0" borderId="76" xfId="0" applyNumberFormat="1" applyFont="1" applyFill="1" applyBorder="1" applyAlignment="1" applyProtection="1">
      <alignment horizontal="center" vertical="center"/>
      <protection hidden="1"/>
    </xf>
    <xf numFmtId="0" fontId="7" fillId="0" borderId="76" xfId="0" applyNumberFormat="1" applyFont="1" applyFill="1" applyBorder="1" applyAlignment="1" applyProtection="1">
      <alignment horizontal="left" vertical="center"/>
      <protection hidden="1"/>
    </xf>
    <xf numFmtId="0" fontId="79" fillId="14" borderId="64" xfId="0" applyNumberFormat="1" applyFont="1" applyFill="1" applyBorder="1" applyAlignment="1" applyProtection="1">
      <alignment horizontal="center"/>
      <protection hidden="1"/>
    </xf>
    <xf numFmtId="171" fontId="79" fillId="14" borderId="65" xfId="0" applyNumberFormat="1" applyFont="1" applyFill="1" applyBorder="1" applyAlignment="1" applyProtection="1">
      <alignment horizontal="center"/>
      <protection hidden="1"/>
    </xf>
    <xf numFmtId="0" fontId="79" fillId="14" borderId="47" xfId="0" applyFont="1" applyFill="1" applyBorder="1" applyAlignment="1" applyProtection="1">
      <alignment horizontal="left" indent="1"/>
      <protection hidden="1"/>
    </xf>
    <xf numFmtId="0" fontId="7" fillId="16" borderId="70" xfId="0" applyFont="1" applyFill="1" applyBorder="1" applyAlignment="1" applyProtection="1">
      <alignment horizontal="center"/>
      <protection hidden="1"/>
    </xf>
    <xf numFmtId="0" fontId="7" fillId="16" borderId="75" xfId="0" applyFont="1" applyFill="1" applyBorder="1" applyAlignment="1" applyProtection="1">
      <alignment horizontal="center"/>
      <protection hidden="1"/>
    </xf>
    <xf numFmtId="0" fontId="7" fillId="16" borderId="101" xfId="0" applyFont="1" applyFill="1" applyBorder="1" applyAlignment="1" applyProtection="1">
      <alignment horizontal="center"/>
      <protection hidden="1"/>
    </xf>
    <xf numFmtId="0" fontId="7" fillId="16" borderId="76" xfId="0" applyFont="1" applyFill="1" applyBorder="1" applyAlignment="1" applyProtection="1">
      <alignment horizontal="center"/>
      <protection hidden="1"/>
    </xf>
    <xf numFmtId="0" fontId="79" fillId="14" borderId="24" xfId="0" applyNumberFormat="1" applyFont="1" applyFill="1" applyBorder="1" applyAlignment="1" applyProtection="1">
      <alignment horizontal="center"/>
      <protection hidden="1"/>
    </xf>
    <xf numFmtId="171" fontId="79" fillId="14" borderId="39" xfId="0" applyNumberFormat="1" applyFont="1" applyFill="1" applyBorder="1" applyAlignment="1" applyProtection="1">
      <alignment horizontal="center"/>
      <protection hidden="1"/>
    </xf>
    <xf numFmtId="0" fontId="79" fillId="14" borderId="45" xfId="0" applyFont="1" applyFill="1" applyBorder="1" applyAlignment="1" applyProtection="1">
      <alignment horizontal="left" indent="1"/>
      <protection hidden="1"/>
    </xf>
    <xf numFmtId="4" fontId="79" fillId="14" borderId="64" xfId="0" applyNumberFormat="1" applyFont="1" applyFill="1" applyBorder="1" applyAlignment="1" applyProtection="1">
      <alignment horizontal="right" indent="1"/>
      <protection hidden="1"/>
    </xf>
    <xf numFmtId="4" fontId="79" fillId="14" borderId="65" xfId="0" applyNumberFormat="1" applyFont="1" applyFill="1" applyBorder="1" applyAlignment="1" applyProtection="1">
      <alignment horizontal="right" indent="1"/>
      <protection hidden="1"/>
    </xf>
    <xf numFmtId="4" fontId="80" fillId="14" borderId="47" xfId="0" applyNumberFormat="1" applyFont="1" applyFill="1" applyBorder="1" applyAlignment="1" applyProtection="1">
      <alignment horizontal="right" indent="1"/>
      <protection hidden="1"/>
    </xf>
    <xf numFmtId="4" fontId="79" fillId="14" borderId="92" xfId="0" applyNumberFormat="1" applyFont="1" applyFill="1" applyBorder="1" applyAlignment="1" applyProtection="1">
      <alignment horizontal="right" indent="1"/>
      <protection hidden="1"/>
    </xf>
    <xf numFmtId="4" fontId="79" fillId="14" borderId="25" xfId="0" applyNumberFormat="1" applyFont="1" applyFill="1" applyBorder="1" applyAlignment="1" applyProtection="1">
      <alignment horizontal="right" indent="1"/>
      <protection hidden="1"/>
    </xf>
    <xf numFmtId="0" fontId="79" fillId="14" borderId="22" xfId="0" applyFont="1" applyFill="1" applyBorder="1" applyAlignment="1" applyProtection="1">
      <alignment horizontal="left" indent="1"/>
      <protection hidden="1"/>
    </xf>
    <xf numFmtId="0" fontId="27" fillId="14" borderId="95" xfId="0" applyFont="1" applyFill="1" applyBorder="1" applyAlignment="1" applyProtection="1">
      <alignment horizontal="center" vertical="center"/>
      <protection hidden="1"/>
    </xf>
    <xf numFmtId="0" fontId="79" fillId="14" borderId="65" xfId="0" applyFont="1" applyFill="1" applyBorder="1" applyAlignment="1" applyProtection="1">
      <alignment horizontal="left" indent="1"/>
      <protection hidden="1"/>
    </xf>
    <xf numFmtId="4" fontId="80" fillId="22" borderId="34" xfId="0" applyNumberFormat="1" applyFont="1" applyFill="1" applyBorder="1" applyAlignment="1" applyProtection="1">
      <alignment horizontal="right" indent="1"/>
      <protection hidden="1"/>
    </xf>
    <xf numFmtId="4" fontId="79" fillId="22" borderId="12" xfId="0" applyNumberFormat="1" applyFont="1" applyFill="1" applyBorder="1" applyAlignment="1" applyProtection="1">
      <alignment horizontal="right" indent="1"/>
      <protection hidden="1"/>
    </xf>
    <xf numFmtId="0" fontId="5" fillId="0" borderId="81" xfId="7" applyFont="1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7" fillId="7" borderId="85" xfId="0" applyFont="1" applyFill="1" applyBorder="1" applyAlignment="1" applyProtection="1">
      <alignment horizontal="center"/>
      <protection hidden="1"/>
    </xf>
    <xf numFmtId="171" fontId="7" fillId="7" borderId="86" xfId="0" applyNumberFormat="1" applyFont="1" applyFill="1" applyBorder="1" applyAlignment="1" applyProtection="1">
      <alignment horizontal="center"/>
      <protection hidden="1"/>
    </xf>
    <xf numFmtId="0" fontId="7" fillId="7" borderId="87" xfId="0" applyFont="1" applyFill="1" applyBorder="1" applyAlignment="1" applyProtection="1">
      <alignment horizontal="left"/>
      <protection hidden="1"/>
    </xf>
    <xf numFmtId="4" fontId="7" fillId="7" borderId="88" xfId="0" applyNumberFormat="1" applyFont="1" applyFill="1" applyBorder="1" applyAlignment="1" applyProtection="1">
      <alignment horizontal="right" vertical="center"/>
      <protection hidden="1"/>
    </xf>
    <xf numFmtId="4" fontId="7" fillId="7" borderId="89" xfId="0" applyNumberFormat="1" applyFont="1" applyFill="1" applyBorder="1" applyAlignment="1" applyProtection="1">
      <alignment horizontal="right" vertical="center"/>
      <protection hidden="1"/>
    </xf>
    <xf numFmtId="4" fontId="7" fillId="7" borderId="90" xfId="0" applyNumberFormat="1" applyFont="1" applyFill="1" applyBorder="1" applyAlignment="1" applyProtection="1">
      <alignment horizontal="right" vertical="center"/>
      <protection hidden="1"/>
    </xf>
    <xf numFmtId="4" fontId="7" fillId="7" borderId="87" xfId="0" applyNumberFormat="1" applyFont="1" applyFill="1" applyBorder="1" applyAlignment="1" applyProtection="1">
      <alignment horizontal="right" vertical="center"/>
      <protection hidden="1"/>
    </xf>
    <xf numFmtId="170" fontId="7" fillId="7" borderId="88" xfId="0" applyNumberFormat="1" applyFont="1" applyFill="1" applyBorder="1" applyAlignment="1" applyProtection="1">
      <alignment horizontal="right" indent="1"/>
      <protection hidden="1"/>
    </xf>
    <xf numFmtId="169" fontId="7" fillId="7" borderId="87" xfId="0" applyNumberFormat="1" applyFont="1" applyFill="1" applyBorder="1" applyAlignment="1" applyProtection="1">
      <alignment horizontal="right" indent="1"/>
      <protection hidden="1"/>
    </xf>
    <xf numFmtId="0" fontId="27" fillId="7" borderId="87" xfId="0" applyNumberFormat="1" applyFont="1" applyFill="1" applyBorder="1" applyAlignment="1" applyProtection="1">
      <alignment horizontal="center"/>
      <protection locked="0"/>
    </xf>
    <xf numFmtId="168" fontId="4" fillId="7" borderId="87" xfId="0" applyNumberFormat="1" applyFont="1" applyFill="1" applyBorder="1" applyAlignment="1" applyProtection="1">
      <alignment horizontal="center"/>
      <protection locked="0"/>
    </xf>
    <xf numFmtId="0" fontId="46" fillId="7" borderId="85" xfId="0" applyNumberFormat="1" applyFont="1" applyFill="1" applyBorder="1" applyAlignment="1" applyProtection="1">
      <alignment horizontal="center"/>
      <protection locked="0"/>
    </xf>
    <xf numFmtId="4" fontId="1" fillId="7" borderId="85" xfId="0" applyNumberFormat="1" applyFont="1" applyFill="1" applyBorder="1" applyAlignment="1" applyProtection="1">
      <alignment horizontal="right"/>
      <protection hidden="1"/>
    </xf>
    <xf numFmtId="4" fontId="27" fillId="7" borderId="85" xfId="0" applyNumberFormat="1" applyFont="1" applyFill="1" applyBorder="1" applyAlignment="1" applyProtection="1">
      <alignment horizontal="right"/>
      <protection locked="0"/>
    </xf>
    <xf numFmtId="4" fontId="1" fillId="7" borderId="85" xfId="0" applyNumberFormat="1" applyFont="1" applyFill="1" applyBorder="1" applyAlignment="1" applyProtection="1">
      <alignment horizontal="center" vertical="center"/>
      <protection hidden="1"/>
    </xf>
    <xf numFmtId="0" fontId="7" fillId="7" borderId="85" xfId="0" applyNumberFormat="1" applyFont="1" applyFill="1" applyBorder="1" applyAlignment="1" applyProtection="1">
      <alignment horizontal="center" vertical="center"/>
      <protection hidden="1"/>
    </xf>
    <xf numFmtId="14" fontId="7" fillId="7" borderId="85" xfId="0" applyNumberFormat="1" applyFont="1" applyFill="1" applyBorder="1" applyAlignment="1" applyProtection="1">
      <alignment horizontal="center" vertical="center"/>
      <protection hidden="1"/>
    </xf>
    <xf numFmtId="0" fontId="7" fillId="7" borderId="70" xfId="0" applyFont="1" applyFill="1" applyBorder="1" applyAlignment="1" applyProtection="1">
      <alignment horizontal="center"/>
      <protection hidden="1"/>
    </xf>
    <xf numFmtId="4" fontId="7" fillId="16" borderId="88" xfId="0" applyNumberFormat="1" applyFont="1" applyFill="1" applyBorder="1" applyAlignment="1" applyProtection="1">
      <alignment horizontal="right" vertical="center"/>
      <protection hidden="1"/>
    </xf>
    <xf numFmtId="0" fontId="6" fillId="0" borderId="67" xfId="7" applyFont="1" applyFill="1" applyBorder="1" applyAlignment="1" applyProtection="1">
      <alignment horizontal="center" vertical="center" wrapText="1"/>
      <protection hidden="1"/>
    </xf>
    <xf numFmtId="0" fontId="6" fillId="0" borderId="68" xfId="7" applyFont="1" applyFill="1" applyBorder="1" applyAlignment="1" applyProtection="1">
      <alignment horizontal="center" vertical="center" wrapText="1"/>
      <protection hidden="1"/>
    </xf>
    <xf numFmtId="0" fontId="6" fillId="0" borderId="69" xfId="7" applyFont="1" applyFill="1" applyBorder="1" applyAlignment="1" applyProtection="1">
      <alignment horizontal="center" vertical="center" wrapText="1"/>
      <protection hidden="1"/>
    </xf>
    <xf numFmtId="0" fontId="0" fillId="0" borderId="18" xfId="0" applyFill="1" applyBorder="1" applyAlignment="1" applyProtection="1">
      <alignment horizontal="center"/>
      <protection hidden="1"/>
    </xf>
    <xf numFmtId="0" fontId="5" fillId="0" borderId="8" xfId="7" applyFont="1" applyFill="1" applyBorder="1" applyAlignment="1" applyProtection="1">
      <alignment horizontal="center" vertical="center" wrapText="1"/>
      <protection hidden="1"/>
    </xf>
    <xf numFmtId="0" fontId="7" fillId="0" borderId="80" xfId="0" applyNumberFormat="1" applyFont="1" applyFill="1" applyBorder="1" applyAlignment="1" applyProtection="1">
      <alignment horizontal="center"/>
      <protection locked="0"/>
    </xf>
    <xf numFmtId="168" fontId="4" fillId="0" borderId="80" xfId="0" applyNumberFormat="1" applyFont="1" applyFill="1" applyBorder="1" applyAlignment="1" applyProtection="1">
      <alignment horizontal="center"/>
      <protection locked="0"/>
    </xf>
    <xf numFmtId="4" fontId="0" fillId="0" borderId="10" xfId="0" applyNumberFormat="1" applyFill="1" applyBorder="1" applyProtection="1">
      <protection hidden="1"/>
    </xf>
    <xf numFmtId="0" fontId="46" fillId="0" borderId="76" xfId="0" applyNumberFormat="1" applyFont="1" applyFill="1" applyBorder="1" applyAlignment="1" applyProtection="1">
      <alignment horizontal="center"/>
      <protection locked="0"/>
    </xf>
    <xf numFmtId="0" fontId="0" fillId="0" borderId="10" xfId="0" applyFill="1" applyBorder="1" applyProtection="1">
      <protection hidden="1"/>
    </xf>
    <xf numFmtId="0" fontId="1" fillId="0" borderId="10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Protection="1">
      <protection hidden="1"/>
    </xf>
    <xf numFmtId="4" fontId="27" fillId="0" borderId="76" xfId="0" applyNumberFormat="1" applyFont="1" applyFill="1" applyBorder="1" applyAlignment="1" applyProtection="1">
      <alignment horizontal="right"/>
      <protection locked="0"/>
    </xf>
    <xf numFmtId="4" fontId="7" fillId="0" borderId="10" xfId="0" applyNumberFormat="1" applyFont="1" applyFill="1" applyBorder="1" applyAlignment="1" applyProtection="1">
      <alignment horizontal="center"/>
      <protection hidden="1"/>
    </xf>
    <xf numFmtId="0" fontId="0" fillId="0" borderId="10" xfId="0" applyFill="1" applyBorder="1" applyAlignment="1" applyProtection="1">
      <alignment horizontal="center"/>
      <protection hidden="1"/>
    </xf>
    <xf numFmtId="14" fontId="0" fillId="0" borderId="10" xfId="0" applyNumberFormat="1" applyFill="1" applyBorder="1" applyProtection="1">
      <protection hidden="1"/>
    </xf>
    <xf numFmtId="0" fontId="7" fillId="0" borderId="76" xfId="0" applyNumberFormat="1" applyFont="1" applyFill="1" applyBorder="1" applyAlignment="1" applyProtection="1">
      <alignment horizontal="center" vertical="center"/>
      <protection hidden="1"/>
    </xf>
    <xf numFmtId="14" fontId="7" fillId="0" borderId="76" xfId="0" applyNumberFormat="1" applyFont="1" applyFill="1" applyBorder="1" applyAlignment="1" applyProtection="1">
      <alignment horizontal="center" vertical="center"/>
      <protection hidden="1"/>
    </xf>
    <xf numFmtId="4" fontId="27" fillId="0" borderId="75" xfId="0" applyNumberFormat="1" applyFont="1" applyFill="1" applyBorder="1" applyAlignment="1" applyProtection="1">
      <alignment horizontal="right"/>
      <protection locked="0"/>
    </xf>
    <xf numFmtId="4" fontId="0" fillId="7" borderId="49" xfId="0" applyNumberFormat="1" applyFill="1" applyBorder="1" applyProtection="1">
      <protection hidden="1"/>
    </xf>
    <xf numFmtId="0" fontId="0" fillId="7" borderId="49" xfId="0" applyFill="1" applyBorder="1" applyProtection="1">
      <protection hidden="1"/>
    </xf>
    <xf numFmtId="0" fontId="1" fillId="7" borderId="49" xfId="0" applyFont="1" applyFill="1" applyBorder="1" applyAlignment="1" applyProtection="1">
      <alignment horizontal="center"/>
      <protection hidden="1"/>
    </xf>
    <xf numFmtId="4" fontId="7" fillId="7" borderId="49" xfId="0" applyNumberFormat="1" applyFont="1" applyFill="1" applyBorder="1" applyAlignment="1" applyProtection="1">
      <alignment horizontal="center"/>
      <protection hidden="1"/>
    </xf>
    <xf numFmtId="0" fontId="1" fillId="7" borderId="49" xfId="0" applyFont="1" applyFill="1" applyBorder="1" applyProtection="1">
      <protection hidden="1"/>
    </xf>
    <xf numFmtId="0" fontId="0" fillId="7" borderId="49" xfId="0" applyFill="1" applyBorder="1" applyAlignment="1" applyProtection="1">
      <alignment horizontal="center"/>
      <protection hidden="1"/>
    </xf>
    <xf numFmtId="14" fontId="0" fillId="7" borderId="49" xfId="0" applyNumberFormat="1" applyFill="1" applyBorder="1" applyProtection="1">
      <protection hidden="1"/>
    </xf>
    <xf numFmtId="0" fontId="6" fillId="7" borderId="67" xfId="7" applyFont="1" applyFill="1" applyBorder="1" applyAlignment="1" applyProtection="1">
      <alignment horizontal="center" vertical="center" wrapText="1"/>
      <protection hidden="1"/>
    </xf>
    <xf numFmtId="0" fontId="6" fillId="7" borderId="68" xfId="7" applyFont="1" applyFill="1" applyBorder="1" applyAlignment="1" applyProtection="1">
      <alignment horizontal="center" vertical="center" wrapText="1"/>
      <protection hidden="1"/>
    </xf>
    <xf numFmtId="0" fontId="6" fillId="7" borderId="69" xfId="7" applyFont="1" applyFill="1" applyBorder="1" applyAlignment="1" applyProtection="1">
      <alignment horizontal="center" vertical="center" wrapText="1"/>
      <protection hidden="1"/>
    </xf>
    <xf numFmtId="0" fontId="79" fillId="14" borderId="39" xfId="0" applyFont="1" applyFill="1" applyBorder="1" applyAlignment="1" applyProtection="1">
      <alignment horizontal="left" indent="1"/>
      <protection hidden="1"/>
    </xf>
    <xf numFmtId="0" fontId="0" fillId="14" borderId="0" xfId="0" applyFill="1" applyAlignment="1">
      <alignment horizontal="left"/>
    </xf>
    <xf numFmtId="0" fontId="76" fillId="20" borderId="2" xfId="0" applyFont="1" applyFill="1" applyBorder="1" applyAlignment="1" applyProtection="1">
      <alignment horizontal="center" vertical="center" wrapText="1"/>
      <protection hidden="1"/>
    </xf>
    <xf numFmtId="0" fontId="62" fillId="21" borderId="0" xfId="0" applyFont="1" applyFill="1" applyBorder="1" applyAlignment="1" applyProtection="1">
      <alignment horizontal="center" vertical="center"/>
      <protection hidden="1"/>
    </xf>
    <xf numFmtId="0" fontId="63" fillId="18" borderId="1" xfId="0" applyFont="1" applyFill="1" applyBorder="1" applyAlignment="1" applyProtection="1">
      <alignment horizontal="center" vertical="center"/>
      <protection hidden="1"/>
    </xf>
    <xf numFmtId="0" fontId="72" fillId="2" borderId="10" xfId="0" applyFont="1" applyFill="1" applyBorder="1" applyAlignment="1" applyProtection="1">
      <alignment horizontal="center" vertical="center"/>
      <protection hidden="1"/>
    </xf>
    <xf numFmtId="1" fontId="27" fillId="2" borderId="50" xfId="0" applyNumberFormat="1" applyFont="1" applyFill="1" applyBorder="1" applyAlignment="1" applyProtection="1">
      <alignment horizontal="center" vertical="center"/>
      <protection hidden="1"/>
    </xf>
    <xf numFmtId="1" fontId="27" fillId="2" borderId="10" xfId="0" applyNumberFormat="1" applyFont="1" applyFill="1" applyBorder="1" applyAlignment="1" applyProtection="1">
      <alignment horizontal="center" vertical="center"/>
      <protection hidden="1"/>
    </xf>
    <xf numFmtId="1" fontId="27" fillId="2" borderId="33" xfId="0" applyNumberFormat="1" applyFont="1" applyFill="1" applyBorder="1" applyAlignment="1" applyProtection="1">
      <alignment horizontal="center" vertical="center"/>
      <protection hidden="1"/>
    </xf>
    <xf numFmtId="0" fontId="52" fillId="17" borderId="48" xfId="0" applyFont="1" applyFill="1" applyBorder="1" applyAlignment="1" applyProtection="1">
      <alignment horizontal="center" vertical="center"/>
      <protection hidden="1"/>
    </xf>
    <xf numFmtId="0" fontId="27" fillId="17" borderId="49" xfId="0" applyFont="1" applyFill="1" applyBorder="1" applyAlignment="1" applyProtection="1">
      <alignment horizontal="center" vertical="center"/>
      <protection hidden="1"/>
    </xf>
    <xf numFmtId="0" fontId="27" fillId="17" borderId="31" xfId="0" applyFont="1" applyFill="1" applyBorder="1" applyAlignment="1" applyProtection="1">
      <alignment horizontal="center" vertical="center"/>
      <protection hidden="1"/>
    </xf>
    <xf numFmtId="0" fontId="27" fillId="17" borderId="13" xfId="0" applyFont="1" applyFill="1" applyBorder="1" applyAlignment="1" applyProtection="1">
      <alignment horizontal="center" vertical="center"/>
      <protection hidden="1"/>
    </xf>
    <xf numFmtId="0" fontId="27" fillId="17" borderId="0" xfId="0" applyFont="1" applyFill="1" applyBorder="1" applyAlignment="1" applyProtection="1">
      <alignment horizontal="center" vertical="center"/>
      <protection hidden="1"/>
    </xf>
    <xf numFmtId="0" fontId="27" fillId="17" borderId="37" xfId="0" applyFont="1" applyFill="1" applyBorder="1" applyAlignment="1" applyProtection="1">
      <alignment horizontal="center" vertical="center"/>
      <protection hidden="1"/>
    </xf>
    <xf numFmtId="0" fontId="71" fillId="2" borderId="13" xfId="0" applyFont="1" applyFill="1" applyBorder="1" applyAlignment="1" applyProtection="1">
      <alignment horizontal="center" vertical="center"/>
      <protection hidden="1"/>
    </xf>
    <xf numFmtId="0" fontId="71" fillId="2" borderId="0" xfId="0" applyFont="1" applyFill="1" applyBorder="1" applyAlignment="1" applyProtection="1">
      <alignment horizontal="center" vertical="center"/>
      <protection hidden="1"/>
    </xf>
    <xf numFmtId="0" fontId="71" fillId="2" borderId="37" xfId="0" applyFont="1" applyFill="1" applyBorder="1" applyAlignment="1" applyProtection="1">
      <alignment horizontal="center" vertical="center"/>
      <protection hidden="1"/>
    </xf>
    <xf numFmtId="0" fontId="72" fillId="2" borderId="49" xfId="0" applyFont="1" applyFill="1" applyBorder="1" applyAlignment="1" applyProtection="1">
      <alignment horizontal="center" vertical="center"/>
      <protection hidden="1"/>
    </xf>
    <xf numFmtId="0" fontId="72" fillId="2" borderId="0" xfId="0" applyFont="1" applyFill="1" applyBorder="1" applyAlignment="1" applyProtection="1">
      <alignment horizontal="right" vertical="center"/>
      <protection hidden="1"/>
    </xf>
    <xf numFmtId="0" fontId="72" fillId="2" borderId="0" xfId="0" applyFont="1" applyFill="1" applyBorder="1" applyAlignment="1" applyProtection="1">
      <alignment horizontal="left" vertical="center"/>
      <protection hidden="1"/>
    </xf>
    <xf numFmtId="0" fontId="27" fillId="14" borderId="0" xfId="0" applyFont="1" applyFill="1" applyAlignment="1">
      <alignment horizontal="center" vertical="center"/>
    </xf>
    <xf numFmtId="0" fontId="7" fillId="11" borderId="10" xfId="0" applyFont="1" applyFill="1" applyBorder="1" applyAlignment="1" applyProtection="1">
      <alignment horizontal="left"/>
      <protection hidden="1"/>
    </xf>
    <xf numFmtId="0" fontId="7" fillId="11" borderId="33" xfId="0" applyFont="1" applyFill="1" applyBorder="1" applyAlignment="1" applyProtection="1">
      <alignment horizontal="left"/>
      <protection hidden="1"/>
    </xf>
    <xf numFmtId="164" fontId="0" fillId="0" borderId="0" xfId="0" applyNumberFormat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62" fillId="13" borderId="51" xfId="0" applyFont="1" applyFill="1" applyBorder="1" applyAlignment="1" applyProtection="1">
      <alignment horizontal="center" vertical="center"/>
      <protection hidden="1"/>
    </xf>
    <xf numFmtId="0" fontId="62" fillId="13" borderId="16" xfId="0" applyFont="1" applyFill="1" applyBorder="1" applyAlignment="1" applyProtection="1">
      <alignment horizontal="center" vertical="center"/>
      <protection hidden="1"/>
    </xf>
    <xf numFmtId="0" fontId="62" fillId="13" borderId="52" xfId="0" applyFont="1" applyFill="1" applyBorder="1" applyAlignment="1" applyProtection="1">
      <alignment horizontal="center" vertical="center"/>
      <protection hidden="1"/>
    </xf>
    <xf numFmtId="0" fontId="62" fillId="12" borderId="13" xfId="0" applyFont="1" applyFill="1" applyBorder="1" applyAlignment="1" applyProtection="1">
      <alignment horizontal="right" vertical="center"/>
      <protection hidden="1"/>
    </xf>
    <xf numFmtId="0" fontId="62" fillId="12" borderId="0" xfId="0" applyFont="1" applyFill="1" applyBorder="1" applyAlignment="1" applyProtection="1">
      <alignment horizontal="right" vertical="center"/>
      <protection hidden="1"/>
    </xf>
    <xf numFmtId="0" fontId="62" fillId="13" borderId="91" xfId="6" applyFont="1" applyFill="1" applyBorder="1" applyAlignment="1" applyProtection="1">
      <alignment horizontal="center" vertical="center"/>
      <protection hidden="1"/>
    </xf>
    <xf numFmtId="0" fontId="62" fillId="13" borderId="35" xfId="6" applyFont="1" applyFill="1" applyBorder="1" applyAlignment="1" applyProtection="1">
      <alignment horizontal="center" vertical="center"/>
      <protection hidden="1"/>
    </xf>
    <xf numFmtId="0" fontId="62" fillId="13" borderId="36" xfId="6" applyFont="1" applyFill="1" applyBorder="1" applyAlignment="1" applyProtection="1">
      <alignment horizontal="center" vertical="center"/>
      <protection hidden="1"/>
    </xf>
    <xf numFmtId="0" fontId="62" fillId="12" borderId="37" xfId="0" applyFont="1" applyFill="1" applyBorder="1" applyAlignment="1" applyProtection="1">
      <alignment horizontal="right" vertical="center"/>
      <protection hidden="1"/>
    </xf>
    <xf numFmtId="0" fontId="62" fillId="13" borderId="91" xfId="6" applyFont="1" applyFill="1" applyBorder="1" applyAlignment="1" applyProtection="1">
      <alignment horizontal="left" vertical="center"/>
      <protection hidden="1"/>
    </xf>
    <xf numFmtId="0" fontId="62" fillId="13" borderId="36" xfId="6" applyFont="1" applyFill="1" applyBorder="1" applyAlignment="1" applyProtection="1">
      <alignment horizontal="left" vertical="center"/>
      <protection hidden="1"/>
    </xf>
    <xf numFmtId="0" fontId="7" fillId="11" borderId="49" xfId="0" applyFont="1" applyFill="1" applyBorder="1" applyAlignment="1" applyProtection="1">
      <alignment horizontal="left"/>
      <protection hidden="1"/>
    </xf>
    <xf numFmtId="0" fontId="7" fillId="11" borderId="31" xfId="0" applyFont="1" applyFill="1" applyBorder="1" applyAlignment="1" applyProtection="1">
      <alignment horizontal="left"/>
      <protection hidden="1"/>
    </xf>
    <xf numFmtId="0" fontId="6" fillId="0" borderId="66" xfId="0" applyFont="1" applyFill="1" applyBorder="1" applyAlignment="1" applyProtection="1">
      <alignment horizontal="center" vertical="center" wrapText="1"/>
      <protection hidden="1"/>
    </xf>
    <xf numFmtId="0" fontId="6" fillId="0" borderId="23" xfId="0" applyFont="1" applyFill="1" applyBorder="1" applyAlignment="1" applyProtection="1">
      <alignment horizontal="center" vertical="center" wrapText="1"/>
      <protection hidden="1"/>
    </xf>
    <xf numFmtId="0" fontId="6" fillId="0" borderId="66" xfId="7" applyFont="1" applyFill="1" applyBorder="1" applyAlignment="1" applyProtection="1">
      <alignment horizontal="center" vertical="center" wrapText="1"/>
      <protection hidden="1"/>
    </xf>
    <xf numFmtId="0" fontId="6" fillId="0" borderId="18" xfId="7" applyFont="1" applyFill="1" applyBorder="1" applyAlignment="1" applyProtection="1">
      <alignment horizontal="center" vertical="center" wrapText="1"/>
      <protection hidden="1"/>
    </xf>
    <xf numFmtId="0" fontId="6" fillId="0" borderId="92" xfId="7" applyFont="1" applyFill="1" applyBorder="1" applyAlignment="1" applyProtection="1">
      <alignment horizontal="center" vertical="center" wrapText="1"/>
      <protection hidden="1"/>
    </xf>
    <xf numFmtId="0" fontId="6" fillId="0" borderId="54" xfId="7" applyFont="1" applyFill="1" applyBorder="1" applyAlignment="1" applyProtection="1">
      <alignment horizontal="center" vertical="center" wrapText="1"/>
      <protection hidden="1"/>
    </xf>
    <xf numFmtId="0" fontId="6" fillId="0" borderId="65" xfId="7" applyFont="1" applyFill="1" applyBorder="1" applyAlignment="1" applyProtection="1">
      <alignment horizontal="center" vertical="center" wrapText="1"/>
      <protection hidden="1"/>
    </xf>
    <xf numFmtId="0" fontId="6" fillId="0" borderId="68" xfId="7" applyFont="1" applyFill="1" applyBorder="1" applyAlignment="1" applyProtection="1">
      <alignment horizontal="center" vertical="center" wrapText="1"/>
      <protection hidden="1"/>
    </xf>
    <xf numFmtId="0" fontId="5" fillId="0" borderId="1" xfId="7" applyFont="1" applyFill="1" applyBorder="1" applyAlignment="1" applyProtection="1">
      <alignment horizontal="center" vertical="center" wrapText="1"/>
      <protection hidden="1"/>
    </xf>
    <xf numFmtId="0" fontId="5" fillId="0" borderId="68" xfId="7" applyFont="1" applyFill="1" applyBorder="1" applyAlignment="1" applyProtection="1">
      <alignment horizontal="center" vertical="center" wrapText="1"/>
      <protection hidden="1"/>
    </xf>
    <xf numFmtId="0" fontId="0" fillId="15" borderId="0" xfId="0" applyFill="1" applyBorder="1" applyAlignment="1" applyProtection="1">
      <alignment horizontal="center"/>
      <protection hidden="1"/>
    </xf>
    <xf numFmtId="0" fontId="5" fillId="0" borderId="66" xfId="7" applyFont="1" applyFill="1" applyBorder="1" applyAlignment="1" applyProtection="1">
      <alignment horizontal="center" vertical="center" wrapText="1"/>
      <protection hidden="1"/>
    </xf>
    <xf numFmtId="0" fontId="5" fillId="0" borderId="18" xfId="7" applyFont="1" applyFill="1" applyBorder="1" applyAlignment="1" applyProtection="1">
      <alignment horizontal="center" vertical="center" wrapText="1"/>
      <protection hidden="1"/>
    </xf>
    <xf numFmtId="0" fontId="5" fillId="0" borderId="48" xfId="7" applyFont="1" applyFill="1" applyBorder="1" applyAlignment="1" applyProtection="1">
      <alignment horizontal="center" vertical="center" wrapText="1"/>
      <protection hidden="1"/>
    </xf>
    <xf numFmtId="0" fontId="5" fillId="0" borderId="13" xfId="7" applyFont="1" applyFill="1" applyBorder="1" applyAlignment="1" applyProtection="1">
      <alignment horizontal="center" vertical="center" wrapText="1"/>
      <protection hidden="1"/>
    </xf>
    <xf numFmtId="0" fontId="5" fillId="0" borderId="49" xfId="7" applyFont="1" applyFill="1" applyBorder="1" applyAlignment="1" applyProtection="1">
      <alignment horizontal="center" vertical="center" wrapText="1"/>
      <protection hidden="1"/>
    </xf>
    <xf numFmtId="0" fontId="5" fillId="0" borderId="0" xfId="7" applyFont="1" applyFill="1" applyBorder="1" applyAlignment="1" applyProtection="1">
      <alignment horizontal="center" vertical="center" wrapText="1"/>
      <protection hidden="1"/>
    </xf>
    <xf numFmtId="0" fontId="5" fillId="0" borderId="31" xfId="7" applyFont="1" applyFill="1" applyBorder="1" applyAlignment="1" applyProtection="1">
      <alignment horizontal="center" vertical="center" wrapText="1"/>
      <protection hidden="1"/>
    </xf>
    <xf numFmtId="0" fontId="5" fillId="0" borderId="37" xfId="7" applyFont="1" applyFill="1" applyBorder="1" applyAlignment="1" applyProtection="1">
      <alignment horizontal="center" vertical="center" wrapText="1"/>
      <protection hidden="1"/>
    </xf>
    <xf numFmtId="0" fontId="5" fillId="0" borderId="57" xfId="7" applyFont="1" applyFill="1" applyBorder="1" applyAlignment="1" applyProtection="1">
      <alignment horizontal="center" vertical="center" wrapText="1"/>
      <protection hidden="1"/>
    </xf>
    <xf numFmtId="0" fontId="5" fillId="0" borderId="4" xfId="7" applyFont="1" applyFill="1" applyBorder="1" applyAlignment="1" applyProtection="1">
      <alignment horizontal="center" vertical="center" wrapText="1"/>
      <protection hidden="1"/>
    </xf>
    <xf numFmtId="0" fontId="0" fillId="15" borderId="10" xfId="0" applyFill="1" applyBorder="1" applyAlignment="1" applyProtection="1">
      <alignment horizontal="center"/>
      <protection hidden="1"/>
    </xf>
    <xf numFmtId="0" fontId="6" fillId="0" borderId="85" xfId="7" applyFont="1" applyFill="1" applyBorder="1" applyAlignment="1" applyProtection="1">
      <alignment horizontal="center" vertical="center" wrapText="1"/>
      <protection hidden="1"/>
    </xf>
    <xf numFmtId="0" fontId="6" fillId="0" borderId="101" xfId="7" applyFont="1" applyFill="1" applyBorder="1" applyAlignment="1" applyProtection="1">
      <alignment horizontal="center" vertical="center" wrapText="1"/>
      <protection hidden="1"/>
    </xf>
    <xf numFmtId="0" fontId="5" fillId="0" borderId="3" xfId="7" applyFont="1" applyFill="1" applyBorder="1" applyAlignment="1" applyProtection="1">
      <alignment horizontal="center" vertical="center" wrapText="1"/>
      <protection hidden="1"/>
    </xf>
    <xf numFmtId="0" fontId="5" fillId="0" borderId="54" xfId="7" applyFont="1" applyFill="1" applyBorder="1" applyAlignment="1" applyProtection="1">
      <alignment horizontal="center" vertical="center" wrapText="1"/>
      <protection hidden="1"/>
    </xf>
    <xf numFmtId="0" fontId="6" fillId="0" borderId="18" xfId="0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19" fillId="15" borderId="0" xfId="0" applyFont="1" applyFill="1" applyAlignment="1" applyProtection="1">
      <alignment horizontal="center" vertical="center"/>
      <protection hidden="1"/>
    </xf>
    <xf numFmtId="0" fontId="5" fillId="0" borderId="25" xfId="7" applyFont="1" applyFill="1" applyBorder="1" applyAlignment="1" applyProtection="1">
      <alignment horizontal="center" vertical="center" wrapText="1"/>
      <protection hidden="1"/>
    </xf>
    <xf numFmtId="0" fontId="5" fillId="0" borderId="107" xfId="7" applyFont="1" applyFill="1" applyBorder="1" applyAlignment="1" applyProtection="1">
      <alignment horizontal="center" vertical="center" wrapText="1"/>
      <protection hidden="1"/>
    </xf>
    <xf numFmtId="0" fontId="5" fillId="0" borderId="92" xfId="7" applyFont="1" applyFill="1" applyBorder="1" applyAlignment="1" applyProtection="1">
      <alignment horizontal="center" vertical="center" wrapText="1"/>
      <protection hidden="1"/>
    </xf>
    <xf numFmtId="0" fontId="5" fillId="0" borderId="64" xfId="7" applyFont="1" applyFill="1" applyBorder="1" applyAlignment="1" applyProtection="1">
      <alignment horizontal="center" vertical="center" wrapText="1"/>
      <protection hidden="1"/>
    </xf>
    <xf numFmtId="0" fontId="5" fillId="0" borderId="65" xfId="7" applyFont="1" applyFill="1" applyBorder="1" applyAlignment="1" applyProtection="1">
      <alignment horizontal="center" vertical="center" wrapText="1"/>
      <protection hidden="1"/>
    </xf>
    <xf numFmtId="0" fontId="5" fillId="0" borderId="47" xfId="7" applyFont="1" applyFill="1" applyBorder="1" applyAlignment="1" applyProtection="1">
      <alignment horizontal="center" vertical="center" wrapText="1"/>
      <protection hidden="1"/>
    </xf>
    <xf numFmtId="0" fontId="5" fillId="0" borderId="59" xfId="7" applyFont="1" applyFill="1" applyBorder="1" applyAlignment="1" applyProtection="1">
      <alignment horizontal="center" vertical="center" wrapText="1"/>
      <protection hidden="1"/>
    </xf>
    <xf numFmtId="0" fontId="5" fillId="0" borderId="81" xfId="7" applyFont="1" applyFill="1" applyBorder="1" applyAlignment="1" applyProtection="1">
      <alignment horizontal="center" vertical="center" wrapText="1"/>
      <protection hidden="1"/>
    </xf>
    <xf numFmtId="0" fontId="5" fillId="0" borderId="84" xfId="7" applyFont="1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68" xfId="0" applyFill="1" applyBorder="1" applyAlignment="1" applyProtection="1">
      <alignment horizontal="center"/>
      <protection hidden="1"/>
    </xf>
    <xf numFmtId="0" fontId="1" fillId="0" borderId="27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6" fillId="0" borderId="25" xfId="7" applyFont="1" applyFill="1" applyBorder="1" applyAlignment="1" applyProtection="1">
      <alignment horizontal="center" vertical="center" wrapText="1"/>
      <protection hidden="1"/>
    </xf>
    <xf numFmtId="0" fontId="6" fillId="0" borderId="107" xfId="7" applyFont="1" applyFill="1" applyBorder="1" applyAlignment="1" applyProtection="1">
      <alignment horizontal="center" vertical="center" wrapText="1"/>
      <protection hidden="1"/>
    </xf>
    <xf numFmtId="0" fontId="6" fillId="7" borderId="59" xfId="7" applyFont="1" applyFill="1" applyBorder="1" applyAlignment="1" applyProtection="1">
      <alignment horizontal="center" vertical="center" wrapText="1"/>
      <protection hidden="1"/>
    </xf>
    <xf numFmtId="0" fontId="6" fillId="7" borderId="81" xfId="7" applyFont="1" applyFill="1" applyBorder="1" applyAlignment="1" applyProtection="1">
      <alignment horizontal="center" vertical="center" wrapText="1"/>
      <protection hidden="1"/>
    </xf>
    <xf numFmtId="0" fontId="6" fillId="7" borderId="84" xfId="7" applyFont="1" applyFill="1" applyBorder="1" applyAlignment="1" applyProtection="1">
      <alignment horizontal="center" vertical="center" wrapText="1"/>
      <protection hidden="1"/>
    </xf>
    <xf numFmtId="0" fontId="6" fillId="0" borderId="64" xfId="7" applyFont="1" applyFill="1" applyBorder="1" applyAlignment="1" applyProtection="1">
      <alignment horizontal="center" vertical="center" wrapText="1"/>
      <protection hidden="1"/>
    </xf>
    <xf numFmtId="0" fontId="6" fillId="0" borderId="47" xfId="7" applyFont="1" applyFill="1" applyBorder="1" applyAlignment="1" applyProtection="1">
      <alignment horizontal="center" vertical="center" wrapText="1"/>
      <protection hidden="1"/>
    </xf>
    <xf numFmtId="0" fontId="6" fillId="0" borderId="48" xfId="7" applyFont="1" applyFill="1" applyBorder="1" applyAlignment="1" applyProtection="1">
      <alignment horizontal="center" vertical="center" wrapText="1"/>
      <protection hidden="1"/>
    </xf>
    <xf numFmtId="0" fontId="6" fillId="0" borderId="31" xfId="7" applyFont="1" applyFill="1" applyBorder="1" applyAlignment="1" applyProtection="1">
      <alignment horizontal="center" vertical="center" wrapText="1"/>
      <protection hidden="1"/>
    </xf>
    <xf numFmtId="0" fontId="6" fillId="0" borderId="13" xfId="7" applyFont="1" applyFill="1" applyBorder="1" applyAlignment="1" applyProtection="1">
      <alignment horizontal="center" vertical="center" wrapText="1"/>
      <protection hidden="1"/>
    </xf>
    <xf numFmtId="0" fontId="6" fillId="0" borderId="37" xfId="7" applyFont="1" applyFill="1" applyBorder="1" applyAlignment="1" applyProtection="1">
      <alignment horizontal="center" vertical="center" wrapText="1"/>
      <protection hidden="1"/>
    </xf>
    <xf numFmtId="0" fontId="6" fillId="0" borderId="67" xfId="7" applyFont="1" applyFill="1" applyBorder="1" applyAlignment="1" applyProtection="1">
      <alignment horizontal="center" vertical="center" wrapText="1"/>
      <protection hidden="1"/>
    </xf>
    <xf numFmtId="0" fontId="6" fillId="0" borderId="49" xfId="7" applyFont="1" applyFill="1" applyBorder="1" applyAlignment="1" applyProtection="1">
      <alignment horizontal="center" vertical="center" wrapText="1"/>
      <protection hidden="1"/>
    </xf>
    <xf numFmtId="0" fontId="6" fillId="0" borderId="0" xfId="7" applyFont="1" applyFill="1" applyBorder="1" applyAlignment="1" applyProtection="1">
      <alignment horizontal="center" vertical="center" wrapText="1"/>
      <protection hidden="1"/>
    </xf>
    <xf numFmtId="0" fontId="19" fillId="16" borderId="0" xfId="0" applyFont="1" applyFill="1" applyAlignment="1" applyProtection="1">
      <alignment horizontal="center" vertical="center"/>
      <protection hidden="1"/>
    </xf>
    <xf numFmtId="0" fontId="5" fillId="0" borderId="67" xfId="7" applyFont="1" applyFill="1" applyBorder="1" applyAlignment="1" applyProtection="1">
      <alignment horizontal="center" vertical="center" wrapText="1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47" xfId="0" applyFill="1" applyBorder="1" applyAlignment="1" applyProtection="1">
      <alignment horizontal="center"/>
      <protection hidden="1"/>
    </xf>
    <xf numFmtId="0" fontId="0" fillId="0" borderId="69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65" xfId="0" applyFill="1" applyBorder="1" applyAlignment="1" applyProtection="1">
      <alignment horizontal="center"/>
      <protection hidden="1"/>
    </xf>
    <xf numFmtId="0" fontId="6" fillId="2" borderId="62" xfId="0" applyFont="1" applyFill="1" applyBorder="1" applyAlignment="1" applyProtection="1">
      <alignment horizontal="left" vertical="top" wrapText="1"/>
      <protection hidden="1"/>
    </xf>
    <xf numFmtId="0" fontId="6" fillId="2" borderId="54" xfId="0" applyFont="1" applyFill="1" applyBorder="1" applyAlignment="1" applyProtection="1">
      <alignment horizontal="left" vertical="top" wrapText="1"/>
      <protection hidden="1"/>
    </xf>
    <xf numFmtId="0" fontId="3" fillId="3" borderId="27" xfId="0" applyFont="1" applyFill="1" applyBorder="1" applyAlignment="1" applyProtection="1">
      <alignment horizontal="left" wrapText="1"/>
      <protection hidden="1"/>
    </xf>
    <xf numFmtId="0" fontId="3" fillId="3" borderId="2" xfId="0" applyFont="1" applyFill="1" applyBorder="1" applyAlignment="1" applyProtection="1">
      <alignment horizontal="left" wrapText="1"/>
      <protection hidden="1"/>
    </xf>
    <xf numFmtId="0" fontId="3" fillId="3" borderId="3" xfId="0" applyFont="1" applyFill="1" applyBorder="1" applyAlignment="1" applyProtection="1">
      <alignment horizontal="left" wrapText="1"/>
      <protection hidden="1"/>
    </xf>
    <xf numFmtId="0" fontId="6" fillId="2" borderId="8" xfId="0" applyFont="1" applyFill="1" applyBorder="1" applyAlignment="1" applyProtection="1">
      <alignment horizontal="left" vertical="top" wrapText="1"/>
      <protection hidden="1"/>
    </xf>
    <xf numFmtId="0" fontId="6" fillId="2" borderId="62" xfId="0" applyFont="1" applyFill="1" applyBorder="1" applyAlignment="1" applyProtection="1">
      <alignment horizontal="left" vertical="top"/>
      <protection hidden="1"/>
    </xf>
    <xf numFmtId="0" fontId="6" fillId="2" borderId="8" xfId="0" applyFont="1" applyFill="1" applyBorder="1" applyAlignment="1" applyProtection="1">
      <alignment horizontal="left" vertical="top"/>
      <protection hidden="1"/>
    </xf>
    <xf numFmtId="0" fontId="6" fillId="2" borderId="54" xfId="0" applyFont="1" applyFill="1" applyBorder="1" applyAlignment="1" applyProtection="1">
      <alignment horizontal="left" vertical="top"/>
      <protection hidden="1"/>
    </xf>
    <xf numFmtId="0" fontId="3" fillId="2" borderId="6" xfId="0" applyFont="1" applyFill="1" applyBorder="1" applyAlignment="1" applyProtection="1">
      <alignment horizontal="center" vertical="center" wrapText="1"/>
      <protection hidden="1"/>
    </xf>
    <xf numFmtId="0" fontId="3" fillId="2" borderId="5" xfId="0" applyFont="1" applyFill="1" applyBorder="1" applyAlignment="1" applyProtection="1">
      <alignment horizontal="center" vertical="center" wrapText="1"/>
      <protection hidden="1"/>
    </xf>
    <xf numFmtId="0" fontId="3" fillId="2" borderId="7" xfId="0" applyFont="1" applyFill="1" applyBorder="1" applyAlignment="1" applyProtection="1">
      <alignment horizontal="center" vertical="center" wrapText="1"/>
      <protection hidden="1"/>
    </xf>
    <xf numFmtId="0" fontId="3" fillId="0" borderId="27" xfId="0" applyFont="1" applyBorder="1" applyAlignment="1" applyProtection="1">
      <alignment horizontal="center" wrapText="1"/>
      <protection hidden="1"/>
    </xf>
    <xf numFmtId="0" fontId="3" fillId="0" borderId="2" xfId="0" applyFont="1" applyBorder="1" applyAlignment="1" applyProtection="1">
      <alignment horizontal="center" wrapText="1"/>
      <protection hidden="1"/>
    </xf>
    <xf numFmtId="0" fontId="3" fillId="0" borderId="3" xfId="0" applyFont="1" applyBorder="1" applyAlignment="1" applyProtection="1">
      <alignment horizontal="center" wrapText="1"/>
      <protection hidden="1"/>
    </xf>
    <xf numFmtId="0" fontId="21" fillId="2" borderId="0" xfId="0" applyFont="1" applyFill="1" applyBorder="1" applyAlignment="1" applyProtection="1">
      <alignment wrapText="1"/>
      <protection hidden="1"/>
    </xf>
    <xf numFmtId="0" fontId="21" fillId="2" borderId="14" xfId="0" applyFont="1" applyFill="1" applyBorder="1" applyAlignment="1" applyProtection="1">
      <alignment wrapText="1"/>
      <protection hidden="1"/>
    </xf>
    <xf numFmtId="14" fontId="3" fillId="2" borderId="6" xfId="0" applyNumberFormat="1" applyFont="1" applyFill="1" applyBorder="1" applyAlignment="1" applyProtection="1">
      <alignment horizontal="center" vertical="center" wrapText="1"/>
      <protection hidden="1"/>
    </xf>
    <xf numFmtId="14" fontId="3" fillId="2" borderId="5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27" xfId="0" applyFont="1" applyBorder="1" applyAlignment="1" applyProtection="1">
      <alignment horizontal="center" vertical="center" wrapText="1"/>
      <protection hidden="1"/>
    </xf>
    <xf numFmtId="0" fontId="11" fillId="0" borderId="3" xfId="0" applyFont="1" applyBorder="1" applyAlignment="1" applyProtection="1">
      <alignment horizontal="center" vertical="center" wrapText="1"/>
      <protection hidden="1"/>
    </xf>
    <xf numFmtId="0" fontId="11" fillId="0" borderId="27" xfId="0" applyFont="1" applyBorder="1" applyAlignment="1" applyProtection="1">
      <alignment horizontal="left" vertical="top" wrapText="1"/>
      <protection hidden="1"/>
    </xf>
    <xf numFmtId="0" fontId="11" fillId="0" borderId="2" xfId="0" applyFont="1" applyBorder="1" applyAlignment="1" applyProtection="1">
      <alignment horizontal="left" vertical="top" wrapText="1"/>
      <protection hidden="1"/>
    </xf>
    <xf numFmtId="0" fontId="11" fillId="0" borderId="3" xfId="0" applyFont="1" applyBorder="1" applyAlignment="1" applyProtection="1">
      <alignment horizontal="left" vertical="top" wrapText="1"/>
      <protection hidden="1"/>
    </xf>
    <xf numFmtId="0" fontId="3" fillId="2" borderId="27" xfId="0" applyFont="1" applyFill="1" applyBorder="1" applyAlignment="1" applyProtection="1">
      <alignment horizontal="center" wrapText="1"/>
      <protection hidden="1"/>
    </xf>
    <xf numFmtId="0" fontId="3" fillId="2" borderId="3" xfId="0" applyFont="1" applyFill="1" applyBorder="1" applyAlignment="1" applyProtection="1">
      <alignment horizontal="center" wrapText="1"/>
      <protection hidden="1"/>
    </xf>
    <xf numFmtId="4" fontId="3" fillId="2" borderId="27" xfId="0" applyNumberFormat="1" applyFont="1" applyFill="1" applyBorder="1" applyAlignment="1" applyProtection="1">
      <alignment horizontal="right" wrapText="1" indent="1"/>
      <protection hidden="1"/>
    </xf>
    <xf numFmtId="4" fontId="3" fillId="2" borderId="3" xfId="0" applyNumberFormat="1" applyFont="1" applyFill="1" applyBorder="1" applyAlignment="1" applyProtection="1">
      <alignment horizontal="right" wrapText="1" indent="1"/>
      <protection hidden="1"/>
    </xf>
    <xf numFmtId="0" fontId="11" fillId="0" borderId="27" xfId="0" applyFont="1" applyBorder="1" applyAlignment="1" applyProtection="1">
      <alignment horizontal="left" vertical="top"/>
      <protection hidden="1"/>
    </xf>
    <xf numFmtId="0" fontId="11" fillId="0" borderId="3" xfId="0" applyFont="1" applyBorder="1" applyAlignment="1" applyProtection="1">
      <alignment horizontal="left" vertical="top"/>
      <protection hidden="1"/>
    </xf>
    <xf numFmtId="0" fontId="11" fillId="0" borderId="27" xfId="0" applyFont="1" applyBorder="1" applyAlignment="1" applyProtection="1">
      <alignment horizontal="center" vertical="top" wrapText="1"/>
      <protection hidden="1"/>
    </xf>
    <xf numFmtId="0" fontId="11" fillId="0" borderId="2" xfId="0" applyFont="1" applyBorder="1" applyAlignment="1" applyProtection="1">
      <alignment horizontal="center" vertical="top" wrapText="1"/>
      <protection hidden="1"/>
    </xf>
    <xf numFmtId="0" fontId="11" fillId="0" borderId="3" xfId="0" applyFont="1" applyBorder="1" applyAlignment="1" applyProtection="1">
      <alignment horizontal="center" vertical="top" wrapText="1"/>
      <protection hidden="1"/>
    </xf>
    <xf numFmtId="0" fontId="11" fillId="0" borderId="27" xfId="0" applyFont="1" applyBorder="1" applyAlignment="1" applyProtection="1">
      <alignment horizontal="center" vertical="top"/>
      <protection hidden="1"/>
    </xf>
    <xf numFmtId="0" fontId="11" fillId="0" borderId="2" xfId="0" applyFont="1" applyBorder="1" applyAlignment="1" applyProtection="1">
      <alignment horizontal="center" vertical="top"/>
      <protection hidden="1"/>
    </xf>
    <xf numFmtId="0" fontId="11" fillId="0" borderId="3" xfId="0" applyFont="1" applyBorder="1" applyAlignment="1" applyProtection="1">
      <alignment horizontal="center" vertical="top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center"/>
      <protection hidden="1"/>
    </xf>
    <xf numFmtId="4" fontId="3" fillId="2" borderId="1" xfId="0" applyNumberFormat="1" applyFont="1" applyFill="1" applyBorder="1" applyAlignment="1" applyProtection="1">
      <alignment horizontal="right" wrapText="1" indent="1"/>
      <protection hidden="1"/>
    </xf>
    <xf numFmtId="0" fontId="11" fillId="2" borderId="27" xfId="0" applyFont="1" applyFill="1" applyBorder="1" applyAlignment="1" applyProtection="1">
      <alignment horizontal="center" vertical="top" wrapText="1"/>
      <protection hidden="1"/>
    </xf>
    <xf numFmtId="0" fontId="11" fillId="2" borderId="2" xfId="0" applyFont="1" applyFill="1" applyBorder="1" applyAlignment="1" applyProtection="1">
      <alignment horizontal="center" vertical="top" wrapText="1"/>
      <protection hidden="1"/>
    </xf>
    <xf numFmtId="0" fontId="11" fillId="2" borderId="3" xfId="0" applyFont="1" applyFill="1" applyBorder="1" applyAlignment="1" applyProtection="1">
      <alignment horizontal="center" vertical="top" wrapText="1"/>
      <protection hidden="1"/>
    </xf>
    <xf numFmtId="0" fontId="10" fillId="0" borderId="27" xfId="0" applyFont="1" applyBorder="1" applyAlignment="1" applyProtection="1">
      <alignment horizontal="left" wrapText="1"/>
      <protection hidden="1"/>
    </xf>
    <xf numFmtId="0" fontId="10" fillId="0" borderId="3" xfId="0" applyFont="1" applyBorder="1" applyAlignment="1" applyProtection="1">
      <alignment horizontal="left" wrapText="1"/>
      <protection hidden="1"/>
    </xf>
    <xf numFmtId="0" fontId="3" fillId="2" borderId="27" xfId="0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center"/>
      <protection hidden="1"/>
    </xf>
    <xf numFmtId="4" fontId="3" fillId="0" borderId="1" xfId="0" applyNumberFormat="1" applyFont="1" applyBorder="1" applyAlignment="1" applyProtection="1">
      <alignment horizontal="right" wrapText="1" indent="1"/>
      <protection hidden="1"/>
    </xf>
    <xf numFmtId="14" fontId="27" fillId="2" borderId="0" xfId="0" applyNumberFormat="1" applyFont="1" applyFill="1" applyBorder="1" applyAlignment="1" applyProtection="1">
      <alignment horizontal="center" vertical="top" wrapText="1"/>
      <protection hidden="1"/>
    </xf>
    <xf numFmtId="0" fontId="27" fillId="2" borderId="0" xfId="0" applyFont="1" applyFill="1" applyBorder="1" applyAlignment="1" applyProtection="1">
      <alignment horizontal="center" vertical="top" wrapText="1"/>
      <protection hidden="1"/>
    </xf>
    <xf numFmtId="0" fontId="11" fillId="0" borderId="27" xfId="0" applyFont="1" applyBorder="1" applyAlignment="1" applyProtection="1">
      <alignment horizontal="left" wrapText="1"/>
      <protection hidden="1"/>
    </xf>
    <xf numFmtId="0" fontId="11" fillId="0" borderId="3" xfId="0" applyFont="1" applyBorder="1" applyAlignment="1" applyProtection="1">
      <alignment horizontal="left" wrapText="1"/>
      <protection hidden="1"/>
    </xf>
    <xf numFmtId="0" fontId="21" fillId="0" borderId="6" xfId="0" applyFont="1" applyBorder="1" applyAlignment="1" applyProtection="1">
      <alignment wrapText="1"/>
      <protection hidden="1"/>
    </xf>
    <xf numFmtId="0" fontId="21" fillId="0" borderId="5" xfId="0" applyFont="1" applyBorder="1" applyAlignment="1" applyProtection="1">
      <alignment wrapText="1"/>
      <protection hidden="1"/>
    </xf>
    <xf numFmtId="0" fontId="21" fillId="0" borderId="7" xfId="0" applyFont="1" applyBorder="1" applyAlignment="1" applyProtection="1">
      <alignment wrapText="1"/>
      <protection hidden="1"/>
    </xf>
    <xf numFmtId="0" fontId="3" fillId="2" borderId="2" xfId="0" applyFont="1" applyFill="1" applyBorder="1" applyAlignment="1" applyProtection="1">
      <alignment horizontal="center" wrapText="1"/>
      <protection hidden="1"/>
    </xf>
    <xf numFmtId="0" fontId="4" fillId="3" borderId="27" xfId="0" applyFont="1" applyFill="1" applyBorder="1" applyAlignment="1" applyProtection="1">
      <alignment horizontal="right" wrapText="1"/>
      <protection hidden="1"/>
    </xf>
    <xf numFmtId="0" fontId="4" fillId="3" borderId="3" xfId="0" applyFont="1" applyFill="1" applyBorder="1" applyAlignment="1" applyProtection="1">
      <alignment horizontal="right" wrapText="1"/>
      <protection hidden="1"/>
    </xf>
    <xf numFmtId="0" fontId="5" fillId="2" borderId="4" xfId="0" applyFont="1" applyFill="1" applyBorder="1" applyAlignment="1" applyProtection="1">
      <alignment horizontal="center"/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0" fontId="5" fillId="2" borderId="14" xfId="0" applyFont="1" applyFill="1" applyBorder="1" applyAlignment="1" applyProtection="1">
      <alignment horizontal="center"/>
      <protection hidden="1"/>
    </xf>
    <xf numFmtId="14" fontId="24" fillId="2" borderId="4" xfId="0" applyNumberFormat="1" applyFont="1" applyFill="1" applyBorder="1" applyAlignment="1" applyProtection="1">
      <alignment horizontal="center"/>
      <protection locked="0"/>
    </xf>
    <xf numFmtId="0" fontId="24" fillId="2" borderId="0" xfId="0" applyFont="1" applyFill="1" applyBorder="1" applyAlignment="1" applyProtection="1">
      <alignment horizontal="center"/>
      <protection locked="0"/>
    </xf>
    <xf numFmtId="0" fontId="24" fillId="2" borderId="14" xfId="0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left" wrapText="1"/>
      <protection hidden="1"/>
    </xf>
    <xf numFmtId="0" fontId="27" fillId="2" borderId="4" xfId="0" applyFont="1" applyFill="1" applyBorder="1" applyAlignment="1" applyProtection="1">
      <alignment horizontal="right" vertical="top" wrapText="1"/>
      <protection hidden="1"/>
    </xf>
    <xf numFmtId="0" fontId="27" fillId="2" borderId="0" xfId="0" applyFont="1" applyFill="1" applyBorder="1" applyAlignment="1" applyProtection="1">
      <alignment horizontal="right" vertical="top" wrapText="1"/>
      <protection hidden="1"/>
    </xf>
    <xf numFmtId="0" fontId="27" fillId="2" borderId="62" xfId="0" applyFont="1" applyFill="1" applyBorder="1" applyAlignment="1" applyProtection="1">
      <alignment horizontal="left" vertical="top" wrapText="1"/>
      <protection hidden="1"/>
    </xf>
    <xf numFmtId="0" fontId="27" fillId="2" borderId="8" xfId="0" applyFont="1" applyFill="1" applyBorder="1" applyAlignment="1" applyProtection="1">
      <alignment horizontal="left" vertical="top" wrapText="1"/>
      <protection hidden="1"/>
    </xf>
    <xf numFmtId="0" fontId="27" fillId="2" borderId="54" xfId="0" applyFont="1" applyFill="1" applyBorder="1" applyAlignment="1" applyProtection="1">
      <alignment horizontal="left" vertical="top" wrapText="1"/>
      <protection hidden="1"/>
    </xf>
    <xf numFmtId="0" fontId="27" fillId="2" borderId="4" xfId="0" applyFont="1" applyFill="1" applyBorder="1" applyAlignment="1" applyProtection="1">
      <alignment horizontal="left" vertical="top" wrapText="1"/>
      <protection hidden="1"/>
    </xf>
    <xf numFmtId="0" fontId="27" fillId="2" borderId="0" xfId="0" applyFont="1" applyFill="1" applyBorder="1" applyAlignment="1" applyProtection="1">
      <alignment horizontal="left" vertical="top" wrapText="1"/>
      <protection hidden="1"/>
    </xf>
    <xf numFmtId="0" fontId="27" fillId="2" borderId="14" xfId="0" applyFont="1" applyFill="1" applyBorder="1" applyAlignment="1" applyProtection="1">
      <alignment horizontal="left" vertical="top" wrapText="1"/>
      <protection hidden="1"/>
    </xf>
    <xf numFmtId="0" fontId="27" fillId="0" borderId="4" xfId="0" applyFont="1" applyBorder="1" applyAlignment="1" applyProtection="1">
      <alignment horizontal="left" vertical="top" wrapText="1"/>
      <protection hidden="1"/>
    </xf>
    <xf numFmtId="0" fontId="27" fillId="0" borderId="0" xfId="0" applyFont="1" applyBorder="1" applyAlignment="1" applyProtection="1">
      <alignment horizontal="left" vertical="top" wrapText="1"/>
      <protection hidden="1"/>
    </xf>
    <xf numFmtId="0" fontId="27" fillId="0" borderId="14" xfId="0" applyFont="1" applyBorder="1" applyAlignment="1" applyProtection="1">
      <alignment horizontal="left" vertical="top" wrapText="1"/>
      <protection hidden="1"/>
    </xf>
    <xf numFmtId="0" fontId="27" fillId="2" borderId="6" xfId="0" applyFont="1" applyFill="1" applyBorder="1" applyAlignment="1" applyProtection="1">
      <alignment horizontal="left" vertical="top" wrapText="1"/>
      <protection hidden="1"/>
    </xf>
    <xf numFmtId="0" fontId="27" fillId="2" borderId="5" xfId="0" applyFont="1" applyFill="1" applyBorder="1" applyAlignment="1" applyProtection="1">
      <alignment horizontal="left" vertical="top" wrapText="1"/>
      <protection hidden="1"/>
    </xf>
    <xf numFmtId="0" fontId="27" fillId="2" borderId="7" xfId="0" applyFont="1" applyFill="1" applyBorder="1" applyAlignment="1" applyProtection="1">
      <alignment horizontal="left" vertical="top" wrapText="1"/>
      <protection hidden="1"/>
    </xf>
    <xf numFmtId="0" fontId="4" fillId="2" borderId="62" xfId="0" applyFont="1" applyFill="1" applyBorder="1" applyAlignment="1" applyProtection="1">
      <alignment horizontal="center" wrapText="1"/>
      <protection hidden="1"/>
    </xf>
    <xf numFmtId="0" fontId="4" fillId="2" borderId="8" xfId="0" applyFont="1" applyFill="1" applyBorder="1" applyAlignment="1" applyProtection="1">
      <alignment horizontal="center" wrapText="1"/>
      <protection hidden="1"/>
    </xf>
    <xf numFmtId="0" fontId="4" fillId="2" borderId="54" xfId="0" applyFont="1" applyFill="1" applyBorder="1" applyAlignment="1" applyProtection="1">
      <alignment horizontal="center" wrapText="1"/>
      <protection hidden="1"/>
    </xf>
    <xf numFmtId="0" fontId="24" fillId="2" borderId="62" xfId="0" applyFont="1" applyFill="1" applyBorder="1" applyAlignment="1" applyProtection="1">
      <alignment horizontal="left" vertical="center" wrapText="1" indent="1"/>
      <protection hidden="1"/>
    </xf>
    <xf numFmtId="0" fontId="24" fillId="2" borderId="54" xfId="0" applyFont="1" applyFill="1" applyBorder="1" applyAlignment="1" applyProtection="1">
      <alignment horizontal="left" vertical="center" wrapText="1" indent="1"/>
      <protection hidden="1"/>
    </xf>
    <xf numFmtId="0" fontId="24" fillId="2" borderId="4" xfId="0" applyFont="1" applyFill="1" applyBorder="1" applyAlignment="1" applyProtection="1">
      <alignment horizontal="left" vertical="center" wrapText="1" indent="1"/>
      <protection hidden="1"/>
    </xf>
    <xf numFmtId="0" fontId="24" fillId="2" borderId="14" xfId="0" applyFont="1" applyFill="1" applyBorder="1" applyAlignment="1" applyProtection="1">
      <alignment horizontal="left" vertical="center" wrapText="1" indent="1"/>
      <protection hidden="1"/>
    </xf>
    <xf numFmtId="0" fontId="24" fillId="2" borderId="6" xfId="0" applyFont="1" applyFill="1" applyBorder="1" applyAlignment="1" applyProtection="1">
      <alignment horizontal="left" vertical="center" wrapText="1" indent="1"/>
      <protection hidden="1"/>
    </xf>
    <xf numFmtId="0" fontId="24" fillId="2" borderId="7" xfId="0" applyFont="1" applyFill="1" applyBorder="1" applyAlignment="1" applyProtection="1">
      <alignment horizontal="left" vertical="center" wrapText="1" indent="1"/>
      <protection hidden="1"/>
    </xf>
    <xf numFmtId="0" fontId="26" fillId="2" borderId="4" xfId="0" applyFont="1" applyFill="1" applyBorder="1" applyAlignment="1" applyProtection="1">
      <alignment horizontal="center"/>
      <protection hidden="1"/>
    </xf>
    <xf numFmtId="0" fontId="26" fillId="2" borderId="0" xfId="0" applyFont="1" applyFill="1" applyBorder="1" applyAlignment="1" applyProtection="1">
      <alignment horizontal="center"/>
      <protection hidden="1"/>
    </xf>
    <xf numFmtId="0" fontId="26" fillId="2" borderId="14" xfId="0" applyFont="1" applyFill="1" applyBorder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2" borderId="14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center"/>
      <protection hidden="1"/>
    </xf>
    <xf numFmtId="0" fontId="0" fillId="2" borderId="5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11" fillId="2" borderId="4" xfId="0" applyFont="1" applyFill="1" applyBorder="1" applyAlignment="1" applyProtection="1">
      <alignment horizontal="center" wrapText="1"/>
      <protection hidden="1"/>
    </xf>
    <xf numFmtId="0" fontId="11" fillId="2" borderId="0" xfId="0" applyFont="1" applyFill="1" applyBorder="1" applyAlignment="1" applyProtection="1">
      <alignment horizontal="center" wrapText="1"/>
      <protection hidden="1"/>
    </xf>
    <xf numFmtId="0" fontId="11" fillId="2" borderId="14" xfId="0" applyFont="1" applyFill="1" applyBorder="1" applyAlignment="1" applyProtection="1">
      <alignment horizontal="center" wrapText="1"/>
      <protection hidden="1"/>
    </xf>
    <xf numFmtId="0" fontId="11" fillId="2" borderId="6" xfId="0" applyFont="1" applyFill="1" applyBorder="1" applyAlignment="1" applyProtection="1">
      <alignment horizontal="center" wrapText="1"/>
      <protection hidden="1"/>
    </xf>
    <xf numFmtId="0" fontId="11" fillId="2" borderId="5" xfId="0" applyFont="1" applyFill="1" applyBorder="1" applyAlignment="1" applyProtection="1">
      <alignment horizontal="center" wrapText="1"/>
      <protection hidden="1"/>
    </xf>
    <xf numFmtId="0" fontId="11" fillId="2" borderId="7" xfId="0" applyFont="1" applyFill="1" applyBorder="1" applyAlignment="1" applyProtection="1">
      <alignment horizontal="center" wrapText="1"/>
      <protection hidden="1"/>
    </xf>
    <xf numFmtId="0" fontId="3" fillId="2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14" fontId="10" fillId="2" borderId="8" xfId="0" applyNumberFormat="1" applyFont="1" applyFill="1" applyBorder="1" applyAlignment="1" applyProtection="1">
      <alignment horizontal="center" wrapText="1"/>
      <protection hidden="1"/>
    </xf>
    <xf numFmtId="0" fontId="7" fillId="2" borderId="2" xfId="0" applyFont="1" applyFill="1" applyBorder="1" applyAlignment="1" applyProtection="1">
      <alignment horizontal="left" vertical="center" shrinkToFit="1"/>
      <protection hidden="1"/>
    </xf>
    <xf numFmtId="0" fontId="7" fillId="2" borderId="3" xfId="0" applyFont="1" applyFill="1" applyBorder="1" applyAlignment="1" applyProtection="1">
      <alignment horizontal="left" vertical="center" shrinkToFit="1"/>
      <protection hidden="1"/>
    </xf>
    <xf numFmtId="0" fontId="6" fillId="2" borderId="0" xfId="7" applyFont="1" applyFill="1" applyAlignment="1" applyProtection="1">
      <alignment horizontal="left"/>
      <protection hidden="1"/>
    </xf>
    <xf numFmtId="0" fontId="10" fillId="2" borderId="4" xfId="0" applyFont="1" applyFill="1" applyBorder="1" applyAlignment="1" applyProtection="1">
      <alignment horizontal="center" wrapText="1"/>
      <protection hidden="1"/>
    </xf>
    <xf numFmtId="0" fontId="10" fillId="2" borderId="0" xfId="0" applyFont="1" applyFill="1" applyBorder="1" applyAlignment="1" applyProtection="1">
      <alignment horizontal="center" wrapText="1"/>
      <protection hidden="1"/>
    </xf>
    <xf numFmtId="0" fontId="10" fillId="2" borderId="37" xfId="0" applyFont="1" applyFill="1" applyBorder="1" applyAlignment="1" applyProtection="1">
      <alignment horizontal="center" wrapText="1"/>
      <protection hidden="1"/>
    </xf>
    <xf numFmtId="0" fontId="4" fillId="2" borderId="9" xfId="0" applyFont="1" applyFill="1" applyBorder="1" applyAlignment="1" applyProtection="1">
      <alignment horizontal="center" wrapText="1"/>
      <protection hidden="1"/>
    </xf>
    <xf numFmtId="0" fontId="4" fillId="2" borderId="10" xfId="0" applyFont="1" applyFill="1" applyBorder="1" applyAlignment="1" applyProtection="1">
      <alignment horizontal="center" wrapText="1"/>
      <protection hidden="1"/>
    </xf>
    <xf numFmtId="0" fontId="4" fillId="2" borderId="33" xfId="0" applyFont="1" applyFill="1" applyBorder="1" applyAlignment="1" applyProtection="1">
      <alignment horizontal="center" wrapText="1"/>
      <protection hidden="1"/>
    </xf>
    <xf numFmtId="0" fontId="3" fillId="3" borderId="51" xfId="0" applyFont="1" applyFill="1" applyBorder="1" applyAlignment="1" applyProtection="1">
      <alignment horizontal="center" wrapText="1"/>
      <protection hidden="1"/>
    </xf>
    <xf numFmtId="0" fontId="3" fillId="3" borderId="16" xfId="0" applyFont="1" applyFill="1" applyBorder="1" applyAlignment="1" applyProtection="1">
      <alignment horizontal="center" wrapText="1"/>
      <protection hidden="1"/>
    </xf>
    <xf numFmtId="14" fontId="10" fillId="2" borderId="8" xfId="0" applyNumberFormat="1" applyFont="1" applyFill="1" applyBorder="1" applyAlignment="1" applyProtection="1">
      <alignment horizontal="left" wrapText="1"/>
      <protection hidden="1"/>
    </xf>
    <xf numFmtId="0" fontId="10" fillId="2" borderId="8" xfId="0" applyFont="1" applyFill="1" applyBorder="1" applyAlignment="1" applyProtection="1">
      <alignment horizontal="left" wrapText="1"/>
      <protection hidden="1"/>
    </xf>
    <xf numFmtId="0" fontId="4" fillId="2" borderId="11" xfId="0" applyFont="1" applyFill="1" applyBorder="1" applyAlignment="1" applyProtection="1">
      <alignment horizontal="center" wrapText="1"/>
      <protection hidden="1"/>
    </xf>
    <xf numFmtId="0" fontId="10" fillId="2" borderId="14" xfId="0" applyFont="1" applyFill="1" applyBorder="1" applyAlignment="1" applyProtection="1">
      <alignment horizontal="center" wrapText="1"/>
      <protection hidden="1"/>
    </xf>
    <xf numFmtId="0" fontId="4" fillId="2" borderId="50" xfId="0" applyFont="1" applyFill="1" applyBorder="1" applyAlignment="1" applyProtection="1">
      <alignment horizontal="center" wrapText="1"/>
      <protection hidden="1"/>
    </xf>
    <xf numFmtId="0" fontId="7" fillId="2" borderId="42" xfId="0" applyFont="1" applyFill="1" applyBorder="1" applyAlignment="1" applyProtection="1">
      <alignment horizontal="left" vertical="center" shrinkToFit="1"/>
      <protection hidden="1"/>
    </xf>
    <xf numFmtId="0" fontId="7" fillId="2" borderId="20" xfId="0" applyFont="1" applyFill="1" applyBorder="1" applyAlignment="1" applyProtection="1">
      <alignment horizontal="left" vertical="center" shrinkToFit="1"/>
      <protection hidden="1"/>
    </xf>
    <xf numFmtId="0" fontId="10" fillId="2" borderId="13" xfId="0" applyFont="1" applyFill="1" applyBorder="1" applyAlignment="1" applyProtection="1">
      <alignment horizontal="center" wrapText="1"/>
      <protection hidden="1"/>
    </xf>
    <xf numFmtId="0" fontId="10" fillId="2" borderId="4" xfId="0" applyFont="1" applyFill="1" applyBorder="1" applyAlignment="1" applyProtection="1">
      <alignment horizontal="left" vertical="center" wrapText="1"/>
      <protection hidden="1"/>
    </xf>
    <xf numFmtId="0" fontId="10" fillId="2" borderId="0" xfId="0" applyFont="1" applyFill="1" applyBorder="1" applyAlignment="1" applyProtection="1">
      <alignment horizontal="left" vertical="center" wrapText="1"/>
      <protection hidden="1"/>
    </xf>
    <xf numFmtId="0" fontId="10" fillId="2" borderId="14" xfId="0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Border="1" applyAlignment="1" applyProtection="1">
      <alignment horizontal="center" wrapText="1"/>
      <protection hidden="1"/>
    </xf>
    <xf numFmtId="0" fontId="3" fillId="3" borderId="59" xfId="0" applyFont="1" applyFill="1" applyBorder="1" applyAlignment="1" applyProtection="1">
      <alignment wrapText="1"/>
      <protection hidden="1"/>
    </xf>
    <xf numFmtId="0" fontId="3" fillId="3" borderId="81" xfId="0" applyFont="1" applyFill="1" applyBorder="1" applyAlignment="1" applyProtection="1">
      <alignment wrapText="1"/>
      <protection hidden="1"/>
    </xf>
    <xf numFmtId="0" fontId="3" fillId="3" borderId="84" xfId="0" applyFont="1" applyFill="1" applyBorder="1" applyAlignment="1" applyProtection="1">
      <alignment wrapText="1"/>
      <protection hidden="1"/>
    </xf>
    <xf numFmtId="0" fontId="10" fillId="2" borderId="40" xfId="0" applyFont="1" applyFill="1" applyBorder="1" applyAlignment="1" applyProtection="1">
      <alignment horizontal="left" vertical="center" wrapText="1"/>
      <protection hidden="1"/>
    </xf>
    <xf numFmtId="0" fontId="0" fillId="2" borderId="5" xfId="0" applyFill="1" applyBorder="1" applyAlignment="1" applyProtection="1">
      <alignment horizontal="left" vertical="center" wrapText="1"/>
      <protection hidden="1"/>
    </xf>
    <xf numFmtId="0" fontId="0" fillId="2" borderId="93" xfId="0" applyFill="1" applyBorder="1" applyAlignment="1" applyProtection="1">
      <alignment horizontal="left" vertical="center" wrapText="1"/>
      <protection hidden="1"/>
    </xf>
    <xf numFmtId="0" fontId="7" fillId="2" borderId="81" xfId="0" applyFont="1" applyFill="1" applyBorder="1" applyAlignment="1" applyProtection="1">
      <alignment horizontal="left" vertical="center" shrinkToFit="1"/>
      <protection hidden="1"/>
    </xf>
    <xf numFmtId="0" fontId="7" fillId="2" borderId="92" xfId="0" applyFont="1" applyFill="1" applyBorder="1" applyAlignment="1" applyProtection="1">
      <alignment horizontal="left" vertical="center" shrinkToFit="1"/>
      <protection hidden="1"/>
    </xf>
    <xf numFmtId="0" fontId="10" fillId="2" borderId="40" xfId="0" applyFont="1" applyFill="1" applyBorder="1" applyAlignment="1" applyProtection="1">
      <alignment horizontal="left" vertical="top" wrapText="1"/>
      <protection hidden="1"/>
    </xf>
    <xf numFmtId="0" fontId="0" fillId="2" borderId="5" xfId="0" applyFill="1" applyBorder="1" applyAlignment="1" applyProtection="1">
      <alignment horizontal="left" vertical="top" wrapText="1"/>
      <protection hidden="1"/>
    </xf>
    <xf numFmtId="0" fontId="0" fillId="2" borderId="93" xfId="0" applyFill="1" applyBorder="1" applyAlignment="1" applyProtection="1">
      <alignment horizontal="left" vertical="top" wrapText="1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 vertical="center" wrapText="1"/>
      <protection hidden="1"/>
    </xf>
    <xf numFmtId="0" fontId="0" fillId="2" borderId="10" xfId="0" applyFill="1" applyBorder="1" applyAlignment="1" applyProtection="1">
      <alignment horizontal="center" vertical="center" wrapText="1"/>
      <protection hidden="1"/>
    </xf>
    <xf numFmtId="0" fontId="0" fillId="2" borderId="11" xfId="0" applyFill="1" applyBorder="1" applyAlignment="1" applyProtection="1">
      <alignment horizontal="center" vertical="center" wrapText="1"/>
      <protection hidden="1"/>
    </xf>
    <xf numFmtId="0" fontId="3" fillId="3" borderId="64" xfId="0" applyFont="1" applyFill="1" applyBorder="1" applyAlignment="1" applyProtection="1">
      <alignment wrapText="1"/>
      <protection hidden="1"/>
    </xf>
    <xf numFmtId="0" fontId="3" fillId="3" borderId="65" xfId="0" applyFont="1" applyFill="1" applyBorder="1" applyAlignment="1" applyProtection="1">
      <alignment wrapText="1"/>
      <protection hidden="1"/>
    </xf>
    <xf numFmtId="0" fontId="3" fillId="3" borderId="47" xfId="0" applyFont="1" applyFill="1" applyBorder="1" applyAlignment="1" applyProtection="1">
      <alignment wrapText="1"/>
      <protection hidden="1"/>
    </xf>
    <xf numFmtId="0" fontId="10" fillId="2" borderId="94" xfId="0" applyFont="1" applyFill="1" applyBorder="1" applyAlignment="1" applyProtection="1">
      <alignment horizontal="center" vertical="top" wrapText="1"/>
      <protection hidden="1"/>
    </xf>
    <xf numFmtId="0" fontId="10" fillId="2" borderId="28" xfId="0" applyFont="1" applyFill="1" applyBorder="1" applyAlignment="1" applyProtection="1">
      <alignment horizontal="center" vertical="top" wrapText="1"/>
      <protection hidden="1"/>
    </xf>
    <xf numFmtId="0" fontId="10" fillId="2" borderId="53" xfId="0" applyFont="1" applyFill="1" applyBorder="1" applyAlignment="1" applyProtection="1">
      <alignment horizontal="left" vertical="top" wrapText="1"/>
      <protection hidden="1"/>
    </xf>
    <xf numFmtId="0" fontId="10" fillId="2" borderId="8" xfId="0" applyFont="1" applyFill="1" applyBorder="1" applyAlignment="1" applyProtection="1">
      <alignment horizontal="left" vertical="top" wrapText="1"/>
      <protection hidden="1"/>
    </xf>
    <xf numFmtId="0" fontId="10" fillId="2" borderId="54" xfId="0" applyFont="1" applyFill="1" applyBorder="1" applyAlignment="1" applyProtection="1">
      <alignment horizontal="left" vertical="top" wrapText="1"/>
      <protection hidden="1"/>
    </xf>
    <xf numFmtId="0" fontId="10" fillId="2" borderId="62" xfId="0" applyFont="1" applyFill="1" applyBorder="1" applyAlignment="1" applyProtection="1">
      <alignment horizontal="left" vertical="top" wrapText="1"/>
      <protection hidden="1"/>
    </xf>
    <xf numFmtId="0" fontId="10" fillId="2" borderId="55" xfId="0" applyFont="1" applyFill="1" applyBorder="1" applyAlignment="1" applyProtection="1">
      <alignment horizontal="left" vertical="top" wrapText="1"/>
      <protection hidden="1"/>
    </xf>
    <xf numFmtId="0" fontId="3" fillId="2" borderId="10" xfId="0" applyFont="1" applyFill="1" applyBorder="1" applyAlignment="1" applyProtection="1">
      <alignment horizontal="center" vertical="center" wrapText="1"/>
      <protection hidden="1"/>
    </xf>
    <xf numFmtId="0" fontId="3" fillId="2" borderId="11" xfId="0" applyFont="1" applyFill="1" applyBorder="1" applyAlignment="1" applyProtection="1">
      <alignment horizontal="center" vertical="center" wrapText="1"/>
      <protection hidden="1"/>
    </xf>
    <xf numFmtId="0" fontId="3" fillId="2" borderId="50" xfId="0" applyFont="1" applyFill="1" applyBorder="1" applyAlignment="1" applyProtection="1">
      <alignment horizontal="center" vertical="center" wrapText="1"/>
      <protection hidden="1"/>
    </xf>
    <xf numFmtId="0" fontId="3" fillId="2" borderId="9" xfId="0" applyFont="1" applyFill="1" applyBorder="1" applyAlignment="1" applyProtection="1">
      <alignment horizontal="center" vertical="center" wrapText="1"/>
      <protection hidden="1"/>
    </xf>
    <xf numFmtId="0" fontId="3" fillId="2" borderId="33" xfId="0" applyFont="1" applyFill="1" applyBorder="1" applyAlignment="1" applyProtection="1">
      <alignment horizontal="center" vertical="center" wrapText="1"/>
      <protection hidden="1"/>
    </xf>
    <xf numFmtId="0" fontId="10" fillId="2" borderId="4" xfId="7" applyFont="1" applyFill="1" applyBorder="1" applyAlignment="1" applyProtection="1">
      <alignment horizontal="center" wrapText="1"/>
      <protection hidden="1"/>
    </xf>
    <xf numFmtId="0" fontId="10" fillId="2" borderId="0" xfId="7" applyFont="1" applyFill="1" applyBorder="1" applyAlignment="1" applyProtection="1">
      <alignment horizontal="center" wrapText="1"/>
      <protection hidden="1"/>
    </xf>
    <xf numFmtId="0" fontId="10" fillId="2" borderId="37" xfId="7" applyFont="1" applyFill="1" applyBorder="1" applyAlignment="1" applyProtection="1">
      <alignment horizontal="center" wrapText="1"/>
      <protection hidden="1"/>
    </xf>
    <xf numFmtId="0" fontId="10" fillId="2" borderId="9" xfId="7" applyFont="1" applyFill="1" applyBorder="1" applyAlignment="1" applyProtection="1">
      <alignment horizontal="center" wrapText="1"/>
      <protection hidden="1"/>
    </xf>
    <xf numFmtId="0" fontId="10" fillId="2" borderId="10" xfId="7" applyFont="1" applyFill="1" applyBorder="1" applyAlignment="1" applyProtection="1">
      <alignment horizontal="center" wrapText="1"/>
      <protection hidden="1"/>
    </xf>
    <xf numFmtId="0" fontId="10" fillId="2" borderId="33" xfId="7" applyFont="1" applyFill="1" applyBorder="1" applyAlignment="1" applyProtection="1">
      <alignment horizontal="center" wrapText="1"/>
      <protection hidden="1"/>
    </xf>
    <xf numFmtId="0" fontId="3" fillId="3" borderId="64" xfId="7" applyFont="1" applyFill="1" applyBorder="1" applyAlignment="1" applyProtection="1">
      <alignment wrapText="1"/>
      <protection hidden="1"/>
    </xf>
    <xf numFmtId="0" fontId="3" fillId="3" borderId="92" xfId="7" applyFont="1" applyFill="1" applyBorder="1" applyAlignment="1" applyProtection="1">
      <alignment wrapText="1"/>
      <protection hidden="1"/>
    </xf>
    <xf numFmtId="0" fontId="3" fillId="3" borderId="65" xfId="7" applyFont="1" applyFill="1" applyBorder="1" applyAlignment="1" applyProtection="1">
      <alignment wrapText="1"/>
      <protection hidden="1"/>
    </xf>
    <xf numFmtId="0" fontId="3" fillId="3" borderId="47" xfId="7" applyFont="1" applyFill="1" applyBorder="1" applyAlignment="1" applyProtection="1">
      <alignment wrapText="1"/>
      <protection hidden="1"/>
    </xf>
    <xf numFmtId="0" fontId="3" fillId="0" borderId="13" xfId="7" applyFont="1" applyBorder="1" applyAlignment="1" applyProtection="1">
      <alignment horizontal="center" vertical="center" wrapText="1"/>
      <protection hidden="1"/>
    </xf>
    <xf numFmtId="0" fontId="3" fillId="0" borderId="0" xfId="7" applyFont="1" applyBorder="1" applyAlignment="1" applyProtection="1">
      <alignment horizontal="center" vertical="center" wrapText="1"/>
      <protection hidden="1"/>
    </xf>
    <xf numFmtId="0" fontId="3" fillId="0" borderId="14" xfId="7" applyFont="1" applyBorder="1" applyAlignment="1" applyProtection="1">
      <alignment horizontal="center" vertical="center" wrapText="1"/>
      <protection hidden="1"/>
    </xf>
    <xf numFmtId="0" fontId="5" fillId="0" borderId="53" xfId="7" applyFont="1" applyBorder="1" applyAlignment="1" applyProtection="1">
      <alignment horizontal="left" vertical="top" wrapText="1"/>
      <protection hidden="1"/>
    </xf>
    <xf numFmtId="0" fontId="5" fillId="0" borderId="8" xfId="7" applyFont="1" applyBorder="1" applyAlignment="1" applyProtection="1">
      <alignment horizontal="left" vertical="top" wrapText="1"/>
      <protection hidden="1"/>
    </xf>
    <xf numFmtId="0" fontId="5" fillId="0" borderId="54" xfId="7" applyFont="1" applyBorder="1" applyAlignment="1" applyProtection="1">
      <alignment horizontal="left" vertical="top" wrapText="1"/>
      <protection hidden="1"/>
    </xf>
    <xf numFmtId="0" fontId="5" fillId="0" borderId="62" xfId="7" applyFont="1" applyBorder="1" applyAlignment="1" applyProtection="1">
      <alignment horizontal="left" vertical="top" wrapText="1"/>
      <protection hidden="1"/>
    </xf>
    <xf numFmtId="0" fontId="5" fillId="0" borderId="55" xfId="7" applyFont="1" applyBorder="1" applyAlignment="1" applyProtection="1">
      <alignment horizontal="left" vertical="top" wrapText="1"/>
      <protection hidden="1"/>
    </xf>
    <xf numFmtId="0" fontId="3" fillId="0" borderId="4" xfId="7" applyFont="1" applyBorder="1" applyAlignment="1" applyProtection="1">
      <alignment horizontal="center" vertical="center" wrapText="1"/>
      <protection hidden="1"/>
    </xf>
    <xf numFmtId="0" fontId="3" fillId="0" borderId="37" xfId="7" applyFont="1" applyBorder="1" applyAlignment="1" applyProtection="1">
      <alignment horizontal="center" vertical="center" wrapText="1"/>
      <protection hidden="1"/>
    </xf>
    <xf numFmtId="0" fontId="3" fillId="0" borderId="9" xfId="7" applyFont="1" applyBorder="1" applyAlignment="1" applyProtection="1">
      <alignment horizontal="center" vertical="center" wrapText="1"/>
      <protection hidden="1"/>
    </xf>
    <xf numFmtId="0" fontId="3" fillId="0" borderId="11" xfId="7" applyFont="1" applyBorder="1" applyAlignment="1" applyProtection="1">
      <alignment horizontal="center" vertical="center" wrapText="1"/>
      <protection hidden="1"/>
    </xf>
    <xf numFmtId="0" fontId="10" fillId="0" borderId="58" xfId="7" applyFont="1" applyBorder="1" applyAlignment="1" applyProtection="1">
      <alignment horizontal="center" wrapText="1"/>
      <protection hidden="1"/>
    </xf>
    <xf numFmtId="0" fontId="10" fillId="0" borderId="35" xfId="7" applyFont="1" applyBorder="1" applyAlignment="1" applyProtection="1">
      <alignment horizontal="center" wrapText="1"/>
      <protection hidden="1"/>
    </xf>
    <xf numFmtId="0" fontId="10" fillId="0" borderId="95" xfId="7" applyFont="1" applyBorder="1" applyAlignment="1" applyProtection="1">
      <alignment horizontal="center" wrapText="1"/>
      <protection hidden="1"/>
    </xf>
    <xf numFmtId="14" fontId="10" fillId="2" borderId="49" xfId="7" quotePrefix="1" applyNumberFormat="1" applyFont="1" applyFill="1" applyBorder="1" applyAlignment="1" applyProtection="1">
      <alignment horizontal="left" wrapText="1"/>
      <protection hidden="1"/>
    </xf>
    <xf numFmtId="0" fontId="10" fillId="2" borderId="49" xfId="7" applyFont="1" applyFill="1" applyBorder="1" applyAlignment="1" applyProtection="1">
      <alignment horizontal="left" wrapText="1"/>
      <protection hidden="1"/>
    </xf>
    <xf numFmtId="0" fontId="11" fillId="2" borderId="50" xfId="7" applyFont="1" applyFill="1" applyBorder="1" applyAlignment="1" applyProtection="1">
      <alignment horizontal="left" vertical="center" wrapText="1"/>
      <protection locked="0"/>
    </xf>
    <xf numFmtId="0" fontId="11" fillId="2" borderId="10" xfId="7" applyFont="1" applyFill="1" applyBorder="1" applyAlignment="1" applyProtection="1">
      <alignment horizontal="left" vertical="center" wrapText="1"/>
      <protection locked="0"/>
    </xf>
    <xf numFmtId="0" fontId="11" fillId="2" borderId="33" xfId="7" applyFont="1" applyFill="1" applyBorder="1" applyAlignment="1" applyProtection="1">
      <alignment horizontal="left" vertical="center" wrapText="1"/>
      <protection locked="0"/>
    </xf>
    <xf numFmtId="0" fontId="5" fillId="0" borderId="50" xfId="7" applyFont="1" applyBorder="1" applyAlignment="1" applyProtection="1">
      <alignment horizontal="left" vertical="top" wrapText="1"/>
      <protection hidden="1"/>
    </xf>
    <xf numFmtId="0" fontId="5" fillId="0" borderId="33" xfId="7" applyFont="1" applyBorder="1" applyAlignment="1" applyProtection="1">
      <alignment horizontal="left" vertical="top" wrapText="1"/>
      <protection hidden="1"/>
    </xf>
    <xf numFmtId="0" fontId="4" fillId="2" borderId="16" xfId="7" applyFont="1" applyFill="1" applyBorder="1" applyAlignment="1" applyProtection="1">
      <alignment wrapText="1"/>
      <protection hidden="1"/>
    </xf>
    <xf numFmtId="0" fontId="10" fillId="2" borderId="14" xfId="7" applyFont="1" applyFill="1" applyBorder="1" applyAlignment="1" applyProtection="1">
      <alignment horizontal="center" wrapText="1"/>
      <protection hidden="1"/>
    </xf>
    <xf numFmtId="0" fontId="10" fillId="2" borderId="11" xfId="7" applyFont="1" applyFill="1" applyBorder="1" applyAlignment="1" applyProtection="1">
      <alignment horizontal="center" wrapText="1"/>
      <protection hidden="1"/>
    </xf>
    <xf numFmtId="0" fontId="10" fillId="2" borderId="50" xfId="7" applyFont="1" applyFill="1" applyBorder="1" applyAlignment="1" applyProtection="1">
      <alignment horizontal="center" wrapText="1"/>
      <protection hidden="1"/>
    </xf>
    <xf numFmtId="0" fontId="3" fillId="3" borderId="91" xfId="7" applyFont="1" applyFill="1" applyBorder="1" applyAlignment="1" applyProtection="1">
      <alignment wrapText="1"/>
      <protection hidden="1"/>
    </xf>
    <xf numFmtId="0" fontId="3" fillId="3" borderId="58" xfId="7" applyFont="1" applyFill="1" applyBorder="1" applyAlignment="1" applyProtection="1">
      <alignment wrapText="1"/>
      <protection hidden="1"/>
    </xf>
    <xf numFmtId="0" fontId="3" fillId="3" borderId="35" xfId="7" applyFont="1" applyFill="1" applyBorder="1" applyAlignment="1" applyProtection="1">
      <alignment wrapText="1"/>
      <protection hidden="1"/>
    </xf>
    <xf numFmtId="0" fontId="3" fillId="3" borderId="36" xfId="7" applyFont="1" applyFill="1" applyBorder="1" applyAlignment="1" applyProtection="1">
      <alignment wrapText="1"/>
      <protection hidden="1"/>
    </xf>
    <xf numFmtId="0" fontId="5" fillId="0" borderId="66" xfId="7" applyFont="1" applyBorder="1" applyAlignment="1" applyProtection="1">
      <alignment horizontal="center" vertical="top" wrapText="1"/>
      <protection hidden="1"/>
    </xf>
    <xf numFmtId="0" fontId="5" fillId="0" borderId="23" xfId="7" applyFont="1" applyBorder="1" applyAlignment="1" applyProtection="1">
      <alignment horizontal="center" vertical="top" wrapText="1"/>
      <protection hidden="1"/>
    </xf>
    <xf numFmtId="0" fontId="5" fillId="0" borderId="59" xfId="7" applyFont="1" applyBorder="1" applyAlignment="1" applyProtection="1">
      <alignment horizontal="left" wrapText="1"/>
      <protection hidden="1"/>
    </xf>
    <xf numFmtId="0" fontId="5" fillId="0" borderId="81" xfId="7" applyFont="1" applyBorder="1" applyAlignment="1" applyProtection="1">
      <alignment horizontal="left" wrapText="1"/>
      <protection hidden="1"/>
    </xf>
    <xf numFmtId="0" fontId="5" fillId="0" borderId="84" xfId="7" applyFont="1" applyBorder="1" applyAlignment="1" applyProtection="1">
      <alignment horizontal="left" wrapText="1"/>
      <protection hidden="1"/>
    </xf>
    <xf numFmtId="0" fontId="5" fillId="2" borderId="48" xfId="7" applyFont="1" applyFill="1" applyBorder="1" applyAlignment="1" applyProtection="1">
      <alignment horizontal="left" wrapText="1"/>
      <protection hidden="1"/>
    </xf>
    <xf numFmtId="0" fontId="5" fillId="2" borderId="31" xfId="7" applyFont="1" applyFill="1" applyBorder="1" applyAlignment="1" applyProtection="1">
      <alignment horizontal="left" wrapText="1"/>
      <protection hidden="1"/>
    </xf>
    <xf numFmtId="0" fontId="11" fillId="2" borderId="48" xfId="7" applyFont="1" applyFill="1" applyBorder="1" applyAlignment="1" applyProtection="1">
      <alignment horizontal="left" vertical="center" wrapText="1"/>
      <protection hidden="1"/>
    </xf>
    <xf numFmtId="0" fontId="11" fillId="2" borderId="49" xfId="7" applyFont="1" applyFill="1" applyBorder="1" applyAlignment="1" applyProtection="1">
      <alignment horizontal="left" vertical="center" wrapText="1"/>
      <protection hidden="1"/>
    </xf>
    <xf numFmtId="0" fontId="11" fillId="2" borderId="31" xfId="7" applyFont="1" applyFill="1" applyBorder="1" applyAlignment="1" applyProtection="1">
      <alignment horizontal="left" vertical="center" wrapText="1"/>
      <protection hidden="1"/>
    </xf>
    <xf numFmtId="0" fontId="11" fillId="2" borderId="13" xfId="7" applyFont="1" applyFill="1" applyBorder="1" applyAlignment="1" applyProtection="1">
      <alignment horizontal="left" vertical="center" wrapText="1"/>
      <protection hidden="1"/>
    </xf>
    <xf numFmtId="0" fontId="11" fillId="2" borderId="0" xfId="7" applyFont="1" applyFill="1" applyBorder="1" applyAlignment="1" applyProtection="1">
      <alignment horizontal="left" vertical="center" wrapText="1"/>
      <protection hidden="1"/>
    </xf>
    <xf numFmtId="0" fontId="11" fillId="2" borderId="37" xfId="7" applyFont="1" applyFill="1" applyBorder="1" applyAlignment="1" applyProtection="1">
      <alignment horizontal="left" vertical="center" wrapText="1"/>
      <protection hidden="1"/>
    </xf>
    <xf numFmtId="0" fontId="3" fillId="3" borderId="51" xfId="7" applyFont="1" applyFill="1" applyBorder="1" applyAlignment="1" applyProtection="1">
      <alignment horizontal="left" wrapText="1"/>
      <protection hidden="1"/>
    </xf>
    <xf numFmtId="0" fontId="3" fillId="3" borderId="16" xfId="7" applyFont="1" applyFill="1" applyBorder="1" applyAlignment="1" applyProtection="1">
      <alignment horizontal="left" wrapText="1"/>
      <protection hidden="1"/>
    </xf>
    <xf numFmtId="0" fontId="3" fillId="3" borderId="52" xfId="7" applyFont="1" applyFill="1" applyBorder="1" applyAlignment="1" applyProtection="1">
      <alignment horizontal="left" wrapText="1"/>
      <protection hidden="1"/>
    </xf>
    <xf numFmtId="0" fontId="3" fillId="3" borderId="51" xfId="7" applyFont="1" applyFill="1" applyBorder="1" applyAlignment="1" applyProtection="1">
      <alignment wrapText="1"/>
      <protection hidden="1"/>
    </xf>
    <xf numFmtId="0" fontId="3" fillId="3" borderId="16" xfId="7" applyFont="1" applyFill="1" applyBorder="1" applyAlignment="1" applyProtection="1">
      <alignment wrapText="1"/>
      <protection hidden="1"/>
    </xf>
    <xf numFmtId="0" fontId="3" fillId="3" borderId="52" xfId="7" applyFont="1" applyFill="1" applyBorder="1" applyAlignment="1" applyProtection="1">
      <alignment wrapText="1"/>
      <protection hidden="1"/>
    </xf>
    <xf numFmtId="0" fontId="10" fillId="0" borderId="62" xfId="0" applyFont="1" applyBorder="1" applyAlignment="1" applyProtection="1">
      <alignment horizontal="left" vertical="top" wrapText="1"/>
      <protection hidden="1"/>
    </xf>
    <xf numFmtId="0" fontId="10" fillId="0" borderId="55" xfId="0" applyFont="1" applyBorder="1" applyAlignment="1" applyProtection="1">
      <alignment horizontal="left" vertical="top" wrapText="1"/>
      <protection hidden="1"/>
    </xf>
    <xf numFmtId="0" fontId="19" fillId="2" borderId="0" xfId="0" applyFont="1" applyFill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0" fontId="27" fillId="2" borderId="0" xfId="0" applyFont="1" applyFill="1" applyBorder="1" applyAlignment="1" applyProtection="1">
      <alignment horizontal="right"/>
      <protection hidden="1"/>
    </xf>
    <xf numFmtId="0" fontId="25" fillId="2" borderId="0" xfId="0" applyFont="1" applyFill="1" applyBorder="1" applyAlignment="1" applyProtection="1">
      <alignment horizontal="right"/>
      <protection hidden="1"/>
    </xf>
    <xf numFmtId="0" fontId="3" fillId="3" borderId="59" xfId="0" applyFont="1" applyFill="1" applyBorder="1" applyAlignment="1" applyProtection="1">
      <alignment horizontal="left" wrapText="1"/>
      <protection hidden="1"/>
    </xf>
    <xf numFmtId="0" fontId="3" fillId="3" borderId="81" xfId="0" applyFont="1" applyFill="1" applyBorder="1" applyAlignment="1" applyProtection="1">
      <alignment horizontal="left" wrapText="1"/>
      <protection hidden="1"/>
    </xf>
    <xf numFmtId="0" fontId="3" fillId="3" borderId="84" xfId="0" applyFont="1" applyFill="1" applyBorder="1" applyAlignment="1" applyProtection="1">
      <alignment horizontal="left" wrapText="1"/>
      <protection hidden="1"/>
    </xf>
    <xf numFmtId="0" fontId="10" fillId="0" borderId="8" xfId="0" applyFont="1" applyBorder="1" applyAlignment="1" applyProtection="1">
      <alignment horizontal="left" vertical="top" wrapText="1"/>
      <protection hidden="1"/>
    </xf>
    <xf numFmtId="0" fontId="10" fillId="0" borderId="54" xfId="0" applyFont="1" applyBorder="1" applyAlignment="1" applyProtection="1">
      <alignment horizontal="left" vertical="top" wrapText="1"/>
      <protection hidden="1"/>
    </xf>
    <xf numFmtId="0" fontId="10" fillId="0" borderId="53" xfId="0" applyFont="1" applyBorder="1" applyAlignment="1" applyProtection="1">
      <alignment horizontal="left" vertical="top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/>
      <protection hidden="1"/>
    </xf>
    <xf numFmtId="0" fontId="3" fillId="0" borderId="33" xfId="0" applyFont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left" wrapText="1"/>
      <protection hidden="1"/>
    </xf>
    <xf numFmtId="0" fontId="5" fillId="2" borderId="7" xfId="0" applyFont="1" applyFill="1" applyBorder="1" applyAlignment="1" applyProtection="1">
      <alignment horizontal="left" wrapText="1"/>
      <protection hidden="1"/>
    </xf>
    <xf numFmtId="0" fontId="3" fillId="0" borderId="50" xfId="0" applyFont="1" applyBorder="1" applyAlignment="1" applyProtection="1">
      <alignment horizontal="center" vertical="center" wrapText="1"/>
      <protection hidden="1"/>
    </xf>
    <xf numFmtId="0" fontId="3" fillId="3" borderId="51" xfId="0" applyFont="1" applyFill="1" applyBorder="1" applyAlignment="1" applyProtection="1">
      <alignment horizontal="left" wrapText="1"/>
      <protection hidden="1"/>
    </xf>
    <xf numFmtId="0" fontId="3" fillId="3" borderId="16" xfId="0" applyFont="1" applyFill="1" applyBorder="1" applyAlignment="1" applyProtection="1">
      <alignment horizontal="left" wrapText="1"/>
      <protection hidden="1"/>
    </xf>
    <xf numFmtId="0" fontId="3" fillId="3" borderId="52" xfId="0" applyFont="1" applyFill="1" applyBorder="1" applyAlignment="1" applyProtection="1">
      <alignment horizontal="left" wrapText="1"/>
      <protection hidden="1"/>
    </xf>
    <xf numFmtId="0" fontId="5" fillId="0" borderId="94" xfId="0" applyFont="1" applyBorder="1" applyAlignment="1" applyProtection="1">
      <alignment horizontal="center" vertical="top" wrapText="1"/>
      <protection hidden="1"/>
    </xf>
    <xf numFmtId="0" fontId="5" fillId="0" borderId="24" xfId="0" applyFont="1" applyBorder="1" applyAlignment="1" applyProtection="1">
      <alignment horizontal="center" vertical="top" wrapText="1"/>
      <protection hidden="1"/>
    </xf>
    <xf numFmtId="0" fontId="5" fillId="2" borderId="4" xfId="0" applyFont="1" applyFill="1" applyBorder="1" applyAlignment="1" applyProtection="1">
      <alignment horizontal="left" vertical="top" wrapText="1"/>
      <protection hidden="1"/>
    </xf>
    <xf numFmtId="0" fontId="5" fillId="2" borderId="14" xfId="0" applyFont="1" applyFill="1" applyBorder="1" applyAlignment="1" applyProtection="1">
      <alignment horizontal="left" vertical="top" wrapText="1"/>
      <protection hidden="1"/>
    </xf>
    <xf numFmtId="0" fontId="21" fillId="0" borderId="0" xfId="0" applyFont="1" applyBorder="1" applyAlignment="1" applyProtection="1">
      <alignment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5" fillId="0" borderId="5" xfId="0" applyFont="1" applyBorder="1" applyAlignment="1" applyProtection="1">
      <alignment horizontal="left" vertical="top" wrapText="1"/>
      <protection hidden="1"/>
    </xf>
    <xf numFmtId="0" fontId="5" fillId="0" borderId="93" xfId="0" applyFont="1" applyBorder="1" applyAlignment="1" applyProtection="1">
      <alignment horizontal="left" vertical="top" wrapText="1"/>
      <protection hidden="1"/>
    </xf>
    <xf numFmtId="0" fontId="5" fillId="0" borderId="4" xfId="0" applyFont="1" applyBorder="1" applyAlignment="1" applyProtection="1">
      <alignment horizontal="left" vertical="top" wrapText="1"/>
      <protection hidden="1"/>
    </xf>
    <xf numFmtId="0" fontId="5" fillId="0" borderId="14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7" xfId="0" applyFont="1" applyBorder="1" applyAlignment="1" applyProtection="1">
      <alignment horizontal="left" vertical="top" wrapText="1"/>
      <protection hidden="1"/>
    </xf>
    <xf numFmtId="169" fontId="7" fillId="0" borderId="27" xfId="0" applyNumberFormat="1" applyFont="1" applyBorder="1" applyAlignment="1" applyProtection="1">
      <alignment horizontal="right" vertical="center" wrapText="1" indent="1"/>
      <protection hidden="1"/>
    </xf>
    <xf numFmtId="169" fontId="11" fillId="0" borderId="3" xfId="0" applyNumberFormat="1" applyFont="1" applyBorder="1" applyAlignment="1" applyProtection="1">
      <alignment horizontal="right" vertical="center" wrapText="1" indent="1"/>
      <protection hidden="1"/>
    </xf>
    <xf numFmtId="170" fontId="7" fillId="0" borderId="27" xfId="0" applyNumberFormat="1" applyFont="1" applyBorder="1" applyAlignment="1" applyProtection="1">
      <alignment horizontal="right" vertical="center" wrapText="1" indent="1"/>
      <protection hidden="1"/>
    </xf>
    <xf numFmtId="170" fontId="7" fillId="0" borderId="3" xfId="0" applyNumberFormat="1" applyFont="1" applyBorder="1" applyAlignment="1" applyProtection="1">
      <alignment horizontal="right" vertical="center" wrapText="1" indent="1"/>
      <protection hidden="1"/>
    </xf>
    <xf numFmtId="169" fontId="7" fillId="0" borderId="3" xfId="0" applyNumberFormat="1" applyFont="1" applyBorder="1" applyAlignment="1" applyProtection="1">
      <alignment horizontal="right" vertical="center" wrapText="1" indent="1"/>
      <protection hidden="1"/>
    </xf>
    <xf numFmtId="0" fontId="5" fillId="2" borderId="9" xfId="0" applyFont="1" applyFill="1" applyBorder="1" applyAlignment="1" applyProtection="1">
      <alignment horizontal="center" wrapText="1"/>
      <protection hidden="1"/>
    </xf>
    <xf numFmtId="0" fontId="5" fillId="2" borderId="10" xfId="0" applyFont="1" applyFill="1" applyBorder="1" applyAlignment="1" applyProtection="1">
      <alignment horizontal="center" wrapText="1"/>
      <protection hidden="1"/>
    </xf>
    <xf numFmtId="0" fontId="5" fillId="2" borderId="11" xfId="0" applyFont="1" applyFill="1" applyBorder="1" applyAlignment="1" applyProtection="1">
      <alignment horizontal="center" wrapText="1"/>
      <protection hidden="1"/>
    </xf>
    <xf numFmtId="0" fontId="3" fillId="0" borderId="95" xfId="0" applyFont="1" applyBorder="1" applyAlignment="1" applyProtection="1">
      <alignment horizontal="right" vertical="center" wrapText="1"/>
      <protection hidden="1"/>
    </xf>
    <xf numFmtId="0" fontId="3" fillId="0" borderId="58" xfId="0" applyFont="1" applyBorder="1" applyAlignment="1" applyProtection="1">
      <alignment horizontal="right" vertical="center" wrapText="1"/>
      <protection hidden="1"/>
    </xf>
    <xf numFmtId="0" fontId="24" fillId="0" borderId="13" xfId="0" applyFont="1" applyBorder="1" applyAlignment="1" applyProtection="1">
      <alignment horizontal="left" vertical="center" wrapText="1"/>
      <protection hidden="1"/>
    </xf>
    <xf numFmtId="0" fontId="24" fillId="0" borderId="0" xfId="0" applyFont="1" applyBorder="1" applyAlignment="1" applyProtection="1">
      <alignment horizontal="left" vertical="center" wrapText="1"/>
      <protection hidden="1"/>
    </xf>
    <xf numFmtId="0" fontId="24" fillId="0" borderId="14" xfId="0" applyFont="1" applyBorder="1" applyAlignment="1" applyProtection="1">
      <alignment horizontal="left" vertical="center" wrapText="1"/>
      <protection hidden="1"/>
    </xf>
    <xf numFmtId="0" fontId="24" fillId="0" borderId="50" xfId="0" applyFont="1" applyBorder="1" applyAlignment="1" applyProtection="1">
      <alignment horizontal="left" vertical="center" wrapText="1"/>
      <protection hidden="1"/>
    </xf>
    <xf numFmtId="0" fontId="24" fillId="0" borderId="10" xfId="0" applyFont="1" applyBorder="1" applyAlignment="1" applyProtection="1">
      <alignment horizontal="left" vertical="center" wrapText="1"/>
      <protection hidden="1"/>
    </xf>
    <xf numFmtId="0" fontId="24" fillId="0" borderId="11" xfId="0" applyFont="1" applyBorder="1" applyAlignment="1" applyProtection="1">
      <alignment horizontal="left" vertical="center" wrapText="1"/>
      <protection hidden="1"/>
    </xf>
    <xf numFmtId="0" fontId="2" fillId="2" borderId="11" xfId="0" applyFont="1" applyFill="1" applyBorder="1" applyProtection="1">
      <protection hidden="1"/>
    </xf>
    <xf numFmtId="14" fontId="10" fillId="2" borderId="4" xfId="0" applyNumberFormat="1" applyFont="1" applyFill="1" applyBorder="1" applyAlignment="1" applyProtection="1">
      <alignment horizontal="center" wrapText="1"/>
      <protection hidden="1"/>
    </xf>
    <xf numFmtId="14" fontId="10" fillId="2" borderId="0" xfId="0" applyNumberFormat="1" applyFont="1" applyFill="1" applyBorder="1" applyAlignment="1" applyProtection="1">
      <alignment horizontal="center" wrapText="1"/>
      <protection hidden="1"/>
    </xf>
    <xf numFmtId="0" fontId="3" fillId="3" borderId="51" xfId="0" applyFont="1" applyFill="1" applyBorder="1" applyAlignment="1" applyProtection="1">
      <alignment horizontal="center" vertical="top" wrapText="1"/>
      <protection hidden="1"/>
    </xf>
    <xf numFmtId="0" fontId="3" fillId="3" borderId="16" xfId="0" applyFont="1" applyFill="1" applyBorder="1" applyAlignment="1" applyProtection="1">
      <alignment horizontal="center" vertical="top" wrapText="1"/>
      <protection hidden="1"/>
    </xf>
    <xf numFmtId="0" fontId="3" fillId="3" borderId="58" xfId="0" applyFont="1" applyFill="1" applyBorder="1" applyAlignment="1" applyProtection="1">
      <alignment horizontal="center" vertical="top" wrapText="1"/>
      <protection hidden="1"/>
    </xf>
    <xf numFmtId="0" fontId="3" fillId="3" borderId="58" xfId="0" applyFont="1" applyFill="1" applyBorder="1" applyAlignment="1" applyProtection="1">
      <alignment horizontal="left" wrapText="1"/>
      <protection hidden="1"/>
    </xf>
    <xf numFmtId="0" fontId="3" fillId="3" borderId="95" xfId="0" applyFont="1" applyFill="1" applyBorder="1" applyAlignment="1" applyProtection="1">
      <alignment horizontal="left"/>
      <protection hidden="1"/>
    </xf>
    <xf numFmtId="0" fontId="3" fillId="3" borderId="16" xfId="0" applyFont="1" applyFill="1" applyBorder="1" applyAlignment="1" applyProtection="1">
      <alignment horizontal="left"/>
      <protection hidden="1"/>
    </xf>
    <xf numFmtId="0" fontId="3" fillId="3" borderId="52" xfId="0" applyFont="1" applyFill="1" applyBorder="1" applyAlignment="1" applyProtection="1">
      <alignment horizontal="left"/>
      <protection hidden="1"/>
    </xf>
    <xf numFmtId="0" fontId="5" fillId="2" borderId="33" xfId="0" applyFont="1" applyFill="1" applyBorder="1" applyAlignment="1" applyProtection="1">
      <alignment horizontal="center" wrapText="1"/>
      <protection hidden="1"/>
    </xf>
    <xf numFmtId="0" fontId="0" fillId="2" borderId="0" xfId="0" applyFill="1" applyAlignment="1" applyProtection="1">
      <alignment horizontal="center" vertical="center" shrinkToFit="1"/>
      <protection hidden="1"/>
    </xf>
    <xf numFmtId="171" fontId="0" fillId="2" borderId="0" xfId="0" applyNumberForma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left" vertical="center"/>
      <protection hidden="1"/>
    </xf>
    <xf numFmtId="0" fontId="0" fillId="2" borderId="0" xfId="0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left" vertical="center"/>
      <protection locked="0"/>
    </xf>
    <xf numFmtId="4" fontId="11" fillId="2" borderId="1" xfId="0" applyNumberFormat="1" applyFont="1" applyFill="1" applyBorder="1" applyAlignment="1" applyProtection="1">
      <alignment horizontal="right" vertical="center" wrapText="1" indent="1"/>
      <protection hidden="1"/>
    </xf>
    <xf numFmtId="0" fontId="11" fillId="7" borderId="1" xfId="0" applyFont="1" applyFill="1" applyBorder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45" fillId="2" borderId="0" xfId="0" applyFont="1" applyFill="1" applyAlignment="1" applyProtection="1">
      <alignment horizontal="center"/>
      <protection hidden="1"/>
    </xf>
    <xf numFmtId="0" fontId="17" fillId="2" borderId="0" xfId="0" applyFont="1" applyFill="1" applyAlignment="1" applyProtection="1">
      <alignment horizontal="left" vertical="center" wrapText="1"/>
      <protection locked="0"/>
    </xf>
    <xf numFmtId="0" fontId="17" fillId="2" borderId="0" xfId="0" applyFont="1" applyFill="1" applyAlignment="1" applyProtection="1">
      <alignment horizontal="left" vertical="top" wrapText="1"/>
      <protection hidden="1"/>
    </xf>
    <xf numFmtId="0" fontId="1" fillId="2" borderId="0" xfId="0" applyFont="1" applyFill="1" applyAlignment="1" applyProtection="1">
      <alignment horizontal="left" vertical="center" wrapText="1"/>
      <protection locked="0"/>
    </xf>
    <xf numFmtId="4" fontId="11" fillId="7" borderId="1" xfId="0" applyNumberFormat="1" applyFont="1" applyFill="1" applyBorder="1" applyAlignment="1" applyProtection="1">
      <alignment horizontal="right" vertical="center" wrapText="1" indent="1"/>
      <protection hidden="1"/>
    </xf>
    <xf numFmtId="165" fontId="27" fillId="2" borderId="0" xfId="1" applyNumberFormat="1" applyFont="1" applyFill="1" applyAlignment="1" applyProtection="1">
      <alignment horizontal="right" vertical="center"/>
      <protection hidden="1"/>
    </xf>
    <xf numFmtId="0" fontId="0" fillId="2" borderId="0" xfId="0" applyFill="1" applyBorder="1" applyAlignment="1" applyProtection="1">
      <alignment horizontal="left" wrapText="1"/>
      <protection hidden="1"/>
    </xf>
    <xf numFmtId="0" fontId="0" fillId="2" borderId="0" xfId="0" applyFill="1" applyAlignment="1" applyProtection="1">
      <alignment horizontal="left" vertical="center" shrinkToFit="1"/>
      <protection hidden="1"/>
    </xf>
    <xf numFmtId="0" fontId="17" fillId="14" borderId="0" xfId="0" applyFont="1" applyFill="1" applyAlignment="1" applyProtection="1">
      <alignment horizontal="left" vertical="top" wrapText="1"/>
      <protection hidden="1"/>
    </xf>
    <xf numFmtId="0" fontId="17" fillId="2" borderId="0" xfId="0" applyFont="1" applyFill="1" applyAlignment="1" applyProtection="1">
      <alignment horizontal="left" vertical="center" wrapText="1"/>
      <protection hidden="1"/>
    </xf>
    <xf numFmtId="0" fontId="19" fillId="2" borderId="0" xfId="0" applyFont="1" applyFill="1" applyBorder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 vertical="center"/>
      <protection hidden="1"/>
    </xf>
    <xf numFmtId="49" fontId="27" fillId="2" borderId="0" xfId="0" applyNumberFormat="1" applyFon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14" borderId="0" xfId="0" applyFill="1" applyAlignment="1">
      <alignment horizontal="center"/>
    </xf>
    <xf numFmtId="0" fontId="1" fillId="2" borderId="5" xfId="0" applyFont="1" applyFill="1" applyBorder="1" applyAlignment="1" applyProtection="1">
      <alignment horizontal="center"/>
      <protection locked="0"/>
    </xf>
    <xf numFmtId="0" fontId="27" fillId="2" borderId="0" xfId="0" applyFont="1" applyFill="1" applyAlignment="1" applyProtection="1">
      <alignment horizontal="left" vertical="top"/>
      <protection hidden="1"/>
    </xf>
    <xf numFmtId="0" fontId="11" fillId="7" borderId="1" xfId="0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ill="1" applyAlignment="1" applyProtection="1">
      <alignment horizontal="justify" vertical="center" wrapText="1"/>
      <protection hidden="1"/>
    </xf>
    <xf numFmtId="0" fontId="77" fillId="2" borderId="0" xfId="0" applyFont="1" applyFill="1" applyAlignment="1" applyProtection="1">
      <alignment horizontal="left" vertical="center" wrapText="1"/>
      <protection hidden="1"/>
    </xf>
    <xf numFmtId="0" fontId="25" fillId="2" borderId="0" xfId="0" applyFont="1" applyFill="1" applyAlignment="1" applyProtection="1">
      <alignment horizontal="left" vertical="center" wrapText="1"/>
      <protection hidden="1"/>
    </xf>
    <xf numFmtId="0" fontId="27" fillId="2" borderId="0" xfId="0" applyFont="1" applyFill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7" fillId="2" borderId="5" xfId="0" applyFont="1" applyFill="1" applyBorder="1" applyAlignment="1" applyProtection="1">
      <alignment horizontal="left"/>
      <protection locked="0"/>
    </xf>
    <xf numFmtId="0" fontId="1" fillId="2" borderId="5" xfId="0" applyFont="1" applyFill="1" applyBorder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 vertical="top" wrapText="1"/>
      <protection hidden="1"/>
    </xf>
    <xf numFmtId="0" fontId="27" fillId="2" borderId="0" xfId="0" applyFont="1" applyFill="1" applyAlignment="1" applyProtection="1">
      <alignment horizontal="center" vertical="top" wrapText="1"/>
      <protection hidden="1"/>
    </xf>
    <xf numFmtId="0" fontId="7" fillId="0" borderId="1" xfId="0" applyFont="1" applyBorder="1" applyAlignment="1" applyProtection="1">
      <alignment horizontal="center"/>
      <protection hidden="1"/>
    </xf>
    <xf numFmtId="171" fontId="7" fillId="0" borderId="27" xfId="0" applyNumberFormat="1" applyFont="1" applyBorder="1" applyAlignment="1" applyProtection="1">
      <alignment horizontal="center"/>
      <protection hidden="1"/>
    </xf>
    <xf numFmtId="171" fontId="7" fillId="0" borderId="2" xfId="0" applyNumberFormat="1" applyFont="1" applyBorder="1" applyAlignment="1" applyProtection="1">
      <alignment horizontal="center"/>
      <protection hidden="1"/>
    </xf>
    <xf numFmtId="0" fontId="7" fillId="2" borderId="2" xfId="0" applyFont="1" applyFill="1" applyBorder="1" applyAlignment="1" applyProtection="1">
      <alignment horizontal="left"/>
      <protection hidden="1"/>
    </xf>
    <xf numFmtId="0" fontId="7" fillId="2" borderId="3" xfId="0" applyFont="1" applyFill="1" applyBorder="1" applyAlignment="1" applyProtection="1">
      <alignment horizontal="left"/>
      <protection hidden="1"/>
    </xf>
    <xf numFmtId="0" fontId="1" fillId="0" borderId="1" xfId="0" applyFont="1" applyBorder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left" vertical="top" wrapText="1"/>
      <protection hidden="1"/>
    </xf>
    <xf numFmtId="0" fontId="0" fillId="2" borderId="0" xfId="0" applyFill="1" applyBorder="1" applyAlignment="1" applyProtection="1">
      <alignment horizontal="left" vertical="center" wrapText="1"/>
      <protection hidden="1"/>
    </xf>
    <xf numFmtId="171" fontId="7" fillId="2" borderId="27" xfId="0" applyNumberFormat="1" applyFont="1" applyFill="1" applyBorder="1" applyAlignment="1" applyProtection="1">
      <alignment horizontal="center"/>
      <protection hidden="1"/>
    </xf>
    <xf numFmtId="171" fontId="7" fillId="2" borderId="2" xfId="0" applyNumberFormat="1" applyFont="1" applyFill="1" applyBorder="1" applyAlignment="1" applyProtection="1">
      <alignment horizontal="center"/>
      <protection hidden="1"/>
    </xf>
    <xf numFmtId="0" fontId="11" fillId="0" borderId="27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/>
      <protection hidden="1"/>
    </xf>
    <xf numFmtId="0" fontId="11" fillId="0" borderId="3" xfId="0" applyFont="1" applyBorder="1" applyAlignment="1" applyProtection="1">
      <alignment horizontal="center"/>
      <protection hidden="1"/>
    </xf>
    <xf numFmtId="4" fontId="7" fillId="2" borderId="1" xfId="0" applyNumberFormat="1" applyFont="1" applyFill="1" applyBorder="1" applyAlignment="1" applyProtection="1">
      <alignment horizontal="right" vertical="center"/>
      <protection hidden="1"/>
    </xf>
    <xf numFmtId="4" fontId="11" fillId="2" borderId="1" xfId="0" applyNumberFormat="1" applyFont="1" applyFill="1" applyBorder="1" applyAlignment="1" applyProtection="1">
      <alignment horizontal="right" vertical="center"/>
      <protection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50" fillId="10" borderId="49" xfId="0" applyFont="1" applyFill="1" applyBorder="1" applyAlignment="1" applyProtection="1">
      <alignment horizontal="left"/>
      <protection hidden="1"/>
    </xf>
    <xf numFmtId="0" fontId="50" fillId="10" borderId="0" xfId="0" applyFont="1" applyFill="1" applyBorder="1" applyAlignment="1" applyProtection="1">
      <alignment horizontal="left"/>
      <protection hidden="1"/>
    </xf>
    <xf numFmtId="0" fontId="50" fillId="10" borderId="10" xfId="0" applyFont="1" applyFill="1" applyBorder="1" applyAlignment="1" applyProtection="1">
      <alignment horizontal="left"/>
      <protection hidden="1"/>
    </xf>
    <xf numFmtId="0" fontId="41" fillId="2" borderId="10" xfId="0" applyFont="1" applyFill="1" applyBorder="1" applyAlignment="1" applyProtection="1">
      <alignment horizontal="left"/>
      <protection locked="0"/>
    </xf>
    <xf numFmtId="0" fontId="50" fillId="2" borderId="10" xfId="0" applyFont="1" applyFill="1" applyBorder="1" applyAlignment="1" applyProtection="1">
      <alignment horizontal="left"/>
      <protection locked="0"/>
    </xf>
    <xf numFmtId="17" fontId="41" fillId="2" borderId="49" xfId="0" quotePrefix="1" applyNumberFormat="1" applyFont="1" applyFill="1" applyBorder="1" applyAlignment="1" applyProtection="1">
      <alignment horizontal="left"/>
      <protection locked="0"/>
    </xf>
    <xf numFmtId="0" fontId="50" fillId="2" borderId="49" xfId="0" applyFont="1" applyFill="1" applyBorder="1" applyAlignment="1" applyProtection="1">
      <alignment horizontal="left"/>
      <protection locked="0"/>
    </xf>
    <xf numFmtId="0" fontId="25" fillId="2" borderId="5" xfId="0" applyFont="1" applyFill="1" applyBorder="1" applyAlignment="1" applyProtection="1">
      <alignment horizontal="left" vertical="top"/>
      <protection hidden="1"/>
    </xf>
    <xf numFmtId="0" fontId="27" fillId="2" borderId="0" xfId="0" applyFont="1" applyFill="1" applyAlignment="1" applyProtection="1">
      <alignment horizontal="center"/>
      <protection locked="0"/>
    </xf>
    <xf numFmtId="0" fontId="25" fillId="2" borderId="0" xfId="0" applyFont="1" applyFill="1" applyAlignment="1" applyProtection="1">
      <alignment horizontal="center" vertical="center" wrapText="1"/>
      <protection hidden="1"/>
    </xf>
    <xf numFmtId="4" fontId="11" fillId="2" borderId="1" xfId="0" applyNumberFormat="1" applyFont="1" applyFill="1" applyBorder="1" applyAlignment="1" applyProtection="1">
      <alignment horizontal="center" vertical="center"/>
      <protection hidden="1"/>
    </xf>
    <xf numFmtId="0" fontId="35" fillId="2" borderId="0" xfId="0" applyFon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left"/>
      <protection hidden="1"/>
    </xf>
    <xf numFmtId="0" fontId="35" fillId="2" borderId="0" xfId="0" applyNumberFormat="1" applyFont="1" applyFill="1" applyAlignment="1" applyProtection="1">
      <alignment horizontal="center"/>
      <protection locked="0"/>
    </xf>
    <xf numFmtId="2" fontId="35" fillId="2" borderId="0" xfId="0" applyNumberFormat="1" applyFont="1" applyFill="1" applyAlignment="1" applyProtection="1">
      <alignment horizontal="center"/>
      <protection locked="0"/>
    </xf>
    <xf numFmtId="168" fontId="35" fillId="2" borderId="0" xfId="0" quotePrefix="1" applyNumberFormat="1" applyFont="1" applyFill="1" applyAlignment="1" applyProtection="1">
      <alignment horizontal="center"/>
      <protection locked="0"/>
    </xf>
    <xf numFmtId="168" fontId="35" fillId="2" borderId="0" xfId="0" applyNumberFormat="1" applyFont="1" applyFill="1" applyAlignment="1" applyProtection="1">
      <alignment horizontal="center"/>
      <protection locked="0"/>
    </xf>
    <xf numFmtId="49" fontId="41" fillId="2" borderId="0" xfId="0" applyNumberFormat="1" applyFont="1" applyFill="1" applyBorder="1" applyAlignment="1" applyProtection="1">
      <alignment horizontal="center"/>
      <protection locked="0"/>
    </xf>
    <xf numFmtId="49" fontId="50" fillId="2" borderId="0" xfId="0" applyNumberFormat="1" applyFont="1" applyFill="1" applyBorder="1" applyAlignment="1" applyProtection="1">
      <alignment horizontal="center"/>
      <protection locked="0"/>
    </xf>
    <xf numFmtId="17" fontId="35" fillId="2" borderId="0" xfId="0" quotePrefix="1" applyNumberFormat="1" applyFont="1" applyFill="1" applyAlignment="1" applyProtection="1">
      <alignment horizontal="left"/>
      <protection locked="0"/>
    </xf>
    <xf numFmtId="0" fontId="35" fillId="2" borderId="0" xfId="0" applyFont="1" applyFill="1" applyAlignment="1" applyProtection="1">
      <alignment horizontal="left"/>
      <protection locked="0"/>
    </xf>
    <xf numFmtId="0" fontId="50" fillId="2" borderId="0" xfId="0" applyFont="1" applyFill="1" applyBorder="1" applyAlignment="1" applyProtection="1">
      <alignment horizontal="left"/>
      <protection locked="0"/>
    </xf>
    <xf numFmtId="3" fontId="35" fillId="2" borderId="0" xfId="0" applyNumberFormat="1" applyFont="1" applyFill="1" applyAlignment="1" applyProtection="1">
      <alignment horizontal="left"/>
      <protection locked="0"/>
    </xf>
    <xf numFmtId="0" fontId="56" fillId="2" borderId="0" xfId="0" applyFont="1" applyFill="1" applyAlignment="1" applyProtection="1">
      <alignment horizontal="left"/>
      <protection locked="0"/>
    </xf>
    <xf numFmtId="49" fontId="35" fillId="2" borderId="0" xfId="0" applyNumberFormat="1" applyFont="1" applyFill="1" applyAlignment="1" applyProtection="1">
      <alignment horizontal="center"/>
      <protection locked="0"/>
    </xf>
    <xf numFmtId="49" fontId="56" fillId="2" borderId="0" xfId="0" applyNumberFormat="1" applyFont="1" applyFill="1" applyAlignment="1" applyProtection="1">
      <alignment horizont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7" fillId="2" borderId="0" xfId="0" applyFont="1" applyFill="1" applyBorder="1" applyAlignment="1" applyProtection="1">
      <alignment horizontal="center" vertical="center"/>
      <protection hidden="1"/>
    </xf>
    <xf numFmtId="0" fontId="36" fillId="2" borderId="0" xfId="0" applyFont="1" applyFill="1" applyAlignment="1" applyProtection="1">
      <alignment horizontal="center" vertical="top" wrapText="1"/>
      <protection hidden="1"/>
    </xf>
    <xf numFmtId="14" fontId="35" fillId="2" borderId="0" xfId="0" quotePrefix="1" applyNumberFormat="1" applyFont="1" applyFill="1" applyAlignment="1" applyProtection="1">
      <alignment horizontal="center"/>
      <protection hidden="1"/>
    </xf>
    <xf numFmtId="0" fontId="35" fillId="2" borderId="0" xfId="0" applyFont="1" applyFill="1" applyAlignment="1" applyProtection="1">
      <alignment horizontal="center"/>
      <protection hidden="1"/>
    </xf>
    <xf numFmtId="0" fontId="36" fillId="2" borderId="0" xfId="0" applyFont="1" applyFill="1" applyAlignment="1" applyProtection="1">
      <alignment horizontal="left" vertical="top" wrapText="1"/>
      <protection hidden="1"/>
    </xf>
    <xf numFmtId="0" fontId="35" fillId="7" borderId="0" xfId="0" applyFont="1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vertical="top" wrapText="1"/>
      <protection hidden="1"/>
    </xf>
    <xf numFmtId="0" fontId="11" fillId="0" borderId="39" xfId="0" applyFont="1" applyBorder="1" applyAlignment="1" applyProtection="1">
      <alignment horizontal="center"/>
      <protection hidden="1"/>
    </xf>
    <xf numFmtId="0" fontId="45" fillId="2" borderId="27" xfId="0" applyFont="1" applyFill="1" applyBorder="1" applyAlignment="1" applyProtection="1">
      <alignment horizontal="center"/>
      <protection hidden="1"/>
    </xf>
    <xf numFmtId="0" fontId="45" fillId="2" borderId="3" xfId="0" applyFont="1" applyFill="1" applyBorder="1" applyAlignment="1" applyProtection="1">
      <alignment horizontal="center"/>
      <protection hidden="1"/>
    </xf>
    <xf numFmtId="0" fontId="11" fillId="0" borderId="1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11" fillId="2" borderId="8" xfId="0" applyFont="1" applyFill="1" applyBorder="1" applyAlignment="1" applyProtection="1">
      <alignment horizontal="center" vertical="center"/>
      <protection hidden="1"/>
    </xf>
    <xf numFmtId="0" fontId="11" fillId="2" borderId="54" xfId="0" applyFont="1" applyFill="1" applyBorder="1" applyAlignment="1" applyProtection="1">
      <alignment horizontal="center" vertical="center"/>
      <protection hidden="1"/>
    </xf>
    <xf numFmtId="0" fontId="69" fillId="2" borderId="0" xfId="0" applyFont="1" applyFill="1" applyAlignment="1" applyProtection="1">
      <alignment horizontal="right"/>
      <protection hidden="1"/>
    </xf>
    <xf numFmtId="0" fontId="67" fillId="2" borderId="0" xfId="0" applyFont="1" applyFill="1" applyAlignment="1" applyProtection="1">
      <alignment horizontal="center"/>
      <protection hidden="1"/>
    </xf>
    <xf numFmtId="0" fontId="70" fillId="2" borderId="0" xfId="0" applyFont="1" applyFill="1" applyAlignment="1" applyProtection="1">
      <alignment horizontal="center" vertical="center" wrapText="1"/>
      <protection hidden="1"/>
    </xf>
    <xf numFmtId="0" fontId="2" fillId="2" borderId="0" xfId="0" applyFont="1" applyFill="1" applyAlignment="1" applyProtection="1">
      <alignment horizontal="justify" vertical="justify" wrapText="1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4" fontId="19" fillId="2" borderId="0" xfId="0" applyNumberFormat="1" applyFont="1" applyFill="1" applyBorder="1" applyAlignment="1" applyProtection="1">
      <alignment horizontal="center" vertical="center"/>
      <protection hidden="1"/>
    </xf>
    <xf numFmtId="1" fontId="44" fillId="14" borderId="0" xfId="0" applyNumberFormat="1" applyFont="1" applyFill="1" applyAlignment="1" applyProtection="1">
      <alignment horizontal="center"/>
      <protection hidden="1"/>
    </xf>
    <xf numFmtId="0" fontId="44" fillId="14" borderId="0" xfId="0" applyFont="1" applyFill="1" applyAlignment="1" applyProtection="1">
      <alignment horizontal="center"/>
      <protection hidden="1"/>
    </xf>
    <xf numFmtId="0" fontId="44" fillId="14" borderId="0" xfId="0" applyFont="1" applyFill="1" applyAlignment="1" applyProtection="1">
      <alignment horizontal="center" vertical="center"/>
      <protection hidden="1"/>
    </xf>
    <xf numFmtId="0" fontId="78" fillId="14" borderId="0" xfId="0" applyFont="1" applyFill="1" applyBorder="1" applyAlignment="1" applyProtection="1">
      <alignment horizontal="right"/>
      <protection hidden="1"/>
    </xf>
    <xf numFmtId="0" fontId="27" fillId="23" borderId="13" xfId="0" applyFont="1" applyFill="1" applyBorder="1" applyAlignment="1" applyProtection="1">
      <alignment horizontal="center"/>
      <protection hidden="1"/>
    </xf>
    <xf numFmtId="0" fontId="27" fillId="23" borderId="0" xfId="0" applyFont="1" applyFill="1" applyBorder="1" applyAlignment="1" applyProtection="1">
      <alignment horizontal="center"/>
      <protection hidden="1"/>
    </xf>
    <xf numFmtId="0" fontId="27" fillId="23" borderId="37" xfId="0" applyFont="1" applyFill="1" applyBorder="1" applyAlignment="1" applyProtection="1">
      <alignment horizontal="center"/>
      <protection hidden="1"/>
    </xf>
    <xf numFmtId="0" fontId="27" fillId="23" borderId="51" xfId="0" applyFont="1" applyFill="1" applyBorder="1" applyAlignment="1" applyProtection="1">
      <alignment horizontal="center"/>
      <protection hidden="1"/>
    </xf>
    <xf numFmtId="0" fontId="27" fillId="23" borderId="16" xfId="0" applyFont="1" applyFill="1" applyBorder="1" applyAlignment="1" applyProtection="1">
      <alignment horizontal="center"/>
      <protection hidden="1"/>
    </xf>
    <xf numFmtId="0" fontId="27" fillId="23" borderId="52" xfId="0" applyFont="1" applyFill="1" applyBorder="1" applyAlignment="1" applyProtection="1">
      <alignment horizontal="center"/>
      <protection hidden="1"/>
    </xf>
  </cellXfs>
  <cellStyles count="8">
    <cellStyle name="Moeda" xfId="1" builtinId="4"/>
    <cellStyle name="Moeda 2" xfId="2"/>
    <cellStyle name="Normal" xfId="0" builtinId="0"/>
    <cellStyle name="Normal 2" xfId="3"/>
    <cellStyle name="Normal 3" xfId="4"/>
    <cellStyle name="Normal 4" xfId="5"/>
    <cellStyle name="Normal_MODELO I CADASTRO APM" xfId="6"/>
    <cellStyle name="Normal_Plan1" xfId="7"/>
  </cellStyles>
  <dxfs count="8180"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indexed="22"/>
        </patternFill>
      </fill>
    </dxf>
    <dxf>
      <fill>
        <patternFill>
          <bgColor indexed="44"/>
        </patternFill>
      </fill>
    </dxf>
    <dxf>
      <font>
        <condense val="0"/>
        <extend val="0"/>
        <color indexed="9"/>
      </font>
    </dxf>
    <dxf>
      <fill>
        <patternFill>
          <bgColor indexed="44"/>
        </patternFill>
      </fill>
    </dxf>
    <dxf>
      <fill>
        <patternFill>
          <bgColor indexed="22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rgb="FF99CCFF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50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9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rgb="FF7030A0"/>
      </font>
      <fill>
        <patternFill>
          <bgColor rgb="FF7030A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theme="0"/>
      </font>
    </dxf>
    <dxf>
      <font>
        <color theme="0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color theme="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color rgb="FFFF0000"/>
      </font>
      <fill>
        <patternFill>
          <bgColor theme="0"/>
        </patternFill>
      </fill>
    </dxf>
    <dxf>
      <fill>
        <patternFill>
          <bgColor theme="3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7030A0"/>
        <name val="Cambria"/>
        <scheme val="none"/>
      </font>
    </dxf>
    <dxf>
      <font>
        <b/>
        <i val="0"/>
        <color rgb="FF7030A0"/>
        <name val="Cambria"/>
        <scheme val="none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  <fill>
        <patternFill>
          <bgColor rgb="FF7030A0"/>
        </patternFill>
      </fill>
    </dxf>
    <dxf>
      <font>
        <condense val="0"/>
        <extend val="0"/>
        <color indexed="21"/>
      </font>
    </dxf>
    <dxf>
      <font>
        <condense val="0"/>
        <extend val="0"/>
        <color indexed="9"/>
      </font>
      <fill>
        <patternFill>
          <bgColor rgb="FF7030A0"/>
        </patternFill>
      </fill>
    </dxf>
    <dxf>
      <font>
        <condense val="0"/>
        <extend val="0"/>
        <color indexed="21"/>
      </font>
    </dxf>
    <dxf>
      <font>
        <b/>
        <i val="0"/>
        <condense val="0"/>
        <extend val="0"/>
        <color indexed="10"/>
      </font>
    </dxf>
    <dxf>
      <font>
        <b/>
        <i val="0"/>
        <color rgb="FF7030A0"/>
        <name val="Cambria"/>
        <scheme val="none"/>
      </font>
    </dxf>
    <dxf>
      <font>
        <b/>
        <i val="0"/>
        <color theme="0"/>
        <name val="Cambria"/>
        <scheme val="none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rgb="FF7030A0"/>
        </patternFill>
      </fill>
    </dxf>
    <dxf>
      <font>
        <condense val="0"/>
        <extend val="0"/>
        <color indexed="21"/>
      </font>
    </dxf>
  </dxfs>
  <tableStyles count="0" defaultTableStyle="TableStyleMedium2" defaultPivotStyle="PivotStyleLight16"/>
  <colors>
    <mruColors>
      <color rgb="FF0000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168868</xdr:colOff>
      <xdr:row>7</xdr:row>
      <xdr:rowOff>222277</xdr:rowOff>
    </xdr:from>
    <xdr:to>
      <xdr:col>2</xdr:col>
      <xdr:colOff>21118</xdr:colOff>
      <xdr:row>8</xdr:row>
      <xdr:rowOff>213823</xdr:rowOff>
    </xdr:to>
    <xdr:sp macro="[0]!base_Click" textlink="">
      <xdr:nvSpPr>
        <xdr:cNvPr id="12" name="Retângulo de cantos arredondados 11"/>
        <xdr:cNvSpPr/>
      </xdr:nvSpPr>
      <xdr:spPr>
        <a:xfrm>
          <a:off x="1086732" y="1919459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Uso SME</a:t>
          </a:r>
        </a:p>
      </xdr:txBody>
    </xdr:sp>
    <xdr:clientData/>
  </xdr:twoCellAnchor>
  <xdr:twoCellAnchor editAs="absolute">
    <xdr:from>
      <xdr:col>1</xdr:col>
      <xdr:colOff>162508</xdr:colOff>
      <xdr:row>9</xdr:row>
      <xdr:rowOff>146656</xdr:rowOff>
    </xdr:from>
    <xdr:to>
      <xdr:col>2</xdr:col>
      <xdr:colOff>14758</xdr:colOff>
      <xdr:row>9</xdr:row>
      <xdr:rowOff>380656</xdr:rowOff>
    </xdr:to>
    <xdr:sp macro="[0]!consolida_Click" textlink="">
      <xdr:nvSpPr>
        <xdr:cNvPr id="13" name="Retângulo de cantos arredondados 12"/>
        <xdr:cNvSpPr/>
      </xdr:nvSpPr>
      <xdr:spPr>
        <a:xfrm>
          <a:off x="1080372" y="2328747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Consolida</a:t>
          </a:r>
        </a:p>
      </xdr:txBody>
    </xdr:sp>
    <xdr:clientData/>
  </xdr:twoCellAnchor>
  <xdr:twoCellAnchor editAs="absolute">
    <xdr:from>
      <xdr:col>1</xdr:col>
      <xdr:colOff>146745</xdr:colOff>
      <xdr:row>9</xdr:row>
      <xdr:rowOff>959312</xdr:rowOff>
    </xdr:from>
    <xdr:to>
      <xdr:col>1</xdr:col>
      <xdr:colOff>1046745</xdr:colOff>
      <xdr:row>9</xdr:row>
      <xdr:rowOff>1193312</xdr:rowOff>
    </xdr:to>
    <xdr:sp macro="[0]!salva_com_eol" textlink="">
      <xdr:nvSpPr>
        <xdr:cNvPr id="14" name="Retângulo de cantos arredondados 13"/>
        <xdr:cNvSpPr/>
      </xdr:nvSpPr>
      <xdr:spPr>
        <a:xfrm>
          <a:off x="1064609" y="3141403"/>
          <a:ext cx="900000" cy="23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ENCERRAR</a:t>
          </a:r>
        </a:p>
      </xdr:txBody>
    </xdr:sp>
    <xdr:clientData/>
  </xdr:twoCellAnchor>
  <xdr:twoCellAnchor editAs="absolute">
    <xdr:from>
      <xdr:col>2</xdr:col>
      <xdr:colOff>79576</xdr:colOff>
      <xdr:row>7</xdr:row>
      <xdr:rowOff>223860</xdr:rowOff>
    </xdr:from>
    <xdr:to>
      <xdr:col>2</xdr:col>
      <xdr:colOff>979576</xdr:colOff>
      <xdr:row>8</xdr:row>
      <xdr:rowOff>215406</xdr:rowOff>
    </xdr:to>
    <xdr:sp macro="[0]!mod_6_Click" textlink="">
      <xdr:nvSpPr>
        <xdr:cNvPr id="15" name="Retângulo de cantos arredondados 14"/>
        <xdr:cNvSpPr/>
      </xdr:nvSpPr>
      <xdr:spPr>
        <a:xfrm>
          <a:off x="2045190" y="1921042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6</a:t>
          </a:r>
        </a:p>
      </xdr:txBody>
    </xdr:sp>
    <xdr:clientData/>
  </xdr:twoCellAnchor>
  <xdr:twoCellAnchor editAs="absolute">
    <xdr:from>
      <xdr:col>2</xdr:col>
      <xdr:colOff>81164</xdr:colOff>
      <xdr:row>9</xdr:row>
      <xdr:rowOff>148240</xdr:rowOff>
    </xdr:from>
    <xdr:to>
      <xdr:col>2</xdr:col>
      <xdr:colOff>981164</xdr:colOff>
      <xdr:row>9</xdr:row>
      <xdr:rowOff>382240</xdr:rowOff>
    </xdr:to>
    <xdr:sp macro="[0]!mod_7_Click" textlink="">
      <xdr:nvSpPr>
        <xdr:cNvPr id="16" name="Retângulo de cantos arredondados 15"/>
        <xdr:cNvSpPr/>
      </xdr:nvSpPr>
      <xdr:spPr>
        <a:xfrm>
          <a:off x="2046778" y="2330331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7</a:t>
          </a:r>
        </a:p>
      </xdr:txBody>
    </xdr:sp>
    <xdr:clientData/>
  </xdr:twoCellAnchor>
  <xdr:twoCellAnchor editAs="absolute">
    <xdr:from>
      <xdr:col>2</xdr:col>
      <xdr:colOff>82750</xdr:colOff>
      <xdr:row>9</xdr:row>
      <xdr:rowOff>542375</xdr:rowOff>
    </xdr:from>
    <xdr:to>
      <xdr:col>2</xdr:col>
      <xdr:colOff>982750</xdr:colOff>
      <xdr:row>9</xdr:row>
      <xdr:rowOff>776375</xdr:rowOff>
    </xdr:to>
    <xdr:sp macro="[0]!mod_8_Click" textlink="">
      <xdr:nvSpPr>
        <xdr:cNvPr id="17" name="Retângulo de cantos arredondados 16"/>
        <xdr:cNvSpPr/>
      </xdr:nvSpPr>
      <xdr:spPr>
        <a:xfrm>
          <a:off x="2048364" y="2724466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8</a:t>
          </a:r>
        </a:p>
      </xdr:txBody>
    </xdr:sp>
    <xdr:clientData/>
  </xdr:twoCellAnchor>
  <xdr:twoCellAnchor editAs="absolute">
    <xdr:from>
      <xdr:col>2</xdr:col>
      <xdr:colOff>84337</xdr:colOff>
      <xdr:row>9</xdr:row>
      <xdr:rowOff>954547</xdr:rowOff>
    </xdr:from>
    <xdr:to>
      <xdr:col>2</xdr:col>
      <xdr:colOff>984337</xdr:colOff>
      <xdr:row>9</xdr:row>
      <xdr:rowOff>1188547</xdr:rowOff>
    </xdr:to>
    <xdr:sp macro="[0]!mod_9_Click" textlink="">
      <xdr:nvSpPr>
        <xdr:cNvPr id="18" name="Retângulo de cantos arredondados 17"/>
        <xdr:cNvSpPr/>
      </xdr:nvSpPr>
      <xdr:spPr>
        <a:xfrm>
          <a:off x="2049951" y="3136638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9</a:t>
          </a:r>
          <a:endParaRPr lang="pt-BR" sz="1000" b="1"/>
        </a:p>
      </xdr:txBody>
    </xdr:sp>
    <xdr:clientData/>
  </xdr:twoCellAnchor>
  <xdr:twoCellAnchor editAs="absolute">
    <xdr:from>
      <xdr:col>3</xdr:col>
      <xdr:colOff>36110</xdr:colOff>
      <xdr:row>7</xdr:row>
      <xdr:rowOff>222274</xdr:rowOff>
    </xdr:from>
    <xdr:to>
      <xdr:col>5</xdr:col>
      <xdr:colOff>18246</xdr:colOff>
      <xdr:row>8</xdr:row>
      <xdr:rowOff>213820</xdr:rowOff>
    </xdr:to>
    <xdr:sp macro="[0]!oficio_Click" textlink="">
      <xdr:nvSpPr>
        <xdr:cNvPr id="19" name="Retângulo de cantos arredondados 18"/>
        <xdr:cNvSpPr/>
      </xdr:nvSpPr>
      <xdr:spPr>
        <a:xfrm>
          <a:off x="3023496" y="1919456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Ofício</a:t>
          </a:r>
        </a:p>
      </xdr:txBody>
    </xdr:sp>
    <xdr:clientData/>
  </xdr:twoCellAnchor>
  <xdr:twoCellAnchor editAs="absolute">
    <xdr:from>
      <xdr:col>3</xdr:col>
      <xdr:colOff>37697</xdr:colOff>
      <xdr:row>9</xdr:row>
      <xdr:rowOff>146654</xdr:rowOff>
    </xdr:from>
    <xdr:to>
      <xdr:col>5</xdr:col>
      <xdr:colOff>19833</xdr:colOff>
      <xdr:row>9</xdr:row>
      <xdr:rowOff>380654</xdr:rowOff>
    </xdr:to>
    <xdr:sp macro="[0]!ata_Click" textlink="">
      <xdr:nvSpPr>
        <xdr:cNvPr id="20" name="Retângulo de cantos arredondados 19"/>
        <xdr:cNvSpPr/>
      </xdr:nvSpPr>
      <xdr:spPr>
        <a:xfrm>
          <a:off x="3025083" y="2328745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Ata</a:t>
          </a:r>
        </a:p>
      </xdr:txBody>
    </xdr:sp>
    <xdr:clientData/>
  </xdr:twoCellAnchor>
  <xdr:twoCellAnchor editAs="absolute">
    <xdr:from>
      <xdr:col>3</xdr:col>
      <xdr:colOff>39286</xdr:colOff>
      <xdr:row>9</xdr:row>
      <xdr:rowOff>549446</xdr:rowOff>
    </xdr:from>
    <xdr:to>
      <xdr:col>5</xdr:col>
      <xdr:colOff>21422</xdr:colOff>
      <xdr:row>9</xdr:row>
      <xdr:rowOff>783446</xdr:rowOff>
    </xdr:to>
    <xdr:sp macro="[0]!lauda_Click" textlink="">
      <xdr:nvSpPr>
        <xdr:cNvPr id="21" name="Retângulo de cantos arredondados 20"/>
        <xdr:cNvSpPr/>
      </xdr:nvSpPr>
      <xdr:spPr>
        <a:xfrm>
          <a:off x="3026672" y="2731537"/>
          <a:ext cx="900000" cy="234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Lauda</a:t>
          </a:r>
        </a:p>
      </xdr:txBody>
    </xdr:sp>
    <xdr:clientData/>
  </xdr:twoCellAnchor>
  <xdr:twoCellAnchor editAs="absolute">
    <xdr:from>
      <xdr:col>7</xdr:col>
      <xdr:colOff>29431</xdr:colOff>
      <xdr:row>7</xdr:row>
      <xdr:rowOff>141034</xdr:rowOff>
    </xdr:from>
    <xdr:to>
      <xdr:col>7</xdr:col>
      <xdr:colOff>929431</xdr:colOff>
      <xdr:row>8</xdr:row>
      <xdr:rowOff>132580</xdr:rowOff>
    </xdr:to>
    <xdr:sp macro="[0]!volta_aulas_Click" textlink="">
      <xdr:nvSpPr>
        <xdr:cNvPr id="24" name="Retângulo de cantos arredondados 23"/>
        <xdr:cNvSpPr/>
      </xdr:nvSpPr>
      <xdr:spPr>
        <a:xfrm>
          <a:off x="5172931" y="1838216"/>
          <a:ext cx="900000" cy="23400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Volta</a:t>
          </a:r>
          <a:r>
            <a:rPr lang="pt-BR" sz="750" b="1" baseline="0"/>
            <a:t> </a:t>
          </a:r>
          <a:r>
            <a:rPr lang="pt-BR" sz="800" b="1" baseline="0"/>
            <a:t>às</a:t>
          </a:r>
          <a:r>
            <a:rPr lang="pt-BR" sz="750" b="1" baseline="0"/>
            <a:t> </a:t>
          </a:r>
          <a:r>
            <a:rPr lang="pt-BR" sz="800" b="1" baseline="0"/>
            <a:t>Aulas</a:t>
          </a:r>
          <a:endParaRPr lang="pt-BR" sz="800" b="1"/>
        </a:p>
      </xdr:txBody>
    </xdr:sp>
    <xdr:clientData/>
  </xdr:twoCellAnchor>
  <xdr:twoCellAnchor editAs="absolute">
    <xdr:from>
      <xdr:col>6</xdr:col>
      <xdr:colOff>51956</xdr:colOff>
      <xdr:row>7</xdr:row>
      <xdr:rowOff>137570</xdr:rowOff>
    </xdr:from>
    <xdr:to>
      <xdr:col>6</xdr:col>
      <xdr:colOff>951956</xdr:colOff>
      <xdr:row>8</xdr:row>
      <xdr:rowOff>129116</xdr:rowOff>
    </xdr:to>
    <xdr:sp macro="[0]!basico_Click" textlink="">
      <xdr:nvSpPr>
        <xdr:cNvPr id="25" name="Retângulo de cantos arredondados 24"/>
        <xdr:cNvSpPr/>
      </xdr:nvSpPr>
      <xdr:spPr>
        <a:xfrm>
          <a:off x="4173683" y="1834752"/>
          <a:ext cx="900000" cy="2340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Básico</a:t>
          </a:r>
        </a:p>
      </xdr:txBody>
    </xdr:sp>
    <xdr:clientData/>
  </xdr:twoCellAnchor>
  <xdr:twoCellAnchor editAs="absolute">
    <xdr:from>
      <xdr:col>7</xdr:col>
      <xdr:colOff>26256</xdr:colOff>
      <xdr:row>9</xdr:row>
      <xdr:rowOff>17320</xdr:rowOff>
    </xdr:from>
    <xdr:to>
      <xdr:col>7</xdr:col>
      <xdr:colOff>926256</xdr:colOff>
      <xdr:row>9</xdr:row>
      <xdr:rowOff>251320</xdr:rowOff>
    </xdr:to>
    <xdr:sp macro="[0]!transporte_Click" textlink="">
      <xdr:nvSpPr>
        <xdr:cNvPr id="26" name="Retângulo de cantos arredondados 25"/>
        <xdr:cNvSpPr/>
      </xdr:nvSpPr>
      <xdr:spPr>
        <a:xfrm>
          <a:off x="5169756" y="2199411"/>
          <a:ext cx="900000" cy="234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Rolê Cultural</a:t>
          </a:r>
        </a:p>
      </xdr:txBody>
    </xdr:sp>
    <xdr:clientData/>
  </xdr:twoCellAnchor>
  <xdr:twoCellAnchor editAs="absolute">
    <xdr:from>
      <xdr:col>6</xdr:col>
      <xdr:colOff>52233</xdr:colOff>
      <xdr:row>9</xdr:row>
      <xdr:rowOff>381002</xdr:rowOff>
    </xdr:from>
    <xdr:to>
      <xdr:col>6</xdr:col>
      <xdr:colOff>952233</xdr:colOff>
      <xdr:row>9</xdr:row>
      <xdr:rowOff>615002</xdr:rowOff>
    </xdr:to>
    <xdr:sp macro="[0]!imprensa_Click" textlink="">
      <xdr:nvSpPr>
        <xdr:cNvPr id="27" name="Retângulo de cantos arredondados 26"/>
        <xdr:cNvSpPr/>
      </xdr:nvSpPr>
      <xdr:spPr>
        <a:xfrm>
          <a:off x="4173960" y="2563093"/>
          <a:ext cx="900000" cy="234000"/>
        </a:xfrm>
        <a:prstGeom prst="roundRect">
          <a:avLst/>
        </a:prstGeom>
        <a:solidFill>
          <a:srgbClr val="FF66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Imprensa</a:t>
          </a:r>
          <a:r>
            <a:rPr lang="pt-BR" sz="700" b="1"/>
            <a:t> </a:t>
          </a:r>
          <a:r>
            <a:rPr lang="pt-BR" sz="800" b="1"/>
            <a:t>Jovem</a:t>
          </a:r>
        </a:p>
      </xdr:txBody>
    </xdr:sp>
    <xdr:clientData/>
  </xdr:twoCellAnchor>
  <xdr:twoCellAnchor editAs="absolute">
    <xdr:from>
      <xdr:col>7</xdr:col>
      <xdr:colOff>26257</xdr:colOff>
      <xdr:row>9</xdr:row>
      <xdr:rowOff>736023</xdr:rowOff>
    </xdr:from>
    <xdr:to>
      <xdr:col>7</xdr:col>
      <xdr:colOff>926257</xdr:colOff>
      <xdr:row>9</xdr:row>
      <xdr:rowOff>970023</xdr:rowOff>
    </xdr:to>
    <xdr:sp macro="[0]!mais_escola_Click" textlink="">
      <xdr:nvSpPr>
        <xdr:cNvPr id="28" name="Retângulo de cantos arredondados 27"/>
        <xdr:cNvSpPr/>
      </xdr:nvSpPr>
      <xdr:spPr>
        <a:xfrm>
          <a:off x="5169757" y="2918114"/>
          <a:ext cx="900000" cy="23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Mais Escola</a:t>
          </a:r>
        </a:p>
      </xdr:txBody>
    </xdr:sp>
    <xdr:clientData/>
  </xdr:twoCellAnchor>
  <xdr:twoCellAnchor editAs="absolute">
    <xdr:from>
      <xdr:col>7</xdr:col>
      <xdr:colOff>31451</xdr:colOff>
      <xdr:row>9</xdr:row>
      <xdr:rowOff>377537</xdr:rowOff>
    </xdr:from>
    <xdr:to>
      <xdr:col>7</xdr:col>
      <xdr:colOff>931451</xdr:colOff>
      <xdr:row>9</xdr:row>
      <xdr:rowOff>611537</xdr:rowOff>
    </xdr:to>
    <xdr:sp macro="[0]!gremio_Click" textlink="">
      <xdr:nvSpPr>
        <xdr:cNvPr id="22" name="Retângulo de cantos arredondados 21"/>
        <xdr:cNvSpPr/>
      </xdr:nvSpPr>
      <xdr:spPr>
        <a:xfrm>
          <a:off x="5174951" y="2559628"/>
          <a:ext cx="900000" cy="234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Grêmio</a:t>
          </a:r>
        </a:p>
      </xdr:txBody>
    </xdr:sp>
    <xdr:clientData/>
  </xdr:twoCellAnchor>
  <xdr:twoCellAnchor editAs="absolute">
    <xdr:from>
      <xdr:col>6</xdr:col>
      <xdr:colOff>48771</xdr:colOff>
      <xdr:row>9</xdr:row>
      <xdr:rowOff>732560</xdr:rowOff>
    </xdr:from>
    <xdr:to>
      <xdr:col>6</xdr:col>
      <xdr:colOff>948771</xdr:colOff>
      <xdr:row>9</xdr:row>
      <xdr:rowOff>966560</xdr:rowOff>
    </xdr:to>
    <xdr:sp macro="[0]!formacao_Click" textlink="">
      <xdr:nvSpPr>
        <xdr:cNvPr id="23" name="Retângulo de cantos arredondados 22"/>
        <xdr:cNvSpPr/>
      </xdr:nvSpPr>
      <xdr:spPr>
        <a:xfrm>
          <a:off x="4170498" y="2914651"/>
          <a:ext cx="900000" cy="23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Formação</a:t>
          </a:r>
        </a:p>
      </xdr:txBody>
    </xdr:sp>
    <xdr:clientData/>
  </xdr:twoCellAnchor>
  <xdr:twoCellAnchor editAs="absolute">
    <xdr:from>
      <xdr:col>6</xdr:col>
      <xdr:colOff>538876</xdr:colOff>
      <xdr:row>9</xdr:row>
      <xdr:rowOff>1075459</xdr:rowOff>
    </xdr:from>
    <xdr:to>
      <xdr:col>7</xdr:col>
      <xdr:colOff>417103</xdr:colOff>
      <xdr:row>9</xdr:row>
      <xdr:rowOff>1309459</xdr:rowOff>
    </xdr:to>
    <xdr:sp macro="[0]!livre_aplicacao_Click" textlink="">
      <xdr:nvSpPr>
        <xdr:cNvPr id="29" name="Retângulo de cantos arredondados 28"/>
        <xdr:cNvSpPr/>
      </xdr:nvSpPr>
      <xdr:spPr>
        <a:xfrm>
          <a:off x="4660603" y="3257550"/>
          <a:ext cx="900000" cy="234000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Livre Aplicação</a:t>
          </a:r>
        </a:p>
      </xdr:txBody>
    </xdr:sp>
    <xdr:clientData/>
  </xdr:twoCellAnchor>
  <xdr:twoCellAnchor editAs="absolute">
    <xdr:from>
      <xdr:col>6</xdr:col>
      <xdr:colOff>48493</xdr:colOff>
      <xdr:row>9</xdr:row>
      <xdr:rowOff>12879</xdr:rowOff>
    </xdr:from>
    <xdr:to>
      <xdr:col>6</xdr:col>
      <xdr:colOff>948493</xdr:colOff>
      <xdr:row>9</xdr:row>
      <xdr:rowOff>246879</xdr:rowOff>
    </xdr:to>
    <xdr:sp macro="[0]!futuro_Click" textlink="">
      <xdr:nvSpPr>
        <xdr:cNvPr id="30" name="Retângulo de cantos arredondados 29"/>
        <xdr:cNvSpPr/>
      </xdr:nvSpPr>
      <xdr:spPr>
        <a:xfrm>
          <a:off x="4170220" y="2194970"/>
          <a:ext cx="900000" cy="234000"/>
        </a:xfrm>
        <a:prstGeom prst="roundRect">
          <a:avLst/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Fazendo</a:t>
          </a:r>
          <a:r>
            <a:rPr lang="pt-BR" sz="700" b="1">
              <a:solidFill>
                <a:schemeClr val="bg1"/>
              </a:solidFill>
            </a:rPr>
            <a:t> </a:t>
          </a:r>
          <a:r>
            <a:rPr lang="pt-BR" sz="800" b="1">
              <a:solidFill>
                <a:schemeClr val="bg1"/>
              </a:solidFill>
            </a:rPr>
            <a:t>Futuro</a:t>
          </a:r>
        </a:p>
      </xdr:txBody>
    </xdr:sp>
    <xdr:clientData/>
  </xdr:twoCellAnchor>
  <xdr:twoCellAnchor editAs="oneCell">
    <xdr:from>
      <xdr:col>11</xdr:col>
      <xdr:colOff>25977</xdr:colOff>
      <xdr:row>9</xdr:row>
      <xdr:rowOff>25977</xdr:rowOff>
    </xdr:from>
    <xdr:to>
      <xdr:col>13</xdr:col>
      <xdr:colOff>19050</xdr:colOff>
      <xdr:row>10</xdr:row>
      <xdr:rowOff>28575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2208068"/>
          <a:ext cx="2305050" cy="1362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357149</xdr:colOff>
      <xdr:row>0</xdr:row>
      <xdr:rowOff>103188</xdr:rowOff>
    </xdr:from>
    <xdr:to>
      <xdr:col>2</xdr:col>
      <xdr:colOff>228399</xdr:colOff>
      <xdr:row>0</xdr:row>
      <xdr:rowOff>333376</xdr:rowOff>
    </xdr:to>
    <xdr:sp macro="[0]!menu_base_Click" textlink="">
      <xdr:nvSpPr>
        <xdr:cNvPr id="3" name="Retângulo de cantos arredondados 2"/>
        <xdr:cNvSpPr/>
      </xdr:nvSpPr>
      <xdr:spPr>
        <a:xfrm>
          <a:off x="968337" y="103188"/>
          <a:ext cx="792000" cy="230188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144954</xdr:colOff>
      <xdr:row>0</xdr:row>
      <xdr:rowOff>106456</xdr:rowOff>
    </xdr:from>
    <xdr:to>
      <xdr:col>3</xdr:col>
      <xdr:colOff>936954</xdr:colOff>
      <xdr:row>0</xdr:row>
      <xdr:rowOff>430456</xdr:rowOff>
    </xdr:to>
    <xdr:sp macro="[0]!menu_consolida_Click" textlink="">
      <xdr:nvSpPr>
        <xdr:cNvPr id="5" name="Retângulo de cantos arredondados 4"/>
        <xdr:cNvSpPr/>
      </xdr:nvSpPr>
      <xdr:spPr>
        <a:xfrm>
          <a:off x="1220719" y="106456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3</xdr:col>
      <xdr:colOff>1491080</xdr:colOff>
      <xdr:row>0</xdr:row>
      <xdr:rowOff>106453</xdr:rowOff>
    </xdr:from>
    <xdr:to>
      <xdr:col>3</xdr:col>
      <xdr:colOff>2390321</xdr:colOff>
      <xdr:row>0</xdr:row>
      <xdr:rowOff>430453</xdr:rowOff>
    </xdr:to>
    <xdr:sp macro="[0]!imprimir_Click" textlink="">
      <xdr:nvSpPr>
        <xdr:cNvPr id="6" name="Retângulo de cantos arredondados 5"/>
        <xdr:cNvSpPr/>
      </xdr:nvSpPr>
      <xdr:spPr>
        <a:xfrm>
          <a:off x="2566845" y="106453"/>
          <a:ext cx="89924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</xdr:row>
      <xdr:rowOff>28575</xdr:rowOff>
    </xdr:from>
    <xdr:to>
      <xdr:col>1</xdr:col>
      <xdr:colOff>676275</xdr:colOff>
      <xdr:row>4</xdr:row>
      <xdr:rowOff>247650</xdr:rowOff>
    </xdr:to>
    <xdr:sp macro="" textlink="">
      <xdr:nvSpPr>
        <xdr:cNvPr id="15362" name="Object 2" hidden="1">
          <a:extLst>
            <a:ext uri="{63B3BB69-23CF-44E3-9099-C40C66FF867C}">
              <a14:compatExt xmlns:a14="http://schemas.microsoft.com/office/drawing/2010/main" spid="_x0000_s1536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</xdr:col>
      <xdr:colOff>685800</xdr:colOff>
      <xdr:row>3</xdr:row>
      <xdr:rowOff>57150</xdr:rowOff>
    </xdr:from>
    <xdr:to>
      <xdr:col>6</xdr:col>
      <xdr:colOff>152400</xdr:colOff>
      <xdr:row>4</xdr:row>
      <xdr:rowOff>247650</xdr:rowOff>
    </xdr:to>
    <xdr:sp macro="" textlink="">
      <xdr:nvSpPr>
        <xdr:cNvPr id="15363" name="Text Box 3"/>
        <xdr:cNvSpPr txBox="1">
          <a:spLocks noChangeArrowheads="1"/>
        </xdr:cNvSpPr>
      </xdr:nvSpPr>
      <xdr:spPr bwMode="auto">
        <a:xfrm>
          <a:off x="895350" y="685800"/>
          <a:ext cx="527685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9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9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7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/>
        </a:p>
      </xdr:txBody>
    </xdr:sp>
    <xdr:clientData/>
  </xdr:twoCellAnchor>
  <xdr:twoCellAnchor editAs="absolute">
    <xdr:from>
      <xdr:col>1</xdr:col>
      <xdr:colOff>973636</xdr:colOff>
      <xdr:row>0</xdr:row>
      <xdr:rowOff>137584</xdr:rowOff>
    </xdr:from>
    <xdr:to>
      <xdr:col>1</xdr:col>
      <xdr:colOff>1765636</xdr:colOff>
      <xdr:row>1</xdr:row>
      <xdr:rowOff>313417</xdr:rowOff>
    </xdr:to>
    <xdr:sp macro="[0]!menu_mod_6_Click" textlink="">
      <xdr:nvSpPr>
        <xdr:cNvPr id="7" name="Retângulo de cantos arredondados 6"/>
        <xdr:cNvSpPr/>
      </xdr:nvSpPr>
      <xdr:spPr>
        <a:xfrm>
          <a:off x="1185303" y="137584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11</xdr:col>
      <xdr:colOff>0</xdr:colOff>
      <xdr:row>0</xdr:row>
      <xdr:rowOff>137584</xdr:rowOff>
    </xdr:from>
    <xdr:to>
      <xdr:col>13</xdr:col>
      <xdr:colOff>70939</xdr:colOff>
      <xdr:row>1</xdr:row>
      <xdr:rowOff>313417</xdr:rowOff>
    </xdr:to>
    <xdr:sp macro="[0]!imprimir_Click" textlink="">
      <xdr:nvSpPr>
        <xdr:cNvPr id="8" name="Retângulo de cantos arredondados 7"/>
        <xdr:cNvSpPr/>
      </xdr:nvSpPr>
      <xdr:spPr>
        <a:xfrm>
          <a:off x="8180917" y="137584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IMPRIMIRc</a:t>
          </a:r>
        </a:p>
      </xdr:txBody>
    </xdr:sp>
    <xdr:clientData fPrintsWithSheet="0"/>
  </xdr:twoCellAnchor>
  <xdr:twoCellAnchor>
    <xdr:from>
      <xdr:col>1</xdr:col>
      <xdr:colOff>74084</xdr:colOff>
      <xdr:row>3</xdr:row>
      <xdr:rowOff>52917</xdr:rowOff>
    </xdr:from>
    <xdr:to>
      <xdr:col>1</xdr:col>
      <xdr:colOff>674159</xdr:colOff>
      <xdr:row>4</xdr:row>
      <xdr:rowOff>277161</xdr:rowOff>
    </xdr:to>
    <xdr:pic>
      <xdr:nvPicPr>
        <xdr:cNvPr id="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677334"/>
          <a:ext cx="600075" cy="5734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47625</xdr:rowOff>
    </xdr:from>
    <xdr:to>
      <xdr:col>7</xdr:col>
      <xdr:colOff>676275</xdr:colOff>
      <xdr:row>5</xdr:row>
      <xdr:rowOff>57150</xdr:rowOff>
    </xdr:to>
    <xdr:sp macro="" textlink="">
      <xdr:nvSpPr>
        <xdr:cNvPr id="20483" name="Text Box 3"/>
        <xdr:cNvSpPr txBox="1">
          <a:spLocks noChangeArrowheads="1"/>
        </xdr:cNvSpPr>
      </xdr:nvSpPr>
      <xdr:spPr bwMode="auto">
        <a:xfrm>
          <a:off x="971550" y="733425"/>
          <a:ext cx="51244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8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/>
        </a:p>
      </xdr:txBody>
    </xdr:sp>
    <xdr:clientData/>
  </xdr:twoCellAnchor>
  <xdr:twoCellAnchor editAs="absolute">
    <xdr:from>
      <xdr:col>2</xdr:col>
      <xdr:colOff>336180</xdr:colOff>
      <xdr:row>1</xdr:row>
      <xdr:rowOff>11206</xdr:rowOff>
    </xdr:from>
    <xdr:to>
      <xdr:col>4</xdr:col>
      <xdr:colOff>108445</xdr:colOff>
      <xdr:row>2</xdr:row>
      <xdr:rowOff>5006</xdr:rowOff>
    </xdr:to>
    <xdr:sp macro="[0]!menu_mod_7_Click" textlink="">
      <xdr:nvSpPr>
        <xdr:cNvPr id="8" name="Retângulo de cantos arredondados 7"/>
        <xdr:cNvSpPr/>
      </xdr:nvSpPr>
      <xdr:spPr>
        <a:xfrm>
          <a:off x="1019739" y="168088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4</xdr:col>
      <xdr:colOff>1277467</xdr:colOff>
      <xdr:row>1</xdr:row>
      <xdr:rowOff>0</xdr:rowOff>
    </xdr:from>
    <xdr:to>
      <xdr:col>5</xdr:col>
      <xdr:colOff>1179095</xdr:colOff>
      <xdr:row>1</xdr:row>
      <xdr:rowOff>324000</xdr:rowOff>
    </xdr:to>
    <xdr:sp macro="[0]!imprimir_mod7_intervalo_Click" textlink="">
      <xdr:nvSpPr>
        <xdr:cNvPr id="9" name="Retângulo de cantos arredondados 8"/>
        <xdr:cNvSpPr/>
      </xdr:nvSpPr>
      <xdr:spPr>
        <a:xfrm>
          <a:off x="2980761" y="156882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 editAs="absolute">
    <xdr:from>
      <xdr:col>11</xdr:col>
      <xdr:colOff>5390</xdr:colOff>
      <xdr:row>1</xdr:row>
      <xdr:rowOff>830</xdr:rowOff>
    </xdr:from>
    <xdr:to>
      <xdr:col>12</xdr:col>
      <xdr:colOff>725047</xdr:colOff>
      <xdr:row>1</xdr:row>
      <xdr:rowOff>324830</xdr:rowOff>
    </xdr:to>
    <xdr:sp macro="[0]!imprimir_mod7_Click" textlink="">
      <xdr:nvSpPr>
        <xdr:cNvPr id="10" name="Retângulo de cantos arredondados 9"/>
        <xdr:cNvSpPr/>
      </xdr:nvSpPr>
      <xdr:spPr>
        <a:xfrm>
          <a:off x="8633919" y="157712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>
    <xdr:from>
      <xdr:col>1</xdr:col>
      <xdr:colOff>21166</xdr:colOff>
      <xdr:row>3</xdr:row>
      <xdr:rowOff>31749</xdr:rowOff>
    </xdr:from>
    <xdr:to>
      <xdr:col>2</xdr:col>
      <xdr:colOff>230716</xdr:colOff>
      <xdr:row>5</xdr:row>
      <xdr:rowOff>88899</xdr:rowOff>
    </xdr:to>
    <xdr:pic>
      <xdr:nvPicPr>
        <xdr:cNvPr id="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33" y="719666"/>
          <a:ext cx="611716" cy="6074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3</xdr:row>
      <xdr:rowOff>28575</xdr:rowOff>
    </xdr:from>
    <xdr:to>
      <xdr:col>6</xdr:col>
      <xdr:colOff>695325</xdr:colOff>
      <xdr:row>6</xdr:row>
      <xdr:rowOff>133350</xdr:rowOff>
    </xdr:to>
    <xdr:sp macro="" textlink="">
      <xdr:nvSpPr>
        <xdr:cNvPr id="6145" name="Text Box 1"/>
        <xdr:cNvSpPr txBox="1">
          <a:spLocks noChangeArrowheads="1"/>
        </xdr:cNvSpPr>
      </xdr:nvSpPr>
      <xdr:spPr bwMode="auto">
        <a:xfrm>
          <a:off x="1466850" y="704850"/>
          <a:ext cx="4714875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9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/>
        </a:p>
      </xdr:txBody>
    </xdr:sp>
    <xdr:clientData/>
  </xdr:twoCellAnchor>
  <xdr:twoCellAnchor>
    <xdr:from>
      <xdr:col>6</xdr:col>
      <xdr:colOff>14821</xdr:colOff>
      <xdr:row>51</xdr:row>
      <xdr:rowOff>85725</xdr:rowOff>
    </xdr:from>
    <xdr:to>
      <xdr:col>6</xdr:col>
      <xdr:colOff>472021</xdr:colOff>
      <xdr:row>52</xdr:row>
      <xdr:rowOff>47625</xdr:rowOff>
    </xdr:to>
    <xdr:sp macro="" textlink="">
      <xdr:nvSpPr>
        <xdr:cNvPr id="6187" name="Text Box 43"/>
        <xdr:cNvSpPr txBox="1">
          <a:spLocks noChangeArrowheads="1"/>
        </xdr:cNvSpPr>
      </xdr:nvSpPr>
      <xdr:spPr bwMode="auto">
        <a:xfrm>
          <a:off x="5507571" y="8404225"/>
          <a:ext cx="457200" cy="1947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Em:</a:t>
          </a:r>
          <a:endParaRPr lang="pt-BR"/>
        </a:p>
      </xdr:txBody>
    </xdr:sp>
    <xdr:clientData/>
  </xdr:twoCellAnchor>
  <xdr:twoCellAnchor>
    <xdr:from>
      <xdr:col>10</xdr:col>
      <xdr:colOff>19053</xdr:colOff>
      <xdr:row>51</xdr:row>
      <xdr:rowOff>75142</xdr:rowOff>
    </xdr:from>
    <xdr:to>
      <xdr:col>10</xdr:col>
      <xdr:colOff>476253</xdr:colOff>
      <xdr:row>52</xdr:row>
      <xdr:rowOff>37042</xdr:rowOff>
    </xdr:to>
    <xdr:sp macro="" textlink="">
      <xdr:nvSpPr>
        <xdr:cNvPr id="6188" name="Text Box 44"/>
        <xdr:cNvSpPr txBox="1">
          <a:spLocks noChangeArrowheads="1"/>
        </xdr:cNvSpPr>
      </xdr:nvSpPr>
      <xdr:spPr bwMode="auto">
        <a:xfrm>
          <a:off x="9025470" y="8393642"/>
          <a:ext cx="457200" cy="1947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Em:</a:t>
          </a:r>
          <a:endParaRPr lang="pt-BR"/>
        </a:p>
      </xdr:txBody>
    </xdr:sp>
    <xdr:clientData/>
  </xdr:twoCellAnchor>
  <xdr:twoCellAnchor>
    <xdr:from>
      <xdr:col>1</xdr:col>
      <xdr:colOff>161925</xdr:colOff>
      <xdr:row>51</xdr:row>
      <xdr:rowOff>85725</xdr:rowOff>
    </xdr:from>
    <xdr:to>
      <xdr:col>3</xdr:col>
      <xdr:colOff>228600</xdr:colOff>
      <xdr:row>52</xdr:row>
      <xdr:rowOff>47625</xdr:rowOff>
    </xdr:to>
    <xdr:sp macro="" textlink="">
      <xdr:nvSpPr>
        <xdr:cNvPr id="6189" name="Text Box 45"/>
        <xdr:cNvSpPr txBox="1">
          <a:spLocks noChangeArrowheads="1"/>
        </xdr:cNvSpPr>
      </xdr:nvSpPr>
      <xdr:spPr bwMode="auto">
        <a:xfrm>
          <a:off x="447675" y="8486775"/>
          <a:ext cx="914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Em:</a:t>
          </a:r>
          <a:endParaRPr lang="pt-BR"/>
        </a:p>
      </xdr:txBody>
    </xdr:sp>
    <xdr:clientData/>
  </xdr:twoCellAnchor>
  <xdr:twoCellAnchor editAs="absolute">
    <xdr:from>
      <xdr:col>3</xdr:col>
      <xdr:colOff>1054100</xdr:colOff>
      <xdr:row>1</xdr:row>
      <xdr:rowOff>0</xdr:rowOff>
    </xdr:from>
    <xdr:to>
      <xdr:col>3</xdr:col>
      <xdr:colOff>2580581</xdr:colOff>
      <xdr:row>1</xdr:row>
      <xdr:rowOff>324000</xdr:rowOff>
    </xdr:to>
    <xdr:sp macro="[0]!imprimir_mod8_intervalo_Click" textlink="">
      <xdr:nvSpPr>
        <xdr:cNvPr id="11" name="Retângulo de cantos arredondados 10"/>
        <xdr:cNvSpPr/>
      </xdr:nvSpPr>
      <xdr:spPr>
        <a:xfrm>
          <a:off x="2197100" y="152400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 editAs="absolute">
    <xdr:from>
      <xdr:col>10</xdr:col>
      <xdr:colOff>22564</xdr:colOff>
      <xdr:row>1</xdr:row>
      <xdr:rowOff>3569</xdr:rowOff>
    </xdr:from>
    <xdr:to>
      <xdr:col>11</xdr:col>
      <xdr:colOff>685445</xdr:colOff>
      <xdr:row>1</xdr:row>
      <xdr:rowOff>323336</xdr:rowOff>
    </xdr:to>
    <xdr:sp macro="[0]!imprimir_mod8_Click" textlink="">
      <xdr:nvSpPr>
        <xdr:cNvPr id="12" name="Retângulo de cantos arredondados 11"/>
        <xdr:cNvSpPr/>
      </xdr:nvSpPr>
      <xdr:spPr>
        <a:xfrm>
          <a:off x="9026864" y="151736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absolute">
    <xdr:from>
      <xdr:col>2</xdr:col>
      <xdr:colOff>63500</xdr:colOff>
      <xdr:row>1</xdr:row>
      <xdr:rowOff>0</xdr:rowOff>
    </xdr:from>
    <xdr:to>
      <xdr:col>3</xdr:col>
      <xdr:colOff>398300</xdr:colOff>
      <xdr:row>1</xdr:row>
      <xdr:rowOff>324000</xdr:rowOff>
    </xdr:to>
    <xdr:sp macro="[0]!menu_mod_8_Click" textlink="">
      <xdr:nvSpPr>
        <xdr:cNvPr id="13" name="Retângulo de cantos arredondados 12"/>
        <xdr:cNvSpPr/>
      </xdr:nvSpPr>
      <xdr:spPr>
        <a:xfrm>
          <a:off x="749300" y="1524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</xdr:col>
      <xdr:colOff>59530</xdr:colOff>
      <xdr:row>3</xdr:row>
      <xdr:rowOff>47624</xdr:rowOff>
    </xdr:from>
    <xdr:to>
      <xdr:col>2</xdr:col>
      <xdr:colOff>280306</xdr:colOff>
      <xdr:row>6</xdr:row>
      <xdr:rowOff>157842</xdr:rowOff>
    </xdr:to>
    <xdr:pic>
      <xdr:nvPicPr>
        <xdr:cNvPr id="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0" y="726280"/>
          <a:ext cx="613682" cy="58646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3</xdr:row>
      <xdr:rowOff>28575</xdr:rowOff>
    </xdr:from>
    <xdr:to>
      <xdr:col>2</xdr:col>
      <xdr:colOff>333375</xdr:colOff>
      <xdr:row>5</xdr:row>
      <xdr:rowOff>9525</xdr:rowOff>
    </xdr:to>
    <xdr:sp macro="" textlink="">
      <xdr:nvSpPr>
        <xdr:cNvPr id="31745" name="Object 1" hidden="1">
          <a:extLst>
            <a:ext uri="{63B3BB69-23CF-44E3-9099-C40C66FF867C}">
              <a14:compatExt xmlns:a14="http://schemas.microsoft.com/office/drawing/2010/main" spid="_x0000_s3174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2</xdr:col>
      <xdr:colOff>457200</xdr:colOff>
      <xdr:row>3</xdr:row>
      <xdr:rowOff>66675</xdr:rowOff>
    </xdr:from>
    <xdr:to>
      <xdr:col>8</xdr:col>
      <xdr:colOff>419100</xdr:colOff>
      <xdr:row>5</xdr:row>
      <xdr:rowOff>19050</xdr:rowOff>
    </xdr:to>
    <xdr:sp macro="" textlink="">
      <xdr:nvSpPr>
        <xdr:cNvPr id="31748" name="Text Box 4"/>
        <xdr:cNvSpPr txBox="1">
          <a:spLocks noChangeArrowheads="1"/>
        </xdr:cNvSpPr>
      </xdr:nvSpPr>
      <xdr:spPr bwMode="auto">
        <a:xfrm>
          <a:off x="1085850" y="742950"/>
          <a:ext cx="50101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PREFEITURA DO MUNICÍPIO DE SÃO PAULO</a:t>
          </a:r>
        </a:p>
        <a:p>
          <a:pPr algn="l" rtl="0">
            <a:lnSpc>
              <a:spcPts val="1000"/>
            </a:lnSpc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SECRETARIA MUNICIPAL DE EDUCAÇÃO</a:t>
          </a:r>
        </a:p>
        <a:p>
          <a:pPr algn="l" rtl="0">
            <a:lnSpc>
              <a:spcPts val="800"/>
            </a:lnSpc>
            <a:defRPr sz="1000"/>
          </a:pPr>
          <a:r>
            <a:rPr lang="pt-B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PROGRAMA DE TRANSFERÊNCIA DE RECURSOS FINANCEIROS - PTRF</a:t>
          </a:r>
          <a:endParaRPr lang="pt-BR"/>
        </a:p>
      </xdr:txBody>
    </xdr:sp>
    <xdr:clientData/>
  </xdr:twoCellAnchor>
  <xdr:twoCellAnchor>
    <xdr:from>
      <xdr:col>4</xdr:col>
      <xdr:colOff>142875</xdr:colOff>
      <xdr:row>44</xdr:row>
      <xdr:rowOff>57150</xdr:rowOff>
    </xdr:from>
    <xdr:to>
      <xdr:col>4</xdr:col>
      <xdr:colOff>495300</xdr:colOff>
      <xdr:row>45</xdr:row>
      <xdr:rowOff>95250</xdr:rowOff>
    </xdr:to>
    <xdr:sp macro="" textlink="">
      <xdr:nvSpPr>
        <xdr:cNvPr id="31752" name="Text Box 8"/>
        <xdr:cNvSpPr txBox="1">
          <a:spLocks noChangeArrowheads="1"/>
        </xdr:cNvSpPr>
      </xdr:nvSpPr>
      <xdr:spPr bwMode="auto">
        <a:xfrm>
          <a:off x="3590925" y="7543800"/>
          <a:ext cx="3524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</a:t>
          </a:r>
          <a:endParaRPr lang="pt-BR"/>
        </a:p>
      </xdr:txBody>
    </xdr:sp>
    <xdr:clientData/>
  </xdr:twoCellAnchor>
  <xdr:twoCellAnchor>
    <xdr:from>
      <xdr:col>8</xdr:col>
      <xdr:colOff>104214</xdr:colOff>
      <xdr:row>44</xdr:row>
      <xdr:rowOff>57150</xdr:rowOff>
    </xdr:from>
    <xdr:to>
      <xdr:col>8</xdr:col>
      <xdr:colOff>456639</xdr:colOff>
      <xdr:row>45</xdr:row>
      <xdr:rowOff>95250</xdr:rowOff>
    </xdr:to>
    <xdr:sp macro="" textlink="">
      <xdr:nvSpPr>
        <xdr:cNvPr id="31753" name="Text Box 9"/>
        <xdr:cNvSpPr txBox="1">
          <a:spLocks noChangeArrowheads="1"/>
        </xdr:cNvSpPr>
      </xdr:nvSpPr>
      <xdr:spPr bwMode="auto">
        <a:xfrm>
          <a:off x="5785596" y="7408209"/>
          <a:ext cx="352425" cy="239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</a:t>
          </a:r>
          <a:endParaRPr lang="pt-BR"/>
        </a:p>
      </xdr:txBody>
    </xdr:sp>
    <xdr:clientData/>
  </xdr:twoCellAnchor>
  <xdr:twoCellAnchor>
    <xdr:from>
      <xdr:col>11</xdr:col>
      <xdr:colOff>115420</xdr:colOff>
      <xdr:row>44</xdr:row>
      <xdr:rowOff>57150</xdr:rowOff>
    </xdr:from>
    <xdr:to>
      <xdr:col>11</xdr:col>
      <xdr:colOff>467845</xdr:colOff>
      <xdr:row>45</xdr:row>
      <xdr:rowOff>95250</xdr:rowOff>
    </xdr:to>
    <xdr:sp macro="" textlink="">
      <xdr:nvSpPr>
        <xdr:cNvPr id="31754" name="Text Box 10"/>
        <xdr:cNvSpPr txBox="1">
          <a:spLocks noChangeArrowheads="1"/>
        </xdr:cNvSpPr>
      </xdr:nvSpPr>
      <xdr:spPr bwMode="auto">
        <a:xfrm>
          <a:off x="8418979" y="7408209"/>
          <a:ext cx="352425" cy="2398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Em</a:t>
          </a:r>
          <a:endParaRPr lang="pt-BR"/>
        </a:p>
      </xdr:txBody>
    </xdr:sp>
    <xdr:clientData/>
  </xdr:twoCellAnchor>
  <xdr:twoCellAnchor editAs="absolute">
    <xdr:from>
      <xdr:col>2</xdr:col>
      <xdr:colOff>0</xdr:colOff>
      <xdr:row>1</xdr:row>
      <xdr:rowOff>0</xdr:rowOff>
    </xdr:from>
    <xdr:to>
      <xdr:col>3</xdr:col>
      <xdr:colOff>377382</xdr:colOff>
      <xdr:row>1</xdr:row>
      <xdr:rowOff>324000</xdr:rowOff>
    </xdr:to>
    <xdr:sp macro="[0]!menu_mod_9_Click" textlink="">
      <xdr:nvSpPr>
        <xdr:cNvPr id="11" name="Retângulo de cantos arredondados 10"/>
        <xdr:cNvSpPr/>
      </xdr:nvSpPr>
      <xdr:spPr>
        <a:xfrm>
          <a:off x="672353" y="156882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3</xdr:col>
      <xdr:colOff>1479167</xdr:colOff>
      <xdr:row>1</xdr:row>
      <xdr:rowOff>0</xdr:rowOff>
    </xdr:from>
    <xdr:to>
      <xdr:col>4</xdr:col>
      <xdr:colOff>641207</xdr:colOff>
      <xdr:row>1</xdr:row>
      <xdr:rowOff>324000</xdr:rowOff>
    </xdr:to>
    <xdr:sp macro="[0]!imprimir_mod9_intervalo_Click" textlink="">
      <xdr:nvSpPr>
        <xdr:cNvPr id="12" name="Retângulo de cantos arredondados 11"/>
        <xdr:cNvSpPr/>
      </xdr:nvSpPr>
      <xdr:spPr>
        <a:xfrm>
          <a:off x="2566138" y="156882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 editAs="absolute">
    <xdr:from>
      <xdr:col>10</xdr:col>
      <xdr:colOff>16574</xdr:colOff>
      <xdr:row>1</xdr:row>
      <xdr:rowOff>830</xdr:rowOff>
    </xdr:from>
    <xdr:to>
      <xdr:col>11</xdr:col>
      <xdr:colOff>668996</xdr:colOff>
      <xdr:row>1</xdr:row>
      <xdr:rowOff>324830</xdr:rowOff>
    </xdr:to>
    <xdr:sp macro="[0]!imprimir_mod9_Click" textlink="">
      <xdr:nvSpPr>
        <xdr:cNvPr id="13" name="Retângulo de cantos arredondados 12"/>
        <xdr:cNvSpPr/>
      </xdr:nvSpPr>
      <xdr:spPr>
        <a:xfrm>
          <a:off x="7446074" y="157712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>
    <xdr:from>
      <xdr:col>1</xdr:col>
      <xdr:colOff>67236</xdr:colOff>
      <xdr:row>3</xdr:row>
      <xdr:rowOff>33618</xdr:rowOff>
    </xdr:from>
    <xdr:to>
      <xdr:col>2</xdr:col>
      <xdr:colOff>323788</xdr:colOff>
      <xdr:row>5</xdr:row>
      <xdr:rowOff>20171</xdr:rowOff>
    </xdr:to>
    <xdr:pic>
      <xdr:nvPicPr>
        <xdr:cNvPr id="1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383" y="717177"/>
          <a:ext cx="648758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66675</xdr:colOff>
      <xdr:row>5</xdr:row>
      <xdr:rowOff>66675</xdr:rowOff>
    </xdr:to>
    <xdr:sp macro="" textlink="">
      <xdr:nvSpPr>
        <xdr:cNvPr id="21507" name="Object 3" hidden="1">
          <a:extLst>
            <a:ext uri="{63B3BB69-23CF-44E3-9099-C40C66FF867C}">
              <a14:compatExt xmlns:a14="http://schemas.microsoft.com/office/drawing/2010/main" spid="_x0000_s215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1098175</xdr:colOff>
      <xdr:row>0</xdr:row>
      <xdr:rowOff>78442</xdr:rowOff>
    </xdr:from>
    <xdr:to>
      <xdr:col>6</xdr:col>
      <xdr:colOff>59134</xdr:colOff>
      <xdr:row>0</xdr:row>
      <xdr:rowOff>402442</xdr:rowOff>
    </xdr:to>
    <xdr:sp macro="[0]!menu_oficio_Click" textlink="">
      <xdr:nvSpPr>
        <xdr:cNvPr id="7" name="Retângulo de cantos arredondados 6"/>
        <xdr:cNvSpPr/>
      </xdr:nvSpPr>
      <xdr:spPr>
        <a:xfrm>
          <a:off x="1098175" y="78442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22</xdr:col>
      <xdr:colOff>13450</xdr:colOff>
      <xdr:row>0</xdr:row>
      <xdr:rowOff>73960</xdr:rowOff>
    </xdr:from>
    <xdr:to>
      <xdr:col>30</xdr:col>
      <xdr:colOff>6727</xdr:colOff>
      <xdr:row>0</xdr:row>
      <xdr:rowOff>397960</xdr:rowOff>
    </xdr:to>
    <xdr:sp macro="[0]!atualiza_oficio_Click" textlink="">
      <xdr:nvSpPr>
        <xdr:cNvPr id="8" name="Retângulo de cantos arredondados 7"/>
        <xdr:cNvSpPr/>
      </xdr:nvSpPr>
      <xdr:spPr>
        <a:xfrm>
          <a:off x="3637432" y="73960"/>
          <a:ext cx="889748" cy="32400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</a:t>
          </a:r>
        </a:p>
      </xdr:txBody>
    </xdr:sp>
    <xdr:clientData fPrintsWithSheet="0"/>
  </xdr:twoCellAnchor>
  <xdr:twoCellAnchor editAs="absolute">
    <xdr:from>
      <xdr:col>45</xdr:col>
      <xdr:colOff>98643</xdr:colOff>
      <xdr:row>0</xdr:row>
      <xdr:rowOff>78441</xdr:rowOff>
    </xdr:from>
    <xdr:to>
      <xdr:col>53</xdr:col>
      <xdr:colOff>98611</xdr:colOff>
      <xdr:row>0</xdr:row>
      <xdr:rowOff>402441</xdr:rowOff>
    </xdr:to>
    <xdr:sp macro="[0]!imprimir_Click" textlink="">
      <xdr:nvSpPr>
        <xdr:cNvPr id="10" name="Retângulo de cantos arredondados 9"/>
        <xdr:cNvSpPr/>
      </xdr:nvSpPr>
      <xdr:spPr>
        <a:xfrm>
          <a:off x="6297737" y="78441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>
    <xdr:from>
      <xdr:col>4</xdr:col>
      <xdr:colOff>9525</xdr:colOff>
      <xdr:row>0</xdr:row>
      <xdr:rowOff>466725</xdr:rowOff>
    </xdr:from>
    <xdr:to>
      <xdr:col>10</xdr:col>
      <xdr:colOff>76200</xdr:colOff>
      <xdr:row>5</xdr:row>
      <xdr:rowOff>47625</xdr:rowOff>
    </xdr:to>
    <xdr:pic>
      <xdr:nvPicPr>
        <xdr:cNvPr id="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66725"/>
          <a:ext cx="7524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9</xdr:row>
      <xdr:rowOff>0</xdr:rowOff>
    </xdr:from>
    <xdr:to>
      <xdr:col>10</xdr:col>
      <xdr:colOff>66675</xdr:colOff>
      <xdr:row>13</xdr:row>
      <xdr:rowOff>133350</xdr:rowOff>
    </xdr:to>
    <xdr:sp macro="" textlink="">
      <xdr:nvSpPr>
        <xdr:cNvPr id="27649" name="Object 1" hidden="1">
          <a:extLst>
            <a:ext uri="{63B3BB69-23CF-44E3-9099-C40C66FF867C}">
              <a14:compatExt xmlns:a14="http://schemas.microsoft.com/office/drawing/2010/main" spid="_x0000_s2764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70</xdr:col>
      <xdr:colOff>21671</xdr:colOff>
      <xdr:row>0</xdr:row>
      <xdr:rowOff>105830</xdr:rowOff>
    </xdr:from>
    <xdr:to>
      <xdr:col>77</xdr:col>
      <xdr:colOff>58402</xdr:colOff>
      <xdr:row>2</xdr:row>
      <xdr:rowOff>101747</xdr:rowOff>
    </xdr:to>
    <xdr:sp macro="[0]!atualiza_ata_Click" textlink="">
      <xdr:nvSpPr>
        <xdr:cNvPr id="7" name="Retângulo de cantos arredondados 6"/>
        <xdr:cNvSpPr/>
      </xdr:nvSpPr>
      <xdr:spPr>
        <a:xfrm>
          <a:off x="8498921" y="105830"/>
          <a:ext cx="889748" cy="324000"/>
        </a:xfrm>
        <a:prstGeom prst="roundRect">
          <a:avLst/>
        </a:prstGeom>
        <a:solidFill>
          <a:srgbClr val="0070C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</a:t>
          </a:r>
        </a:p>
      </xdr:txBody>
    </xdr:sp>
    <xdr:clientData fPrintsWithSheet="0"/>
  </xdr:twoCellAnchor>
  <xdr:twoCellAnchor editAs="absolute">
    <xdr:from>
      <xdr:col>70</xdr:col>
      <xdr:colOff>21140</xdr:colOff>
      <xdr:row>3</xdr:row>
      <xdr:rowOff>117718</xdr:rowOff>
    </xdr:from>
    <xdr:to>
      <xdr:col>77</xdr:col>
      <xdr:colOff>64562</xdr:colOff>
      <xdr:row>5</xdr:row>
      <xdr:rowOff>124218</xdr:rowOff>
    </xdr:to>
    <xdr:sp macro="[0]!imprimir_Click" textlink="">
      <xdr:nvSpPr>
        <xdr:cNvPr id="8" name="Retângulo de cantos arredondados 7"/>
        <xdr:cNvSpPr/>
      </xdr:nvSpPr>
      <xdr:spPr>
        <a:xfrm>
          <a:off x="8498390" y="604551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absolute">
    <xdr:from>
      <xdr:col>70</xdr:col>
      <xdr:colOff>21660</xdr:colOff>
      <xdr:row>6</xdr:row>
      <xdr:rowOff>103714</xdr:rowOff>
    </xdr:from>
    <xdr:to>
      <xdr:col>77</xdr:col>
      <xdr:colOff>58391</xdr:colOff>
      <xdr:row>8</xdr:row>
      <xdr:rowOff>110214</xdr:rowOff>
    </xdr:to>
    <xdr:sp macro="[0]!menu_ata_Click" textlink="">
      <xdr:nvSpPr>
        <xdr:cNvPr id="9" name="Retângulo de cantos arredondados 8"/>
        <xdr:cNvSpPr/>
      </xdr:nvSpPr>
      <xdr:spPr>
        <a:xfrm>
          <a:off x="8498910" y="1077381"/>
          <a:ext cx="889748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</xdr:col>
      <xdr:colOff>0</xdr:colOff>
      <xdr:row>9</xdr:row>
      <xdr:rowOff>0</xdr:rowOff>
    </xdr:from>
    <xdr:to>
      <xdr:col>9</xdr:col>
      <xdr:colOff>85725</xdr:colOff>
      <xdr:row>13</xdr:row>
      <xdr:rowOff>95250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476375"/>
          <a:ext cx="7524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266700</xdr:colOff>
      <xdr:row>0</xdr:row>
      <xdr:rowOff>114300</xdr:rowOff>
    </xdr:from>
    <xdr:to>
      <xdr:col>3</xdr:col>
      <xdr:colOff>1058700</xdr:colOff>
      <xdr:row>0</xdr:row>
      <xdr:rowOff>438300</xdr:rowOff>
    </xdr:to>
    <xdr:sp macro="[0]!menu_lauda_Click" textlink="">
      <xdr:nvSpPr>
        <xdr:cNvPr id="5" name="Retângulo de cantos arredondados 4"/>
        <xdr:cNvSpPr/>
      </xdr:nvSpPr>
      <xdr:spPr>
        <a:xfrm>
          <a:off x="2124075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 editAs="absolute">
    <xdr:from>
      <xdr:col>6</xdr:col>
      <xdr:colOff>742950</xdr:colOff>
      <xdr:row>0</xdr:row>
      <xdr:rowOff>85725</xdr:rowOff>
    </xdr:from>
    <xdr:to>
      <xdr:col>8</xdr:col>
      <xdr:colOff>58239</xdr:colOff>
      <xdr:row>0</xdr:row>
      <xdr:rowOff>409725</xdr:rowOff>
    </xdr:to>
    <xdr:sp macro="[0]!imprimir_Click" textlink="">
      <xdr:nvSpPr>
        <xdr:cNvPr id="6" name="Retângulo de cantos arredondados 5"/>
        <xdr:cNvSpPr/>
      </xdr:nvSpPr>
      <xdr:spPr>
        <a:xfrm>
          <a:off x="10096500" y="8572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transporte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formacao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mais_escola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livre_aplicacao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809625</xdr:colOff>
      <xdr:row>1</xdr:row>
      <xdr:rowOff>19050</xdr:rowOff>
    </xdr:from>
    <xdr:to>
      <xdr:col>8</xdr:col>
      <xdr:colOff>744375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153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628650</xdr:colOff>
      <xdr:row>1</xdr:row>
      <xdr:rowOff>19050</xdr:rowOff>
    </xdr:from>
    <xdr:to>
      <xdr:col>3</xdr:col>
      <xdr:colOff>1420650</xdr:colOff>
      <xdr:row>2</xdr:row>
      <xdr:rowOff>47625</xdr:rowOff>
    </xdr:to>
    <xdr:sp macro="[0]!menu_imprensa_Click" textlink="">
      <xdr:nvSpPr>
        <xdr:cNvPr id="2" name="Retângulo de cantos arredondados 1"/>
        <xdr:cNvSpPr/>
      </xdr:nvSpPr>
      <xdr:spPr>
        <a:xfrm>
          <a:off x="2181225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10</xdr:col>
      <xdr:colOff>28575</xdr:colOff>
      <xdr:row>1</xdr:row>
      <xdr:rowOff>19050</xdr:rowOff>
    </xdr:from>
    <xdr:to>
      <xdr:col>10</xdr:col>
      <xdr:colOff>820575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101060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628650</xdr:colOff>
      <xdr:row>1</xdr:row>
      <xdr:rowOff>19050</xdr:rowOff>
    </xdr:from>
    <xdr:to>
      <xdr:col>3</xdr:col>
      <xdr:colOff>1420650</xdr:colOff>
      <xdr:row>2</xdr:row>
      <xdr:rowOff>47625</xdr:rowOff>
    </xdr:to>
    <xdr:sp macro="[0]!menu_gremio_Click" textlink="">
      <xdr:nvSpPr>
        <xdr:cNvPr id="2" name="Retângulo de cantos arredondados 1"/>
        <xdr:cNvSpPr/>
      </xdr:nvSpPr>
      <xdr:spPr>
        <a:xfrm>
          <a:off x="2181225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10</xdr:col>
      <xdr:colOff>28575</xdr:colOff>
      <xdr:row>1</xdr:row>
      <xdr:rowOff>19050</xdr:rowOff>
    </xdr:from>
    <xdr:to>
      <xdr:col>10</xdr:col>
      <xdr:colOff>820575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1010602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628650</xdr:colOff>
      <xdr:row>1</xdr:row>
      <xdr:rowOff>19050</xdr:rowOff>
    </xdr:from>
    <xdr:to>
      <xdr:col>3</xdr:col>
      <xdr:colOff>1420650</xdr:colOff>
      <xdr:row>2</xdr:row>
      <xdr:rowOff>47625</xdr:rowOff>
    </xdr:to>
    <xdr:sp macro="[0]!menu_basico_Click" textlink="">
      <xdr:nvSpPr>
        <xdr:cNvPr id="2" name="Retângulo de cantos arredondados 1"/>
        <xdr:cNvSpPr/>
      </xdr:nvSpPr>
      <xdr:spPr>
        <a:xfrm>
          <a:off x="2181225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10</xdr:col>
      <xdr:colOff>462476</xdr:colOff>
      <xdr:row>1</xdr:row>
      <xdr:rowOff>19050</xdr:rowOff>
    </xdr:from>
    <xdr:to>
      <xdr:col>11</xdr:col>
      <xdr:colOff>397226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10611893" y="273050"/>
          <a:ext cx="792000" cy="28257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volta_aulas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828675</xdr:colOff>
      <xdr:row>1</xdr:row>
      <xdr:rowOff>19050</xdr:rowOff>
    </xdr:from>
    <xdr:to>
      <xdr:col>8</xdr:col>
      <xdr:colOff>763425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3437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1</xdr:row>
      <xdr:rowOff>19050</xdr:rowOff>
    </xdr:from>
    <xdr:to>
      <xdr:col>2</xdr:col>
      <xdr:colOff>372900</xdr:colOff>
      <xdr:row>2</xdr:row>
      <xdr:rowOff>47625</xdr:rowOff>
    </xdr:to>
    <xdr:sp macro="[0]!menu_futuro_Click" textlink="">
      <xdr:nvSpPr>
        <xdr:cNvPr id="2" name="Retângulo de cantos arredondados 1"/>
        <xdr:cNvSpPr/>
      </xdr:nvSpPr>
      <xdr:spPr>
        <a:xfrm>
          <a:off x="628650" y="276225"/>
          <a:ext cx="792000" cy="2857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 fPrintsWithSheet="0"/>
  </xdr:twoCellAnchor>
  <xdr:twoCellAnchor editAs="absolute">
    <xdr:from>
      <xdr:col>7</xdr:col>
      <xdr:colOff>828675</xdr:colOff>
      <xdr:row>1</xdr:row>
      <xdr:rowOff>19050</xdr:rowOff>
    </xdr:from>
    <xdr:to>
      <xdr:col>8</xdr:col>
      <xdr:colOff>763425</xdr:colOff>
      <xdr:row>2</xdr:row>
      <xdr:rowOff>47625</xdr:rowOff>
    </xdr:to>
    <xdr:sp macro="[0]!imprimir_Click" textlink="">
      <xdr:nvSpPr>
        <xdr:cNvPr id="3" name="Retângulo de cantos arredondados 2"/>
        <xdr:cNvSpPr/>
      </xdr:nvSpPr>
      <xdr:spPr>
        <a:xfrm>
          <a:off x="8334375" y="276225"/>
          <a:ext cx="792000" cy="28575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IMPRIMIR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rtao_40009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rtao_09290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artao_09922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artao_01949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artao_20025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400090</v>
          </cell>
        </row>
        <row r="47">
          <cell r="C47">
            <v>0</v>
          </cell>
        </row>
        <row r="69">
          <cell r="E69" t="str">
            <v>CEI - JARDIM KAGOHARA</v>
          </cell>
        </row>
        <row r="88">
          <cell r="C88">
            <v>167</v>
          </cell>
          <cell r="E88" t="str">
            <v>LILIAN PINHEIRO DOS SANTOS</v>
          </cell>
        </row>
        <row r="91">
          <cell r="E91" t="str">
            <v>RITA DE CÁSSIA REZENDE ALVES CAVALCANTE</v>
          </cell>
        </row>
        <row r="102">
          <cell r="E102" t="str">
            <v>31/10/2020</v>
          </cell>
          <cell r="G102">
            <v>115050.79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>
            <v>8003092000175</v>
          </cell>
          <cell r="L11">
            <v>37620991</v>
          </cell>
        </row>
        <row r="15">
          <cell r="C15">
            <v>25968.79</v>
          </cell>
          <cell r="G15">
            <v>17101</v>
          </cell>
          <cell r="J15">
            <v>0</v>
          </cell>
          <cell r="P15">
            <v>0</v>
          </cell>
        </row>
        <row r="16">
          <cell r="C16">
            <v>2280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2000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37701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92908</v>
          </cell>
        </row>
        <row r="47">
          <cell r="C47">
            <v>0</v>
          </cell>
        </row>
        <row r="69">
          <cell r="E69" t="str">
            <v>EMEF - CLEMENTE PASTORE, PROF.</v>
          </cell>
        </row>
        <row r="88">
          <cell r="C88">
            <v>1286</v>
          </cell>
          <cell r="E88" t="str">
            <v>DANIELA PEREIRA GOMES</v>
          </cell>
        </row>
        <row r="91">
          <cell r="E91" t="str">
            <v>ANTONIO AUGUSTO FONSECA CORREIA</v>
          </cell>
        </row>
        <row r="102">
          <cell r="E102" t="str">
            <v>31/10/2020</v>
          </cell>
          <cell r="G102">
            <v>197521.61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>
            <v>43613389000153</v>
          </cell>
          <cell r="L11">
            <v>37619969</v>
          </cell>
        </row>
        <row r="15">
          <cell r="C15">
            <v>25013.61</v>
          </cell>
          <cell r="G15">
            <v>43356</v>
          </cell>
          <cell r="J15">
            <v>0</v>
          </cell>
          <cell r="P15">
            <v>0</v>
          </cell>
        </row>
        <row r="16">
          <cell r="C16">
            <v>11560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6000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2000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57592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99228</v>
          </cell>
        </row>
        <row r="47">
          <cell r="C47">
            <v>0</v>
          </cell>
        </row>
        <row r="69">
          <cell r="E69" t="str">
            <v>EMEF - JOAO PEDRO DE CARVALHO NETO, DR.</v>
          </cell>
        </row>
        <row r="88">
          <cell r="C88">
            <v>510</v>
          </cell>
          <cell r="E88" t="str">
            <v>FÁBIO RODRIGO BOTTAS</v>
          </cell>
        </row>
        <row r="91">
          <cell r="E91" t="str">
            <v>ADRIANA DE OLIVEIRA BORGES</v>
          </cell>
        </row>
        <row r="102">
          <cell r="E102" t="str">
            <v>31/10/2020</v>
          </cell>
          <cell r="G102">
            <v>167096.4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>
            <v>60522711000158</v>
          </cell>
          <cell r="L11">
            <v>37619861</v>
          </cell>
        </row>
        <row r="15">
          <cell r="C15">
            <v>14070.4</v>
          </cell>
          <cell r="G15">
            <v>37476</v>
          </cell>
          <cell r="J15">
            <v>0</v>
          </cell>
          <cell r="P15">
            <v>0</v>
          </cell>
        </row>
        <row r="16">
          <cell r="C16">
            <v>2500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3500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1400</v>
          </cell>
          <cell r="P15">
            <v>0</v>
          </cell>
        </row>
        <row r="16">
          <cell r="C16">
            <v>0</v>
          </cell>
          <cell r="G16">
            <v>600</v>
          </cell>
          <cell r="P16">
            <v>0</v>
          </cell>
        </row>
      </sheetData>
      <sheetData sheetId="10">
        <row r="15">
          <cell r="C15">
            <v>2500</v>
          </cell>
          <cell r="G15">
            <v>0</v>
          </cell>
          <cell r="P15">
            <v>0</v>
          </cell>
        </row>
        <row r="16">
          <cell r="C16">
            <v>2500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22000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50550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19490</v>
          </cell>
        </row>
        <row r="47">
          <cell r="C47">
            <v>0</v>
          </cell>
        </row>
        <row r="69">
          <cell r="E69" t="str">
            <v>EMEI - CAMPO LIMPO VI</v>
          </cell>
        </row>
        <row r="88">
          <cell r="C88">
            <v>591</v>
          </cell>
          <cell r="E88" t="str">
            <v>REGIANE PEREIRA DA SILVA</v>
          </cell>
        </row>
        <row r="91">
          <cell r="E91" t="str">
            <v>TATHIANA GUARNIERI BALON SILVA</v>
          </cell>
        </row>
        <row r="102">
          <cell r="E102" t="str">
            <v>31/10/2020</v>
          </cell>
          <cell r="G102">
            <v>154762.59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>
            <v>24866805000180</v>
          </cell>
          <cell r="L11">
            <v>54969751</v>
          </cell>
        </row>
        <row r="15">
          <cell r="C15">
            <v>29977.59</v>
          </cell>
          <cell r="G15">
            <v>28031</v>
          </cell>
          <cell r="J15">
            <v>0</v>
          </cell>
          <cell r="P15">
            <v>0</v>
          </cell>
        </row>
        <row r="16">
          <cell r="C16">
            <v>9343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5000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30000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52411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ados"/>
      <sheetName val="Oficio"/>
      <sheetName val="Ata"/>
      <sheetName val="MOD_1"/>
      <sheetName val="MOD_2"/>
      <sheetName val="MOD_2_volta_aulas"/>
      <sheetName val="MOD_2_futuro"/>
      <sheetName val="MOD_2_transporte"/>
      <sheetName val="MOD_2_imprensa"/>
      <sheetName val="MOD_2_gremio"/>
      <sheetName val="MOD_2_formacao"/>
      <sheetName val="MOD_2_mais_escola"/>
      <sheetName val="MOD_2_livre_aplicacao"/>
      <sheetName val="MOD_3"/>
      <sheetName val="MOD_4"/>
      <sheetName val="MOD_5"/>
      <sheetName val="SOLICITA"/>
      <sheetName val="BASE"/>
      <sheetName val="Despesas"/>
      <sheetName val="Ajuda"/>
    </sheetNames>
    <sheetDataSet>
      <sheetData sheetId="0">
        <row r="13">
          <cell r="V13">
            <v>0</v>
          </cell>
        </row>
        <row r="15">
          <cell r="V15">
            <v>0</v>
          </cell>
        </row>
        <row r="25">
          <cell r="H25" t="str">
            <v>Versão 1.0.2020 
23/07/2020</v>
          </cell>
        </row>
        <row r="83"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</row>
      </sheetData>
      <sheetData sheetId="1">
        <row r="3">
          <cell r="E3">
            <v>200252</v>
          </cell>
        </row>
        <row r="47">
          <cell r="C47">
            <v>0</v>
          </cell>
        </row>
        <row r="69">
          <cell r="E69" t="str">
            <v>CEU - CAPAO REDONDO - CELSO SEIXAS RIBEIRO BASTOS, PROF. E DR.</v>
          </cell>
        </row>
        <row r="88">
          <cell r="C88">
            <v>1922</v>
          </cell>
          <cell r="E88" t="str">
            <v>DÉBORA HYPPOLITO DE LIMA</v>
          </cell>
        </row>
        <row r="91">
          <cell r="E91" t="str">
            <v>KARINA AMORIM GOMES</v>
          </cell>
        </row>
        <row r="102">
          <cell r="E102" t="str">
            <v>31/10/2020</v>
          </cell>
          <cell r="G102">
            <v>150840.20000000001</v>
          </cell>
          <cell r="I102" t="str">
            <v>Saldo Bancário Correto</v>
          </cell>
        </row>
      </sheetData>
      <sheetData sheetId="2"/>
      <sheetData sheetId="3">
        <row r="64"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</row>
      </sheetData>
      <sheetData sheetId="4"/>
      <sheetData sheetId="5">
        <row r="11">
          <cell r="J11">
            <v>12436806000106</v>
          </cell>
          <cell r="L11">
            <v>44754086</v>
          </cell>
        </row>
        <row r="15">
          <cell r="C15">
            <v>17978.2</v>
          </cell>
          <cell r="G15">
            <v>41668</v>
          </cell>
          <cell r="J15">
            <v>0</v>
          </cell>
          <cell r="P15">
            <v>0</v>
          </cell>
        </row>
        <row r="16">
          <cell r="C16">
            <v>11110</v>
          </cell>
          <cell r="G16">
            <v>0</v>
          </cell>
          <cell r="P16">
            <v>0</v>
          </cell>
        </row>
      </sheetData>
      <sheetData sheetId="6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7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8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9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0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1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2">
        <row r="15">
          <cell r="C15">
            <v>0</v>
          </cell>
          <cell r="G15">
            <v>0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3">
        <row r="15">
          <cell r="C15">
            <v>0</v>
          </cell>
          <cell r="G15">
            <v>80084</v>
          </cell>
          <cell r="P15">
            <v>0</v>
          </cell>
        </row>
        <row r="16">
          <cell r="C16">
            <v>0</v>
          </cell>
          <cell r="G16">
            <v>0</v>
          </cell>
          <cell r="P16">
            <v>0</v>
          </cell>
        </row>
      </sheetData>
      <sheetData sheetId="14">
        <row r="197">
          <cell r="Q197">
            <v>0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vertOverflow="clip" horzOverflow="clip" rtlCol="0" anchor="ctr"/>
      <a:lstStyle>
        <a:defPPr algn="ctr">
          <a:defRPr sz="1000" b="1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1"/>
  <dimension ref="A1:Y225"/>
  <sheetViews>
    <sheetView showRowColHeaders="0" tabSelected="1" zoomScale="110" zoomScaleNormal="110" workbookViewId="0"/>
  </sheetViews>
  <sheetFormatPr defaultColWidth="0" defaultRowHeight="0" customHeight="1" zeroHeight="1"/>
  <cols>
    <col min="1" max="1" width="13.7109375" customWidth="1"/>
    <col min="2" max="2" width="15.7109375" customWidth="1"/>
    <col min="3" max="3" width="15.28515625" customWidth="1"/>
    <col min="4" max="4" width="3.28515625" customWidth="1"/>
    <col min="5" max="5" width="10.5703125" customWidth="1"/>
    <col min="6" max="6" width="3.28515625" customWidth="1"/>
    <col min="7" max="7" width="15.28515625" customWidth="1"/>
    <col min="8" max="8" width="15.7109375" customWidth="1"/>
    <col min="9" max="9" width="3.85546875" customWidth="1"/>
    <col min="10" max="10" width="14.140625" hidden="1" customWidth="1"/>
    <col min="11" max="11" width="2.5703125" hidden="1" customWidth="1"/>
    <col min="12" max="12" width="10.28515625" bestFit="1" customWidth="1"/>
    <col min="13" max="13" width="24.42578125" customWidth="1"/>
    <col min="14" max="14" width="4.28515625" customWidth="1"/>
    <col min="15" max="16" width="4.28515625" hidden="1" customWidth="1"/>
    <col min="17" max="17" width="8.85546875" hidden="1" customWidth="1"/>
    <col min="18" max="23" width="4.28515625" hidden="1" customWidth="1"/>
    <col min="24" max="24" width="13.5703125" hidden="1" customWidth="1"/>
    <col min="25" max="25" width="13.140625" hidden="1" customWidth="1"/>
    <col min="26" max="16384" width="4.28515625" hidden="1"/>
  </cols>
  <sheetData>
    <row r="1" spans="1:25" s="3" customFormat="1" ht="18.75" customHeight="1" thickBot="1">
      <c r="A1" s="406">
        <v>1</v>
      </c>
      <c r="B1" s="86"/>
      <c r="C1" s="86"/>
      <c r="D1" s="86"/>
      <c r="E1" s="86"/>
      <c r="F1" s="86"/>
      <c r="G1" s="86"/>
      <c r="H1" s="86"/>
      <c r="I1" s="86"/>
      <c r="K1" s="86"/>
      <c r="L1" s="502"/>
      <c r="M1" s="502"/>
      <c r="N1" s="502"/>
      <c r="O1" s="75"/>
      <c r="P1" s="503">
        <f>COUNTIF(saldo_correto,Q1)</f>
        <v>0</v>
      </c>
      <c r="Q1" s="504" t="s">
        <v>372</v>
      </c>
      <c r="R1" s="75"/>
      <c r="S1" s="75"/>
      <c r="Y1" s="3" t="s">
        <v>395</v>
      </c>
    </row>
    <row r="2" spans="1:25" s="3" customFormat="1" ht="18.75" customHeight="1">
      <c r="A2" s="406">
        <v>2020</v>
      </c>
      <c r="B2" s="712" t="s">
        <v>280</v>
      </c>
      <c r="C2" s="713"/>
      <c r="D2" s="713"/>
      <c r="E2" s="713"/>
      <c r="F2" s="713"/>
      <c r="G2" s="713"/>
      <c r="H2" s="714"/>
      <c r="I2" s="86"/>
      <c r="K2" s="86"/>
      <c r="L2" s="707" t="s">
        <v>371</v>
      </c>
      <c r="M2" s="707"/>
      <c r="N2" s="502"/>
      <c r="O2" s="75"/>
      <c r="P2" s="505">
        <f>CONSOLIDA!B210-(P1+P3)</f>
        <v>0</v>
      </c>
      <c r="Q2" s="504"/>
      <c r="R2" s="506"/>
      <c r="S2" s="75"/>
      <c r="Y2" s="3">
        <f>BASE!$C$14</f>
        <v>2020</v>
      </c>
    </row>
    <row r="3" spans="1:25" s="3" customFormat="1" ht="18.75" customHeight="1" thickBot="1">
      <c r="A3" s="86"/>
      <c r="B3" s="715" t="s">
        <v>159</v>
      </c>
      <c r="C3" s="716"/>
      <c r="D3" s="716"/>
      <c r="E3" s="716"/>
      <c r="F3" s="716"/>
      <c r="G3" s="716"/>
      <c r="H3" s="717"/>
      <c r="I3" s="86"/>
      <c r="K3" s="86"/>
      <c r="L3" s="507">
        <f>P2</f>
        <v>0</v>
      </c>
      <c r="M3" s="508" t="s">
        <v>379</v>
      </c>
      <c r="N3" s="502"/>
      <c r="O3" s="75"/>
      <c r="P3" s="503">
        <f>COUNTIF(saldo_correto,Q3)</f>
        <v>5</v>
      </c>
      <c r="Q3" s="509" t="s">
        <v>378</v>
      </c>
      <c r="R3" s="75"/>
      <c r="S3" s="75"/>
      <c r="X3" s="3" t="str">
        <f>BASE!$B$14</f>
        <v>1º Repasse de</v>
      </c>
      <c r="Y3" s="3" t="str">
        <f>IF(X3="1º Repasse de","01_REPASSE",IF(X3="2º Repasse de","02_REPASSE",IF(X3="3º Repasse de","03_REPASSE","")))</f>
        <v>01_REPASSE</v>
      </c>
    </row>
    <row r="4" spans="1:25" s="3" customFormat="1" ht="18.75" customHeight="1">
      <c r="A4" s="86"/>
      <c r="B4" s="260"/>
      <c r="C4" s="261"/>
      <c r="D4" s="261"/>
      <c r="E4" s="261"/>
      <c r="F4" s="261"/>
      <c r="G4" s="261"/>
      <c r="H4" s="262"/>
      <c r="I4" s="86"/>
      <c r="K4" s="86"/>
      <c r="L4" s="507">
        <f>COUNTIF(stop,M4)</f>
        <v>0</v>
      </c>
      <c r="M4" s="508" t="s">
        <v>373</v>
      </c>
      <c r="N4" s="502"/>
      <c r="O4" s="75"/>
      <c r="P4" s="503">
        <f>COUNTIF(stop,Q4)</f>
        <v>5</v>
      </c>
      <c r="Q4" s="75" t="s">
        <v>240</v>
      </c>
      <c r="R4" s="75"/>
      <c r="S4" s="75"/>
      <c r="X4" s="3" t="str">
        <f>MID(A2,3,2)</f>
        <v>20</v>
      </c>
      <c r="Y4" s="3" t="str">
        <f>BASE!G5&amp;P11&amp;TEXT(A1,"00")&amp;P11&amp;X4</f>
        <v>CL_01_20</v>
      </c>
    </row>
    <row r="5" spans="1:25" s="3" customFormat="1" ht="18.75" customHeight="1">
      <c r="A5" s="86"/>
      <c r="B5" s="718" t="str">
        <f>BASE!$B$14&amp;" "&amp;BASE!$C$14</f>
        <v>1º Repasse de 2020</v>
      </c>
      <c r="C5" s="719"/>
      <c r="D5" s="719"/>
      <c r="E5" s="719"/>
      <c r="F5" s="719"/>
      <c r="G5" s="719"/>
      <c r="H5" s="720"/>
      <c r="I5" s="86"/>
      <c r="K5" s="86"/>
      <c r="L5" s="507">
        <f>P5</f>
        <v>0</v>
      </c>
      <c r="M5" s="508" t="s">
        <v>396</v>
      </c>
      <c r="N5" s="502"/>
      <c r="O5" s="75"/>
      <c r="P5" s="503">
        <f>COUNTIF(status,Q5)</f>
        <v>0</v>
      </c>
      <c r="Q5" s="503">
        <v>3</v>
      </c>
      <c r="R5" s="75"/>
      <c r="S5" s="75"/>
    </row>
    <row r="6" spans="1:25" s="3" customFormat="1" ht="18.75" customHeight="1">
      <c r="A6" s="86"/>
      <c r="B6" s="285">
        <f ca="1">NOW()</f>
        <v>44089.34709988426</v>
      </c>
      <c r="C6" s="286">
        <f>G15+30</f>
        <v>44165</v>
      </c>
      <c r="D6" s="499"/>
      <c r="E6" s="499"/>
      <c r="F6" s="499"/>
      <c r="G6" s="499"/>
      <c r="H6" s="263"/>
      <c r="I6" s="86"/>
      <c r="K6" s="86"/>
      <c r="L6" s="507">
        <f>P6</f>
        <v>0</v>
      </c>
      <c r="M6" s="508" t="s">
        <v>397</v>
      </c>
      <c r="N6" s="502"/>
      <c r="O6" s="75"/>
      <c r="P6" s="503">
        <f>COUNTIF(status,Q6)</f>
        <v>0</v>
      </c>
      <c r="Q6" s="503">
        <v>2</v>
      </c>
      <c r="R6" s="75"/>
      <c r="S6" s="75"/>
    </row>
    <row r="7" spans="1:25" s="3" customFormat="1" ht="18.75" customHeight="1" thickBot="1">
      <c r="A7" s="86"/>
      <c r="B7" s="709" t="str">
        <f>"DIRETORIA REGIONAL DE EDUCAÇÃO - "&amp;BASE!$D$5</f>
        <v>DIRETORIA REGIONAL DE EDUCAÇÃO - CAMPO LIMPO</v>
      </c>
      <c r="C7" s="710"/>
      <c r="D7" s="710"/>
      <c r="E7" s="710"/>
      <c r="F7" s="710"/>
      <c r="G7" s="710"/>
      <c r="H7" s="711"/>
      <c r="I7" s="86"/>
      <c r="K7" s="86"/>
      <c r="L7" s="507">
        <f>P7</f>
        <v>0</v>
      </c>
      <c r="M7" s="508" t="s">
        <v>398</v>
      </c>
      <c r="N7" s="502"/>
      <c r="O7" s="75"/>
      <c r="P7" s="503">
        <f>COUNTIF(status,Q7)</f>
        <v>0</v>
      </c>
      <c r="Q7" s="503">
        <v>1</v>
      </c>
      <c r="R7" s="75"/>
      <c r="S7" s="75"/>
    </row>
    <row r="8" spans="1:25" s="3" customFormat="1" ht="18.75" customHeight="1">
      <c r="A8" s="86"/>
      <c r="B8" s="427"/>
      <c r="C8" s="428"/>
      <c r="D8" s="428"/>
      <c r="E8" s="428"/>
      <c r="F8" s="428"/>
      <c r="G8" s="428"/>
      <c r="H8" s="429"/>
      <c r="I8" s="86"/>
      <c r="K8" s="86"/>
      <c r="L8" s="507">
        <f>O8-P8</f>
        <v>5</v>
      </c>
      <c r="M8" s="508" t="s">
        <v>374</v>
      </c>
      <c r="N8" s="502"/>
      <c r="O8" s="75">
        <f>COUNTIF(CONSOLIDA!F4:F207,"&gt;"&amp;0)</f>
        <v>5</v>
      </c>
      <c r="P8" s="503">
        <f>COUNTIF(rec_repasse_c,"&gt;="&amp;1)</f>
        <v>0</v>
      </c>
      <c r="Q8" s="75"/>
      <c r="R8" s="75"/>
      <c r="S8" s="75"/>
    </row>
    <row r="9" spans="1:25" s="3" customFormat="1" ht="18.75" customHeight="1">
      <c r="A9" s="86"/>
      <c r="B9" s="430"/>
      <c r="C9" s="431"/>
      <c r="D9" s="431"/>
      <c r="E9" s="431"/>
      <c r="F9" s="431"/>
      <c r="G9" s="431"/>
      <c r="H9" s="501"/>
      <c r="I9" s="86"/>
      <c r="K9" s="86"/>
      <c r="L9" s="507">
        <f>O9-P9</f>
        <v>2</v>
      </c>
      <c r="M9" s="508" t="s">
        <v>375</v>
      </c>
      <c r="N9" s="502"/>
      <c r="O9" s="75">
        <f>COUNTIF(CONSOLIDA!K4:K207,"&gt;"&amp;0)</f>
        <v>2</v>
      </c>
      <c r="P9" s="503">
        <f>COUNTIF(rec_repasse_k,"&gt;="&amp;1)</f>
        <v>0</v>
      </c>
      <c r="Q9" s="75"/>
      <c r="R9" s="75"/>
      <c r="S9" s="75"/>
    </row>
    <row r="10" spans="1:25" s="3" customFormat="1" ht="107.25" customHeight="1" thickBot="1">
      <c r="A10" s="86"/>
      <c r="B10" s="430"/>
      <c r="C10" s="431"/>
      <c r="D10" s="431"/>
      <c r="E10" s="431"/>
      <c r="F10" s="431"/>
      <c r="G10" s="432"/>
      <c r="H10" s="433"/>
      <c r="I10" s="86"/>
      <c r="K10" s="86"/>
      <c r="L10" s="705" t="str">
        <f>IF(OR(L11="",L12="",L13=""),Q10,"")</f>
        <v>Favor preencher os 3 campos abaixo antes de encaminhar à S.M.E.</v>
      </c>
      <c r="M10" s="705"/>
      <c r="N10" s="502"/>
      <c r="Q10" s="504" t="s">
        <v>387</v>
      </c>
    </row>
    <row r="11" spans="1:25" s="3" customFormat="1" ht="17.25" customHeight="1">
      <c r="A11" s="86"/>
      <c r="B11" s="434" t="str">
        <f>IF(B17=0,"",IF(B17=1,B17&amp;" Escola",IF(B17&gt;1,B17&amp;" Escolas")))</f>
        <v>5 Escolas</v>
      </c>
      <c r="C11" s="435"/>
      <c r="D11" s="721" t="str">
        <f ca="1">IF(E12="","",IF(C6=B6,"",IF(C6&lt;B6,"EXPIROU",IF(C6&gt;B6,"ATENÇÃO"))))</f>
        <v>ATENÇÃO</v>
      </c>
      <c r="E11" s="721"/>
      <c r="F11" s="721"/>
      <c r="G11" s="435"/>
      <c r="H11" s="436"/>
      <c r="I11" s="86"/>
      <c r="K11" s="86"/>
      <c r="L11" s="532"/>
      <c r="M11" s="533" t="s">
        <v>392</v>
      </c>
      <c r="N11" s="502"/>
      <c r="O11" s="3" t="s">
        <v>571</v>
      </c>
      <c r="P11" s="448" t="s">
        <v>388</v>
      </c>
      <c r="Q11" s="448" t="s">
        <v>389</v>
      </c>
      <c r="R11" s="448" t="s">
        <v>390</v>
      </c>
      <c r="S11" s="3" t="str">
        <f>ATA!AW8</f>
        <v>APROVAR</v>
      </c>
    </row>
    <row r="12" spans="1:25" s="3" customFormat="1" ht="17.25" customHeight="1">
      <c r="A12" s="86"/>
      <c r="B12" s="437" t="str">
        <f>IF(B17=0,"","Sem despesas")</f>
        <v>Sem despesas</v>
      </c>
      <c r="C12" s="722" t="str">
        <f ca="1">IF(E12="","",IF(C6=B6,"",IF(C6&lt;B6,"Seu prazo em",IF(AND(D11="ATENÇÃO",E12=1),"Falta",IF(C6&gt;B6,"Faltam")))))</f>
        <v>Faltam</v>
      </c>
      <c r="D12" s="722"/>
      <c r="E12" s="438">
        <f ca="1">IF(C6=B6,"",IF(C6&gt;B6,(C6-B6),IF(C6&lt;B6,(B6-C6))))</f>
        <v>75.652900115739612</v>
      </c>
      <c r="F12" s="723" t="str">
        <f ca="1">IF(E12="","",IF(E12=0,"",IF(E12=1,"Dia","Dias")))</f>
        <v>Dias</v>
      </c>
      <c r="G12" s="723"/>
      <c r="H12" s="439" t="s">
        <v>560</v>
      </c>
      <c r="I12" s="86"/>
      <c r="J12" s="3" t="str">
        <f>LEFT(H12,15)</f>
        <v>Versão 1.0.2020</v>
      </c>
      <c r="K12" s="86"/>
      <c r="L12" s="534"/>
      <c r="M12" s="533" t="s">
        <v>393</v>
      </c>
      <c r="N12" s="502"/>
      <c r="Q12" s="535" t="str">
        <f>O11&amp;BASE!G5&amp;P11&amp;Q11&amp;P11&amp;TEXT(A1,"00")&amp;P11&amp;A2&amp;P11&amp;R11&amp;P11&amp;S11&amp;P11&amp;Q15</f>
        <v>cartao_CL_MOD8_01_2020_PUBLIC_APROVAR_UNICA</v>
      </c>
      <c r="R12" s="536"/>
      <c r="S12" s="536"/>
      <c r="T12" s="536"/>
      <c r="U12" s="536"/>
      <c r="V12" s="536"/>
      <c r="W12" s="536"/>
      <c r="X12" s="536"/>
      <c r="Y12" s="536"/>
    </row>
    <row r="13" spans="1:25" s="3" customFormat="1" ht="17.25" customHeight="1" thickBot="1">
      <c r="A13" s="86"/>
      <c r="B13" s="440" t="str">
        <f>IF(B17=0,"","em Custeio")</f>
        <v>em Custeio</v>
      </c>
      <c r="C13" s="708" t="str">
        <f ca="1">IF(E12="","",IF(C6&gt;B6,"para encerrar a prestação de contas",IF(C6&lt;B6,"Contate a SME URGENTE")))</f>
        <v>para encerrar a prestação de contas</v>
      </c>
      <c r="D13" s="708"/>
      <c r="E13" s="708"/>
      <c r="F13" s="708"/>
      <c r="G13" s="708"/>
      <c r="H13" s="441">
        <v>44082</v>
      </c>
      <c r="I13" s="86"/>
      <c r="K13" s="86"/>
      <c r="L13" s="534"/>
      <c r="M13" s="533" t="s">
        <v>394</v>
      </c>
      <c r="N13" s="502"/>
    </row>
    <row r="14" spans="1:25" s="3" customFormat="1" ht="6.75" customHeight="1" thickBot="1">
      <c r="A14" s="86"/>
      <c r="B14" s="442"/>
      <c r="C14" s="443"/>
      <c r="D14" s="443"/>
      <c r="E14" s="443"/>
      <c r="F14" s="443"/>
      <c r="G14" s="444"/>
      <c r="H14" s="511"/>
      <c r="I14" s="86"/>
      <c r="K14" s="86"/>
      <c r="L14" s="510"/>
      <c r="M14" s="510"/>
      <c r="N14" s="502"/>
    </row>
    <row r="15" spans="1:25" s="3" customFormat="1" ht="26.25" customHeight="1" thickBot="1">
      <c r="A15" s="86"/>
      <c r="B15" s="264"/>
      <c r="C15" s="445" t="s">
        <v>158</v>
      </c>
      <c r="D15" s="445" t="s">
        <v>64</v>
      </c>
      <c r="E15" s="446" t="str">
        <f>BASE!$D$11</f>
        <v>01/12/2019</v>
      </c>
      <c r="F15" s="498" t="s">
        <v>24</v>
      </c>
      <c r="G15" s="447" t="str">
        <f>BASE!$F$11</f>
        <v>31/10/2020</v>
      </c>
      <c r="H15" s="500"/>
      <c r="I15" s="86"/>
      <c r="K15" s="86"/>
      <c r="L15" s="706" t="str">
        <f>OFICIO!C13</f>
        <v>Publicação - Única</v>
      </c>
      <c r="M15" s="706"/>
      <c r="N15" s="502"/>
      <c r="Q15" s="3" t="str">
        <f>IF(OFICIO!A14="","",IF(OFICIO!A14=S15,S16,IF(OFICIO!A14=T15,T16,IF(OFICIO!A14=U15,U16,IF(OFICIO!A14=V15,V16,IF(OFICIO!A14=W15,W16,IF(OFICIO!A14=X15,X16)))))))</f>
        <v>UNICA</v>
      </c>
      <c r="S15" s="448" t="s">
        <v>308</v>
      </c>
      <c r="T15" s="448" t="s">
        <v>303</v>
      </c>
      <c r="U15" s="448" t="s">
        <v>304</v>
      </c>
      <c r="V15" s="448" t="s">
        <v>305</v>
      </c>
      <c r="W15" s="448" t="s">
        <v>306</v>
      </c>
      <c r="X15" s="448" t="s">
        <v>307</v>
      </c>
    </row>
    <row r="16" spans="1:25" s="3" customFormat="1" ht="21" customHeight="1">
      <c r="A16" s="86"/>
      <c r="B16" s="86"/>
      <c r="C16" s="86"/>
      <c r="D16" s="86"/>
      <c r="E16" s="86"/>
      <c r="F16" s="86"/>
      <c r="G16" s="86"/>
      <c r="H16" s="86"/>
      <c r="I16" s="86"/>
      <c r="K16" s="86"/>
      <c r="L16" s="502"/>
      <c r="M16" s="502"/>
      <c r="N16" s="502"/>
      <c r="S16" s="448" t="s">
        <v>391</v>
      </c>
      <c r="T16" s="3">
        <v>1</v>
      </c>
      <c r="U16" s="3">
        <v>2</v>
      </c>
      <c r="V16" s="3">
        <v>3</v>
      </c>
      <c r="W16" s="3">
        <v>4</v>
      </c>
      <c r="X16" s="3">
        <v>5</v>
      </c>
    </row>
    <row r="17" spans="1:19" ht="12.75" hidden="1" customHeight="1">
      <c r="A17" s="400" t="s">
        <v>240</v>
      </c>
      <c r="B17" s="405">
        <f>CONSOLIDA!$GC$1</f>
        <v>5</v>
      </c>
      <c r="C17" s="401"/>
      <c r="D17" s="401"/>
      <c r="E17" s="401"/>
      <c r="F17" s="401"/>
      <c r="G17" s="401"/>
      <c r="H17" s="401"/>
      <c r="I17" s="86"/>
      <c r="J17" s="3"/>
      <c r="K17" s="86"/>
      <c r="L17" s="510"/>
      <c r="M17" s="510"/>
      <c r="N17" s="502"/>
      <c r="O17" s="3"/>
      <c r="P17" s="3"/>
      <c r="Q17" s="3"/>
      <c r="R17" s="3"/>
      <c r="S17" s="3"/>
    </row>
    <row r="18" spans="1:19" ht="12.75" hidden="1" customHeight="1">
      <c r="A18" s="400" t="s">
        <v>240</v>
      </c>
      <c r="B18" s="392" t="s">
        <v>243</v>
      </c>
      <c r="C18" s="401"/>
      <c r="D18" s="401"/>
      <c r="E18" s="401"/>
      <c r="F18" s="401"/>
      <c r="G18" s="401"/>
      <c r="H18" s="401"/>
      <c r="I18" s="86"/>
      <c r="J18" s="3"/>
      <c r="K18" s="86"/>
      <c r="L18" s="502"/>
      <c r="M18" s="502"/>
      <c r="N18" s="502"/>
      <c r="O18" s="3"/>
      <c r="P18" s="3"/>
      <c r="Q18" s="3"/>
      <c r="R18" s="3"/>
      <c r="S18" s="3"/>
    </row>
    <row r="19" spans="1:19" ht="12.75" hidden="1" customHeight="1">
      <c r="A19" s="400" t="s">
        <v>240</v>
      </c>
      <c r="B19" s="392" t="s">
        <v>244</v>
      </c>
      <c r="C19" s="401"/>
      <c r="D19" s="401"/>
      <c r="E19" s="401"/>
      <c r="F19" s="401"/>
      <c r="G19" s="401"/>
      <c r="H19" s="401"/>
      <c r="I19" s="401"/>
      <c r="K19" s="401"/>
    </row>
    <row r="20" spans="1:19" ht="12.75" customHeight="1">
      <c r="A20" s="401" t="str">
        <f>IF(B17=0,"OK","")</f>
        <v/>
      </c>
      <c r="B20" s="401"/>
      <c r="C20" s="401"/>
      <c r="D20" s="401"/>
      <c r="E20" s="401"/>
      <c r="F20" s="401"/>
      <c r="G20" s="401"/>
      <c r="H20" s="401"/>
      <c r="I20" s="401"/>
      <c r="K20" s="401"/>
      <c r="L20" s="401"/>
      <c r="M20" s="401"/>
      <c r="N20" s="401"/>
    </row>
    <row r="21" spans="1:19" ht="12.75" customHeight="1">
      <c r="A21" s="401" t="str">
        <f t="shared" ref="A21:A35" si="0">IF(B21="","OK","")</f>
        <v/>
      </c>
      <c r="B21" s="402" t="str">
        <f>IF($B$17=0,"","ORDEM")</f>
        <v>ORDEM</v>
      </c>
      <c r="C21" s="402" t="str">
        <f>IF($B$17=0,"","EOL")</f>
        <v>EOL</v>
      </c>
      <c r="D21" s="724" t="str">
        <f>IF($B$17=0,"",IF($B$17=1,"UNIDADE",IF($B$17&gt;1,"UNIDADES")))</f>
        <v>UNIDADES</v>
      </c>
      <c r="E21" s="724"/>
      <c r="F21" s="724"/>
      <c r="G21" s="724"/>
      <c r="H21" s="401"/>
      <c r="I21" s="401"/>
      <c r="K21" s="401"/>
      <c r="L21" s="401"/>
      <c r="M21" s="401"/>
      <c r="N21" s="401"/>
      <c r="O21" s="401"/>
      <c r="P21" s="401"/>
      <c r="Q21" s="401"/>
      <c r="R21" s="401"/>
      <c r="S21" s="401"/>
    </row>
    <row r="22" spans="1:19" ht="12.75" customHeight="1">
      <c r="A22" s="401" t="str">
        <f t="shared" si="0"/>
        <v/>
      </c>
      <c r="B22" s="403">
        <f>IF(C22="","",1)</f>
        <v>1</v>
      </c>
      <c r="C22" s="404">
        <f>IF(CONSOLIDA!GD4="","",CONSOLIDA!GD4)</f>
        <v>400090</v>
      </c>
      <c r="D22" s="704" t="str">
        <f>IF(CONSOLIDA!GE4="","",CONSOLIDA!GE4)</f>
        <v>CEI - JARDIM KAGOHARA</v>
      </c>
      <c r="E22" s="704"/>
      <c r="F22" s="704"/>
      <c r="G22" s="704"/>
      <c r="H22" s="704"/>
      <c r="I22" s="401"/>
      <c r="J22" s="401"/>
      <c r="K22" s="401"/>
      <c r="L22" s="401"/>
      <c r="M22" s="401"/>
      <c r="N22" s="401"/>
      <c r="O22" s="401"/>
      <c r="P22" s="401"/>
      <c r="Q22" s="401"/>
      <c r="R22" s="401"/>
      <c r="S22" s="401"/>
    </row>
    <row r="23" spans="1:19" ht="12.75" customHeight="1">
      <c r="A23" s="401" t="str">
        <f t="shared" si="0"/>
        <v/>
      </c>
      <c r="B23" s="403">
        <f>IF(C23="","",B22+1)</f>
        <v>2</v>
      </c>
      <c r="C23" s="404">
        <f>IF(CONSOLIDA!GD5="","",CONSOLIDA!GD5)</f>
        <v>92908</v>
      </c>
      <c r="D23" s="704" t="str">
        <f>IF(CONSOLIDA!GE5="","",CONSOLIDA!GE5)</f>
        <v>EMEF - CLEMENTE PASTORE, PROF.</v>
      </c>
      <c r="E23" s="704"/>
      <c r="F23" s="704"/>
      <c r="G23" s="704"/>
      <c r="H23" s="704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</row>
    <row r="24" spans="1:19" ht="12.75" customHeight="1">
      <c r="A24" s="401" t="str">
        <f t="shared" si="0"/>
        <v/>
      </c>
      <c r="B24" s="409">
        <f t="shared" ref="B24:B87" si="1">IF(C24="","",B23+1)</f>
        <v>3</v>
      </c>
      <c r="C24" s="404">
        <f>IF(CONSOLIDA!GD6="","",CONSOLIDA!GD6)</f>
        <v>99228</v>
      </c>
      <c r="D24" s="704" t="str">
        <f>IF(CONSOLIDA!GE6="","",CONSOLIDA!GE6)</f>
        <v>EMEF - JOAO PEDRO DE CARVALHO NETO, DR.</v>
      </c>
      <c r="E24" s="704"/>
      <c r="F24" s="704"/>
      <c r="G24" s="704"/>
      <c r="H24" s="704"/>
      <c r="I24" s="401"/>
      <c r="J24" s="401"/>
      <c r="K24" s="401"/>
      <c r="L24" s="401"/>
      <c r="M24" s="401"/>
      <c r="N24" s="401"/>
      <c r="O24" s="401"/>
      <c r="P24" s="401"/>
      <c r="Q24" s="401"/>
      <c r="R24" s="401"/>
      <c r="S24" s="401"/>
    </row>
    <row r="25" spans="1:19" ht="12.75" customHeight="1">
      <c r="A25" s="401" t="str">
        <f t="shared" si="0"/>
        <v/>
      </c>
      <c r="B25" s="409">
        <f t="shared" si="1"/>
        <v>4</v>
      </c>
      <c r="C25" s="404">
        <f>IF(CONSOLIDA!GD7="","",CONSOLIDA!GD7)</f>
        <v>19490</v>
      </c>
      <c r="D25" s="704" t="str">
        <f>IF(CONSOLIDA!GE7="","",CONSOLIDA!GE7)</f>
        <v>EMEI - CAMPO LIMPO VI</v>
      </c>
      <c r="E25" s="704"/>
      <c r="F25" s="704"/>
      <c r="G25" s="704"/>
      <c r="H25" s="704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</row>
    <row r="26" spans="1:19" ht="12.75" customHeight="1">
      <c r="A26" s="401" t="str">
        <f t="shared" si="0"/>
        <v/>
      </c>
      <c r="B26" s="409">
        <f t="shared" si="1"/>
        <v>5</v>
      </c>
      <c r="C26" s="404">
        <f>IF(CONSOLIDA!GD8="","",CONSOLIDA!GD8)</f>
        <v>200252</v>
      </c>
      <c r="D26" s="704" t="str">
        <f>IF(CONSOLIDA!GE8="","",CONSOLIDA!GE8)</f>
        <v>CEU - CAPAO REDONDO - CELSO SEIXAS RIBEIRO BASTOS, PROF. E DR.</v>
      </c>
      <c r="E26" s="704"/>
      <c r="F26" s="704"/>
      <c r="G26" s="704"/>
      <c r="H26" s="704"/>
      <c r="I26" s="401"/>
      <c r="J26" s="401"/>
      <c r="K26" s="401"/>
      <c r="L26" s="401"/>
      <c r="M26" s="401"/>
      <c r="N26" s="401"/>
      <c r="O26" s="401"/>
      <c r="P26" s="401"/>
      <c r="Q26" s="401"/>
      <c r="R26" s="401"/>
      <c r="S26" s="401"/>
    </row>
    <row r="27" spans="1:19" ht="12.75" hidden="1" customHeight="1">
      <c r="A27" s="401" t="str">
        <f t="shared" si="0"/>
        <v>OK</v>
      </c>
      <c r="B27" s="409" t="str">
        <f t="shared" si="1"/>
        <v/>
      </c>
      <c r="C27" s="404" t="str">
        <f>IF(CONSOLIDA!GD9="","",CONSOLIDA!GD9)</f>
        <v/>
      </c>
      <c r="D27" s="704" t="str">
        <f>IF(CONSOLIDA!GE9="","",CONSOLIDA!GE9)</f>
        <v/>
      </c>
      <c r="E27" s="704"/>
      <c r="F27" s="704"/>
      <c r="G27" s="704"/>
      <c r="H27" s="704"/>
      <c r="I27" s="401"/>
      <c r="J27" s="401"/>
      <c r="K27" s="401"/>
      <c r="L27" s="401"/>
      <c r="M27" s="401"/>
      <c r="N27" s="401"/>
      <c r="O27" s="401"/>
      <c r="P27" s="401"/>
      <c r="Q27" s="401"/>
      <c r="R27" s="401"/>
      <c r="S27" s="401"/>
    </row>
    <row r="28" spans="1:19" ht="12.75" hidden="1" customHeight="1">
      <c r="A28" s="401" t="str">
        <f t="shared" si="0"/>
        <v>OK</v>
      </c>
      <c r="B28" s="409" t="str">
        <f t="shared" si="1"/>
        <v/>
      </c>
      <c r="C28" s="404" t="str">
        <f>IF(CONSOLIDA!GD10="","",CONSOLIDA!GD10)</f>
        <v/>
      </c>
      <c r="D28" s="704" t="str">
        <f>IF(CONSOLIDA!GE10="","",CONSOLIDA!GE10)</f>
        <v/>
      </c>
      <c r="E28" s="704"/>
      <c r="F28" s="704"/>
      <c r="G28" s="704"/>
      <c r="H28" s="704"/>
      <c r="I28" s="401"/>
      <c r="J28" s="401"/>
      <c r="K28" s="401"/>
      <c r="L28" s="401"/>
      <c r="M28" s="401"/>
      <c r="N28" s="401"/>
      <c r="O28" s="401"/>
      <c r="P28" s="401"/>
      <c r="Q28" s="401"/>
      <c r="R28" s="401"/>
      <c r="S28" s="401"/>
    </row>
    <row r="29" spans="1:19" ht="12.75" hidden="1" customHeight="1">
      <c r="A29" s="401" t="str">
        <f t="shared" si="0"/>
        <v>OK</v>
      </c>
      <c r="B29" s="409" t="str">
        <f t="shared" si="1"/>
        <v/>
      </c>
      <c r="C29" s="404" t="str">
        <f>IF(CONSOLIDA!GD11="","",CONSOLIDA!GD11)</f>
        <v/>
      </c>
      <c r="D29" s="704" t="str">
        <f>IF(CONSOLIDA!GE11="","",CONSOLIDA!GE11)</f>
        <v/>
      </c>
      <c r="E29" s="704"/>
      <c r="F29" s="704"/>
      <c r="G29" s="704"/>
      <c r="H29" s="704"/>
      <c r="I29" s="401"/>
      <c r="J29" s="401"/>
      <c r="K29" s="401"/>
      <c r="L29" s="401"/>
      <c r="M29" s="401"/>
      <c r="N29" s="401"/>
      <c r="O29" s="401"/>
      <c r="P29" s="401"/>
      <c r="Q29" s="401"/>
      <c r="R29" s="401"/>
      <c r="S29" s="401"/>
    </row>
    <row r="30" spans="1:19" ht="12.75" hidden="1" customHeight="1">
      <c r="A30" s="401" t="str">
        <f t="shared" si="0"/>
        <v>OK</v>
      </c>
      <c r="B30" s="409" t="str">
        <f t="shared" si="1"/>
        <v/>
      </c>
      <c r="C30" s="404" t="str">
        <f>IF(CONSOLIDA!GD12="","",CONSOLIDA!GD12)</f>
        <v/>
      </c>
      <c r="D30" s="704" t="str">
        <f>IF(CONSOLIDA!GE12="","",CONSOLIDA!GE12)</f>
        <v/>
      </c>
      <c r="E30" s="704"/>
      <c r="F30" s="704"/>
      <c r="G30" s="704"/>
      <c r="H30" s="704"/>
      <c r="I30" s="401"/>
      <c r="J30" s="401"/>
      <c r="K30" s="401"/>
      <c r="L30" s="401"/>
      <c r="M30" s="401"/>
      <c r="N30" s="401"/>
      <c r="O30" s="401"/>
      <c r="P30" s="401"/>
      <c r="Q30" s="401"/>
      <c r="R30" s="401"/>
      <c r="S30" s="401"/>
    </row>
    <row r="31" spans="1:19" ht="12.75" hidden="1" customHeight="1">
      <c r="A31" s="401" t="str">
        <f t="shared" si="0"/>
        <v>OK</v>
      </c>
      <c r="B31" s="409" t="str">
        <f t="shared" si="1"/>
        <v/>
      </c>
      <c r="C31" s="404" t="str">
        <f>IF(CONSOLIDA!GD13="","",CONSOLIDA!GD13)</f>
        <v/>
      </c>
      <c r="D31" s="704" t="str">
        <f>IF(CONSOLIDA!GE13="","",CONSOLIDA!GE13)</f>
        <v/>
      </c>
      <c r="E31" s="704"/>
      <c r="F31" s="704"/>
      <c r="G31" s="704"/>
      <c r="H31" s="704"/>
      <c r="I31" s="401"/>
      <c r="J31" s="401"/>
      <c r="K31" s="401"/>
      <c r="L31" s="401"/>
      <c r="M31" s="401"/>
      <c r="N31" s="401"/>
      <c r="O31" s="401"/>
      <c r="P31" s="401"/>
      <c r="Q31" s="401"/>
      <c r="R31" s="401"/>
      <c r="S31" s="401"/>
    </row>
    <row r="32" spans="1:19" ht="12.75" hidden="1" customHeight="1">
      <c r="A32" s="401" t="str">
        <f t="shared" si="0"/>
        <v>OK</v>
      </c>
      <c r="B32" s="409" t="str">
        <f t="shared" si="1"/>
        <v/>
      </c>
      <c r="C32" s="404" t="str">
        <f>IF(CONSOLIDA!GD14="","",CONSOLIDA!GD14)</f>
        <v/>
      </c>
      <c r="D32" s="704" t="str">
        <f>IF(CONSOLIDA!GE14="","",CONSOLIDA!GE14)</f>
        <v/>
      </c>
      <c r="E32" s="704"/>
      <c r="F32" s="704"/>
      <c r="G32" s="704"/>
      <c r="H32" s="704"/>
      <c r="I32" s="401"/>
      <c r="J32" s="401"/>
      <c r="K32" s="401"/>
      <c r="L32" s="401"/>
      <c r="M32" s="401"/>
      <c r="N32" s="401"/>
      <c r="O32" s="401"/>
      <c r="P32" s="401"/>
      <c r="Q32" s="401"/>
      <c r="R32" s="401"/>
      <c r="S32" s="401"/>
    </row>
    <row r="33" spans="1:19" ht="12.75" hidden="1" customHeight="1">
      <c r="A33" s="401" t="str">
        <f t="shared" si="0"/>
        <v>OK</v>
      </c>
      <c r="B33" s="409" t="str">
        <f t="shared" si="1"/>
        <v/>
      </c>
      <c r="C33" s="404" t="str">
        <f>IF(CONSOLIDA!GD15="","",CONSOLIDA!GD15)</f>
        <v/>
      </c>
      <c r="D33" s="704" t="str">
        <f>IF(CONSOLIDA!GE15="","",CONSOLIDA!GE15)</f>
        <v/>
      </c>
      <c r="E33" s="704"/>
      <c r="F33" s="704"/>
      <c r="G33" s="704"/>
      <c r="H33" s="704"/>
      <c r="I33" s="401"/>
      <c r="J33" s="401"/>
      <c r="K33" s="401"/>
      <c r="L33" s="401"/>
      <c r="M33" s="401"/>
      <c r="N33" s="401"/>
      <c r="O33" s="401"/>
      <c r="P33" s="401"/>
      <c r="Q33" s="401"/>
      <c r="R33" s="401"/>
      <c r="S33" s="401"/>
    </row>
    <row r="34" spans="1:19" ht="12.75" hidden="1" customHeight="1">
      <c r="A34" s="401" t="str">
        <f t="shared" si="0"/>
        <v>OK</v>
      </c>
      <c r="B34" s="409" t="str">
        <f t="shared" si="1"/>
        <v/>
      </c>
      <c r="C34" s="404" t="str">
        <f>IF(CONSOLIDA!GD16="","",CONSOLIDA!GD16)</f>
        <v/>
      </c>
      <c r="D34" s="704" t="str">
        <f>IF(CONSOLIDA!GE16="","",CONSOLIDA!GE16)</f>
        <v/>
      </c>
      <c r="E34" s="704"/>
      <c r="F34" s="704"/>
      <c r="G34" s="704"/>
      <c r="H34" s="704"/>
      <c r="I34" s="401"/>
      <c r="J34" s="401"/>
      <c r="K34" s="401"/>
      <c r="L34" s="401"/>
      <c r="M34" s="401"/>
      <c r="N34" s="401"/>
      <c r="O34" s="401"/>
      <c r="P34" s="401"/>
      <c r="Q34" s="401"/>
      <c r="R34" s="401"/>
      <c r="S34" s="401"/>
    </row>
    <row r="35" spans="1:19" ht="12.75" hidden="1" customHeight="1">
      <c r="A35" s="401" t="str">
        <f t="shared" si="0"/>
        <v>OK</v>
      </c>
      <c r="B35" s="409" t="str">
        <f t="shared" si="1"/>
        <v/>
      </c>
      <c r="C35" s="404" t="str">
        <f>IF(CONSOLIDA!GD17="","",CONSOLIDA!GD17)</f>
        <v/>
      </c>
      <c r="D35" s="704" t="str">
        <f>IF(CONSOLIDA!GE17="","",CONSOLIDA!GE17)</f>
        <v/>
      </c>
      <c r="E35" s="704"/>
      <c r="F35" s="704"/>
      <c r="G35" s="704"/>
      <c r="H35" s="704"/>
      <c r="I35" s="401"/>
      <c r="J35" s="401"/>
      <c r="K35" s="401"/>
      <c r="L35" s="401"/>
      <c r="M35" s="401"/>
      <c r="N35" s="401"/>
      <c r="O35" s="401"/>
      <c r="P35" s="401"/>
      <c r="Q35" s="401"/>
      <c r="R35" s="401"/>
      <c r="S35" s="401"/>
    </row>
    <row r="36" spans="1:19" ht="12.75" hidden="1" customHeight="1">
      <c r="A36" s="401" t="str">
        <f t="shared" ref="A36:A99" si="2">IF(B36="","OK","")</f>
        <v>OK</v>
      </c>
      <c r="B36" s="409" t="str">
        <f t="shared" si="1"/>
        <v/>
      </c>
      <c r="C36" s="404" t="str">
        <f>IF(CONSOLIDA!GD18="","",CONSOLIDA!GD18)</f>
        <v/>
      </c>
      <c r="D36" s="704" t="str">
        <f>IF(CONSOLIDA!GE18="","",CONSOLIDA!GE18)</f>
        <v/>
      </c>
      <c r="E36" s="704"/>
      <c r="F36" s="704"/>
      <c r="G36" s="704"/>
      <c r="H36" s="704"/>
      <c r="I36" s="401"/>
      <c r="J36" s="401"/>
      <c r="K36" s="401"/>
      <c r="L36" s="401"/>
      <c r="M36" s="401"/>
      <c r="N36" s="401"/>
      <c r="O36" s="401"/>
      <c r="P36" s="401"/>
      <c r="Q36" s="401"/>
      <c r="R36" s="401"/>
      <c r="S36" s="401"/>
    </row>
    <row r="37" spans="1:19" ht="12.75" hidden="1" customHeight="1">
      <c r="A37" s="401" t="str">
        <f t="shared" si="2"/>
        <v>OK</v>
      </c>
      <c r="B37" s="409" t="str">
        <f t="shared" si="1"/>
        <v/>
      </c>
      <c r="C37" s="404" t="str">
        <f>IF(CONSOLIDA!GD19="","",CONSOLIDA!GD19)</f>
        <v/>
      </c>
      <c r="D37" s="704" t="str">
        <f>IF(CONSOLIDA!GE19="","",CONSOLIDA!GE19)</f>
        <v/>
      </c>
      <c r="E37" s="704"/>
      <c r="F37" s="704"/>
      <c r="G37" s="704"/>
      <c r="H37" s="704"/>
      <c r="I37" s="401"/>
      <c r="J37" s="401"/>
      <c r="K37" s="401"/>
      <c r="L37" s="401"/>
      <c r="M37" s="401"/>
      <c r="N37" s="401"/>
      <c r="O37" s="401"/>
      <c r="P37" s="401"/>
      <c r="Q37" s="401"/>
      <c r="R37" s="401"/>
      <c r="S37" s="401"/>
    </row>
    <row r="38" spans="1:19" ht="12.75" hidden="1" customHeight="1">
      <c r="A38" s="401" t="str">
        <f t="shared" si="2"/>
        <v>OK</v>
      </c>
      <c r="B38" s="409" t="str">
        <f t="shared" si="1"/>
        <v/>
      </c>
      <c r="C38" s="404" t="str">
        <f>IF(CONSOLIDA!GD20="","",CONSOLIDA!GD20)</f>
        <v/>
      </c>
      <c r="D38" s="704" t="str">
        <f>IF(CONSOLIDA!GE20="","",CONSOLIDA!GE20)</f>
        <v/>
      </c>
      <c r="E38" s="704"/>
      <c r="F38" s="704"/>
      <c r="G38" s="704"/>
      <c r="H38" s="704"/>
      <c r="I38" s="401"/>
      <c r="J38" s="401"/>
      <c r="K38" s="401"/>
      <c r="L38" s="401"/>
      <c r="M38" s="401"/>
      <c r="N38" s="401"/>
      <c r="O38" s="401"/>
      <c r="P38" s="401"/>
      <c r="Q38" s="401"/>
      <c r="R38" s="401"/>
      <c r="S38" s="401"/>
    </row>
    <row r="39" spans="1:19" ht="12.75" hidden="1" customHeight="1">
      <c r="A39" s="401" t="str">
        <f t="shared" si="2"/>
        <v>OK</v>
      </c>
      <c r="B39" s="409" t="str">
        <f t="shared" si="1"/>
        <v/>
      </c>
      <c r="C39" s="404" t="str">
        <f>IF(CONSOLIDA!GD21="","",CONSOLIDA!GD21)</f>
        <v/>
      </c>
      <c r="D39" s="704" t="str">
        <f>IF(CONSOLIDA!GE21="","",CONSOLIDA!GE21)</f>
        <v/>
      </c>
      <c r="E39" s="704"/>
      <c r="F39" s="704"/>
      <c r="G39" s="704"/>
      <c r="H39" s="704"/>
      <c r="I39" s="401"/>
      <c r="J39" s="401"/>
      <c r="K39" s="401"/>
      <c r="L39" s="401"/>
      <c r="M39" s="401"/>
      <c r="N39" s="401"/>
      <c r="O39" s="401"/>
      <c r="P39" s="401"/>
      <c r="Q39" s="401"/>
      <c r="R39" s="401"/>
      <c r="S39" s="401"/>
    </row>
    <row r="40" spans="1:19" ht="12.75" hidden="1" customHeight="1">
      <c r="A40" s="401" t="str">
        <f t="shared" si="2"/>
        <v>OK</v>
      </c>
      <c r="B40" s="409" t="str">
        <f t="shared" si="1"/>
        <v/>
      </c>
      <c r="C40" s="404" t="str">
        <f>IF(CONSOLIDA!GD22="","",CONSOLIDA!GD22)</f>
        <v/>
      </c>
      <c r="D40" s="704" t="str">
        <f>IF(CONSOLIDA!GE22="","",CONSOLIDA!GE22)</f>
        <v/>
      </c>
      <c r="E40" s="704"/>
      <c r="F40" s="704"/>
      <c r="G40" s="704"/>
      <c r="H40" s="704"/>
      <c r="I40" s="401"/>
      <c r="J40" s="401"/>
      <c r="K40" s="401"/>
      <c r="L40" s="401"/>
      <c r="M40" s="401"/>
      <c r="N40" s="401"/>
      <c r="O40" s="401"/>
      <c r="P40" s="401"/>
      <c r="Q40" s="401"/>
      <c r="R40" s="401"/>
      <c r="S40" s="401"/>
    </row>
    <row r="41" spans="1:19" ht="12.75" hidden="1" customHeight="1">
      <c r="A41" s="401" t="str">
        <f t="shared" si="2"/>
        <v>OK</v>
      </c>
      <c r="B41" s="409" t="str">
        <f t="shared" si="1"/>
        <v/>
      </c>
      <c r="C41" s="404" t="str">
        <f>IF(CONSOLIDA!GD23="","",CONSOLIDA!GD23)</f>
        <v/>
      </c>
      <c r="D41" s="704" t="str">
        <f>IF(CONSOLIDA!GE23="","",CONSOLIDA!GE23)</f>
        <v/>
      </c>
      <c r="E41" s="704"/>
      <c r="F41" s="704"/>
      <c r="G41" s="704"/>
      <c r="H41" s="704"/>
      <c r="I41" s="401"/>
      <c r="J41" s="401"/>
      <c r="K41" s="401"/>
      <c r="L41" s="401"/>
      <c r="M41" s="401"/>
      <c r="N41" s="401"/>
      <c r="O41" s="401"/>
      <c r="P41" s="401"/>
      <c r="Q41" s="401"/>
      <c r="R41" s="401"/>
      <c r="S41" s="401"/>
    </row>
    <row r="42" spans="1:19" ht="12.75" hidden="1" customHeight="1">
      <c r="A42" s="401" t="str">
        <f t="shared" si="2"/>
        <v>OK</v>
      </c>
      <c r="B42" s="409" t="str">
        <f t="shared" si="1"/>
        <v/>
      </c>
      <c r="C42" s="404" t="str">
        <f>IF(CONSOLIDA!GD24="","",CONSOLIDA!GD24)</f>
        <v/>
      </c>
      <c r="D42" s="704" t="str">
        <f>IF(CONSOLIDA!GE24="","",CONSOLIDA!GE24)</f>
        <v/>
      </c>
      <c r="E42" s="704"/>
      <c r="F42" s="704"/>
      <c r="G42" s="704"/>
      <c r="H42" s="704"/>
      <c r="I42" s="401"/>
      <c r="J42" s="401"/>
      <c r="K42" s="401"/>
      <c r="L42" s="401"/>
      <c r="M42" s="401"/>
      <c r="N42" s="401"/>
      <c r="O42" s="401"/>
      <c r="P42" s="401"/>
      <c r="Q42" s="401"/>
      <c r="R42" s="401"/>
      <c r="S42" s="401"/>
    </row>
    <row r="43" spans="1:19" ht="12.75" hidden="1" customHeight="1">
      <c r="A43" s="401" t="str">
        <f t="shared" si="2"/>
        <v>OK</v>
      </c>
      <c r="B43" s="409" t="str">
        <f t="shared" si="1"/>
        <v/>
      </c>
      <c r="C43" s="404" t="str">
        <f>IF(CONSOLIDA!GD25="","",CONSOLIDA!GD25)</f>
        <v/>
      </c>
      <c r="D43" s="704" t="str">
        <f>IF(CONSOLIDA!GE25="","",CONSOLIDA!GE25)</f>
        <v/>
      </c>
      <c r="E43" s="704"/>
      <c r="F43" s="704"/>
      <c r="G43" s="704"/>
      <c r="H43" s="704"/>
      <c r="I43" s="401"/>
      <c r="J43" s="401"/>
      <c r="K43" s="401"/>
      <c r="L43" s="401"/>
      <c r="M43" s="401"/>
      <c r="N43" s="401"/>
      <c r="O43" s="401"/>
      <c r="P43" s="401"/>
      <c r="Q43" s="401"/>
      <c r="R43" s="401"/>
      <c r="S43" s="401"/>
    </row>
    <row r="44" spans="1:19" ht="12.75" hidden="1" customHeight="1">
      <c r="A44" s="401" t="str">
        <f t="shared" si="2"/>
        <v>OK</v>
      </c>
      <c r="B44" s="409" t="str">
        <f t="shared" si="1"/>
        <v/>
      </c>
      <c r="C44" s="404" t="str">
        <f>IF(CONSOLIDA!GD26="","",CONSOLIDA!GD26)</f>
        <v/>
      </c>
      <c r="D44" s="704" t="str">
        <f>IF(CONSOLIDA!GE26="","",CONSOLIDA!GE26)</f>
        <v/>
      </c>
      <c r="E44" s="704"/>
      <c r="F44" s="704"/>
      <c r="G44" s="704"/>
      <c r="H44" s="704"/>
      <c r="I44" s="401"/>
      <c r="J44" s="401"/>
      <c r="K44" s="401"/>
      <c r="L44" s="401"/>
      <c r="M44" s="401"/>
      <c r="N44" s="401"/>
      <c r="O44" s="401"/>
      <c r="P44" s="401"/>
      <c r="Q44" s="401"/>
      <c r="R44" s="401"/>
      <c r="S44" s="401"/>
    </row>
    <row r="45" spans="1:19" ht="12.75" hidden="1" customHeight="1">
      <c r="A45" s="401" t="str">
        <f t="shared" si="2"/>
        <v>OK</v>
      </c>
      <c r="B45" s="409" t="str">
        <f t="shared" si="1"/>
        <v/>
      </c>
      <c r="C45" s="404" t="str">
        <f>IF(CONSOLIDA!GD27="","",CONSOLIDA!GD27)</f>
        <v/>
      </c>
      <c r="D45" s="704" t="str">
        <f>IF(CONSOLIDA!GE27="","",CONSOLIDA!GE27)</f>
        <v/>
      </c>
      <c r="E45" s="704"/>
      <c r="F45" s="704"/>
      <c r="G45" s="704"/>
      <c r="H45" s="704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</row>
    <row r="46" spans="1:19" ht="12.75" hidden="1" customHeight="1">
      <c r="A46" s="401" t="str">
        <f t="shared" si="2"/>
        <v>OK</v>
      </c>
      <c r="B46" s="409" t="str">
        <f t="shared" si="1"/>
        <v/>
      </c>
      <c r="C46" s="404" t="str">
        <f>IF(CONSOLIDA!GD28="","",CONSOLIDA!GD28)</f>
        <v/>
      </c>
      <c r="D46" s="704" t="str">
        <f>IF(CONSOLIDA!GE28="","",CONSOLIDA!GE28)</f>
        <v/>
      </c>
      <c r="E46" s="704"/>
      <c r="F46" s="704"/>
      <c r="G46" s="704"/>
      <c r="H46" s="704"/>
      <c r="I46" s="401"/>
      <c r="J46" s="401"/>
      <c r="K46" s="401"/>
      <c r="L46" s="401"/>
      <c r="M46" s="401"/>
      <c r="N46" s="401"/>
      <c r="O46" s="401"/>
      <c r="P46" s="401"/>
      <c r="Q46" s="401"/>
      <c r="R46" s="401"/>
      <c r="S46" s="401"/>
    </row>
    <row r="47" spans="1:19" ht="12.75" hidden="1" customHeight="1">
      <c r="A47" s="401" t="str">
        <f t="shared" si="2"/>
        <v>OK</v>
      </c>
      <c r="B47" s="409" t="str">
        <f t="shared" si="1"/>
        <v/>
      </c>
      <c r="C47" s="404" t="str">
        <f>IF(CONSOLIDA!GD29="","",CONSOLIDA!GD29)</f>
        <v/>
      </c>
      <c r="D47" s="704" t="str">
        <f>IF(CONSOLIDA!GE29="","",CONSOLIDA!GE29)</f>
        <v/>
      </c>
      <c r="E47" s="704"/>
      <c r="F47" s="704"/>
      <c r="G47" s="704"/>
      <c r="H47" s="704"/>
      <c r="I47" s="401"/>
      <c r="J47" s="401"/>
      <c r="K47" s="401"/>
      <c r="L47" s="401"/>
      <c r="M47" s="401"/>
      <c r="N47" s="401"/>
      <c r="O47" s="401"/>
      <c r="P47" s="401"/>
      <c r="Q47" s="401"/>
      <c r="R47" s="401"/>
      <c r="S47" s="401"/>
    </row>
    <row r="48" spans="1:19" ht="12.75" hidden="1" customHeight="1">
      <c r="A48" s="401" t="str">
        <f t="shared" si="2"/>
        <v>OK</v>
      </c>
      <c r="B48" s="409" t="str">
        <f t="shared" si="1"/>
        <v/>
      </c>
      <c r="C48" s="404" t="str">
        <f>IF(CONSOLIDA!GD30="","",CONSOLIDA!GD30)</f>
        <v/>
      </c>
      <c r="D48" s="704" t="str">
        <f>IF(CONSOLIDA!GE30="","",CONSOLIDA!GE30)</f>
        <v/>
      </c>
      <c r="E48" s="704"/>
      <c r="F48" s="704"/>
      <c r="G48" s="704"/>
      <c r="H48" s="704"/>
      <c r="I48" s="401"/>
      <c r="J48" s="401"/>
      <c r="K48" s="401"/>
      <c r="L48" s="401"/>
      <c r="M48" s="401"/>
      <c r="N48" s="401"/>
      <c r="O48" s="401"/>
      <c r="P48" s="401"/>
      <c r="Q48" s="401"/>
      <c r="R48" s="401"/>
      <c r="S48" s="401"/>
    </row>
    <row r="49" spans="1:19" ht="12.75" hidden="1" customHeight="1">
      <c r="A49" s="401" t="str">
        <f t="shared" si="2"/>
        <v>OK</v>
      </c>
      <c r="B49" s="409" t="str">
        <f t="shared" si="1"/>
        <v/>
      </c>
      <c r="C49" s="404" t="str">
        <f>IF(CONSOLIDA!GD31="","",CONSOLIDA!GD31)</f>
        <v/>
      </c>
      <c r="D49" s="704" t="str">
        <f>IF(CONSOLIDA!GE31="","",CONSOLIDA!GE31)</f>
        <v/>
      </c>
      <c r="E49" s="704"/>
      <c r="F49" s="704"/>
      <c r="G49" s="704"/>
      <c r="H49" s="704"/>
      <c r="I49" s="401"/>
      <c r="J49" s="401"/>
      <c r="K49" s="401"/>
      <c r="L49" s="401"/>
      <c r="M49" s="401"/>
      <c r="N49" s="401"/>
      <c r="O49" s="401"/>
      <c r="P49" s="401"/>
      <c r="Q49" s="401"/>
      <c r="R49" s="401"/>
      <c r="S49" s="401"/>
    </row>
    <row r="50" spans="1:19" ht="12.75" hidden="1" customHeight="1">
      <c r="A50" s="401" t="str">
        <f t="shared" si="2"/>
        <v>OK</v>
      </c>
      <c r="B50" s="409" t="str">
        <f t="shared" si="1"/>
        <v/>
      </c>
      <c r="C50" s="404" t="str">
        <f>IF(CONSOLIDA!GD32="","",CONSOLIDA!GD32)</f>
        <v/>
      </c>
      <c r="D50" s="704" t="str">
        <f>IF(CONSOLIDA!GE32="","",CONSOLIDA!GE32)</f>
        <v/>
      </c>
      <c r="E50" s="704"/>
      <c r="F50" s="704"/>
      <c r="G50" s="704"/>
      <c r="H50" s="704"/>
      <c r="I50" s="401"/>
      <c r="J50" s="401"/>
      <c r="K50" s="401"/>
      <c r="L50" s="401"/>
      <c r="M50" s="401"/>
      <c r="N50" s="401"/>
      <c r="O50" s="401"/>
      <c r="P50" s="401"/>
      <c r="Q50" s="401"/>
      <c r="R50" s="401"/>
      <c r="S50" s="401"/>
    </row>
    <row r="51" spans="1:19" ht="12.75" hidden="1" customHeight="1">
      <c r="A51" s="401" t="str">
        <f t="shared" si="2"/>
        <v>OK</v>
      </c>
      <c r="B51" s="409" t="str">
        <f t="shared" si="1"/>
        <v/>
      </c>
      <c r="C51" s="404" t="str">
        <f>IF(CONSOLIDA!GD33="","",CONSOLIDA!GD33)</f>
        <v/>
      </c>
      <c r="D51" s="704" t="str">
        <f>IF(CONSOLIDA!GE33="","",CONSOLIDA!GE33)</f>
        <v/>
      </c>
      <c r="E51" s="704"/>
      <c r="F51" s="704"/>
      <c r="G51" s="704"/>
      <c r="H51" s="704"/>
      <c r="I51" s="401"/>
      <c r="J51" s="401"/>
      <c r="K51" s="401"/>
      <c r="L51" s="401"/>
      <c r="M51" s="401"/>
      <c r="N51" s="401"/>
      <c r="O51" s="401"/>
      <c r="P51" s="401"/>
      <c r="Q51" s="401"/>
      <c r="R51" s="401"/>
      <c r="S51" s="401"/>
    </row>
    <row r="52" spans="1:19" ht="12.75" hidden="1" customHeight="1">
      <c r="A52" s="401" t="str">
        <f t="shared" si="2"/>
        <v>OK</v>
      </c>
      <c r="B52" s="409" t="str">
        <f t="shared" si="1"/>
        <v/>
      </c>
      <c r="C52" s="404" t="str">
        <f>IF(CONSOLIDA!GD34="","",CONSOLIDA!GD34)</f>
        <v/>
      </c>
      <c r="D52" s="704" t="str">
        <f>IF(CONSOLIDA!GE34="","",CONSOLIDA!GE34)</f>
        <v/>
      </c>
      <c r="E52" s="704"/>
      <c r="F52" s="704"/>
      <c r="G52" s="704"/>
      <c r="H52" s="704"/>
      <c r="I52" s="401"/>
      <c r="J52" s="401"/>
      <c r="K52" s="401"/>
      <c r="L52" s="401"/>
      <c r="M52" s="401"/>
      <c r="N52" s="401"/>
      <c r="O52" s="401"/>
      <c r="P52" s="401"/>
      <c r="Q52" s="401"/>
      <c r="R52" s="401"/>
      <c r="S52" s="401"/>
    </row>
    <row r="53" spans="1:19" ht="12.75" hidden="1" customHeight="1">
      <c r="A53" s="401" t="str">
        <f t="shared" si="2"/>
        <v>OK</v>
      </c>
      <c r="B53" s="409" t="str">
        <f t="shared" si="1"/>
        <v/>
      </c>
      <c r="C53" s="404" t="str">
        <f>IF(CONSOLIDA!GD35="","",CONSOLIDA!GD35)</f>
        <v/>
      </c>
      <c r="D53" s="704" t="str">
        <f>IF(CONSOLIDA!GE35="","",CONSOLIDA!GE35)</f>
        <v/>
      </c>
      <c r="E53" s="704"/>
      <c r="F53" s="704"/>
      <c r="G53" s="704"/>
      <c r="H53" s="704"/>
      <c r="I53" s="401"/>
      <c r="J53" s="401"/>
      <c r="K53" s="401"/>
      <c r="L53" s="401"/>
      <c r="M53" s="401"/>
      <c r="N53" s="401"/>
      <c r="O53" s="401"/>
      <c r="P53" s="401"/>
      <c r="Q53" s="401"/>
      <c r="R53" s="401"/>
      <c r="S53" s="401"/>
    </row>
    <row r="54" spans="1:19" ht="12.75" hidden="1" customHeight="1">
      <c r="A54" s="401" t="str">
        <f t="shared" si="2"/>
        <v>OK</v>
      </c>
      <c r="B54" s="409" t="str">
        <f t="shared" si="1"/>
        <v/>
      </c>
      <c r="C54" s="404" t="str">
        <f>IF(CONSOLIDA!GD36="","",CONSOLIDA!GD36)</f>
        <v/>
      </c>
      <c r="D54" s="704" t="str">
        <f>IF(CONSOLIDA!GE36="","",CONSOLIDA!GE36)</f>
        <v/>
      </c>
      <c r="E54" s="704"/>
      <c r="F54" s="704"/>
      <c r="G54" s="704"/>
      <c r="H54" s="704"/>
      <c r="I54" s="401"/>
      <c r="J54" s="401"/>
      <c r="K54" s="401"/>
      <c r="L54" s="401"/>
      <c r="M54" s="401"/>
      <c r="N54" s="401"/>
      <c r="O54" s="401"/>
      <c r="P54" s="401"/>
      <c r="Q54" s="401"/>
      <c r="R54" s="401"/>
      <c r="S54" s="401"/>
    </row>
    <row r="55" spans="1:19" ht="12.75" hidden="1" customHeight="1">
      <c r="A55" s="401" t="str">
        <f t="shared" si="2"/>
        <v>OK</v>
      </c>
      <c r="B55" s="409" t="str">
        <f t="shared" si="1"/>
        <v/>
      </c>
      <c r="C55" s="404" t="str">
        <f>IF(CONSOLIDA!GD37="","",CONSOLIDA!GD37)</f>
        <v/>
      </c>
      <c r="D55" s="704" t="str">
        <f>IF(CONSOLIDA!GE37="","",CONSOLIDA!GE37)</f>
        <v/>
      </c>
      <c r="E55" s="704"/>
      <c r="F55" s="704"/>
      <c r="G55" s="704"/>
      <c r="H55" s="704"/>
      <c r="I55" s="401"/>
      <c r="J55" s="401"/>
      <c r="K55" s="401"/>
      <c r="L55" s="401"/>
      <c r="M55" s="401"/>
      <c r="N55" s="401"/>
      <c r="O55" s="401"/>
      <c r="P55" s="401"/>
      <c r="Q55" s="401"/>
      <c r="R55" s="401"/>
      <c r="S55" s="401"/>
    </row>
    <row r="56" spans="1:19" ht="12.75" hidden="1" customHeight="1">
      <c r="A56" s="401" t="str">
        <f t="shared" si="2"/>
        <v>OK</v>
      </c>
      <c r="B56" s="409" t="str">
        <f t="shared" si="1"/>
        <v/>
      </c>
      <c r="C56" s="404" t="str">
        <f>IF(CONSOLIDA!GD38="","",CONSOLIDA!GD38)</f>
        <v/>
      </c>
      <c r="D56" s="704" t="str">
        <f>IF(CONSOLIDA!GE38="","",CONSOLIDA!GE38)</f>
        <v/>
      </c>
      <c r="E56" s="704"/>
      <c r="F56" s="704"/>
      <c r="G56" s="704"/>
      <c r="H56" s="704"/>
      <c r="I56" s="401"/>
      <c r="J56" s="401"/>
      <c r="K56" s="401"/>
      <c r="L56" s="401"/>
      <c r="M56" s="401"/>
      <c r="N56" s="401"/>
      <c r="O56" s="401"/>
      <c r="P56" s="401"/>
      <c r="Q56" s="401"/>
      <c r="R56" s="401"/>
      <c r="S56" s="401"/>
    </row>
    <row r="57" spans="1:19" ht="12.75" hidden="1" customHeight="1">
      <c r="A57" s="401" t="str">
        <f t="shared" si="2"/>
        <v>OK</v>
      </c>
      <c r="B57" s="409" t="str">
        <f t="shared" si="1"/>
        <v/>
      </c>
      <c r="C57" s="404" t="str">
        <f>IF(CONSOLIDA!GD39="","",CONSOLIDA!GD39)</f>
        <v/>
      </c>
      <c r="D57" s="704" t="str">
        <f>IF(CONSOLIDA!GE39="","",CONSOLIDA!GE39)</f>
        <v/>
      </c>
      <c r="E57" s="704"/>
      <c r="F57" s="704"/>
      <c r="G57" s="704"/>
      <c r="H57" s="704"/>
      <c r="I57" s="401"/>
      <c r="J57" s="401"/>
      <c r="K57" s="401"/>
      <c r="L57" s="401"/>
      <c r="M57" s="401"/>
      <c r="N57" s="401"/>
      <c r="O57" s="401"/>
      <c r="P57" s="401"/>
      <c r="Q57" s="401"/>
      <c r="R57" s="401"/>
      <c r="S57" s="401"/>
    </row>
    <row r="58" spans="1:19" ht="12.75" hidden="1" customHeight="1">
      <c r="A58" s="401" t="str">
        <f t="shared" si="2"/>
        <v>OK</v>
      </c>
      <c r="B58" s="409" t="str">
        <f t="shared" si="1"/>
        <v/>
      </c>
      <c r="C58" s="404" t="str">
        <f>IF(CONSOLIDA!GD40="","",CONSOLIDA!GD40)</f>
        <v/>
      </c>
      <c r="D58" s="704" t="str">
        <f>IF(CONSOLIDA!GE40="","",CONSOLIDA!GE40)</f>
        <v/>
      </c>
      <c r="E58" s="704"/>
      <c r="F58" s="704"/>
      <c r="G58" s="704"/>
      <c r="H58" s="704"/>
      <c r="I58" s="401"/>
      <c r="J58" s="401"/>
      <c r="K58" s="401"/>
      <c r="L58" s="401"/>
      <c r="M58" s="401"/>
      <c r="N58" s="401"/>
      <c r="O58" s="401"/>
      <c r="P58" s="401"/>
      <c r="Q58" s="401"/>
      <c r="R58" s="401"/>
      <c r="S58" s="401"/>
    </row>
    <row r="59" spans="1:19" ht="12.75" hidden="1" customHeight="1">
      <c r="A59" s="401" t="str">
        <f t="shared" si="2"/>
        <v>OK</v>
      </c>
      <c r="B59" s="409" t="str">
        <f t="shared" si="1"/>
        <v/>
      </c>
      <c r="C59" s="404" t="str">
        <f>IF(CONSOLIDA!GD41="","",CONSOLIDA!GD41)</f>
        <v/>
      </c>
      <c r="D59" s="704" t="str">
        <f>IF(CONSOLIDA!GE41="","",CONSOLIDA!GE41)</f>
        <v/>
      </c>
      <c r="E59" s="704"/>
      <c r="F59" s="704"/>
      <c r="G59" s="704"/>
      <c r="H59" s="704"/>
      <c r="I59" s="401"/>
      <c r="J59" s="401"/>
      <c r="K59" s="401"/>
      <c r="L59" s="401"/>
      <c r="M59" s="401"/>
      <c r="N59" s="401"/>
      <c r="O59" s="401"/>
      <c r="P59" s="401"/>
      <c r="Q59" s="401"/>
      <c r="R59" s="401"/>
      <c r="S59" s="401"/>
    </row>
    <row r="60" spans="1:19" ht="12.75" hidden="1" customHeight="1">
      <c r="A60" s="401" t="str">
        <f t="shared" si="2"/>
        <v>OK</v>
      </c>
      <c r="B60" s="409" t="str">
        <f t="shared" si="1"/>
        <v/>
      </c>
      <c r="C60" s="404" t="str">
        <f>IF(CONSOLIDA!GD42="","",CONSOLIDA!GD42)</f>
        <v/>
      </c>
      <c r="D60" s="704" t="str">
        <f>IF(CONSOLIDA!GE42="","",CONSOLIDA!GE42)</f>
        <v/>
      </c>
      <c r="E60" s="704"/>
      <c r="F60" s="704"/>
      <c r="G60" s="704"/>
      <c r="H60" s="704"/>
      <c r="I60" s="401"/>
      <c r="J60" s="401"/>
      <c r="K60" s="401"/>
      <c r="L60" s="401"/>
      <c r="M60" s="401"/>
      <c r="N60" s="401"/>
      <c r="O60" s="401"/>
      <c r="P60" s="401"/>
      <c r="Q60" s="401"/>
      <c r="R60" s="401"/>
      <c r="S60" s="401"/>
    </row>
    <row r="61" spans="1:19" ht="12.75" hidden="1" customHeight="1">
      <c r="A61" s="401" t="str">
        <f t="shared" si="2"/>
        <v>OK</v>
      </c>
      <c r="B61" s="409" t="str">
        <f t="shared" si="1"/>
        <v/>
      </c>
      <c r="C61" s="404" t="str">
        <f>IF(CONSOLIDA!GD43="","",CONSOLIDA!GD43)</f>
        <v/>
      </c>
      <c r="D61" s="704" t="str">
        <f>IF(CONSOLIDA!GE43="","",CONSOLIDA!GE43)</f>
        <v/>
      </c>
      <c r="E61" s="704"/>
      <c r="F61" s="704"/>
      <c r="G61" s="704"/>
      <c r="H61" s="704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</row>
    <row r="62" spans="1:19" ht="12.75" hidden="1" customHeight="1">
      <c r="A62" s="401" t="str">
        <f t="shared" si="2"/>
        <v>OK</v>
      </c>
      <c r="B62" s="409" t="str">
        <f t="shared" si="1"/>
        <v/>
      </c>
      <c r="C62" s="404" t="str">
        <f>IF(CONSOLIDA!GD44="","",CONSOLIDA!GD44)</f>
        <v/>
      </c>
      <c r="D62" s="704" t="str">
        <f>IF(CONSOLIDA!GE44="","",CONSOLIDA!GE44)</f>
        <v/>
      </c>
      <c r="E62" s="704"/>
      <c r="F62" s="704"/>
      <c r="G62" s="704"/>
      <c r="H62" s="704"/>
      <c r="I62" s="401"/>
      <c r="J62" s="401"/>
      <c r="K62" s="401"/>
      <c r="L62" s="401"/>
      <c r="M62" s="401"/>
      <c r="N62" s="401"/>
      <c r="O62" s="401"/>
      <c r="P62" s="401"/>
      <c r="Q62" s="401"/>
      <c r="R62" s="401"/>
      <c r="S62" s="401"/>
    </row>
    <row r="63" spans="1:19" ht="12.75" hidden="1" customHeight="1">
      <c r="A63" s="401" t="str">
        <f t="shared" si="2"/>
        <v>OK</v>
      </c>
      <c r="B63" s="409" t="str">
        <f t="shared" si="1"/>
        <v/>
      </c>
      <c r="C63" s="404" t="str">
        <f>IF(CONSOLIDA!GD45="","",CONSOLIDA!GD45)</f>
        <v/>
      </c>
      <c r="D63" s="704" t="str">
        <f>IF(CONSOLIDA!GE45="","",CONSOLIDA!GE45)</f>
        <v/>
      </c>
      <c r="E63" s="704"/>
      <c r="F63" s="704"/>
      <c r="G63" s="704"/>
      <c r="H63" s="704"/>
      <c r="I63" s="401"/>
      <c r="J63" s="401"/>
      <c r="K63" s="401"/>
      <c r="L63" s="401"/>
      <c r="M63" s="401"/>
      <c r="N63" s="401"/>
      <c r="O63" s="401"/>
      <c r="P63" s="401"/>
      <c r="Q63" s="401"/>
      <c r="R63" s="401"/>
      <c r="S63" s="401"/>
    </row>
    <row r="64" spans="1:19" ht="12.75" hidden="1" customHeight="1">
      <c r="A64" s="401" t="str">
        <f t="shared" si="2"/>
        <v>OK</v>
      </c>
      <c r="B64" s="409" t="str">
        <f t="shared" si="1"/>
        <v/>
      </c>
      <c r="C64" s="404" t="str">
        <f>IF(CONSOLIDA!GD46="","",CONSOLIDA!GD46)</f>
        <v/>
      </c>
      <c r="D64" s="704" t="str">
        <f>IF(CONSOLIDA!GE46="","",CONSOLIDA!GE46)</f>
        <v/>
      </c>
      <c r="E64" s="704"/>
      <c r="F64" s="704"/>
      <c r="G64" s="704"/>
      <c r="H64" s="704"/>
      <c r="I64" s="401"/>
      <c r="J64" s="401"/>
      <c r="K64" s="401"/>
      <c r="L64" s="401"/>
      <c r="M64" s="401"/>
      <c r="N64" s="401"/>
      <c r="O64" s="401"/>
      <c r="P64" s="401"/>
      <c r="Q64" s="401"/>
      <c r="R64" s="401"/>
      <c r="S64" s="401"/>
    </row>
    <row r="65" spans="1:19" ht="12.75" hidden="1" customHeight="1">
      <c r="A65" s="401" t="str">
        <f t="shared" si="2"/>
        <v>OK</v>
      </c>
      <c r="B65" s="409" t="str">
        <f t="shared" si="1"/>
        <v/>
      </c>
      <c r="C65" s="404" t="str">
        <f>IF(CONSOLIDA!GD47="","",CONSOLIDA!GD47)</f>
        <v/>
      </c>
      <c r="D65" s="704" t="str">
        <f>IF(CONSOLIDA!GE47="","",CONSOLIDA!GE47)</f>
        <v/>
      </c>
      <c r="E65" s="704"/>
      <c r="F65" s="704"/>
      <c r="G65" s="704"/>
      <c r="H65" s="704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</row>
    <row r="66" spans="1:19" ht="12.75" hidden="1" customHeight="1">
      <c r="A66" s="401" t="str">
        <f t="shared" si="2"/>
        <v>OK</v>
      </c>
      <c r="B66" s="409" t="str">
        <f t="shared" si="1"/>
        <v/>
      </c>
      <c r="C66" s="404" t="str">
        <f>IF(CONSOLIDA!GD48="","",CONSOLIDA!GD48)</f>
        <v/>
      </c>
      <c r="D66" s="704" t="str">
        <f>IF(CONSOLIDA!GE48="","",CONSOLIDA!GE48)</f>
        <v/>
      </c>
      <c r="E66" s="704"/>
      <c r="F66" s="704"/>
      <c r="G66" s="704"/>
      <c r="H66" s="704"/>
      <c r="I66" s="401"/>
      <c r="J66" s="401"/>
      <c r="K66" s="401"/>
      <c r="L66" s="401"/>
      <c r="M66" s="401"/>
      <c r="N66" s="401"/>
      <c r="O66" s="401"/>
      <c r="P66" s="401"/>
      <c r="Q66" s="401"/>
      <c r="R66" s="401"/>
      <c r="S66" s="401"/>
    </row>
    <row r="67" spans="1:19" ht="12.75" hidden="1" customHeight="1">
      <c r="A67" s="401" t="str">
        <f t="shared" si="2"/>
        <v>OK</v>
      </c>
      <c r="B67" s="409" t="str">
        <f t="shared" si="1"/>
        <v/>
      </c>
      <c r="C67" s="404" t="str">
        <f>IF(CONSOLIDA!GD49="","",CONSOLIDA!GD49)</f>
        <v/>
      </c>
      <c r="D67" s="704" t="str">
        <f>IF(CONSOLIDA!GE49="","",CONSOLIDA!GE49)</f>
        <v/>
      </c>
      <c r="E67" s="704"/>
      <c r="F67" s="704"/>
      <c r="G67" s="704"/>
      <c r="H67" s="704"/>
      <c r="I67" s="401"/>
      <c r="J67" s="401"/>
      <c r="K67" s="401"/>
      <c r="L67" s="401"/>
      <c r="M67" s="401"/>
      <c r="N67" s="401"/>
      <c r="O67" s="401"/>
      <c r="P67" s="401"/>
      <c r="Q67" s="401"/>
      <c r="R67" s="401"/>
      <c r="S67" s="401"/>
    </row>
    <row r="68" spans="1:19" ht="12.75" hidden="1" customHeight="1">
      <c r="A68" s="401" t="str">
        <f t="shared" si="2"/>
        <v>OK</v>
      </c>
      <c r="B68" s="409" t="str">
        <f t="shared" si="1"/>
        <v/>
      </c>
      <c r="C68" s="404" t="str">
        <f>IF(CONSOLIDA!GD50="","",CONSOLIDA!GD50)</f>
        <v/>
      </c>
      <c r="D68" s="704" t="str">
        <f>IF(CONSOLIDA!GE50="","",CONSOLIDA!GE50)</f>
        <v/>
      </c>
      <c r="E68" s="704"/>
      <c r="F68" s="704"/>
      <c r="G68" s="704"/>
      <c r="H68" s="704"/>
      <c r="I68" s="401"/>
      <c r="J68" s="401"/>
      <c r="K68" s="401"/>
      <c r="L68" s="401"/>
      <c r="M68" s="401"/>
      <c r="N68" s="401"/>
      <c r="O68" s="401"/>
      <c r="P68" s="401"/>
      <c r="Q68" s="401"/>
      <c r="R68" s="401"/>
      <c r="S68" s="401"/>
    </row>
    <row r="69" spans="1:19" ht="12.75" hidden="1" customHeight="1">
      <c r="A69" s="401" t="str">
        <f t="shared" si="2"/>
        <v>OK</v>
      </c>
      <c r="B69" s="409" t="str">
        <f t="shared" si="1"/>
        <v/>
      </c>
      <c r="C69" s="404" t="str">
        <f>IF(CONSOLIDA!GD51="","",CONSOLIDA!GD51)</f>
        <v/>
      </c>
      <c r="D69" s="704" t="str">
        <f>IF(CONSOLIDA!GE51="","",CONSOLIDA!GE51)</f>
        <v/>
      </c>
      <c r="E69" s="704"/>
      <c r="F69" s="704"/>
      <c r="G69" s="704"/>
      <c r="H69" s="704"/>
      <c r="I69" s="401"/>
      <c r="J69" s="401"/>
      <c r="K69" s="401"/>
      <c r="L69" s="401"/>
      <c r="M69" s="401"/>
      <c r="N69" s="401"/>
      <c r="O69" s="401"/>
      <c r="P69" s="401"/>
      <c r="Q69" s="401"/>
      <c r="R69" s="401"/>
      <c r="S69" s="401"/>
    </row>
    <row r="70" spans="1:19" ht="12.75" hidden="1" customHeight="1">
      <c r="A70" s="401" t="str">
        <f t="shared" si="2"/>
        <v>OK</v>
      </c>
      <c r="B70" s="409" t="str">
        <f t="shared" si="1"/>
        <v/>
      </c>
      <c r="C70" s="404" t="str">
        <f>IF(CONSOLIDA!GD52="","",CONSOLIDA!GD52)</f>
        <v/>
      </c>
      <c r="D70" s="704" t="str">
        <f>IF(CONSOLIDA!GE52="","",CONSOLIDA!GE52)</f>
        <v/>
      </c>
      <c r="E70" s="704"/>
      <c r="F70" s="704"/>
      <c r="G70" s="704"/>
      <c r="H70" s="704"/>
      <c r="I70" s="401"/>
      <c r="J70" s="401"/>
      <c r="K70" s="401"/>
      <c r="L70" s="401"/>
      <c r="M70" s="401"/>
      <c r="N70" s="401"/>
      <c r="O70" s="401"/>
      <c r="P70" s="401"/>
      <c r="Q70" s="401"/>
      <c r="R70" s="401"/>
      <c r="S70" s="401"/>
    </row>
    <row r="71" spans="1:19" ht="12.75" hidden="1" customHeight="1">
      <c r="A71" s="401" t="str">
        <f t="shared" si="2"/>
        <v>OK</v>
      </c>
      <c r="B71" s="409" t="str">
        <f t="shared" si="1"/>
        <v/>
      </c>
      <c r="C71" s="404" t="str">
        <f>IF(CONSOLIDA!GD53="","",CONSOLIDA!GD53)</f>
        <v/>
      </c>
      <c r="D71" s="704" t="str">
        <f>IF(CONSOLIDA!GE53="","",CONSOLIDA!GE53)</f>
        <v/>
      </c>
      <c r="E71" s="704"/>
      <c r="F71" s="704"/>
      <c r="G71" s="704"/>
      <c r="H71" s="704"/>
      <c r="I71" s="401"/>
      <c r="J71" s="401"/>
      <c r="K71" s="401"/>
      <c r="L71" s="401"/>
      <c r="M71" s="401"/>
      <c r="N71" s="401"/>
      <c r="O71" s="401"/>
      <c r="P71" s="401"/>
      <c r="Q71" s="401"/>
      <c r="R71" s="401"/>
      <c r="S71" s="401"/>
    </row>
    <row r="72" spans="1:19" ht="12.75" hidden="1" customHeight="1">
      <c r="A72" s="401" t="str">
        <f t="shared" si="2"/>
        <v>OK</v>
      </c>
      <c r="B72" s="409" t="str">
        <f t="shared" si="1"/>
        <v/>
      </c>
      <c r="C72" s="404" t="str">
        <f>IF(CONSOLIDA!GD54="","",CONSOLIDA!GD54)</f>
        <v/>
      </c>
      <c r="D72" s="704" t="str">
        <f>IF(CONSOLIDA!GE54="","",CONSOLIDA!GE54)</f>
        <v/>
      </c>
      <c r="E72" s="704"/>
      <c r="F72" s="704"/>
      <c r="G72" s="704"/>
      <c r="H72" s="704"/>
      <c r="I72" s="401"/>
      <c r="J72" s="401"/>
      <c r="K72" s="401"/>
      <c r="L72" s="401"/>
      <c r="M72" s="401"/>
      <c r="N72" s="401"/>
      <c r="O72" s="401"/>
      <c r="P72" s="401"/>
      <c r="Q72" s="401"/>
      <c r="R72" s="401"/>
      <c r="S72" s="401"/>
    </row>
    <row r="73" spans="1:19" ht="12.75" hidden="1" customHeight="1">
      <c r="A73" s="401" t="str">
        <f t="shared" si="2"/>
        <v>OK</v>
      </c>
      <c r="B73" s="409" t="str">
        <f t="shared" si="1"/>
        <v/>
      </c>
      <c r="C73" s="404" t="str">
        <f>IF(CONSOLIDA!GD55="","",CONSOLIDA!GD55)</f>
        <v/>
      </c>
      <c r="D73" s="704" t="str">
        <f>IF(CONSOLIDA!GE55="","",CONSOLIDA!GE55)</f>
        <v/>
      </c>
      <c r="E73" s="704"/>
      <c r="F73" s="704"/>
      <c r="G73" s="704"/>
      <c r="H73" s="704"/>
      <c r="I73" s="401"/>
      <c r="J73" s="401"/>
      <c r="K73" s="401"/>
      <c r="L73" s="401"/>
      <c r="M73" s="401"/>
      <c r="N73" s="401"/>
      <c r="O73" s="401"/>
      <c r="P73" s="401"/>
      <c r="Q73" s="401"/>
      <c r="R73" s="401"/>
      <c r="S73" s="401"/>
    </row>
    <row r="74" spans="1:19" ht="12.75" hidden="1" customHeight="1">
      <c r="A74" s="401" t="str">
        <f t="shared" si="2"/>
        <v>OK</v>
      </c>
      <c r="B74" s="409" t="str">
        <f t="shared" si="1"/>
        <v/>
      </c>
      <c r="C74" s="404" t="str">
        <f>IF(CONSOLIDA!GD56="","",CONSOLIDA!GD56)</f>
        <v/>
      </c>
      <c r="D74" s="704" t="str">
        <f>IF(CONSOLIDA!GE56="","",CONSOLIDA!GE56)</f>
        <v/>
      </c>
      <c r="E74" s="704"/>
      <c r="F74" s="704"/>
      <c r="G74" s="704"/>
      <c r="H74" s="704"/>
      <c r="I74" s="401"/>
      <c r="J74" s="401"/>
      <c r="K74" s="401"/>
      <c r="L74" s="401"/>
      <c r="M74" s="401"/>
      <c r="N74" s="401"/>
      <c r="O74" s="401"/>
      <c r="P74" s="401"/>
      <c r="Q74" s="401"/>
      <c r="R74" s="401"/>
      <c r="S74" s="401"/>
    </row>
    <row r="75" spans="1:19" ht="12.75" hidden="1" customHeight="1">
      <c r="A75" s="401" t="str">
        <f t="shared" si="2"/>
        <v>OK</v>
      </c>
      <c r="B75" s="409" t="str">
        <f t="shared" si="1"/>
        <v/>
      </c>
      <c r="C75" s="404" t="str">
        <f>IF(CONSOLIDA!GD57="","",CONSOLIDA!GD57)</f>
        <v/>
      </c>
      <c r="D75" s="704" t="str">
        <f>IF(CONSOLIDA!GE57="","",CONSOLIDA!GE57)</f>
        <v/>
      </c>
      <c r="E75" s="704"/>
      <c r="F75" s="704"/>
      <c r="G75" s="704"/>
      <c r="H75" s="704"/>
      <c r="I75" s="401"/>
      <c r="J75" s="401"/>
      <c r="K75" s="401"/>
      <c r="L75" s="401"/>
      <c r="M75" s="401"/>
      <c r="N75" s="401"/>
      <c r="O75" s="401"/>
      <c r="P75" s="401"/>
      <c r="Q75" s="401"/>
      <c r="R75" s="401"/>
      <c r="S75" s="401"/>
    </row>
    <row r="76" spans="1:19" ht="12.75" hidden="1" customHeight="1">
      <c r="A76" s="401" t="str">
        <f t="shared" si="2"/>
        <v>OK</v>
      </c>
      <c r="B76" s="409" t="str">
        <f t="shared" si="1"/>
        <v/>
      </c>
      <c r="C76" s="404" t="str">
        <f>IF(CONSOLIDA!GD58="","",CONSOLIDA!GD58)</f>
        <v/>
      </c>
      <c r="D76" s="704" t="str">
        <f>IF(CONSOLIDA!GE58="","",CONSOLIDA!GE58)</f>
        <v/>
      </c>
      <c r="E76" s="704"/>
      <c r="F76" s="704"/>
      <c r="G76" s="704"/>
      <c r="H76" s="704"/>
      <c r="I76" s="401"/>
      <c r="J76" s="401"/>
      <c r="K76" s="401"/>
      <c r="L76" s="401"/>
      <c r="M76" s="401"/>
      <c r="N76" s="401"/>
      <c r="O76" s="401"/>
      <c r="P76" s="401"/>
      <c r="Q76" s="401"/>
      <c r="R76" s="401"/>
      <c r="S76" s="401"/>
    </row>
    <row r="77" spans="1:19" ht="12.75" hidden="1" customHeight="1">
      <c r="A77" s="401" t="str">
        <f t="shared" si="2"/>
        <v>OK</v>
      </c>
      <c r="B77" s="409" t="str">
        <f t="shared" si="1"/>
        <v/>
      </c>
      <c r="C77" s="404" t="str">
        <f>IF(CONSOLIDA!GD59="","",CONSOLIDA!GD59)</f>
        <v/>
      </c>
      <c r="D77" s="704" t="str">
        <f>IF(CONSOLIDA!GE59="","",CONSOLIDA!GE59)</f>
        <v/>
      </c>
      <c r="E77" s="704"/>
      <c r="F77" s="704"/>
      <c r="G77" s="704"/>
      <c r="H77" s="704"/>
      <c r="I77" s="401"/>
      <c r="J77" s="401"/>
      <c r="K77" s="401"/>
      <c r="L77" s="401"/>
      <c r="M77" s="401"/>
      <c r="N77" s="401"/>
      <c r="O77" s="401"/>
      <c r="P77" s="401"/>
      <c r="Q77" s="401"/>
      <c r="R77" s="401"/>
      <c r="S77" s="401"/>
    </row>
    <row r="78" spans="1:19" ht="12.75" hidden="1" customHeight="1">
      <c r="A78" s="401" t="str">
        <f t="shared" si="2"/>
        <v>OK</v>
      </c>
      <c r="B78" s="409" t="str">
        <f t="shared" si="1"/>
        <v/>
      </c>
      <c r="C78" s="404" t="str">
        <f>IF(CONSOLIDA!GD60="","",CONSOLIDA!GD60)</f>
        <v/>
      </c>
      <c r="D78" s="704" t="str">
        <f>IF(CONSOLIDA!GE60="","",CONSOLIDA!GE60)</f>
        <v/>
      </c>
      <c r="E78" s="704"/>
      <c r="F78" s="704"/>
      <c r="G78" s="704"/>
      <c r="H78" s="704"/>
      <c r="I78" s="401"/>
      <c r="J78" s="401"/>
      <c r="K78" s="401"/>
      <c r="L78" s="401"/>
      <c r="M78" s="401"/>
      <c r="N78" s="401"/>
      <c r="O78" s="401"/>
      <c r="P78" s="401"/>
      <c r="Q78" s="401"/>
      <c r="R78" s="401"/>
      <c r="S78" s="401"/>
    </row>
    <row r="79" spans="1:19" ht="12.75" hidden="1" customHeight="1">
      <c r="A79" s="401" t="str">
        <f t="shared" si="2"/>
        <v>OK</v>
      </c>
      <c r="B79" s="409" t="str">
        <f t="shared" si="1"/>
        <v/>
      </c>
      <c r="C79" s="404" t="str">
        <f>IF(CONSOLIDA!GD61="","",CONSOLIDA!GD61)</f>
        <v/>
      </c>
      <c r="D79" s="704" t="str">
        <f>IF(CONSOLIDA!GE61="","",CONSOLIDA!GE61)</f>
        <v/>
      </c>
      <c r="E79" s="704"/>
      <c r="F79" s="704"/>
      <c r="G79" s="704"/>
      <c r="H79" s="704"/>
      <c r="I79" s="401"/>
      <c r="J79" s="401"/>
      <c r="K79" s="401"/>
      <c r="L79" s="401"/>
      <c r="M79" s="401"/>
      <c r="N79" s="401"/>
      <c r="O79" s="401"/>
      <c r="P79" s="401"/>
      <c r="Q79" s="401"/>
      <c r="R79" s="401"/>
      <c r="S79" s="401"/>
    </row>
    <row r="80" spans="1:19" ht="12.75" hidden="1" customHeight="1">
      <c r="A80" s="401" t="str">
        <f t="shared" si="2"/>
        <v>OK</v>
      </c>
      <c r="B80" s="409" t="str">
        <f t="shared" si="1"/>
        <v/>
      </c>
      <c r="C80" s="404" t="str">
        <f>IF(CONSOLIDA!GD62="","",CONSOLIDA!GD62)</f>
        <v/>
      </c>
      <c r="D80" s="704" t="str">
        <f>IF(CONSOLIDA!GE62="","",CONSOLIDA!GE62)</f>
        <v/>
      </c>
      <c r="E80" s="704"/>
      <c r="F80" s="704"/>
      <c r="G80" s="704"/>
      <c r="H80" s="704"/>
      <c r="I80" s="401"/>
      <c r="J80" s="401"/>
      <c r="K80" s="401"/>
      <c r="L80" s="401"/>
      <c r="M80" s="401"/>
      <c r="N80" s="401"/>
      <c r="O80" s="401"/>
      <c r="P80" s="401"/>
      <c r="Q80" s="401"/>
      <c r="R80" s="401"/>
      <c r="S80" s="401"/>
    </row>
    <row r="81" spans="1:19" ht="12.75" hidden="1" customHeight="1">
      <c r="A81" s="401" t="str">
        <f t="shared" si="2"/>
        <v>OK</v>
      </c>
      <c r="B81" s="409" t="str">
        <f t="shared" si="1"/>
        <v/>
      </c>
      <c r="C81" s="404" t="str">
        <f>IF(CONSOLIDA!GD63="","",CONSOLIDA!GD63)</f>
        <v/>
      </c>
      <c r="D81" s="704" t="str">
        <f>IF(CONSOLIDA!GE63="","",CONSOLIDA!GE63)</f>
        <v/>
      </c>
      <c r="E81" s="704"/>
      <c r="F81" s="704"/>
      <c r="G81" s="704"/>
      <c r="H81" s="704"/>
      <c r="I81" s="401"/>
      <c r="J81" s="401"/>
      <c r="K81" s="401"/>
      <c r="L81" s="401"/>
      <c r="M81" s="401"/>
      <c r="N81" s="401"/>
      <c r="O81" s="401"/>
      <c r="P81" s="401"/>
      <c r="Q81" s="401"/>
      <c r="R81" s="401"/>
      <c r="S81" s="401"/>
    </row>
    <row r="82" spans="1:19" ht="12.75" hidden="1" customHeight="1">
      <c r="A82" s="401" t="str">
        <f t="shared" si="2"/>
        <v>OK</v>
      </c>
      <c r="B82" s="409" t="str">
        <f t="shared" si="1"/>
        <v/>
      </c>
      <c r="C82" s="404" t="str">
        <f>IF(CONSOLIDA!GD64="","",CONSOLIDA!GD64)</f>
        <v/>
      </c>
      <c r="D82" s="704" t="str">
        <f>IF(CONSOLIDA!GE64="","",CONSOLIDA!GE64)</f>
        <v/>
      </c>
      <c r="E82" s="704"/>
      <c r="F82" s="704"/>
      <c r="G82" s="704"/>
      <c r="H82" s="704"/>
      <c r="I82" s="401"/>
      <c r="J82" s="401"/>
      <c r="K82" s="401"/>
      <c r="L82" s="401"/>
      <c r="M82" s="401"/>
      <c r="N82" s="401"/>
      <c r="O82" s="401"/>
      <c r="P82" s="401"/>
      <c r="Q82" s="401"/>
      <c r="R82" s="401"/>
      <c r="S82" s="401"/>
    </row>
    <row r="83" spans="1:19" ht="12.75" hidden="1" customHeight="1">
      <c r="A83" s="401" t="str">
        <f t="shared" si="2"/>
        <v>OK</v>
      </c>
      <c r="B83" s="409" t="str">
        <f t="shared" si="1"/>
        <v/>
      </c>
      <c r="C83" s="404" t="str">
        <f>IF(CONSOLIDA!GD65="","",CONSOLIDA!GD65)</f>
        <v/>
      </c>
      <c r="D83" s="704" t="str">
        <f>IF(CONSOLIDA!GE65="","",CONSOLIDA!GE65)</f>
        <v/>
      </c>
      <c r="E83" s="704"/>
      <c r="F83" s="704"/>
      <c r="G83" s="704"/>
      <c r="H83" s="704"/>
      <c r="I83" s="401"/>
      <c r="J83" s="401"/>
      <c r="K83" s="401"/>
      <c r="L83" s="401"/>
      <c r="M83" s="401"/>
      <c r="N83" s="401"/>
      <c r="O83" s="401"/>
      <c r="P83" s="401"/>
      <c r="Q83" s="401"/>
      <c r="R83" s="401"/>
      <c r="S83" s="401"/>
    </row>
    <row r="84" spans="1:19" ht="12.75" hidden="1" customHeight="1">
      <c r="A84" s="401" t="str">
        <f t="shared" si="2"/>
        <v>OK</v>
      </c>
      <c r="B84" s="409" t="str">
        <f t="shared" si="1"/>
        <v/>
      </c>
      <c r="C84" s="404" t="str">
        <f>IF(CONSOLIDA!GD66="","",CONSOLIDA!GD66)</f>
        <v/>
      </c>
      <c r="D84" s="704" t="str">
        <f>IF(CONSOLIDA!GE66="","",CONSOLIDA!GE66)</f>
        <v/>
      </c>
      <c r="E84" s="704"/>
      <c r="F84" s="704"/>
      <c r="G84" s="704"/>
      <c r="H84" s="704"/>
      <c r="I84" s="401"/>
      <c r="J84" s="401"/>
      <c r="K84" s="401"/>
      <c r="L84" s="401"/>
      <c r="M84" s="401"/>
      <c r="N84" s="401"/>
      <c r="O84" s="401"/>
      <c r="P84" s="401"/>
      <c r="Q84" s="401"/>
      <c r="R84" s="401"/>
      <c r="S84" s="401"/>
    </row>
    <row r="85" spans="1:19" ht="12.75" hidden="1" customHeight="1">
      <c r="A85" s="401" t="str">
        <f t="shared" si="2"/>
        <v>OK</v>
      </c>
      <c r="B85" s="409" t="str">
        <f t="shared" si="1"/>
        <v/>
      </c>
      <c r="C85" s="404" t="str">
        <f>IF(CONSOLIDA!GD67="","",CONSOLIDA!GD67)</f>
        <v/>
      </c>
      <c r="D85" s="704" t="str">
        <f>IF(CONSOLIDA!GE67="","",CONSOLIDA!GE67)</f>
        <v/>
      </c>
      <c r="E85" s="704"/>
      <c r="F85" s="704"/>
      <c r="G85" s="704"/>
      <c r="H85" s="704"/>
      <c r="I85" s="401"/>
      <c r="J85" s="401"/>
      <c r="K85" s="401"/>
      <c r="L85" s="401"/>
      <c r="M85" s="401"/>
      <c r="N85" s="401"/>
      <c r="O85" s="401"/>
      <c r="P85" s="401"/>
      <c r="Q85" s="401"/>
      <c r="R85" s="401"/>
      <c r="S85" s="401"/>
    </row>
    <row r="86" spans="1:19" ht="12.75" hidden="1" customHeight="1">
      <c r="A86" s="401" t="str">
        <f t="shared" si="2"/>
        <v>OK</v>
      </c>
      <c r="B86" s="409" t="str">
        <f t="shared" si="1"/>
        <v/>
      </c>
      <c r="C86" s="404" t="str">
        <f>IF(CONSOLIDA!GD68="","",CONSOLIDA!GD68)</f>
        <v/>
      </c>
      <c r="D86" s="704" t="str">
        <f>IF(CONSOLIDA!GE68="","",CONSOLIDA!GE68)</f>
        <v/>
      </c>
      <c r="E86" s="704"/>
      <c r="F86" s="704"/>
      <c r="G86" s="704"/>
      <c r="H86" s="704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401"/>
    </row>
    <row r="87" spans="1:19" ht="12.75" hidden="1" customHeight="1">
      <c r="A87" s="401" t="str">
        <f t="shared" si="2"/>
        <v>OK</v>
      </c>
      <c r="B87" s="409" t="str">
        <f t="shared" si="1"/>
        <v/>
      </c>
      <c r="C87" s="404" t="str">
        <f>IF(CONSOLIDA!GD69="","",CONSOLIDA!GD69)</f>
        <v/>
      </c>
      <c r="D87" s="704" t="str">
        <f>IF(CONSOLIDA!GE69="","",CONSOLIDA!GE69)</f>
        <v/>
      </c>
      <c r="E87" s="704"/>
      <c r="F87" s="704"/>
      <c r="G87" s="704"/>
      <c r="H87" s="704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401"/>
    </row>
    <row r="88" spans="1:19" ht="12.75" hidden="1" customHeight="1">
      <c r="A88" s="401" t="str">
        <f t="shared" si="2"/>
        <v>OK</v>
      </c>
      <c r="B88" s="409" t="str">
        <f t="shared" ref="B88:B151" si="3">IF(C88="","",B87+1)</f>
        <v/>
      </c>
      <c r="C88" s="404" t="str">
        <f>IF(CONSOLIDA!GD70="","",CONSOLIDA!GD70)</f>
        <v/>
      </c>
      <c r="D88" s="704" t="str">
        <f>IF(CONSOLIDA!GE70="","",CONSOLIDA!GE70)</f>
        <v/>
      </c>
      <c r="E88" s="704"/>
      <c r="F88" s="704"/>
      <c r="G88" s="704"/>
      <c r="H88" s="704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401"/>
    </row>
    <row r="89" spans="1:19" ht="12.75" hidden="1" customHeight="1">
      <c r="A89" s="401" t="str">
        <f t="shared" si="2"/>
        <v>OK</v>
      </c>
      <c r="B89" s="409" t="str">
        <f t="shared" si="3"/>
        <v/>
      </c>
      <c r="C89" s="404" t="str">
        <f>IF(CONSOLIDA!GD71="","",CONSOLIDA!GD71)</f>
        <v/>
      </c>
      <c r="D89" s="704" t="str">
        <f>IF(CONSOLIDA!GE71="","",CONSOLIDA!GE71)</f>
        <v/>
      </c>
      <c r="E89" s="704"/>
      <c r="F89" s="704"/>
      <c r="G89" s="704"/>
      <c r="H89" s="704"/>
      <c r="I89" s="401"/>
      <c r="J89" s="401"/>
      <c r="K89" s="401"/>
      <c r="L89" s="401"/>
      <c r="M89" s="401"/>
      <c r="N89" s="401"/>
      <c r="O89" s="401"/>
      <c r="P89" s="401"/>
      <c r="Q89" s="401"/>
      <c r="R89" s="401"/>
      <c r="S89" s="401"/>
    </row>
    <row r="90" spans="1:19" ht="12.75" hidden="1" customHeight="1">
      <c r="A90" s="401" t="str">
        <f t="shared" si="2"/>
        <v>OK</v>
      </c>
      <c r="B90" s="409" t="str">
        <f t="shared" si="3"/>
        <v/>
      </c>
      <c r="C90" s="404" t="str">
        <f>IF(CONSOLIDA!GD72="","",CONSOLIDA!GD72)</f>
        <v/>
      </c>
      <c r="D90" s="704" t="str">
        <f>IF(CONSOLIDA!GE72="","",CONSOLIDA!GE72)</f>
        <v/>
      </c>
      <c r="E90" s="704"/>
      <c r="F90" s="704"/>
      <c r="G90" s="704"/>
      <c r="H90" s="704"/>
      <c r="I90" s="401"/>
      <c r="J90" s="401"/>
      <c r="K90" s="401"/>
      <c r="L90" s="401"/>
      <c r="M90" s="401"/>
      <c r="N90" s="401"/>
      <c r="O90" s="401"/>
      <c r="P90" s="401"/>
      <c r="Q90" s="401"/>
      <c r="R90" s="401"/>
      <c r="S90" s="401"/>
    </row>
    <row r="91" spans="1:19" ht="12.75" hidden="1" customHeight="1">
      <c r="A91" s="401" t="str">
        <f t="shared" si="2"/>
        <v>OK</v>
      </c>
      <c r="B91" s="409" t="str">
        <f t="shared" si="3"/>
        <v/>
      </c>
      <c r="C91" s="404" t="str">
        <f>IF(CONSOLIDA!GD73="","",CONSOLIDA!GD73)</f>
        <v/>
      </c>
      <c r="D91" s="704" t="str">
        <f>IF(CONSOLIDA!GE73="","",CONSOLIDA!GE73)</f>
        <v/>
      </c>
      <c r="E91" s="704"/>
      <c r="F91" s="704"/>
      <c r="G91" s="704"/>
      <c r="H91" s="704"/>
      <c r="I91" s="401"/>
      <c r="J91" s="401"/>
      <c r="K91" s="401"/>
      <c r="L91" s="401"/>
      <c r="M91" s="401"/>
      <c r="N91" s="401"/>
      <c r="O91" s="401"/>
      <c r="P91" s="401"/>
      <c r="Q91" s="401"/>
      <c r="R91" s="401"/>
      <c r="S91" s="401"/>
    </row>
    <row r="92" spans="1:19" ht="12.75" hidden="1" customHeight="1">
      <c r="A92" s="401" t="str">
        <f t="shared" si="2"/>
        <v>OK</v>
      </c>
      <c r="B92" s="409" t="str">
        <f t="shared" si="3"/>
        <v/>
      </c>
      <c r="C92" s="404" t="str">
        <f>IF(CONSOLIDA!GD74="","",CONSOLIDA!GD74)</f>
        <v/>
      </c>
      <c r="D92" s="704" t="str">
        <f>IF(CONSOLIDA!GE74="","",CONSOLIDA!GE74)</f>
        <v/>
      </c>
      <c r="E92" s="704"/>
      <c r="F92" s="704"/>
      <c r="G92" s="704"/>
      <c r="H92" s="704"/>
      <c r="I92" s="401"/>
      <c r="J92" s="401"/>
      <c r="K92" s="401"/>
      <c r="L92" s="401"/>
      <c r="M92" s="401"/>
      <c r="N92" s="401"/>
      <c r="O92" s="401"/>
      <c r="P92" s="401"/>
      <c r="Q92" s="401"/>
      <c r="R92" s="401"/>
      <c r="S92" s="401"/>
    </row>
    <row r="93" spans="1:19" ht="12.75" hidden="1" customHeight="1">
      <c r="A93" s="401" t="str">
        <f t="shared" si="2"/>
        <v>OK</v>
      </c>
      <c r="B93" s="409" t="str">
        <f t="shared" si="3"/>
        <v/>
      </c>
      <c r="C93" s="404" t="str">
        <f>IF(CONSOLIDA!GD75="","",CONSOLIDA!GD75)</f>
        <v/>
      </c>
      <c r="D93" s="704" t="str">
        <f>IF(CONSOLIDA!GE75="","",CONSOLIDA!GE75)</f>
        <v/>
      </c>
      <c r="E93" s="704"/>
      <c r="F93" s="704"/>
      <c r="G93" s="704"/>
      <c r="H93" s="704"/>
      <c r="I93" s="401"/>
      <c r="J93" s="401"/>
      <c r="K93" s="401"/>
      <c r="L93" s="401"/>
      <c r="M93" s="401"/>
      <c r="N93" s="401"/>
      <c r="O93" s="401"/>
      <c r="P93" s="401"/>
      <c r="Q93" s="401"/>
      <c r="R93" s="401"/>
      <c r="S93" s="401"/>
    </row>
    <row r="94" spans="1:19" ht="12.75" hidden="1" customHeight="1">
      <c r="A94" s="401" t="str">
        <f t="shared" si="2"/>
        <v>OK</v>
      </c>
      <c r="B94" s="409" t="str">
        <f t="shared" si="3"/>
        <v/>
      </c>
      <c r="C94" s="404" t="str">
        <f>IF(CONSOLIDA!GD76="","",CONSOLIDA!GD76)</f>
        <v/>
      </c>
      <c r="D94" s="704" t="str">
        <f>IF(CONSOLIDA!GE76="","",CONSOLIDA!GE76)</f>
        <v/>
      </c>
      <c r="E94" s="704"/>
      <c r="F94" s="704"/>
      <c r="G94" s="704"/>
      <c r="H94" s="704"/>
      <c r="I94" s="401"/>
      <c r="J94" s="401"/>
      <c r="K94" s="401"/>
      <c r="L94" s="401"/>
      <c r="M94" s="401"/>
      <c r="N94" s="401"/>
      <c r="O94" s="401"/>
      <c r="P94" s="401"/>
      <c r="Q94" s="401"/>
      <c r="R94" s="401"/>
      <c r="S94" s="401"/>
    </row>
    <row r="95" spans="1:19" ht="12.75" hidden="1" customHeight="1">
      <c r="A95" s="401" t="str">
        <f t="shared" si="2"/>
        <v>OK</v>
      </c>
      <c r="B95" s="409" t="str">
        <f t="shared" si="3"/>
        <v/>
      </c>
      <c r="C95" s="404" t="str">
        <f>IF(CONSOLIDA!GD77="","",CONSOLIDA!GD77)</f>
        <v/>
      </c>
      <c r="D95" s="704" t="str">
        <f>IF(CONSOLIDA!GE77="","",CONSOLIDA!GE77)</f>
        <v/>
      </c>
      <c r="E95" s="704"/>
      <c r="F95" s="704"/>
      <c r="G95" s="704"/>
      <c r="H95" s="704"/>
      <c r="I95" s="401"/>
      <c r="J95" s="401"/>
      <c r="K95" s="401"/>
      <c r="L95" s="401"/>
      <c r="M95" s="401"/>
      <c r="N95" s="401"/>
      <c r="O95" s="401"/>
      <c r="P95" s="401"/>
      <c r="Q95" s="401"/>
      <c r="R95" s="401"/>
      <c r="S95" s="401"/>
    </row>
    <row r="96" spans="1:19" ht="12.75" hidden="1" customHeight="1">
      <c r="A96" s="401" t="str">
        <f t="shared" si="2"/>
        <v>OK</v>
      </c>
      <c r="B96" s="409" t="str">
        <f t="shared" si="3"/>
        <v/>
      </c>
      <c r="C96" s="404" t="str">
        <f>IF(CONSOLIDA!GD78="","",CONSOLIDA!GD78)</f>
        <v/>
      </c>
      <c r="D96" s="704" t="str">
        <f>IF(CONSOLIDA!GE78="","",CONSOLIDA!GE78)</f>
        <v/>
      </c>
      <c r="E96" s="704"/>
      <c r="F96" s="704"/>
      <c r="G96" s="704"/>
      <c r="H96" s="704"/>
      <c r="I96" s="401"/>
      <c r="J96" s="401"/>
      <c r="K96" s="401"/>
      <c r="L96" s="401"/>
      <c r="M96" s="401"/>
      <c r="N96" s="401"/>
      <c r="O96" s="401"/>
      <c r="P96" s="401"/>
      <c r="Q96" s="401"/>
      <c r="R96" s="401"/>
      <c r="S96" s="401"/>
    </row>
    <row r="97" spans="1:19" ht="12.75" hidden="1" customHeight="1">
      <c r="A97" s="401" t="str">
        <f t="shared" si="2"/>
        <v>OK</v>
      </c>
      <c r="B97" s="409" t="str">
        <f t="shared" si="3"/>
        <v/>
      </c>
      <c r="C97" s="404" t="str">
        <f>IF(CONSOLIDA!GD79="","",CONSOLIDA!GD79)</f>
        <v/>
      </c>
      <c r="D97" s="704" t="str">
        <f>IF(CONSOLIDA!GE79="","",CONSOLIDA!GE79)</f>
        <v/>
      </c>
      <c r="E97" s="704"/>
      <c r="F97" s="704"/>
      <c r="G97" s="704"/>
      <c r="H97" s="704"/>
      <c r="I97" s="401"/>
      <c r="J97" s="401"/>
      <c r="K97" s="401"/>
      <c r="L97" s="401"/>
      <c r="M97" s="401"/>
      <c r="N97" s="401"/>
      <c r="O97" s="401"/>
      <c r="P97" s="401"/>
      <c r="Q97" s="401"/>
      <c r="R97" s="401"/>
      <c r="S97" s="401"/>
    </row>
    <row r="98" spans="1:19" ht="12.75" hidden="1" customHeight="1">
      <c r="A98" s="401" t="str">
        <f t="shared" si="2"/>
        <v>OK</v>
      </c>
      <c r="B98" s="409" t="str">
        <f t="shared" si="3"/>
        <v/>
      </c>
      <c r="C98" s="404" t="str">
        <f>IF(CONSOLIDA!GD80="","",CONSOLIDA!GD80)</f>
        <v/>
      </c>
      <c r="D98" s="704" t="str">
        <f>IF(CONSOLIDA!GE80="","",CONSOLIDA!GE80)</f>
        <v/>
      </c>
      <c r="E98" s="704"/>
      <c r="F98" s="704"/>
      <c r="G98" s="704"/>
      <c r="H98" s="704"/>
      <c r="I98" s="401"/>
      <c r="J98" s="401"/>
      <c r="K98" s="401"/>
      <c r="L98" s="401"/>
      <c r="M98" s="401"/>
      <c r="N98" s="401"/>
      <c r="O98" s="401"/>
      <c r="P98" s="401"/>
      <c r="Q98" s="401"/>
      <c r="R98" s="401"/>
      <c r="S98" s="401"/>
    </row>
    <row r="99" spans="1:19" ht="12.75" hidden="1" customHeight="1">
      <c r="A99" s="401" t="str">
        <f t="shared" si="2"/>
        <v>OK</v>
      </c>
      <c r="B99" s="409" t="str">
        <f t="shared" si="3"/>
        <v/>
      </c>
      <c r="C99" s="404" t="str">
        <f>IF(CONSOLIDA!GD81="","",CONSOLIDA!GD81)</f>
        <v/>
      </c>
      <c r="D99" s="704" t="str">
        <f>IF(CONSOLIDA!GE81="","",CONSOLIDA!GE81)</f>
        <v/>
      </c>
      <c r="E99" s="704"/>
      <c r="F99" s="704"/>
      <c r="G99" s="704"/>
      <c r="H99" s="704"/>
      <c r="I99" s="401"/>
      <c r="J99" s="401"/>
      <c r="K99" s="401"/>
      <c r="L99" s="401"/>
      <c r="M99" s="401"/>
      <c r="N99" s="401"/>
      <c r="O99" s="401"/>
      <c r="P99" s="401"/>
      <c r="Q99" s="401"/>
      <c r="R99" s="401"/>
      <c r="S99" s="401"/>
    </row>
    <row r="100" spans="1:19" ht="12.75" hidden="1" customHeight="1">
      <c r="A100" s="401" t="str">
        <f t="shared" ref="A100:A163" si="4">IF(B100="","OK","")</f>
        <v>OK</v>
      </c>
      <c r="B100" s="409" t="str">
        <f t="shared" si="3"/>
        <v/>
      </c>
      <c r="C100" s="404" t="str">
        <f>IF(CONSOLIDA!GD82="","",CONSOLIDA!GD82)</f>
        <v/>
      </c>
      <c r="D100" s="704" t="str">
        <f>IF(CONSOLIDA!GE82="","",CONSOLIDA!GE82)</f>
        <v/>
      </c>
      <c r="E100" s="704"/>
      <c r="F100" s="704"/>
      <c r="G100" s="704"/>
      <c r="H100" s="704"/>
      <c r="I100" s="401"/>
      <c r="J100" s="401"/>
      <c r="K100" s="401"/>
      <c r="L100" s="401"/>
      <c r="M100" s="401"/>
      <c r="N100" s="401"/>
      <c r="O100" s="401"/>
      <c r="P100" s="401"/>
      <c r="Q100" s="401"/>
      <c r="R100" s="401"/>
      <c r="S100" s="401"/>
    </row>
    <row r="101" spans="1:19" ht="12.75" hidden="1" customHeight="1">
      <c r="A101" s="401" t="str">
        <f t="shared" si="4"/>
        <v>OK</v>
      </c>
      <c r="B101" s="409" t="str">
        <f t="shared" si="3"/>
        <v/>
      </c>
      <c r="C101" s="404" t="str">
        <f>IF(CONSOLIDA!GD83="","",CONSOLIDA!GD83)</f>
        <v/>
      </c>
      <c r="D101" s="704" t="str">
        <f>IF(CONSOLIDA!GE83="","",CONSOLIDA!GE83)</f>
        <v/>
      </c>
      <c r="E101" s="704"/>
      <c r="F101" s="704"/>
      <c r="G101" s="704"/>
      <c r="H101" s="704"/>
      <c r="I101" s="401"/>
      <c r="J101" s="401"/>
      <c r="K101" s="401"/>
      <c r="L101" s="401"/>
      <c r="M101" s="401"/>
      <c r="N101" s="401"/>
      <c r="O101" s="401"/>
      <c r="P101" s="401"/>
      <c r="Q101" s="401"/>
      <c r="R101" s="401"/>
      <c r="S101" s="401"/>
    </row>
    <row r="102" spans="1:19" ht="12.75" hidden="1" customHeight="1">
      <c r="A102" s="401" t="str">
        <f t="shared" si="4"/>
        <v>OK</v>
      </c>
      <c r="B102" s="409" t="str">
        <f t="shared" si="3"/>
        <v/>
      </c>
      <c r="C102" s="404" t="str">
        <f>IF(CONSOLIDA!GD84="","",CONSOLIDA!GD84)</f>
        <v/>
      </c>
      <c r="D102" s="704" t="str">
        <f>IF(CONSOLIDA!GE84="","",CONSOLIDA!GE84)</f>
        <v/>
      </c>
      <c r="E102" s="704"/>
      <c r="F102" s="704"/>
      <c r="G102" s="704"/>
      <c r="H102" s="704"/>
      <c r="I102" s="401"/>
      <c r="J102" s="401"/>
      <c r="K102" s="401"/>
      <c r="L102" s="401"/>
      <c r="M102" s="401"/>
      <c r="N102" s="401"/>
      <c r="O102" s="401"/>
      <c r="P102" s="401"/>
      <c r="Q102" s="401"/>
      <c r="R102" s="401"/>
      <c r="S102" s="401"/>
    </row>
    <row r="103" spans="1:19" ht="12.75" hidden="1" customHeight="1">
      <c r="A103" s="401" t="str">
        <f t="shared" si="4"/>
        <v>OK</v>
      </c>
      <c r="B103" s="409" t="str">
        <f t="shared" si="3"/>
        <v/>
      </c>
      <c r="C103" s="404" t="str">
        <f>IF(CONSOLIDA!GD85="","",CONSOLIDA!GD85)</f>
        <v/>
      </c>
      <c r="D103" s="704" t="str">
        <f>IF(CONSOLIDA!GE85="","",CONSOLIDA!GE85)</f>
        <v/>
      </c>
      <c r="E103" s="704"/>
      <c r="F103" s="704"/>
      <c r="G103" s="704"/>
      <c r="H103" s="704"/>
      <c r="I103" s="401"/>
      <c r="J103" s="401"/>
      <c r="K103" s="401"/>
      <c r="L103" s="401"/>
      <c r="M103" s="401"/>
      <c r="N103" s="401"/>
      <c r="O103" s="401"/>
      <c r="P103" s="401"/>
      <c r="Q103" s="401"/>
      <c r="R103" s="401"/>
      <c r="S103" s="401"/>
    </row>
    <row r="104" spans="1:19" ht="12.75" hidden="1" customHeight="1">
      <c r="A104" s="401" t="str">
        <f t="shared" si="4"/>
        <v>OK</v>
      </c>
      <c r="B104" s="409" t="str">
        <f t="shared" si="3"/>
        <v/>
      </c>
      <c r="C104" s="404" t="str">
        <f>IF(CONSOLIDA!GD86="","",CONSOLIDA!GD86)</f>
        <v/>
      </c>
      <c r="D104" s="704" t="str">
        <f>IF(CONSOLIDA!GE86="","",CONSOLIDA!GE86)</f>
        <v/>
      </c>
      <c r="E104" s="704"/>
      <c r="F104" s="704"/>
      <c r="G104" s="704"/>
      <c r="H104" s="704"/>
      <c r="I104" s="401"/>
      <c r="J104" s="401"/>
      <c r="K104" s="401"/>
      <c r="L104" s="401"/>
      <c r="M104" s="401"/>
      <c r="N104" s="401"/>
      <c r="O104" s="401"/>
      <c r="P104" s="401"/>
      <c r="Q104" s="401"/>
      <c r="R104" s="401"/>
      <c r="S104" s="401"/>
    </row>
    <row r="105" spans="1:19" ht="12.75" hidden="1" customHeight="1">
      <c r="A105" s="401" t="str">
        <f t="shared" si="4"/>
        <v>OK</v>
      </c>
      <c r="B105" s="409" t="str">
        <f t="shared" si="3"/>
        <v/>
      </c>
      <c r="C105" s="404" t="str">
        <f>IF(CONSOLIDA!GD87="","",CONSOLIDA!GD87)</f>
        <v/>
      </c>
      <c r="D105" s="704" t="str">
        <f>IF(CONSOLIDA!GE87="","",CONSOLIDA!GE87)</f>
        <v/>
      </c>
      <c r="E105" s="704"/>
      <c r="F105" s="704"/>
      <c r="G105" s="704"/>
      <c r="H105" s="704"/>
      <c r="I105" s="401"/>
      <c r="J105" s="401"/>
      <c r="K105" s="401"/>
      <c r="L105" s="401"/>
      <c r="M105" s="401"/>
      <c r="N105" s="401"/>
      <c r="O105" s="401"/>
      <c r="P105" s="401"/>
      <c r="Q105" s="401"/>
      <c r="R105" s="401"/>
      <c r="S105" s="401"/>
    </row>
    <row r="106" spans="1:19" ht="12.75" hidden="1" customHeight="1">
      <c r="A106" s="401" t="str">
        <f t="shared" si="4"/>
        <v>OK</v>
      </c>
      <c r="B106" s="409" t="str">
        <f t="shared" si="3"/>
        <v/>
      </c>
      <c r="C106" s="404" t="str">
        <f>IF(CONSOLIDA!GD88="","",CONSOLIDA!GD88)</f>
        <v/>
      </c>
      <c r="D106" s="704" t="str">
        <f>IF(CONSOLIDA!GE88="","",CONSOLIDA!GE88)</f>
        <v/>
      </c>
      <c r="E106" s="704"/>
      <c r="F106" s="704"/>
      <c r="G106" s="704"/>
      <c r="H106" s="704"/>
      <c r="I106" s="401"/>
      <c r="J106" s="401"/>
      <c r="K106" s="401"/>
      <c r="L106" s="401"/>
      <c r="M106" s="401"/>
      <c r="N106" s="401"/>
      <c r="O106" s="401"/>
      <c r="P106" s="401"/>
      <c r="Q106" s="401"/>
      <c r="R106" s="401"/>
      <c r="S106" s="401"/>
    </row>
    <row r="107" spans="1:19" ht="12.75" hidden="1" customHeight="1">
      <c r="A107" s="401" t="str">
        <f t="shared" si="4"/>
        <v>OK</v>
      </c>
      <c r="B107" s="409" t="str">
        <f t="shared" si="3"/>
        <v/>
      </c>
      <c r="C107" s="404" t="str">
        <f>IF(CONSOLIDA!GD89="","",CONSOLIDA!GD89)</f>
        <v/>
      </c>
      <c r="D107" s="704" t="str">
        <f>IF(CONSOLIDA!GE89="","",CONSOLIDA!GE89)</f>
        <v/>
      </c>
      <c r="E107" s="704"/>
      <c r="F107" s="704"/>
      <c r="G107" s="704"/>
      <c r="H107" s="704"/>
      <c r="I107" s="401"/>
      <c r="J107" s="401"/>
      <c r="K107" s="401"/>
      <c r="L107" s="401"/>
      <c r="M107" s="401"/>
      <c r="N107" s="401"/>
      <c r="O107" s="401"/>
      <c r="P107" s="401"/>
      <c r="Q107" s="401"/>
      <c r="R107" s="401"/>
      <c r="S107" s="401"/>
    </row>
    <row r="108" spans="1:19" ht="12.75" hidden="1" customHeight="1">
      <c r="A108" s="401" t="str">
        <f t="shared" si="4"/>
        <v>OK</v>
      </c>
      <c r="B108" s="409" t="str">
        <f t="shared" si="3"/>
        <v/>
      </c>
      <c r="C108" s="404" t="str">
        <f>IF(CONSOLIDA!GD90="","",CONSOLIDA!GD90)</f>
        <v/>
      </c>
      <c r="D108" s="704" t="str">
        <f>IF(CONSOLIDA!GE90="","",CONSOLIDA!GE90)</f>
        <v/>
      </c>
      <c r="E108" s="704"/>
      <c r="F108" s="704"/>
      <c r="G108" s="704"/>
      <c r="H108" s="704"/>
      <c r="I108" s="401"/>
      <c r="J108" s="401"/>
      <c r="K108" s="401"/>
      <c r="L108" s="401"/>
      <c r="M108" s="401"/>
      <c r="N108" s="401"/>
      <c r="O108" s="401"/>
      <c r="P108" s="401"/>
      <c r="Q108" s="401"/>
      <c r="R108" s="401"/>
      <c r="S108" s="401"/>
    </row>
    <row r="109" spans="1:19" ht="12.75" hidden="1" customHeight="1">
      <c r="A109" s="401" t="str">
        <f t="shared" si="4"/>
        <v>OK</v>
      </c>
      <c r="B109" s="409" t="str">
        <f t="shared" si="3"/>
        <v/>
      </c>
      <c r="C109" s="404" t="str">
        <f>IF(CONSOLIDA!GD91="","",CONSOLIDA!GD91)</f>
        <v/>
      </c>
      <c r="D109" s="704" t="str">
        <f>IF(CONSOLIDA!GE91="","",CONSOLIDA!GE91)</f>
        <v/>
      </c>
      <c r="E109" s="704"/>
      <c r="F109" s="704"/>
      <c r="G109" s="704"/>
      <c r="H109" s="704"/>
      <c r="I109" s="401"/>
      <c r="J109" s="401"/>
      <c r="K109" s="401"/>
      <c r="L109" s="401"/>
      <c r="M109" s="401"/>
      <c r="N109" s="401"/>
      <c r="O109" s="401"/>
      <c r="P109" s="401"/>
      <c r="Q109" s="401"/>
      <c r="R109" s="401"/>
      <c r="S109" s="401"/>
    </row>
    <row r="110" spans="1:19" ht="12.75" hidden="1" customHeight="1">
      <c r="A110" s="401" t="str">
        <f t="shared" si="4"/>
        <v>OK</v>
      </c>
      <c r="B110" s="409" t="str">
        <f t="shared" si="3"/>
        <v/>
      </c>
      <c r="C110" s="404" t="str">
        <f>IF(CONSOLIDA!GD92="","",CONSOLIDA!GD92)</f>
        <v/>
      </c>
      <c r="D110" s="704" t="str">
        <f>IF(CONSOLIDA!GE92="","",CONSOLIDA!GE92)</f>
        <v/>
      </c>
      <c r="E110" s="704"/>
      <c r="F110" s="704"/>
      <c r="G110" s="704"/>
      <c r="H110" s="704"/>
      <c r="I110" s="401"/>
      <c r="J110" s="401"/>
      <c r="K110" s="401"/>
      <c r="L110" s="401"/>
      <c r="M110" s="401"/>
      <c r="N110" s="401"/>
      <c r="O110" s="401"/>
      <c r="P110" s="401"/>
      <c r="Q110" s="401"/>
      <c r="R110" s="401"/>
      <c r="S110" s="401"/>
    </row>
    <row r="111" spans="1:19" ht="12.75" hidden="1" customHeight="1">
      <c r="A111" s="401" t="str">
        <f t="shared" si="4"/>
        <v>OK</v>
      </c>
      <c r="B111" s="409" t="str">
        <f t="shared" si="3"/>
        <v/>
      </c>
      <c r="C111" s="404" t="str">
        <f>IF(CONSOLIDA!GD93="","",CONSOLIDA!GD93)</f>
        <v/>
      </c>
      <c r="D111" s="704" t="str">
        <f>IF(CONSOLIDA!GE93="","",CONSOLIDA!GE93)</f>
        <v/>
      </c>
      <c r="E111" s="704"/>
      <c r="F111" s="704"/>
      <c r="G111" s="704"/>
      <c r="H111" s="704"/>
      <c r="I111" s="401"/>
      <c r="J111" s="401"/>
      <c r="K111" s="401"/>
      <c r="L111" s="401"/>
      <c r="M111" s="401"/>
      <c r="N111" s="401"/>
      <c r="O111" s="401"/>
      <c r="P111" s="401"/>
      <c r="Q111" s="401"/>
      <c r="R111" s="401"/>
      <c r="S111" s="401"/>
    </row>
    <row r="112" spans="1:19" ht="12.75" hidden="1" customHeight="1">
      <c r="A112" s="401" t="str">
        <f t="shared" si="4"/>
        <v>OK</v>
      </c>
      <c r="B112" s="409" t="str">
        <f t="shared" si="3"/>
        <v/>
      </c>
      <c r="C112" s="404" t="str">
        <f>IF(CONSOLIDA!GD94="","",CONSOLIDA!GD94)</f>
        <v/>
      </c>
      <c r="D112" s="704" t="str">
        <f>IF(CONSOLIDA!GE94="","",CONSOLIDA!GE94)</f>
        <v/>
      </c>
      <c r="E112" s="704"/>
      <c r="F112" s="704"/>
      <c r="G112" s="704"/>
      <c r="H112" s="704"/>
      <c r="I112" s="401"/>
      <c r="J112" s="401"/>
      <c r="K112" s="401"/>
      <c r="L112" s="401"/>
      <c r="M112" s="401"/>
      <c r="N112" s="401"/>
      <c r="O112" s="401"/>
      <c r="P112" s="401"/>
      <c r="Q112" s="401"/>
      <c r="R112" s="401"/>
      <c r="S112" s="401"/>
    </row>
    <row r="113" spans="1:19" ht="12.75" hidden="1" customHeight="1">
      <c r="A113" s="401" t="str">
        <f t="shared" si="4"/>
        <v>OK</v>
      </c>
      <c r="B113" s="409" t="str">
        <f t="shared" si="3"/>
        <v/>
      </c>
      <c r="C113" s="404" t="str">
        <f>IF(CONSOLIDA!GD95="","",CONSOLIDA!GD95)</f>
        <v/>
      </c>
      <c r="D113" s="704" t="str">
        <f>IF(CONSOLIDA!GE95="","",CONSOLIDA!GE95)</f>
        <v/>
      </c>
      <c r="E113" s="704"/>
      <c r="F113" s="704"/>
      <c r="G113" s="704"/>
      <c r="H113" s="704"/>
      <c r="I113" s="401"/>
      <c r="J113" s="401"/>
      <c r="K113" s="401"/>
      <c r="L113" s="401"/>
      <c r="M113" s="401"/>
      <c r="N113" s="401"/>
      <c r="O113" s="401"/>
      <c r="P113" s="401"/>
      <c r="Q113" s="401"/>
      <c r="R113" s="401"/>
      <c r="S113" s="401"/>
    </row>
    <row r="114" spans="1:19" ht="12.75" hidden="1" customHeight="1">
      <c r="A114" s="401" t="str">
        <f t="shared" si="4"/>
        <v>OK</v>
      </c>
      <c r="B114" s="409" t="str">
        <f t="shared" si="3"/>
        <v/>
      </c>
      <c r="C114" s="404" t="str">
        <f>IF(CONSOLIDA!GD96="","",CONSOLIDA!GD96)</f>
        <v/>
      </c>
      <c r="D114" s="704" t="str">
        <f>IF(CONSOLIDA!GE96="","",CONSOLIDA!GE96)</f>
        <v/>
      </c>
      <c r="E114" s="704"/>
      <c r="F114" s="704"/>
      <c r="G114" s="704"/>
      <c r="H114" s="704"/>
      <c r="I114" s="401"/>
      <c r="J114" s="401"/>
      <c r="K114" s="401"/>
      <c r="L114" s="401"/>
      <c r="M114" s="401"/>
      <c r="N114" s="401"/>
      <c r="O114" s="401"/>
      <c r="P114" s="401"/>
      <c r="Q114" s="401"/>
      <c r="R114" s="401"/>
      <c r="S114" s="401"/>
    </row>
    <row r="115" spans="1:19" ht="12.75" hidden="1" customHeight="1">
      <c r="A115" s="401" t="str">
        <f t="shared" si="4"/>
        <v>OK</v>
      </c>
      <c r="B115" s="409" t="str">
        <f t="shared" si="3"/>
        <v/>
      </c>
      <c r="C115" s="404" t="str">
        <f>IF(CONSOLIDA!GD97="","",CONSOLIDA!GD97)</f>
        <v/>
      </c>
      <c r="D115" s="704" t="str">
        <f>IF(CONSOLIDA!GE97="","",CONSOLIDA!GE97)</f>
        <v/>
      </c>
      <c r="E115" s="704"/>
      <c r="F115" s="704"/>
      <c r="G115" s="704"/>
      <c r="H115" s="704"/>
      <c r="I115" s="401"/>
      <c r="J115" s="401"/>
      <c r="K115" s="401"/>
      <c r="L115" s="401"/>
      <c r="M115" s="401"/>
      <c r="N115" s="401"/>
      <c r="O115" s="401"/>
      <c r="P115" s="401"/>
      <c r="Q115" s="401"/>
      <c r="R115" s="401"/>
      <c r="S115" s="401"/>
    </row>
    <row r="116" spans="1:19" ht="12.75" hidden="1" customHeight="1">
      <c r="A116" s="401" t="str">
        <f t="shared" si="4"/>
        <v>OK</v>
      </c>
      <c r="B116" s="409" t="str">
        <f t="shared" si="3"/>
        <v/>
      </c>
      <c r="C116" s="404" t="str">
        <f>IF(CONSOLIDA!GD98="","",CONSOLIDA!GD98)</f>
        <v/>
      </c>
      <c r="D116" s="704" t="str">
        <f>IF(CONSOLIDA!GE98="","",CONSOLIDA!GE98)</f>
        <v/>
      </c>
      <c r="E116" s="704"/>
      <c r="F116" s="704"/>
      <c r="G116" s="704"/>
      <c r="H116" s="704"/>
      <c r="I116" s="401"/>
      <c r="J116" s="401"/>
      <c r="K116" s="401"/>
      <c r="L116" s="401"/>
      <c r="M116" s="401"/>
      <c r="N116" s="401"/>
      <c r="O116" s="401"/>
      <c r="P116" s="401"/>
      <c r="Q116" s="401"/>
      <c r="R116" s="401"/>
      <c r="S116" s="401"/>
    </row>
    <row r="117" spans="1:19" ht="12.75" hidden="1" customHeight="1">
      <c r="A117" s="401" t="str">
        <f t="shared" si="4"/>
        <v>OK</v>
      </c>
      <c r="B117" s="409" t="str">
        <f t="shared" si="3"/>
        <v/>
      </c>
      <c r="C117" s="404" t="str">
        <f>IF(CONSOLIDA!GD99="","",CONSOLIDA!GD99)</f>
        <v/>
      </c>
      <c r="D117" s="704" t="str">
        <f>IF(CONSOLIDA!GE99="","",CONSOLIDA!GE99)</f>
        <v/>
      </c>
      <c r="E117" s="704"/>
      <c r="F117" s="704"/>
      <c r="G117" s="704"/>
      <c r="H117" s="704"/>
      <c r="I117" s="401"/>
      <c r="J117" s="401"/>
      <c r="K117" s="401"/>
      <c r="L117" s="401"/>
      <c r="M117" s="401"/>
      <c r="N117" s="401"/>
      <c r="O117" s="401"/>
      <c r="P117" s="401"/>
      <c r="Q117" s="401"/>
      <c r="R117" s="401"/>
      <c r="S117" s="401"/>
    </row>
    <row r="118" spans="1:19" ht="12.75" hidden="1" customHeight="1">
      <c r="A118" s="401" t="str">
        <f t="shared" si="4"/>
        <v>OK</v>
      </c>
      <c r="B118" s="409" t="str">
        <f t="shared" si="3"/>
        <v/>
      </c>
      <c r="C118" s="404" t="str">
        <f>IF(CONSOLIDA!GD100="","",CONSOLIDA!GD100)</f>
        <v/>
      </c>
      <c r="D118" s="704" t="str">
        <f>IF(CONSOLIDA!GE100="","",CONSOLIDA!GE100)</f>
        <v/>
      </c>
      <c r="E118" s="704"/>
      <c r="F118" s="704"/>
      <c r="G118" s="704"/>
      <c r="H118" s="704"/>
      <c r="I118" s="401"/>
      <c r="J118" s="401"/>
      <c r="K118" s="401"/>
      <c r="L118" s="401"/>
      <c r="M118" s="401"/>
      <c r="N118" s="401"/>
      <c r="O118" s="401"/>
      <c r="P118" s="401"/>
      <c r="Q118" s="401"/>
      <c r="R118" s="401"/>
      <c r="S118" s="401"/>
    </row>
    <row r="119" spans="1:19" ht="12.75" hidden="1" customHeight="1">
      <c r="A119" s="401" t="str">
        <f t="shared" si="4"/>
        <v>OK</v>
      </c>
      <c r="B119" s="409" t="str">
        <f t="shared" si="3"/>
        <v/>
      </c>
      <c r="C119" s="404" t="str">
        <f>IF(CONSOLIDA!GD101="","",CONSOLIDA!GD101)</f>
        <v/>
      </c>
      <c r="D119" s="704" t="str">
        <f>IF(CONSOLIDA!GE101="","",CONSOLIDA!GE101)</f>
        <v/>
      </c>
      <c r="E119" s="704"/>
      <c r="F119" s="704"/>
      <c r="G119" s="704"/>
      <c r="H119" s="704"/>
      <c r="I119" s="401"/>
      <c r="J119" s="401"/>
      <c r="K119" s="401"/>
      <c r="L119" s="401"/>
      <c r="M119" s="401"/>
      <c r="N119" s="401"/>
      <c r="O119" s="401"/>
      <c r="P119" s="401"/>
      <c r="Q119" s="401"/>
      <c r="R119" s="401"/>
      <c r="S119" s="401"/>
    </row>
    <row r="120" spans="1:19" ht="12.75" hidden="1" customHeight="1">
      <c r="A120" s="401" t="str">
        <f t="shared" si="4"/>
        <v>OK</v>
      </c>
      <c r="B120" s="409" t="str">
        <f t="shared" si="3"/>
        <v/>
      </c>
      <c r="C120" s="404" t="str">
        <f>IF(CONSOLIDA!GD102="","",CONSOLIDA!GD102)</f>
        <v/>
      </c>
      <c r="D120" s="704" t="str">
        <f>IF(CONSOLIDA!GE102="","",CONSOLIDA!GE102)</f>
        <v/>
      </c>
      <c r="E120" s="704"/>
      <c r="F120" s="704"/>
      <c r="G120" s="704"/>
      <c r="H120" s="704"/>
      <c r="I120" s="401"/>
      <c r="J120" s="401"/>
      <c r="K120" s="401"/>
      <c r="L120" s="401"/>
      <c r="M120" s="401"/>
      <c r="N120" s="401"/>
      <c r="O120" s="401"/>
      <c r="P120" s="401"/>
      <c r="Q120" s="401"/>
      <c r="R120" s="401"/>
      <c r="S120" s="401"/>
    </row>
    <row r="121" spans="1:19" ht="12.75" hidden="1" customHeight="1">
      <c r="A121" s="401" t="str">
        <f t="shared" si="4"/>
        <v>OK</v>
      </c>
      <c r="B121" s="409" t="str">
        <f t="shared" si="3"/>
        <v/>
      </c>
      <c r="C121" s="404" t="str">
        <f>IF(CONSOLIDA!GD103="","",CONSOLIDA!GD103)</f>
        <v/>
      </c>
      <c r="D121" s="704" t="str">
        <f>IF(CONSOLIDA!GE103="","",CONSOLIDA!GE103)</f>
        <v/>
      </c>
      <c r="E121" s="704"/>
      <c r="F121" s="704"/>
      <c r="G121" s="704"/>
      <c r="H121" s="704"/>
      <c r="I121" s="401"/>
      <c r="J121" s="401"/>
      <c r="K121" s="401"/>
      <c r="L121" s="401"/>
      <c r="M121" s="401"/>
      <c r="N121" s="401"/>
      <c r="O121" s="401"/>
      <c r="P121" s="401"/>
      <c r="Q121" s="401"/>
      <c r="R121" s="401"/>
      <c r="S121" s="401"/>
    </row>
    <row r="122" spans="1:19" ht="12.75" hidden="1" customHeight="1">
      <c r="A122" s="401" t="str">
        <f t="shared" si="4"/>
        <v>OK</v>
      </c>
      <c r="B122" s="409" t="str">
        <f t="shared" si="3"/>
        <v/>
      </c>
      <c r="C122" s="404" t="str">
        <f>IF(CONSOLIDA!GD104="","",CONSOLIDA!GD104)</f>
        <v/>
      </c>
      <c r="D122" s="704" t="str">
        <f>IF(CONSOLIDA!GE104="","",CONSOLIDA!GE104)</f>
        <v/>
      </c>
      <c r="E122" s="704"/>
      <c r="F122" s="704"/>
      <c r="G122" s="704"/>
      <c r="H122" s="704"/>
      <c r="I122" s="401"/>
      <c r="J122" s="401"/>
      <c r="K122" s="401"/>
      <c r="L122" s="401"/>
      <c r="M122" s="401"/>
      <c r="N122" s="401"/>
      <c r="O122" s="401"/>
      <c r="P122" s="401"/>
      <c r="Q122" s="401"/>
      <c r="R122" s="401"/>
      <c r="S122" s="401"/>
    </row>
    <row r="123" spans="1:19" ht="12.75" hidden="1" customHeight="1">
      <c r="A123" s="401" t="str">
        <f t="shared" si="4"/>
        <v>OK</v>
      </c>
      <c r="B123" s="409" t="str">
        <f t="shared" si="3"/>
        <v/>
      </c>
      <c r="C123" s="404" t="str">
        <f>IF(CONSOLIDA!GD105="","",CONSOLIDA!GD105)</f>
        <v/>
      </c>
      <c r="D123" s="704" t="str">
        <f>IF(CONSOLIDA!GE105="","",CONSOLIDA!GE105)</f>
        <v/>
      </c>
      <c r="E123" s="704"/>
      <c r="F123" s="704"/>
      <c r="G123" s="704"/>
      <c r="H123" s="704"/>
      <c r="I123" s="401"/>
      <c r="J123" s="401"/>
      <c r="K123" s="401"/>
      <c r="L123" s="401"/>
      <c r="M123" s="401"/>
      <c r="N123" s="401"/>
      <c r="O123" s="401"/>
      <c r="P123" s="401"/>
      <c r="Q123" s="401"/>
      <c r="R123" s="401"/>
      <c r="S123" s="401"/>
    </row>
    <row r="124" spans="1:19" ht="12.75" hidden="1" customHeight="1">
      <c r="A124" s="401" t="str">
        <f t="shared" si="4"/>
        <v>OK</v>
      </c>
      <c r="B124" s="409" t="str">
        <f t="shared" si="3"/>
        <v/>
      </c>
      <c r="C124" s="404" t="str">
        <f>IF(CONSOLIDA!GD106="","",CONSOLIDA!GD106)</f>
        <v/>
      </c>
      <c r="D124" s="704" t="str">
        <f>IF(CONSOLIDA!GE106="","",CONSOLIDA!GE106)</f>
        <v/>
      </c>
      <c r="E124" s="704"/>
      <c r="F124" s="704"/>
      <c r="G124" s="704"/>
      <c r="H124" s="704"/>
      <c r="I124" s="401"/>
      <c r="J124" s="401"/>
      <c r="K124" s="401"/>
      <c r="L124" s="401"/>
      <c r="M124" s="401"/>
      <c r="N124" s="401"/>
      <c r="O124" s="401"/>
      <c r="P124" s="401"/>
      <c r="Q124" s="401"/>
      <c r="R124" s="401"/>
      <c r="S124" s="401"/>
    </row>
    <row r="125" spans="1:19" ht="12.75" hidden="1" customHeight="1">
      <c r="A125" s="401" t="str">
        <f t="shared" si="4"/>
        <v>OK</v>
      </c>
      <c r="B125" s="409" t="str">
        <f t="shared" si="3"/>
        <v/>
      </c>
      <c r="C125" s="404" t="str">
        <f>IF(CONSOLIDA!GD107="","",CONSOLIDA!GD107)</f>
        <v/>
      </c>
      <c r="D125" s="704" t="str">
        <f>IF(CONSOLIDA!GE107="","",CONSOLIDA!GE107)</f>
        <v/>
      </c>
      <c r="E125" s="704"/>
      <c r="F125" s="704"/>
      <c r="G125" s="704"/>
      <c r="H125" s="704"/>
      <c r="I125" s="401"/>
      <c r="J125" s="401"/>
      <c r="K125" s="401"/>
      <c r="L125" s="401"/>
      <c r="M125" s="401"/>
      <c r="N125" s="401"/>
      <c r="O125" s="401"/>
      <c r="P125" s="401"/>
      <c r="Q125" s="401"/>
      <c r="R125" s="401"/>
      <c r="S125" s="401"/>
    </row>
    <row r="126" spans="1:19" ht="12.75" hidden="1" customHeight="1">
      <c r="A126" s="401" t="str">
        <f t="shared" si="4"/>
        <v>OK</v>
      </c>
      <c r="B126" s="409" t="str">
        <f t="shared" si="3"/>
        <v/>
      </c>
      <c r="C126" s="404" t="str">
        <f>IF(CONSOLIDA!GD108="","",CONSOLIDA!GD108)</f>
        <v/>
      </c>
      <c r="D126" s="704" t="str">
        <f>IF(CONSOLIDA!GE108="","",CONSOLIDA!GE108)</f>
        <v/>
      </c>
      <c r="E126" s="704"/>
      <c r="F126" s="704"/>
      <c r="G126" s="704"/>
      <c r="H126" s="704"/>
      <c r="I126" s="401"/>
      <c r="J126" s="401"/>
      <c r="K126" s="401"/>
      <c r="L126" s="401"/>
      <c r="M126" s="401"/>
      <c r="N126" s="401"/>
      <c r="O126" s="401"/>
      <c r="P126" s="401"/>
      <c r="Q126" s="401"/>
      <c r="R126" s="401"/>
      <c r="S126" s="401"/>
    </row>
    <row r="127" spans="1:19" ht="12.75" hidden="1" customHeight="1">
      <c r="A127" s="401" t="str">
        <f t="shared" si="4"/>
        <v>OK</v>
      </c>
      <c r="B127" s="409" t="str">
        <f t="shared" si="3"/>
        <v/>
      </c>
      <c r="C127" s="404" t="str">
        <f>IF(CONSOLIDA!GD109="","",CONSOLIDA!GD109)</f>
        <v/>
      </c>
      <c r="D127" s="704" t="str">
        <f>IF(CONSOLIDA!GE109="","",CONSOLIDA!GE109)</f>
        <v/>
      </c>
      <c r="E127" s="704"/>
      <c r="F127" s="704"/>
      <c r="G127" s="704"/>
      <c r="H127" s="704"/>
      <c r="I127" s="401"/>
      <c r="J127" s="401"/>
      <c r="K127" s="401"/>
      <c r="L127" s="401"/>
      <c r="M127" s="401"/>
      <c r="N127" s="401"/>
      <c r="O127" s="401"/>
      <c r="P127" s="401"/>
      <c r="Q127" s="401"/>
      <c r="R127" s="401"/>
      <c r="S127" s="401"/>
    </row>
    <row r="128" spans="1:19" ht="12.75" hidden="1" customHeight="1">
      <c r="A128" s="401" t="str">
        <f t="shared" si="4"/>
        <v>OK</v>
      </c>
      <c r="B128" s="409" t="str">
        <f t="shared" si="3"/>
        <v/>
      </c>
      <c r="C128" s="404" t="str">
        <f>IF(CONSOLIDA!GD110="","",CONSOLIDA!GD110)</f>
        <v/>
      </c>
      <c r="D128" s="704" t="str">
        <f>IF(CONSOLIDA!GE110="","",CONSOLIDA!GE110)</f>
        <v/>
      </c>
      <c r="E128" s="704"/>
      <c r="F128" s="704"/>
      <c r="G128" s="704"/>
      <c r="H128" s="704"/>
      <c r="I128" s="401"/>
      <c r="J128" s="401"/>
      <c r="K128" s="401"/>
      <c r="L128" s="401"/>
      <c r="M128" s="401"/>
      <c r="N128" s="401"/>
      <c r="O128" s="401"/>
      <c r="P128" s="401"/>
      <c r="Q128" s="401"/>
      <c r="R128" s="401"/>
      <c r="S128" s="401"/>
    </row>
    <row r="129" spans="1:19" ht="12.75" hidden="1" customHeight="1">
      <c r="A129" s="401" t="str">
        <f t="shared" si="4"/>
        <v>OK</v>
      </c>
      <c r="B129" s="409" t="str">
        <f t="shared" si="3"/>
        <v/>
      </c>
      <c r="C129" s="404" t="str">
        <f>IF(CONSOLIDA!GD111="","",CONSOLIDA!GD111)</f>
        <v/>
      </c>
      <c r="D129" s="704" t="str">
        <f>IF(CONSOLIDA!GE111="","",CONSOLIDA!GE111)</f>
        <v/>
      </c>
      <c r="E129" s="704"/>
      <c r="F129" s="704"/>
      <c r="G129" s="704"/>
      <c r="H129" s="704"/>
      <c r="I129" s="401"/>
      <c r="J129" s="401"/>
      <c r="K129" s="401"/>
      <c r="L129" s="401"/>
      <c r="M129" s="401"/>
      <c r="N129" s="401"/>
      <c r="O129" s="401"/>
      <c r="P129" s="401"/>
      <c r="Q129" s="401"/>
      <c r="R129" s="401"/>
      <c r="S129" s="401"/>
    </row>
    <row r="130" spans="1:19" ht="12.75" hidden="1" customHeight="1">
      <c r="A130" s="401" t="str">
        <f t="shared" si="4"/>
        <v>OK</v>
      </c>
      <c r="B130" s="409" t="str">
        <f t="shared" si="3"/>
        <v/>
      </c>
      <c r="C130" s="404" t="str">
        <f>IF(CONSOLIDA!GD112="","",CONSOLIDA!GD112)</f>
        <v/>
      </c>
      <c r="D130" s="704" t="str">
        <f>IF(CONSOLIDA!GE112="","",CONSOLIDA!GE112)</f>
        <v/>
      </c>
      <c r="E130" s="704"/>
      <c r="F130" s="704"/>
      <c r="G130" s="704"/>
      <c r="H130" s="704"/>
      <c r="I130" s="401"/>
      <c r="J130" s="401"/>
      <c r="K130" s="401"/>
      <c r="L130" s="401"/>
      <c r="M130" s="401"/>
      <c r="N130" s="401"/>
      <c r="O130" s="401"/>
      <c r="P130" s="401"/>
      <c r="Q130" s="401"/>
      <c r="R130" s="401"/>
      <c r="S130" s="401"/>
    </row>
    <row r="131" spans="1:19" ht="12.75" hidden="1" customHeight="1">
      <c r="A131" s="401" t="str">
        <f t="shared" si="4"/>
        <v>OK</v>
      </c>
      <c r="B131" s="409" t="str">
        <f t="shared" si="3"/>
        <v/>
      </c>
      <c r="C131" s="404" t="str">
        <f>IF(CONSOLIDA!GD113="","",CONSOLIDA!GD113)</f>
        <v/>
      </c>
      <c r="D131" s="704" t="str">
        <f>IF(CONSOLIDA!GE113="","",CONSOLIDA!GE113)</f>
        <v/>
      </c>
      <c r="E131" s="704"/>
      <c r="F131" s="704"/>
      <c r="G131" s="704"/>
      <c r="H131" s="704"/>
      <c r="I131" s="401"/>
      <c r="J131" s="401"/>
      <c r="K131" s="401"/>
      <c r="L131" s="401"/>
      <c r="M131" s="401"/>
      <c r="N131" s="401"/>
      <c r="O131" s="401"/>
      <c r="P131" s="401"/>
      <c r="Q131" s="401"/>
      <c r="R131" s="401"/>
      <c r="S131" s="401"/>
    </row>
    <row r="132" spans="1:19" ht="12.75" hidden="1" customHeight="1">
      <c r="A132" s="401" t="str">
        <f t="shared" si="4"/>
        <v>OK</v>
      </c>
      <c r="B132" s="409" t="str">
        <f t="shared" si="3"/>
        <v/>
      </c>
      <c r="C132" s="404" t="str">
        <f>IF(CONSOLIDA!GD114="","",CONSOLIDA!GD114)</f>
        <v/>
      </c>
      <c r="D132" s="704" t="str">
        <f>IF(CONSOLIDA!GE114="","",CONSOLIDA!GE114)</f>
        <v/>
      </c>
      <c r="E132" s="704"/>
      <c r="F132" s="704"/>
      <c r="G132" s="704"/>
      <c r="H132" s="704"/>
      <c r="I132" s="401"/>
      <c r="J132" s="401"/>
      <c r="K132" s="401"/>
      <c r="L132" s="401"/>
      <c r="M132" s="401"/>
      <c r="N132" s="401"/>
      <c r="O132" s="401"/>
      <c r="P132" s="401"/>
      <c r="Q132" s="401"/>
      <c r="R132" s="401"/>
      <c r="S132" s="401"/>
    </row>
    <row r="133" spans="1:19" ht="12.75" hidden="1" customHeight="1">
      <c r="A133" s="401" t="str">
        <f t="shared" si="4"/>
        <v>OK</v>
      </c>
      <c r="B133" s="409" t="str">
        <f t="shared" si="3"/>
        <v/>
      </c>
      <c r="C133" s="404" t="str">
        <f>IF(CONSOLIDA!GD115="","",CONSOLIDA!GD115)</f>
        <v/>
      </c>
      <c r="D133" s="704" t="str">
        <f>IF(CONSOLIDA!GE115="","",CONSOLIDA!GE115)</f>
        <v/>
      </c>
      <c r="E133" s="704"/>
      <c r="F133" s="704"/>
      <c r="G133" s="704"/>
      <c r="H133" s="704"/>
      <c r="I133" s="401"/>
      <c r="J133" s="401"/>
      <c r="K133" s="401"/>
      <c r="L133" s="401"/>
      <c r="M133" s="401"/>
      <c r="N133" s="401"/>
      <c r="O133" s="401"/>
      <c r="P133" s="401"/>
      <c r="Q133" s="401"/>
      <c r="R133" s="401"/>
      <c r="S133" s="401"/>
    </row>
    <row r="134" spans="1:19" ht="12.75" hidden="1" customHeight="1">
      <c r="A134" s="401" t="str">
        <f t="shared" si="4"/>
        <v>OK</v>
      </c>
      <c r="B134" s="409" t="str">
        <f t="shared" si="3"/>
        <v/>
      </c>
      <c r="C134" s="404" t="str">
        <f>IF(CONSOLIDA!GD116="","",CONSOLIDA!GD116)</f>
        <v/>
      </c>
      <c r="D134" s="704" t="str">
        <f>IF(CONSOLIDA!GE116="","",CONSOLIDA!GE116)</f>
        <v/>
      </c>
      <c r="E134" s="704"/>
      <c r="F134" s="704"/>
      <c r="G134" s="704"/>
      <c r="H134" s="704"/>
      <c r="I134" s="401"/>
      <c r="J134" s="401"/>
      <c r="K134" s="401"/>
      <c r="L134" s="401"/>
      <c r="M134" s="401"/>
      <c r="N134" s="401"/>
      <c r="O134" s="401"/>
      <c r="P134" s="401"/>
      <c r="Q134" s="401"/>
      <c r="R134" s="401"/>
      <c r="S134" s="401"/>
    </row>
    <row r="135" spans="1:19" ht="12.75" hidden="1" customHeight="1">
      <c r="A135" s="401" t="str">
        <f t="shared" si="4"/>
        <v>OK</v>
      </c>
      <c r="B135" s="409" t="str">
        <f t="shared" si="3"/>
        <v/>
      </c>
      <c r="C135" s="404" t="str">
        <f>IF(CONSOLIDA!GD117="","",CONSOLIDA!GD117)</f>
        <v/>
      </c>
      <c r="D135" s="704" t="str">
        <f>IF(CONSOLIDA!GE117="","",CONSOLIDA!GE117)</f>
        <v/>
      </c>
      <c r="E135" s="704"/>
      <c r="F135" s="704"/>
      <c r="G135" s="704"/>
      <c r="H135" s="704"/>
      <c r="I135" s="401"/>
      <c r="J135" s="401"/>
      <c r="K135" s="401"/>
      <c r="L135" s="401"/>
      <c r="M135" s="401"/>
      <c r="N135" s="401"/>
      <c r="O135" s="401"/>
      <c r="P135" s="401"/>
      <c r="Q135" s="401"/>
      <c r="R135" s="401"/>
      <c r="S135" s="401"/>
    </row>
    <row r="136" spans="1:19" ht="12.75" hidden="1" customHeight="1">
      <c r="A136" s="401" t="str">
        <f t="shared" si="4"/>
        <v>OK</v>
      </c>
      <c r="B136" s="409" t="str">
        <f t="shared" si="3"/>
        <v/>
      </c>
      <c r="C136" s="404" t="str">
        <f>IF(CONSOLIDA!GD118="","",CONSOLIDA!GD118)</f>
        <v/>
      </c>
      <c r="D136" s="704" t="str">
        <f>IF(CONSOLIDA!GE118="","",CONSOLIDA!GE118)</f>
        <v/>
      </c>
      <c r="E136" s="704"/>
      <c r="F136" s="704"/>
      <c r="G136" s="704"/>
      <c r="H136" s="704"/>
      <c r="I136" s="401"/>
      <c r="J136" s="401"/>
      <c r="K136" s="401"/>
      <c r="L136" s="401"/>
      <c r="M136" s="401"/>
      <c r="N136" s="401"/>
      <c r="O136" s="401"/>
      <c r="P136" s="401"/>
      <c r="Q136" s="401"/>
      <c r="R136" s="401"/>
      <c r="S136" s="401"/>
    </row>
    <row r="137" spans="1:19" ht="12.75" hidden="1" customHeight="1">
      <c r="A137" s="401" t="str">
        <f t="shared" si="4"/>
        <v>OK</v>
      </c>
      <c r="B137" s="409" t="str">
        <f t="shared" si="3"/>
        <v/>
      </c>
      <c r="C137" s="404" t="str">
        <f>IF(CONSOLIDA!GD119="","",CONSOLIDA!GD119)</f>
        <v/>
      </c>
      <c r="D137" s="704" t="str">
        <f>IF(CONSOLIDA!GE119="","",CONSOLIDA!GE119)</f>
        <v/>
      </c>
      <c r="E137" s="704"/>
      <c r="F137" s="704"/>
      <c r="G137" s="704"/>
      <c r="H137" s="704"/>
      <c r="I137" s="401"/>
      <c r="J137" s="401"/>
      <c r="K137" s="401"/>
      <c r="L137" s="401"/>
      <c r="M137" s="401"/>
      <c r="N137" s="401"/>
      <c r="O137" s="401"/>
      <c r="P137" s="401"/>
      <c r="Q137" s="401"/>
      <c r="R137" s="401"/>
      <c r="S137" s="401"/>
    </row>
    <row r="138" spans="1:19" ht="12.75" hidden="1" customHeight="1">
      <c r="A138" s="401" t="str">
        <f t="shared" si="4"/>
        <v>OK</v>
      </c>
      <c r="B138" s="409" t="str">
        <f t="shared" si="3"/>
        <v/>
      </c>
      <c r="C138" s="404" t="str">
        <f>IF(CONSOLIDA!GD120="","",CONSOLIDA!GD120)</f>
        <v/>
      </c>
      <c r="D138" s="704" t="str">
        <f>IF(CONSOLIDA!GE120="","",CONSOLIDA!GE120)</f>
        <v/>
      </c>
      <c r="E138" s="704"/>
      <c r="F138" s="704"/>
      <c r="G138" s="704"/>
      <c r="H138" s="704"/>
      <c r="I138" s="401"/>
      <c r="J138" s="401"/>
      <c r="K138" s="401"/>
      <c r="L138" s="401"/>
      <c r="M138" s="401"/>
      <c r="N138" s="401"/>
      <c r="O138" s="401"/>
      <c r="P138" s="401"/>
      <c r="Q138" s="401"/>
      <c r="R138" s="401"/>
      <c r="S138" s="401"/>
    </row>
    <row r="139" spans="1:19" ht="12.75" hidden="1" customHeight="1">
      <c r="A139" s="401" t="str">
        <f t="shared" si="4"/>
        <v>OK</v>
      </c>
      <c r="B139" s="409" t="str">
        <f t="shared" si="3"/>
        <v/>
      </c>
      <c r="C139" s="404" t="str">
        <f>IF(CONSOLIDA!GD121="","",CONSOLIDA!GD121)</f>
        <v/>
      </c>
      <c r="D139" s="704" t="str">
        <f>IF(CONSOLIDA!GE121="","",CONSOLIDA!GE121)</f>
        <v/>
      </c>
      <c r="E139" s="704"/>
      <c r="F139" s="704"/>
      <c r="G139" s="704"/>
      <c r="H139" s="704"/>
      <c r="I139" s="401"/>
      <c r="J139" s="401"/>
      <c r="K139" s="401"/>
      <c r="L139" s="401"/>
      <c r="M139" s="401"/>
      <c r="N139" s="401"/>
      <c r="O139" s="401"/>
      <c r="P139" s="401"/>
      <c r="Q139" s="401"/>
      <c r="R139" s="401"/>
      <c r="S139" s="401"/>
    </row>
    <row r="140" spans="1:19" ht="12.75" hidden="1" customHeight="1">
      <c r="A140" s="401" t="str">
        <f t="shared" si="4"/>
        <v>OK</v>
      </c>
      <c r="B140" s="409" t="str">
        <f t="shared" si="3"/>
        <v/>
      </c>
      <c r="C140" s="404" t="str">
        <f>IF(CONSOLIDA!GD122="","",CONSOLIDA!GD122)</f>
        <v/>
      </c>
      <c r="D140" s="704" t="str">
        <f>IF(CONSOLIDA!GE122="","",CONSOLIDA!GE122)</f>
        <v/>
      </c>
      <c r="E140" s="704"/>
      <c r="F140" s="704"/>
      <c r="G140" s="704"/>
      <c r="H140" s="704"/>
      <c r="I140" s="401"/>
      <c r="J140" s="401"/>
      <c r="K140" s="401"/>
      <c r="L140" s="401"/>
      <c r="M140" s="401"/>
      <c r="N140" s="401"/>
      <c r="O140" s="401"/>
      <c r="P140" s="401"/>
      <c r="Q140" s="401"/>
      <c r="R140" s="401"/>
      <c r="S140" s="401"/>
    </row>
    <row r="141" spans="1:19" ht="12.75" hidden="1" customHeight="1">
      <c r="A141" s="401" t="str">
        <f t="shared" si="4"/>
        <v>OK</v>
      </c>
      <c r="B141" s="409" t="str">
        <f t="shared" si="3"/>
        <v/>
      </c>
      <c r="C141" s="404" t="str">
        <f>IF(CONSOLIDA!GD123="","",CONSOLIDA!GD123)</f>
        <v/>
      </c>
      <c r="D141" s="704" t="str">
        <f>IF(CONSOLIDA!GE123="","",CONSOLIDA!GE123)</f>
        <v/>
      </c>
      <c r="E141" s="704"/>
      <c r="F141" s="704"/>
      <c r="G141" s="704"/>
      <c r="H141" s="704"/>
      <c r="I141" s="401"/>
      <c r="J141" s="401"/>
      <c r="K141" s="401"/>
      <c r="L141" s="401"/>
      <c r="M141" s="401"/>
      <c r="N141" s="401"/>
      <c r="O141" s="401"/>
      <c r="P141" s="401"/>
      <c r="Q141" s="401"/>
      <c r="R141" s="401"/>
      <c r="S141" s="401"/>
    </row>
    <row r="142" spans="1:19" ht="12.75" hidden="1" customHeight="1">
      <c r="A142" s="401" t="str">
        <f t="shared" si="4"/>
        <v>OK</v>
      </c>
      <c r="B142" s="409" t="str">
        <f t="shared" si="3"/>
        <v/>
      </c>
      <c r="C142" s="404" t="str">
        <f>IF(CONSOLIDA!GD124="","",CONSOLIDA!GD124)</f>
        <v/>
      </c>
      <c r="D142" s="704" t="str">
        <f>IF(CONSOLIDA!GE124="","",CONSOLIDA!GE124)</f>
        <v/>
      </c>
      <c r="E142" s="704"/>
      <c r="F142" s="704"/>
      <c r="G142" s="704"/>
      <c r="H142" s="704"/>
      <c r="I142" s="401"/>
      <c r="J142" s="401"/>
      <c r="K142" s="401"/>
      <c r="L142" s="401"/>
      <c r="M142" s="401"/>
      <c r="N142" s="401"/>
      <c r="O142" s="401"/>
      <c r="P142" s="401"/>
      <c r="Q142" s="401"/>
      <c r="R142" s="401"/>
      <c r="S142" s="401"/>
    </row>
    <row r="143" spans="1:19" ht="12.75" hidden="1" customHeight="1">
      <c r="A143" s="401" t="str">
        <f t="shared" si="4"/>
        <v>OK</v>
      </c>
      <c r="B143" s="409" t="str">
        <f t="shared" si="3"/>
        <v/>
      </c>
      <c r="C143" s="404" t="str">
        <f>IF(CONSOLIDA!GD125="","",CONSOLIDA!GD125)</f>
        <v/>
      </c>
      <c r="D143" s="704" t="str">
        <f>IF(CONSOLIDA!GE125="","",CONSOLIDA!GE125)</f>
        <v/>
      </c>
      <c r="E143" s="704"/>
      <c r="F143" s="704"/>
      <c r="G143" s="704"/>
      <c r="H143" s="704"/>
      <c r="I143" s="401"/>
      <c r="J143" s="401"/>
      <c r="K143" s="401"/>
      <c r="L143" s="401"/>
      <c r="M143" s="401"/>
      <c r="N143" s="401"/>
      <c r="O143" s="401"/>
      <c r="P143" s="401"/>
      <c r="Q143" s="401"/>
      <c r="R143" s="401"/>
      <c r="S143" s="401"/>
    </row>
    <row r="144" spans="1:19" ht="12.75" hidden="1" customHeight="1">
      <c r="A144" s="401" t="str">
        <f t="shared" si="4"/>
        <v>OK</v>
      </c>
      <c r="B144" s="409" t="str">
        <f t="shared" si="3"/>
        <v/>
      </c>
      <c r="C144" s="404" t="str">
        <f>IF(CONSOLIDA!GD126="","",CONSOLIDA!GD126)</f>
        <v/>
      </c>
      <c r="D144" s="704" t="str">
        <f>IF(CONSOLIDA!GE126="","",CONSOLIDA!GE126)</f>
        <v/>
      </c>
      <c r="E144" s="704"/>
      <c r="F144" s="704"/>
      <c r="G144" s="704"/>
      <c r="H144" s="704"/>
      <c r="I144" s="401"/>
      <c r="J144" s="401"/>
      <c r="K144" s="401"/>
      <c r="L144" s="401"/>
      <c r="M144" s="401"/>
      <c r="N144" s="401"/>
      <c r="O144" s="401"/>
      <c r="P144" s="401"/>
      <c r="Q144" s="401"/>
      <c r="R144" s="401"/>
      <c r="S144" s="401"/>
    </row>
    <row r="145" spans="1:19" ht="12.75" hidden="1" customHeight="1">
      <c r="A145" s="401" t="str">
        <f t="shared" si="4"/>
        <v>OK</v>
      </c>
      <c r="B145" s="409" t="str">
        <f t="shared" si="3"/>
        <v/>
      </c>
      <c r="C145" s="404" t="str">
        <f>IF(CONSOLIDA!GD127="","",CONSOLIDA!GD127)</f>
        <v/>
      </c>
      <c r="D145" s="704" t="str">
        <f>IF(CONSOLIDA!GE127="","",CONSOLIDA!GE127)</f>
        <v/>
      </c>
      <c r="E145" s="704"/>
      <c r="F145" s="704"/>
      <c r="G145" s="704"/>
      <c r="H145" s="704"/>
      <c r="I145" s="401"/>
      <c r="J145" s="401"/>
      <c r="K145" s="401"/>
      <c r="L145" s="401"/>
      <c r="M145" s="401"/>
      <c r="N145" s="401"/>
      <c r="O145" s="401"/>
      <c r="P145" s="401"/>
      <c r="Q145" s="401"/>
      <c r="R145" s="401"/>
      <c r="S145" s="401"/>
    </row>
    <row r="146" spans="1:19" ht="12.75" hidden="1" customHeight="1">
      <c r="A146" s="401" t="str">
        <f t="shared" si="4"/>
        <v>OK</v>
      </c>
      <c r="B146" s="409" t="str">
        <f t="shared" si="3"/>
        <v/>
      </c>
      <c r="C146" s="404" t="str">
        <f>IF(CONSOLIDA!GD128="","",CONSOLIDA!GD128)</f>
        <v/>
      </c>
      <c r="D146" s="704" t="str">
        <f>IF(CONSOLIDA!GE128="","",CONSOLIDA!GE128)</f>
        <v/>
      </c>
      <c r="E146" s="704"/>
      <c r="F146" s="704"/>
      <c r="G146" s="704"/>
      <c r="H146" s="704"/>
      <c r="I146" s="401"/>
      <c r="J146" s="401"/>
      <c r="K146" s="401"/>
      <c r="L146" s="401"/>
      <c r="M146" s="401"/>
      <c r="N146" s="401"/>
      <c r="O146" s="401"/>
      <c r="P146" s="401"/>
      <c r="Q146" s="401"/>
      <c r="R146" s="401"/>
      <c r="S146" s="401"/>
    </row>
    <row r="147" spans="1:19" ht="12.75" hidden="1" customHeight="1">
      <c r="A147" s="401" t="str">
        <f t="shared" si="4"/>
        <v>OK</v>
      </c>
      <c r="B147" s="409" t="str">
        <f t="shared" si="3"/>
        <v/>
      </c>
      <c r="C147" s="404" t="str">
        <f>IF(CONSOLIDA!GD129="","",CONSOLIDA!GD129)</f>
        <v/>
      </c>
      <c r="D147" s="704" t="str">
        <f>IF(CONSOLIDA!GE129="","",CONSOLIDA!GE129)</f>
        <v/>
      </c>
      <c r="E147" s="704"/>
      <c r="F147" s="704"/>
      <c r="G147" s="704"/>
      <c r="H147" s="704"/>
      <c r="I147" s="401"/>
      <c r="J147" s="401"/>
      <c r="K147" s="401"/>
      <c r="L147" s="401"/>
      <c r="M147" s="401"/>
      <c r="N147" s="401"/>
      <c r="O147" s="401"/>
      <c r="P147" s="401"/>
      <c r="Q147" s="401"/>
      <c r="R147" s="401"/>
      <c r="S147" s="401"/>
    </row>
    <row r="148" spans="1:19" ht="12.75" hidden="1" customHeight="1">
      <c r="A148" s="401" t="str">
        <f t="shared" si="4"/>
        <v>OK</v>
      </c>
      <c r="B148" s="409" t="str">
        <f t="shared" si="3"/>
        <v/>
      </c>
      <c r="C148" s="404" t="str">
        <f>IF(CONSOLIDA!GD130="","",CONSOLIDA!GD130)</f>
        <v/>
      </c>
      <c r="D148" s="704" t="str">
        <f>IF(CONSOLIDA!GE130="","",CONSOLIDA!GE130)</f>
        <v/>
      </c>
      <c r="E148" s="704"/>
      <c r="F148" s="704"/>
      <c r="G148" s="704"/>
      <c r="H148" s="704"/>
      <c r="I148" s="401"/>
      <c r="J148" s="401"/>
      <c r="K148" s="401"/>
      <c r="L148" s="401"/>
      <c r="M148" s="401"/>
      <c r="N148" s="401"/>
      <c r="O148" s="401"/>
      <c r="P148" s="401"/>
      <c r="Q148" s="401"/>
      <c r="R148" s="401"/>
      <c r="S148" s="401"/>
    </row>
    <row r="149" spans="1:19" ht="12.75" hidden="1" customHeight="1">
      <c r="A149" s="401" t="str">
        <f t="shared" si="4"/>
        <v>OK</v>
      </c>
      <c r="B149" s="409" t="str">
        <f t="shared" si="3"/>
        <v/>
      </c>
      <c r="C149" s="404" t="str">
        <f>IF(CONSOLIDA!GD131="","",CONSOLIDA!GD131)</f>
        <v/>
      </c>
      <c r="D149" s="704" t="str">
        <f>IF(CONSOLIDA!GE131="","",CONSOLIDA!GE131)</f>
        <v/>
      </c>
      <c r="E149" s="704"/>
      <c r="F149" s="704"/>
      <c r="G149" s="704"/>
      <c r="H149" s="704"/>
      <c r="I149" s="401"/>
      <c r="J149" s="401"/>
      <c r="K149" s="401"/>
      <c r="L149" s="401"/>
      <c r="M149" s="401"/>
      <c r="N149" s="401"/>
      <c r="O149" s="401"/>
      <c r="P149" s="401"/>
      <c r="Q149" s="401"/>
      <c r="R149" s="401"/>
      <c r="S149" s="401"/>
    </row>
    <row r="150" spans="1:19" ht="12.75" hidden="1" customHeight="1">
      <c r="A150" s="401" t="str">
        <f t="shared" si="4"/>
        <v>OK</v>
      </c>
      <c r="B150" s="409" t="str">
        <f t="shared" si="3"/>
        <v/>
      </c>
      <c r="C150" s="404" t="str">
        <f>IF(CONSOLIDA!GD132="","",CONSOLIDA!GD132)</f>
        <v/>
      </c>
      <c r="D150" s="704" t="str">
        <f>IF(CONSOLIDA!GE132="","",CONSOLIDA!GE132)</f>
        <v/>
      </c>
      <c r="E150" s="704"/>
      <c r="F150" s="704"/>
      <c r="G150" s="704"/>
      <c r="H150" s="704"/>
      <c r="I150" s="401"/>
      <c r="J150" s="401"/>
      <c r="K150" s="401"/>
      <c r="L150" s="401"/>
      <c r="M150" s="401"/>
      <c r="N150" s="401"/>
      <c r="O150" s="401"/>
      <c r="P150" s="401"/>
      <c r="Q150" s="401"/>
      <c r="R150" s="401"/>
      <c r="S150" s="401"/>
    </row>
    <row r="151" spans="1:19" ht="12.75" hidden="1" customHeight="1">
      <c r="A151" s="401" t="str">
        <f t="shared" si="4"/>
        <v>OK</v>
      </c>
      <c r="B151" s="409" t="str">
        <f t="shared" si="3"/>
        <v/>
      </c>
      <c r="C151" s="404" t="str">
        <f>IF(CONSOLIDA!GD133="","",CONSOLIDA!GD133)</f>
        <v/>
      </c>
      <c r="D151" s="704" t="str">
        <f>IF(CONSOLIDA!GE133="","",CONSOLIDA!GE133)</f>
        <v/>
      </c>
      <c r="E151" s="704"/>
      <c r="F151" s="704"/>
      <c r="G151" s="704"/>
      <c r="H151" s="704"/>
      <c r="I151" s="401"/>
      <c r="J151" s="401"/>
      <c r="K151" s="401"/>
      <c r="L151" s="401"/>
      <c r="M151" s="401"/>
      <c r="N151" s="401"/>
      <c r="O151" s="401"/>
      <c r="P151" s="401"/>
      <c r="Q151" s="401"/>
      <c r="R151" s="401"/>
      <c r="S151" s="401"/>
    </row>
    <row r="152" spans="1:19" ht="12.75" hidden="1" customHeight="1">
      <c r="A152" s="401" t="str">
        <f t="shared" si="4"/>
        <v>OK</v>
      </c>
      <c r="B152" s="409" t="str">
        <f t="shared" ref="B152:B195" si="5">IF(C152="","",B151+1)</f>
        <v/>
      </c>
      <c r="C152" s="404" t="str">
        <f>IF(CONSOLIDA!GD134="","",CONSOLIDA!GD134)</f>
        <v/>
      </c>
      <c r="D152" s="704" t="str">
        <f>IF(CONSOLIDA!GE134="","",CONSOLIDA!GE134)</f>
        <v/>
      </c>
      <c r="E152" s="704"/>
      <c r="F152" s="704"/>
      <c r="G152" s="704"/>
      <c r="H152" s="704"/>
      <c r="I152" s="401"/>
      <c r="J152" s="401"/>
      <c r="K152" s="401"/>
      <c r="L152" s="401"/>
      <c r="M152" s="401"/>
      <c r="N152" s="401"/>
      <c r="O152" s="401"/>
      <c r="P152" s="401"/>
      <c r="Q152" s="401"/>
      <c r="R152" s="401"/>
      <c r="S152" s="401"/>
    </row>
    <row r="153" spans="1:19" ht="12.75" hidden="1" customHeight="1">
      <c r="A153" s="401" t="str">
        <f t="shared" si="4"/>
        <v>OK</v>
      </c>
      <c r="B153" s="409" t="str">
        <f t="shared" si="5"/>
        <v/>
      </c>
      <c r="C153" s="404" t="str">
        <f>IF(CONSOLIDA!GD135="","",CONSOLIDA!GD135)</f>
        <v/>
      </c>
      <c r="D153" s="704" t="str">
        <f>IF(CONSOLIDA!GE135="","",CONSOLIDA!GE135)</f>
        <v/>
      </c>
      <c r="E153" s="704"/>
      <c r="F153" s="704"/>
      <c r="G153" s="704"/>
      <c r="H153" s="704"/>
      <c r="I153" s="401"/>
      <c r="J153" s="401"/>
      <c r="K153" s="401"/>
      <c r="L153" s="401"/>
      <c r="M153" s="401"/>
      <c r="N153" s="401"/>
      <c r="O153" s="401"/>
      <c r="P153" s="401"/>
      <c r="Q153" s="401"/>
      <c r="R153" s="401"/>
      <c r="S153" s="401"/>
    </row>
    <row r="154" spans="1:19" ht="12.75" hidden="1" customHeight="1">
      <c r="A154" s="401" t="str">
        <f t="shared" si="4"/>
        <v>OK</v>
      </c>
      <c r="B154" s="409" t="str">
        <f t="shared" si="5"/>
        <v/>
      </c>
      <c r="C154" s="404" t="str">
        <f>IF(CONSOLIDA!GD136="","",CONSOLIDA!GD136)</f>
        <v/>
      </c>
      <c r="D154" s="704" t="str">
        <f>IF(CONSOLIDA!GE136="","",CONSOLIDA!GE136)</f>
        <v/>
      </c>
      <c r="E154" s="704"/>
      <c r="F154" s="704"/>
      <c r="G154" s="704"/>
      <c r="H154" s="704"/>
      <c r="I154" s="401"/>
      <c r="J154" s="401"/>
      <c r="K154" s="401"/>
      <c r="L154" s="401"/>
      <c r="M154" s="401"/>
      <c r="N154" s="401"/>
      <c r="O154" s="401"/>
      <c r="P154" s="401"/>
      <c r="Q154" s="401"/>
      <c r="R154" s="401"/>
      <c r="S154" s="401"/>
    </row>
    <row r="155" spans="1:19" ht="12.75" hidden="1" customHeight="1">
      <c r="A155" s="401" t="str">
        <f t="shared" si="4"/>
        <v>OK</v>
      </c>
      <c r="B155" s="409" t="str">
        <f t="shared" si="5"/>
        <v/>
      </c>
      <c r="C155" s="404" t="str">
        <f>IF(CONSOLIDA!GD137="","",CONSOLIDA!GD137)</f>
        <v/>
      </c>
      <c r="D155" s="704" t="str">
        <f>IF(CONSOLIDA!GE137="","",CONSOLIDA!GE137)</f>
        <v/>
      </c>
      <c r="E155" s="704"/>
      <c r="F155" s="704"/>
      <c r="G155" s="704"/>
      <c r="H155" s="704"/>
      <c r="I155" s="401"/>
      <c r="J155" s="401"/>
      <c r="K155" s="401"/>
      <c r="L155" s="401"/>
      <c r="M155" s="401"/>
      <c r="N155" s="401"/>
      <c r="O155" s="401"/>
      <c r="P155" s="401"/>
      <c r="Q155" s="401"/>
      <c r="R155" s="401"/>
      <c r="S155" s="401"/>
    </row>
    <row r="156" spans="1:19" ht="12.75" hidden="1" customHeight="1">
      <c r="A156" s="401" t="str">
        <f t="shared" si="4"/>
        <v>OK</v>
      </c>
      <c r="B156" s="409" t="str">
        <f t="shared" si="5"/>
        <v/>
      </c>
      <c r="C156" s="404" t="str">
        <f>IF(CONSOLIDA!GD138="","",CONSOLIDA!GD138)</f>
        <v/>
      </c>
      <c r="D156" s="704" t="str">
        <f>IF(CONSOLIDA!GE138="","",CONSOLIDA!GE138)</f>
        <v/>
      </c>
      <c r="E156" s="704"/>
      <c r="F156" s="704"/>
      <c r="G156" s="704"/>
      <c r="H156" s="704"/>
      <c r="I156" s="401"/>
      <c r="J156" s="401"/>
      <c r="K156" s="401"/>
      <c r="L156" s="401"/>
      <c r="M156" s="401"/>
      <c r="N156" s="401"/>
      <c r="O156" s="401"/>
      <c r="P156" s="401"/>
      <c r="Q156" s="401"/>
      <c r="R156" s="401"/>
      <c r="S156" s="401"/>
    </row>
    <row r="157" spans="1:19" ht="12.75" hidden="1" customHeight="1">
      <c r="A157" s="401" t="str">
        <f t="shared" si="4"/>
        <v>OK</v>
      </c>
      <c r="B157" s="409" t="str">
        <f t="shared" si="5"/>
        <v/>
      </c>
      <c r="C157" s="404" t="str">
        <f>IF(CONSOLIDA!GD139="","",CONSOLIDA!GD139)</f>
        <v/>
      </c>
      <c r="D157" s="704" t="str">
        <f>IF(CONSOLIDA!GE139="","",CONSOLIDA!GE139)</f>
        <v/>
      </c>
      <c r="E157" s="704"/>
      <c r="F157" s="704"/>
      <c r="G157" s="704"/>
      <c r="H157" s="704"/>
      <c r="I157" s="401"/>
      <c r="J157" s="401"/>
      <c r="K157" s="401"/>
      <c r="L157" s="401"/>
      <c r="M157" s="401"/>
      <c r="N157" s="401"/>
      <c r="O157" s="401"/>
      <c r="P157" s="401"/>
      <c r="Q157" s="401"/>
      <c r="R157" s="401"/>
      <c r="S157" s="401"/>
    </row>
    <row r="158" spans="1:19" ht="12.75" hidden="1" customHeight="1">
      <c r="A158" s="401" t="str">
        <f t="shared" si="4"/>
        <v>OK</v>
      </c>
      <c r="B158" s="409" t="str">
        <f t="shared" si="5"/>
        <v/>
      </c>
      <c r="C158" s="404" t="str">
        <f>IF(CONSOLIDA!GD140="","",CONSOLIDA!GD140)</f>
        <v/>
      </c>
      <c r="D158" s="704" t="str">
        <f>IF(CONSOLIDA!GE140="","",CONSOLIDA!GE140)</f>
        <v/>
      </c>
      <c r="E158" s="704"/>
      <c r="F158" s="704"/>
      <c r="G158" s="704"/>
      <c r="H158" s="704"/>
      <c r="I158" s="401"/>
      <c r="J158" s="401"/>
      <c r="K158" s="401"/>
      <c r="L158" s="401"/>
      <c r="M158" s="401"/>
      <c r="N158" s="401"/>
      <c r="O158" s="401"/>
      <c r="P158" s="401"/>
      <c r="Q158" s="401"/>
      <c r="R158" s="401"/>
      <c r="S158" s="401"/>
    </row>
    <row r="159" spans="1:19" ht="12.75" hidden="1" customHeight="1">
      <c r="A159" s="401" t="str">
        <f t="shared" si="4"/>
        <v>OK</v>
      </c>
      <c r="B159" s="409" t="str">
        <f t="shared" si="5"/>
        <v/>
      </c>
      <c r="C159" s="404" t="str">
        <f>IF(CONSOLIDA!GD141="","",CONSOLIDA!GD141)</f>
        <v/>
      </c>
      <c r="D159" s="704" t="str">
        <f>IF(CONSOLIDA!GE141="","",CONSOLIDA!GE141)</f>
        <v/>
      </c>
      <c r="E159" s="704"/>
      <c r="F159" s="704"/>
      <c r="G159" s="704"/>
      <c r="H159" s="704"/>
      <c r="I159" s="401"/>
      <c r="J159" s="401"/>
      <c r="K159" s="401"/>
      <c r="L159" s="401"/>
      <c r="M159" s="401"/>
      <c r="N159" s="401"/>
      <c r="O159" s="401"/>
      <c r="P159" s="401"/>
      <c r="Q159" s="401"/>
      <c r="R159" s="401"/>
      <c r="S159" s="401"/>
    </row>
    <row r="160" spans="1:19" ht="12.75" hidden="1" customHeight="1">
      <c r="A160" s="401" t="str">
        <f t="shared" si="4"/>
        <v>OK</v>
      </c>
      <c r="B160" s="409" t="str">
        <f t="shared" si="5"/>
        <v/>
      </c>
      <c r="C160" s="404" t="str">
        <f>IF(CONSOLIDA!GD142="","",CONSOLIDA!GD142)</f>
        <v/>
      </c>
      <c r="D160" s="704" t="str">
        <f>IF(CONSOLIDA!GE142="","",CONSOLIDA!GE142)</f>
        <v/>
      </c>
      <c r="E160" s="704"/>
      <c r="F160" s="704"/>
      <c r="G160" s="704"/>
      <c r="H160" s="704"/>
      <c r="I160" s="401"/>
      <c r="J160" s="401"/>
      <c r="K160" s="401"/>
      <c r="L160" s="401"/>
      <c r="M160" s="401"/>
      <c r="N160" s="401"/>
      <c r="O160" s="401"/>
      <c r="P160" s="401"/>
      <c r="Q160" s="401"/>
      <c r="R160" s="401"/>
      <c r="S160" s="401"/>
    </row>
    <row r="161" spans="1:19" ht="12.75" hidden="1" customHeight="1">
      <c r="A161" s="401" t="str">
        <f t="shared" si="4"/>
        <v>OK</v>
      </c>
      <c r="B161" s="409" t="str">
        <f t="shared" si="5"/>
        <v/>
      </c>
      <c r="C161" s="404" t="str">
        <f>IF(CONSOLIDA!GD143="","",CONSOLIDA!GD143)</f>
        <v/>
      </c>
      <c r="D161" s="704" t="str">
        <f>IF(CONSOLIDA!GE143="","",CONSOLIDA!GE143)</f>
        <v/>
      </c>
      <c r="E161" s="704"/>
      <c r="F161" s="704"/>
      <c r="G161" s="704"/>
      <c r="H161" s="704"/>
      <c r="I161" s="401"/>
      <c r="J161" s="401"/>
      <c r="K161" s="401"/>
      <c r="L161" s="401"/>
      <c r="M161" s="401"/>
      <c r="N161" s="401"/>
      <c r="O161" s="401"/>
      <c r="P161" s="401"/>
      <c r="Q161" s="401"/>
      <c r="R161" s="401"/>
      <c r="S161" s="401"/>
    </row>
    <row r="162" spans="1:19" ht="12.75" hidden="1" customHeight="1">
      <c r="A162" s="401" t="str">
        <f t="shared" si="4"/>
        <v>OK</v>
      </c>
      <c r="B162" s="409" t="str">
        <f t="shared" si="5"/>
        <v/>
      </c>
      <c r="C162" s="404" t="str">
        <f>IF(CONSOLIDA!GD144="","",CONSOLIDA!GD144)</f>
        <v/>
      </c>
      <c r="D162" s="704" t="str">
        <f>IF(CONSOLIDA!GE144="","",CONSOLIDA!GE144)</f>
        <v/>
      </c>
      <c r="E162" s="704"/>
      <c r="F162" s="704"/>
      <c r="G162" s="704"/>
      <c r="H162" s="704"/>
      <c r="I162" s="401"/>
      <c r="J162" s="401"/>
      <c r="K162" s="401"/>
      <c r="L162" s="401"/>
      <c r="M162" s="401"/>
      <c r="N162" s="401"/>
      <c r="O162" s="401"/>
      <c r="P162" s="401"/>
      <c r="Q162" s="401"/>
      <c r="R162" s="401"/>
      <c r="S162" s="401"/>
    </row>
    <row r="163" spans="1:19" ht="12.75" hidden="1" customHeight="1">
      <c r="A163" s="401" t="str">
        <f t="shared" si="4"/>
        <v>OK</v>
      </c>
      <c r="B163" s="409" t="str">
        <f t="shared" si="5"/>
        <v/>
      </c>
      <c r="C163" s="404" t="str">
        <f>IF(CONSOLIDA!GD145="","",CONSOLIDA!GD145)</f>
        <v/>
      </c>
      <c r="D163" s="704" t="str">
        <f>IF(CONSOLIDA!GE145="","",CONSOLIDA!GE145)</f>
        <v/>
      </c>
      <c r="E163" s="704"/>
      <c r="F163" s="704"/>
      <c r="G163" s="704"/>
      <c r="H163" s="704"/>
      <c r="I163" s="401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</row>
    <row r="164" spans="1:19" ht="12.75" hidden="1" customHeight="1">
      <c r="A164" s="401" t="str">
        <f t="shared" ref="A164:A195" si="6">IF(B164="","OK","")</f>
        <v>OK</v>
      </c>
      <c r="B164" s="409" t="str">
        <f t="shared" si="5"/>
        <v/>
      </c>
      <c r="C164" s="404" t="str">
        <f>IF(CONSOLIDA!GD146="","",CONSOLIDA!GD146)</f>
        <v/>
      </c>
      <c r="D164" s="704" t="str">
        <f>IF(CONSOLIDA!GE146="","",CONSOLIDA!GE146)</f>
        <v/>
      </c>
      <c r="E164" s="704"/>
      <c r="F164" s="704"/>
      <c r="G164" s="704"/>
      <c r="H164" s="704"/>
      <c r="I164" s="401"/>
      <c r="J164" s="401"/>
      <c r="K164" s="401"/>
      <c r="L164" s="401"/>
      <c r="M164" s="401"/>
      <c r="N164" s="401"/>
      <c r="O164" s="401"/>
      <c r="P164" s="401"/>
      <c r="Q164" s="401"/>
      <c r="R164" s="401"/>
      <c r="S164" s="401"/>
    </row>
    <row r="165" spans="1:19" ht="12.75" hidden="1" customHeight="1">
      <c r="A165" s="401" t="str">
        <f t="shared" si="6"/>
        <v>OK</v>
      </c>
      <c r="B165" s="409" t="str">
        <f t="shared" si="5"/>
        <v/>
      </c>
      <c r="C165" s="404" t="str">
        <f>IF(CONSOLIDA!GD147="","",CONSOLIDA!GD147)</f>
        <v/>
      </c>
      <c r="D165" s="704" t="str">
        <f>IF(CONSOLIDA!GE147="","",CONSOLIDA!GE147)</f>
        <v/>
      </c>
      <c r="E165" s="704"/>
      <c r="F165" s="704"/>
      <c r="G165" s="704"/>
      <c r="H165" s="704"/>
      <c r="I165" s="401"/>
      <c r="J165" s="401"/>
      <c r="K165" s="401"/>
      <c r="L165" s="401"/>
      <c r="M165" s="401"/>
      <c r="N165" s="401"/>
      <c r="O165" s="401"/>
      <c r="P165" s="401"/>
      <c r="Q165" s="401"/>
      <c r="R165" s="401"/>
      <c r="S165" s="401"/>
    </row>
    <row r="166" spans="1:19" ht="12.75" hidden="1" customHeight="1">
      <c r="A166" s="401" t="str">
        <f t="shared" si="6"/>
        <v>OK</v>
      </c>
      <c r="B166" s="409" t="str">
        <f t="shared" si="5"/>
        <v/>
      </c>
      <c r="C166" s="404" t="str">
        <f>IF(CONSOLIDA!GD148="","",CONSOLIDA!GD148)</f>
        <v/>
      </c>
      <c r="D166" s="704" t="str">
        <f>IF(CONSOLIDA!GE148="","",CONSOLIDA!GE148)</f>
        <v/>
      </c>
      <c r="E166" s="704"/>
      <c r="F166" s="704"/>
      <c r="G166" s="704"/>
      <c r="H166" s="704"/>
      <c r="I166" s="401"/>
      <c r="J166" s="401"/>
      <c r="K166" s="401"/>
      <c r="L166" s="401"/>
      <c r="M166" s="401"/>
      <c r="N166" s="401"/>
      <c r="O166" s="401"/>
      <c r="P166" s="401"/>
      <c r="Q166" s="401"/>
      <c r="R166" s="401"/>
      <c r="S166" s="401"/>
    </row>
    <row r="167" spans="1:19" ht="12.75" hidden="1" customHeight="1">
      <c r="A167" s="401" t="str">
        <f t="shared" si="6"/>
        <v>OK</v>
      </c>
      <c r="B167" s="409" t="str">
        <f t="shared" si="5"/>
        <v/>
      </c>
      <c r="C167" s="404" t="str">
        <f>IF(CONSOLIDA!GD149="","",CONSOLIDA!GD149)</f>
        <v/>
      </c>
      <c r="D167" s="704" t="str">
        <f>IF(CONSOLIDA!GE149="","",CONSOLIDA!GE149)</f>
        <v/>
      </c>
      <c r="E167" s="704"/>
      <c r="F167" s="704"/>
      <c r="G167" s="704"/>
      <c r="H167" s="704"/>
      <c r="I167" s="401"/>
      <c r="J167" s="401"/>
      <c r="K167" s="401"/>
      <c r="L167" s="401"/>
      <c r="M167" s="401"/>
      <c r="N167" s="401"/>
      <c r="O167" s="401"/>
      <c r="P167" s="401"/>
      <c r="Q167" s="401"/>
      <c r="R167" s="401"/>
      <c r="S167" s="401"/>
    </row>
    <row r="168" spans="1:19" ht="12.75" hidden="1" customHeight="1">
      <c r="A168" s="401" t="str">
        <f t="shared" si="6"/>
        <v>OK</v>
      </c>
      <c r="B168" s="409" t="str">
        <f t="shared" si="5"/>
        <v/>
      </c>
      <c r="C168" s="404" t="str">
        <f>IF(CONSOLIDA!GD150="","",CONSOLIDA!GD150)</f>
        <v/>
      </c>
      <c r="D168" s="704" t="str">
        <f>IF(CONSOLIDA!GE150="","",CONSOLIDA!GE150)</f>
        <v/>
      </c>
      <c r="E168" s="704"/>
      <c r="F168" s="704"/>
      <c r="G168" s="704"/>
      <c r="H168" s="704"/>
      <c r="I168" s="401"/>
      <c r="J168" s="401"/>
      <c r="K168" s="401"/>
      <c r="L168" s="401"/>
      <c r="M168" s="401"/>
      <c r="N168" s="401"/>
      <c r="O168" s="401"/>
      <c r="P168" s="401"/>
      <c r="Q168" s="401"/>
      <c r="R168" s="401"/>
      <c r="S168" s="401"/>
    </row>
    <row r="169" spans="1:19" ht="12.75" hidden="1" customHeight="1">
      <c r="A169" s="401" t="str">
        <f t="shared" si="6"/>
        <v>OK</v>
      </c>
      <c r="B169" s="409" t="str">
        <f t="shared" si="5"/>
        <v/>
      </c>
      <c r="C169" s="404" t="str">
        <f>IF(CONSOLIDA!GD151="","",CONSOLIDA!GD151)</f>
        <v/>
      </c>
      <c r="D169" s="704" t="str">
        <f>IF(CONSOLIDA!GE151="","",CONSOLIDA!GE151)</f>
        <v/>
      </c>
      <c r="E169" s="704"/>
      <c r="F169" s="704"/>
      <c r="G169" s="704"/>
      <c r="H169" s="704"/>
      <c r="I169" s="401"/>
      <c r="J169" s="401"/>
      <c r="K169" s="401"/>
      <c r="L169" s="401"/>
      <c r="M169" s="401"/>
      <c r="N169" s="401"/>
      <c r="O169" s="401"/>
      <c r="P169" s="401"/>
      <c r="Q169" s="401"/>
      <c r="R169" s="401"/>
      <c r="S169" s="401"/>
    </row>
    <row r="170" spans="1:19" ht="12.75" hidden="1" customHeight="1">
      <c r="A170" s="401" t="str">
        <f t="shared" si="6"/>
        <v>OK</v>
      </c>
      <c r="B170" s="409" t="str">
        <f t="shared" si="5"/>
        <v/>
      </c>
      <c r="C170" s="404" t="str">
        <f>IF(CONSOLIDA!GD152="","",CONSOLIDA!GD152)</f>
        <v/>
      </c>
      <c r="D170" s="704" t="str">
        <f>IF(CONSOLIDA!GE152="","",CONSOLIDA!GE152)</f>
        <v/>
      </c>
      <c r="E170" s="704"/>
      <c r="F170" s="704"/>
      <c r="G170" s="704"/>
      <c r="H170" s="704"/>
      <c r="I170" s="401"/>
      <c r="J170" s="401"/>
      <c r="K170" s="401"/>
      <c r="L170" s="401"/>
      <c r="M170" s="401"/>
      <c r="N170" s="401"/>
      <c r="O170" s="401"/>
      <c r="P170" s="401"/>
      <c r="Q170" s="401"/>
      <c r="R170" s="401"/>
      <c r="S170" s="401"/>
    </row>
    <row r="171" spans="1:19" ht="12.75" hidden="1" customHeight="1">
      <c r="A171" s="401" t="str">
        <f t="shared" si="6"/>
        <v>OK</v>
      </c>
      <c r="B171" s="409" t="str">
        <f t="shared" si="5"/>
        <v/>
      </c>
      <c r="C171" s="404" t="str">
        <f>IF(CONSOLIDA!GD153="","",CONSOLIDA!GD153)</f>
        <v/>
      </c>
      <c r="D171" s="704" t="str">
        <f>IF(CONSOLIDA!GE153="","",CONSOLIDA!GE153)</f>
        <v/>
      </c>
      <c r="E171" s="704"/>
      <c r="F171" s="704"/>
      <c r="G171" s="704"/>
      <c r="H171" s="704"/>
      <c r="I171" s="401"/>
      <c r="J171" s="401"/>
      <c r="K171" s="401"/>
      <c r="L171" s="401"/>
      <c r="M171" s="401"/>
      <c r="N171" s="401"/>
      <c r="O171" s="401"/>
      <c r="P171" s="401"/>
      <c r="Q171" s="401"/>
      <c r="R171" s="401"/>
      <c r="S171" s="401"/>
    </row>
    <row r="172" spans="1:19" ht="12.75" hidden="1" customHeight="1">
      <c r="A172" s="401" t="str">
        <f t="shared" si="6"/>
        <v>OK</v>
      </c>
      <c r="B172" s="409" t="str">
        <f t="shared" si="5"/>
        <v/>
      </c>
      <c r="C172" s="404" t="str">
        <f>IF(CONSOLIDA!GD154="","",CONSOLIDA!GD154)</f>
        <v/>
      </c>
      <c r="D172" s="704" t="str">
        <f>IF(CONSOLIDA!GE154="","",CONSOLIDA!GE154)</f>
        <v/>
      </c>
      <c r="E172" s="704"/>
      <c r="F172" s="704"/>
      <c r="G172" s="704"/>
      <c r="H172" s="704"/>
      <c r="I172" s="401"/>
      <c r="J172" s="401"/>
      <c r="K172" s="401"/>
      <c r="L172" s="401"/>
      <c r="M172" s="401"/>
      <c r="N172" s="401"/>
      <c r="O172" s="401"/>
      <c r="P172" s="401"/>
      <c r="Q172" s="401"/>
      <c r="R172" s="401"/>
      <c r="S172" s="401"/>
    </row>
    <row r="173" spans="1:19" ht="12.75" hidden="1" customHeight="1">
      <c r="A173" s="401" t="str">
        <f t="shared" si="6"/>
        <v>OK</v>
      </c>
      <c r="B173" s="409" t="str">
        <f t="shared" si="5"/>
        <v/>
      </c>
      <c r="C173" s="404" t="str">
        <f>IF(CONSOLIDA!GD155="","",CONSOLIDA!GD155)</f>
        <v/>
      </c>
      <c r="D173" s="704" t="str">
        <f>IF(CONSOLIDA!GE155="","",CONSOLIDA!GE155)</f>
        <v/>
      </c>
      <c r="E173" s="704"/>
      <c r="F173" s="704"/>
      <c r="G173" s="704"/>
      <c r="H173" s="704"/>
      <c r="I173" s="401"/>
      <c r="J173" s="401"/>
      <c r="K173" s="401"/>
      <c r="L173" s="401"/>
      <c r="M173" s="401"/>
      <c r="N173" s="401"/>
      <c r="O173" s="401"/>
      <c r="P173" s="401"/>
      <c r="Q173" s="401"/>
      <c r="R173" s="401"/>
      <c r="S173" s="401"/>
    </row>
    <row r="174" spans="1:19" ht="12.75" hidden="1" customHeight="1">
      <c r="A174" s="401" t="str">
        <f t="shared" si="6"/>
        <v>OK</v>
      </c>
      <c r="B174" s="409" t="str">
        <f t="shared" si="5"/>
        <v/>
      </c>
      <c r="C174" s="404" t="str">
        <f>IF(CONSOLIDA!GD156="","",CONSOLIDA!GD156)</f>
        <v/>
      </c>
      <c r="D174" s="704" t="str">
        <f>IF(CONSOLIDA!GE156="","",CONSOLIDA!GE156)</f>
        <v/>
      </c>
      <c r="E174" s="704"/>
      <c r="F174" s="704"/>
      <c r="G174" s="704"/>
      <c r="H174" s="704"/>
      <c r="I174" s="401"/>
      <c r="J174" s="401"/>
      <c r="K174" s="401"/>
      <c r="L174" s="401"/>
      <c r="M174" s="401"/>
      <c r="N174" s="401"/>
      <c r="O174" s="401"/>
      <c r="P174" s="401"/>
      <c r="Q174" s="401"/>
      <c r="R174" s="401"/>
      <c r="S174" s="401"/>
    </row>
    <row r="175" spans="1:19" ht="12.75" hidden="1" customHeight="1">
      <c r="A175" s="401" t="str">
        <f t="shared" si="6"/>
        <v>OK</v>
      </c>
      <c r="B175" s="409" t="str">
        <f t="shared" si="5"/>
        <v/>
      </c>
      <c r="C175" s="404" t="str">
        <f>IF(CONSOLIDA!GD157="","",CONSOLIDA!GD157)</f>
        <v/>
      </c>
      <c r="D175" s="704" t="str">
        <f>IF(CONSOLIDA!GE157="","",CONSOLIDA!GE157)</f>
        <v/>
      </c>
      <c r="E175" s="704"/>
      <c r="F175" s="704"/>
      <c r="G175" s="704"/>
      <c r="H175" s="704"/>
      <c r="I175" s="401"/>
      <c r="J175" s="401"/>
      <c r="K175" s="401"/>
      <c r="L175" s="401"/>
      <c r="M175" s="401"/>
      <c r="N175" s="401"/>
      <c r="O175" s="401"/>
      <c r="P175" s="401"/>
      <c r="Q175" s="401"/>
      <c r="R175" s="401"/>
      <c r="S175" s="401"/>
    </row>
    <row r="176" spans="1:19" ht="12.75" hidden="1" customHeight="1">
      <c r="A176" s="401" t="str">
        <f t="shared" si="6"/>
        <v>OK</v>
      </c>
      <c r="B176" s="409" t="str">
        <f t="shared" si="5"/>
        <v/>
      </c>
      <c r="C176" s="404" t="str">
        <f>IF(CONSOLIDA!GD158="","",CONSOLIDA!GD158)</f>
        <v/>
      </c>
      <c r="D176" s="704" t="str">
        <f>IF(CONSOLIDA!GE158="","",CONSOLIDA!GE158)</f>
        <v/>
      </c>
      <c r="E176" s="704"/>
      <c r="F176" s="704"/>
      <c r="G176" s="704"/>
      <c r="H176" s="704"/>
      <c r="I176" s="401"/>
      <c r="J176" s="401"/>
      <c r="K176" s="401"/>
      <c r="L176" s="401"/>
      <c r="M176" s="401"/>
      <c r="N176" s="401"/>
      <c r="O176" s="401"/>
      <c r="P176" s="401"/>
      <c r="Q176" s="401"/>
      <c r="R176" s="401"/>
      <c r="S176" s="401"/>
    </row>
    <row r="177" spans="1:19" ht="12.75" hidden="1" customHeight="1">
      <c r="A177" s="401" t="str">
        <f t="shared" si="6"/>
        <v>OK</v>
      </c>
      <c r="B177" s="409" t="str">
        <f t="shared" si="5"/>
        <v/>
      </c>
      <c r="C177" s="404" t="str">
        <f>IF(CONSOLIDA!GD159="","",CONSOLIDA!GD159)</f>
        <v/>
      </c>
      <c r="D177" s="704" t="str">
        <f>IF(CONSOLIDA!GE159="","",CONSOLIDA!GE159)</f>
        <v/>
      </c>
      <c r="E177" s="704"/>
      <c r="F177" s="704"/>
      <c r="G177" s="704"/>
      <c r="H177" s="704"/>
      <c r="I177" s="401"/>
      <c r="J177" s="401"/>
      <c r="K177" s="401"/>
      <c r="L177" s="401"/>
      <c r="M177" s="401"/>
      <c r="N177" s="401"/>
      <c r="O177" s="401"/>
      <c r="P177" s="401"/>
      <c r="Q177" s="401"/>
      <c r="R177" s="401"/>
      <c r="S177" s="401"/>
    </row>
    <row r="178" spans="1:19" ht="12.75" hidden="1" customHeight="1">
      <c r="A178" s="401" t="str">
        <f t="shared" si="6"/>
        <v>OK</v>
      </c>
      <c r="B178" s="409" t="str">
        <f t="shared" si="5"/>
        <v/>
      </c>
      <c r="C178" s="404" t="str">
        <f>IF(CONSOLIDA!GD160="","",CONSOLIDA!GD160)</f>
        <v/>
      </c>
      <c r="D178" s="704" t="str">
        <f>IF(CONSOLIDA!GE160="","",CONSOLIDA!GE160)</f>
        <v/>
      </c>
      <c r="E178" s="704"/>
      <c r="F178" s="704"/>
      <c r="G178" s="704"/>
      <c r="H178" s="704"/>
      <c r="I178" s="401"/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</row>
    <row r="179" spans="1:19" ht="12.75" hidden="1" customHeight="1">
      <c r="A179" s="401" t="str">
        <f t="shared" si="6"/>
        <v>OK</v>
      </c>
      <c r="B179" s="409" t="str">
        <f t="shared" si="5"/>
        <v/>
      </c>
      <c r="C179" s="404" t="str">
        <f>IF(CONSOLIDA!GD161="","",CONSOLIDA!GD161)</f>
        <v/>
      </c>
      <c r="D179" s="704" t="str">
        <f>IF(CONSOLIDA!GE161="","",CONSOLIDA!GE161)</f>
        <v/>
      </c>
      <c r="E179" s="704"/>
      <c r="F179" s="704"/>
      <c r="G179" s="704"/>
      <c r="H179" s="704"/>
      <c r="I179" s="401"/>
      <c r="J179" s="401"/>
      <c r="K179" s="401"/>
      <c r="L179" s="401"/>
      <c r="M179" s="401"/>
      <c r="N179" s="401"/>
      <c r="O179" s="401"/>
      <c r="P179" s="401"/>
      <c r="Q179" s="401"/>
      <c r="R179" s="401"/>
      <c r="S179" s="401"/>
    </row>
    <row r="180" spans="1:19" ht="12.75" hidden="1" customHeight="1">
      <c r="A180" s="401" t="str">
        <f t="shared" si="6"/>
        <v>OK</v>
      </c>
      <c r="B180" s="409" t="str">
        <f t="shared" si="5"/>
        <v/>
      </c>
      <c r="C180" s="404" t="str">
        <f>IF(CONSOLIDA!GD162="","",CONSOLIDA!GD162)</f>
        <v/>
      </c>
      <c r="D180" s="704" t="str">
        <f>IF(CONSOLIDA!GE162="","",CONSOLIDA!GE162)</f>
        <v/>
      </c>
      <c r="E180" s="704"/>
      <c r="F180" s="704"/>
      <c r="G180" s="704"/>
      <c r="H180" s="704"/>
      <c r="I180" s="401"/>
      <c r="J180" s="401"/>
      <c r="K180" s="401"/>
      <c r="L180" s="401"/>
      <c r="M180" s="401"/>
      <c r="N180" s="401"/>
      <c r="O180" s="401"/>
      <c r="P180" s="401"/>
      <c r="Q180" s="401"/>
      <c r="R180" s="401"/>
      <c r="S180" s="401"/>
    </row>
    <row r="181" spans="1:19" ht="12.75" hidden="1" customHeight="1">
      <c r="A181" s="401" t="str">
        <f t="shared" si="6"/>
        <v>OK</v>
      </c>
      <c r="B181" s="409" t="str">
        <f t="shared" si="5"/>
        <v/>
      </c>
      <c r="C181" s="404" t="str">
        <f>IF(CONSOLIDA!GD163="","",CONSOLIDA!GD163)</f>
        <v/>
      </c>
      <c r="D181" s="704" t="str">
        <f>IF(CONSOLIDA!GE163="","",CONSOLIDA!GE163)</f>
        <v/>
      </c>
      <c r="E181" s="704"/>
      <c r="F181" s="704"/>
      <c r="G181" s="704"/>
      <c r="H181" s="704"/>
      <c r="I181" s="401"/>
      <c r="J181" s="401"/>
      <c r="K181" s="401"/>
      <c r="L181" s="401"/>
      <c r="M181" s="401"/>
      <c r="N181" s="401"/>
      <c r="O181" s="401"/>
      <c r="P181" s="401"/>
      <c r="Q181" s="401"/>
      <c r="R181" s="401"/>
      <c r="S181" s="401"/>
    </row>
    <row r="182" spans="1:19" ht="12.75" hidden="1" customHeight="1">
      <c r="A182" s="401" t="str">
        <f t="shared" si="6"/>
        <v>OK</v>
      </c>
      <c r="B182" s="409" t="str">
        <f t="shared" si="5"/>
        <v/>
      </c>
      <c r="C182" s="404" t="str">
        <f>IF(CONSOLIDA!GD164="","",CONSOLIDA!GD164)</f>
        <v/>
      </c>
      <c r="D182" s="704" t="str">
        <f>IF(CONSOLIDA!GE164="","",CONSOLIDA!GE164)</f>
        <v/>
      </c>
      <c r="E182" s="704"/>
      <c r="F182" s="704"/>
      <c r="G182" s="704"/>
      <c r="H182" s="704"/>
      <c r="I182" s="401"/>
      <c r="J182" s="401"/>
      <c r="K182" s="401"/>
      <c r="L182" s="401"/>
      <c r="M182" s="401"/>
      <c r="N182" s="401"/>
      <c r="O182" s="401"/>
      <c r="P182" s="401"/>
      <c r="Q182" s="401"/>
      <c r="R182" s="401"/>
      <c r="S182" s="401"/>
    </row>
    <row r="183" spans="1:19" ht="12.75" hidden="1" customHeight="1">
      <c r="A183" s="401" t="str">
        <f t="shared" si="6"/>
        <v>OK</v>
      </c>
      <c r="B183" s="409" t="str">
        <f t="shared" si="5"/>
        <v/>
      </c>
      <c r="C183" s="404" t="str">
        <f>IF(CONSOLIDA!GD165="","",CONSOLIDA!GD165)</f>
        <v/>
      </c>
      <c r="D183" s="704" t="str">
        <f>IF(CONSOLIDA!GE165="","",CONSOLIDA!GE165)</f>
        <v/>
      </c>
      <c r="E183" s="704"/>
      <c r="F183" s="704"/>
      <c r="G183" s="704"/>
      <c r="H183" s="704"/>
      <c r="I183" s="401"/>
      <c r="J183" s="401"/>
      <c r="K183" s="401"/>
      <c r="L183" s="401"/>
      <c r="M183" s="401"/>
      <c r="N183" s="401"/>
      <c r="O183" s="401"/>
      <c r="P183" s="401"/>
      <c r="Q183" s="401"/>
      <c r="R183" s="401"/>
      <c r="S183" s="401"/>
    </row>
    <row r="184" spans="1:19" ht="12.75" hidden="1" customHeight="1">
      <c r="A184" s="401" t="str">
        <f t="shared" si="6"/>
        <v>OK</v>
      </c>
      <c r="B184" s="409" t="str">
        <f t="shared" si="5"/>
        <v/>
      </c>
      <c r="C184" s="404" t="str">
        <f>IF(CONSOLIDA!GD166="","",CONSOLIDA!GD166)</f>
        <v/>
      </c>
      <c r="D184" s="704" t="str">
        <f>IF(CONSOLIDA!GE166="","",CONSOLIDA!GE166)</f>
        <v/>
      </c>
      <c r="E184" s="704"/>
      <c r="F184" s="704"/>
      <c r="G184" s="704"/>
      <c r="H184" s="704"/>
      <c r="I184" s="401"/>
      <c r="J184" s="401"/>
      <c r="K184" s="401"/>
      <c r="L184" s="401"/>
      <c r="M184" s="401"/>
      <c r="N184" s="401"/>
      <c r="O184" s="401"/>
      <c r="P184" s="401"/>
      <c r="Q184" s="401"/>
      <c r="R184" s="401"/>
      <c r="S184" s="401"/>
    </row>
    <row r="185" spans="1:19" ht="12.75" hidden="1" customHeight="1">
      <c r="A185" s="401" t="str">
        <f t="shared" si="6"/>
        <v>OK</v>
      </c>
      <c r="B185" s="409" t="str">
        <f t="shared" si="5"/>
        <v/>
      </c>
      <c r="C185" s="404" t="str">
        <f>IF(CONSOLIDA!GD167="","",CONSOLIDA!GD167)</f>
        <v/>
      </c>
      <c r="D185" s="704" t="str">
        <f>IF(CONSOLIDA!GE167="","",CONSOLIDA!GE167)</f>
        <v/>
      </c>
      <c r="E185" s="704"/>
      <c r="F185" s="704"/>
      <c r="G185" s="704"/>
      <c r="H185" s="704"/>
      <c r="I185" s="401"/>
      <c r="J185" s="401"/>
      <c r="K185" s="401"/>
      <c r="L185" s="401"/>
      <c r="M185" s="401"/>
      <c r="N185" s="401"/>
      <c r="O185" s="401"/>
      <c r="P185" s="401"/>
      <c r="Q185" s="401"/>
      <c r="R185" s="401"/>
      <c r="S185" s="401"/>
    </row>
    <row r="186" spans="1:19" ht="12.75" hidden="1" customHeight="1">
      <c r="A186" s="401" t="str">
        <f t="shared" si="6"/>
        <v>OK</v>
      </c>
      <c r="B186" s="409" t="str">
        <f t="shared" si="5"/>
        <v/>
      </c>
      <c r="C186" s="404" t="str">
        <f>IF(CONSOLIDA!GD168="","",CONSOLIDA!GD168)</f>
        <v/>
      </c>
      <c r="D186" s="704" t="str">
        <f>IF(CONSOLIDA!GE168="","",CONSOLIDA!GE168)</f>
        <v/>
      </c>
      <c r="E186" s="704"/>
      <c r="F186" s="704"/>
      <c r="G186" s="704"/>
      <c r="H186" s="704"/>
      <c r="I186" s="401"/>
      <c r="J186" s="401"/>
      <c r="K186" s="401"/>
      <c r="L186" s="401"/>
      <c r="M186" s="401"/>
      <c r="N186" s="401"/>
      <c r="O186" s="401"/>
      <c r="P186" s="401"/>
      <c r="Q186" s="401"/>
      <c r="R186" s="401"/>
      <c r="S186" s="401"/>
    </row>
    <row r="187" spans="1:19" ht="12.75" hidden="1" customHeight="1">
      <c r="A187" s="401" t="str">
        <f t="shared" si="6"/>
        <v>OK</v>
      </c>
      <c r="B187" s="409" t="str">
        <f t="shared" si="5"/>
        <v/>
      </c>
      <c r="C187" s="404" t="str">
        <f>IF(CONSOLIDA!GD169="","",CONSOLIDA!GD169)</f>
        <v/>
      </c>
      <c r="D187" s="704" t="str">
        <f>IF(CONSOLIDA!GE169="","",CONSOLIDA!GE169)</f>
        <v/>
      </c>
      <c r="E187" s="704"/>
      <c r="F187" s="704"/>
      <c r="G187" s="704"/>
      <c r="H187" s="704"/>
      <c r="I187" s="401"/>
      <c r="J187" s="401"/>
      <c r="K187" s="401"/>
      <c r="L187" s="401"/>
      <c r="M187" s="401"/>
      <c r="N187" s="401"/>
      <c r="O187" s="401"/>
      <c r="P187" s="401"/>
      <c r="Q187" s="401"/>
      <c r="R187" s="401"/>
      <c r="S187" s="401"/>
    </row>
    <row r="188" spans="1:19" ht="12.75" hidden="1" customHeight="1">
      <c r="A188" s="401" t="str">
        <f t="shared" si="6"/>
        <v>OK</v>
      </c>
      <c r="B188" s="409" t="str">
        <f t="shared" si="5"/>
        <v/>
      </c>
      <c r="C188" s="404" t="str">
        <f>IF(CONSOLIDA!GD170="","",CONSOLIDA!GD170)</f>
        <v/>
      </c>
      <c r="D188" s="704" t="str">
        <f>IF(CONSOLIDA!GE170="","",CONSOLIDA!GE170)</f>
        <v/>
      </c>
      <c r="E188" s="704"/>
      <c r="F188" s="704"/>
      <c r="G188" s="704"/>
      <c r="H188" s="704"/>
      <c r="I188" s="401"/>
      <c r="J188" s="401"/>
      <c r="K188" s="401"/>
      <c r="L188" s="401"/>
      <c r="M188" s="401"/>
      <c r="N188" s="401"/>
      <c r="O188" s="401"/>
      <c r="P188" s="401"/>
      <c r="Q188" s="401"/>
      <c r="R188" s="401"/>
      <c r="S188" s="401"/>
    </row>
    <row r="189" spans="1:19" ht="12.75" hidden="1" customHeight="1">
      <c r="A189" s="401" t="str">
        <f t="shared" si="6"/>
        <v>OK</v>
      </c>
      <c r="B189" s="409" t="str">
        <f t="shared" si="5"/>
        <v/>
      </c>
      <c r="C189" s="404" t="str">
        <f>IF(CONSOLIDA!GD171="","",CONSOLIDA!GD171)</f>
        <v/>
      </c>
      <c r="D189" s="704" t="str">
        <f>IF(CONSOLIDA!GE171="","",CONSOLIDA!GE171)</f>
        <v/>
      </c>
      <c r="E189" s="704"/>
      <c r="F189" s="704"/>
      <c r="G189" s="704"/>
      <c r="H189" s="704"/>
      <c r="I189" s="401"/>
      <c r="J189" s="401"/>
      <c r="K189" s="401"/>
      <c r="L189" s="401"/>
      <c r="M189" s="401"/>
      <c r="N189" s="401"/>
      <c r="O189" s="401"/>
      <c r="P189" s="401"/>
      <c r="Q189" s="401"/>
      <c r="R189" s="401"/>
      <c r="S189" s="401"/>
    </row>
    <row r="190" spans="1:19" ht="12.75" hidden="1" customHeight="1">
      <c r="A190" s="401" t="str">
        <f t="shared" si="6"/>
        <v>OK</v>
      </c>
      <c r="B190" s="409" t="str">
        <f t="shared" si="5"/>
        <v/>
      </c>
      <c r="C190" s="404" t="str">
        <f>IF(CONSOLIDA!GD172="","",CONSOLIDA!GD172)</f>
        <v/>
      </c>
      <c r="D190" s="704" t="str">
        <f>IF(CONSOLIDA!GE172="","",CONSOLIDA!GE172)</f>
        <v/>
      </c>
      <c r="E190" s="704"/>
      <c r="F190" s="704"/>
      <c r="G190" s="704"/>
      <c r="H190" s="704"/>
      <c r="I190" s="401"/>
      <c r="J190" s="401"/>
      <c r="K190" s="401"/>
      <c r="L190" s="401"/>
      <c r="M190" s="401"/>
      <c r="N190" s="401"/>
      <c r="O190" s="401"/>
      <c r="P190" s="401"/>
      <c r="Q190" s="401"/>
      <c r="R190" s="401"/>
      <c r="S190" s="401"/>
    </row>
    <row r="191" spans="1:19" ht="12.75" hidden="1" customHeight="1">
      <c r="A191" s="401" t="str">
        <f t="shared" si="6"/>
        <v>OK</v>
      </c>
      <c r="B191" s="409" t="str">
        <f t="shared" si="5"/>
        <v/>
      </c>
      <c r="C191" s="404" t="str">
        <f>IF(CONSOLIDA!GD173="","",CONSOLIDA!GD173)</f>
        <v/>
      </c>
      <c r="D191" s="704" t="str">
        <f>IF(CONSOLIDA!GE173="","",CONSOLIDA!GE173)</f>
        <v/>
      </c>
      <c r="E191" s="704"/>
      <c r="F191" s="704"/>
      <c r="G191" s="704"/>
      <c r="H191" s="704"/>
      <c r="I191" s="401"/>
      <c r="J191" s="401"/>
      <c r="K191" s="401"/>
      <c r="L191" s="401"/>
      <c r="M191" s="401"/>
      <c r="N191" s="401"/>
      <c r="O191" s="401"/>
      <c r="P191" s="401"/>
      <c r="Q191" s="401"/>
      <c r="R191" s="401"/>
      <c r="S191" s="401"/>
    </row>
    <row r="192" spans="1:19" ht="12.75" hidden="1" customHeight="1">
      <c r="A192" s="401" t="str">
        <f t="shared" si="6"/>
        <v>OK</v>
      </c>
      <c r="B192" s="409" t="str">
        <f t="shared" si="5"/>
        <v/>
      </c>
      <c r="C192" s="404" t="str">
        <f>IF(CONSOLIDA!GD174="","",CONSOLIDA!GD174)</f>
        <v/>
      </c>
      <c r="D192" s="704" t="str">
        <f>IF(CONSOLIDA!GE174="","",CONSOLIDA!GE174)</f>
        <v/>
      </c>
      <c r="E192" s="704"/>
      <c r="F192" s="704"/>
      <c r="G192" s="704"/>
      <c r="H192" s="704"/>
      <c r="I192" s="401"/>
      <c r="J192" s="401"/>
      <c r="K192" s="401"/>
      <c r="L192" s="401"/>
      <c r="M192" s="401"/>
      <c r="N192" s="401"/>
      <c r="O192" s="401"/>
      <c r="P192" s="401"/>
      <c r="Q192" s="401"/>
      <c r="R192" s="401"/>
      <c r="S192" s="401"/>
    </row>
    <row r="193" spans="1:19" ht="12.75" hidden="1" customHeight="1">
      <c r="A193" s="401" t="str">
        <f t="shared" si="6"/>
        <v>OK</v>
      </c>
      <c r="B193" s="409" t="str">
        <f t="shared" si="5"/>
        <v/>
      </c>
      <c r="C193" s="404" t="str">
        <f>IF(CONSOLIDA!GD175="","",CONSOLIDA!GD175)</f>
        <v/>
      </c>
      <c r="D193" s="704" t="str">
        <f>IF(CONSOLIDA!GE175="","",CONSOLIDA!GE175)</f>
        <v/>
      </c>
      <c r="E193" s="704"/>
      <c r="F193" s="704"/>
      <c r="G193" s="704"/>
      <c r="H193" s="704"/>
      <c r="I193" s="401"/>
      <c r="J193" s="401"/>
      <c r="K193" s="401"/>
      <c r="L193" s="401"/>
      <c r="M193" s="401"/>
      <c r="N193" s="401"/>
      <c r="O193" s="401"/>
      <c r="P193" s="401"/>
      <c r="Q193" s="401"/>
      <c r="R193" s="401"/>
      <c r="S193" s="401"/>
    </row>
    <row r="194" spans="1:19" ht="12.75" hidden="1" customHeight="1">
      <c r="A194" s="401" t="str">
        <f t="shared" si="6"/>
        <v>OK</v>
      </c>
      <c r="B194" s="409" t="str">
        <f t="shared" si="5"/>
        <v/>
      </c>
      <c r="C194" s="404" t="str">
        <f>IF(CONSOLIDA!GD176="","",CONSOLIDA!GD176)</f>
        <v/>
      </c>
      <c r="D194" s="704" t="str">
        <f>IF(CONSOLIDA!GE176="","",CONSOLIDA!GE176)</f>
        <v/>
      </c>
      <c r="E194" s="704"/>
      <c r="F194" s="704"/>
      <c r="G194" s="704"/>
      <c r="H194" s="704"/>
      <c r="I194" s="401"/>
      <c r="J194" s="401"/>
      <c r="K194" s="401"/>
      <c r="L194" s="401"/>
      <c r="M194" s="401"/>
      <c r="N194" s="401"/>
      <c r="O194" s="401"/>
      <c r="P194" s="401"/>
      <c r="Q194" s="401"/>
      <c r="R194" s="401"/>
      <c r="S194" s="401"/>
    </row>
    <row r="195" spans="1:19" ht="12.75" hidden="1" customHeight="1">
      <c r="A195" s="401" t="str">
        <f t="shared" si="6"/>
        <v>OK</v>
      </c>
      <c r="B195" s="409" t="str">
        <f t="shared" si="5"/>
        <v/>
      </c>
      <c r="C195" s="404" t="str">
        <f>IF(CONSOLIDA!GD177="","",CONSOLIDA!GD177)</f>
        <v/>
      </c>
      <c r="D195" s="704" t="str">
        <f>IF(CONSOLIDA!GE177="","",CONSOLIDA!GE177)</f>
        <v/>
      </c>
      <c r="E195" s="704"/>
      <c r="F195" s="704"/>
      <c r="G195" s="704"/>
      <c r="H195" s="704"/>
      <c r="I195" s="401"/>
      <c r="J195" s="401"/>
      <c r="K195" s="401"/>
      <c r="L195" s="401"/>
      <c r="M195" s="401"/>
      <c r="N195" s="401"/>
      <c r="O195" s="401"/>
      <c r="P195" s="401"/>
      <c r="Q195" s="401"/>
      <c r="R195" s="401"/>
      <c r="S195" s="401"/>
    </row>
    <row r="196" spans="1:19" ht="12.75" hidden="1" customHeight="1">
      <c r="A196" s="401" t="str">
        <f t="shared" ref="A196:A221" si="7">IF(B196="","OK","")</f>
        <v>OK</v>
      </c>
      <c r="B196" s="491" t="str">
        <f t="shared" ref="B196:B221" si="8">IF(C196="","",B195+1)</f>
        <v/>
      </c>
      <c r="C196" s="404" t="str">
        <f>IF(CONSOLIDA!GD178="","",CONSOLIDA!GD178)</f>
        <v/>
      </c>
      <c r="D196" s="704" t="str">
        <f>IF(CONSOLIDA!GE178="","",CONSOLIDA!GE178)</f>
        <v/>
      </c>
      <c r="E196" s="704"/>
      <c r="F196" s="704"/>
      <c r="G196" s="704"/>
      <c r="H196" s="704"/>
      <c r="I196" s="401"/>
      <c r="J196" s="401"/>
      <c r="K196" s="401"/>
      <c r="L196" s="401"/>
      <c r="M196" s="401"/>
      <c r="N196" s="401"/>
      <c r="O196" s="401"/>
      <c r="P196" s="401"/>
      <c r="Q196" s="401"/>
      <c r="R196" s="401"/>
      <c r="S196" s="401"/>
    </row>
    <row r="197" spans="1:19" ht="12.75" hidden="1" customHeight="1">
      <c r="A197" s="401" t="str">
        <f t="shared" si="7"/>
        <v>OK</v>
      </c>
      <c r="B197" s="491" t="str">
        <f t="shared" si="8"/>
        <v/>
      </c>
      <c r="C197" s="404" t="str">
        <f>IF(CONSOLIDA!GD179="","",CONSOLIDA!GD179)</f>
        <v/>
      </c>
      <c r="D197" s="704" t="str">
        <f>IF(CONSOLIDA!GE179="","",CONSOLIDA!GE179)</f>
        <v/>
      </c>
      <c r="E197" s="704"/>
      <c r="F197" s="704"/>
      <c r="G197" s="704"/>
      <c r="H197" s="704"/>
      <c r="I197" s="401"/>
      <c r="J197" s="401"/>
      <c r="K197" s="401"/>
      <c r="L197" s="401"/>
      <c r="M197" s="401"/>
      <c r="N197" s="401"/>
      <c r="O197" s="401"/>
      <c r="P197" s="401"/>
      <c r="Q197" s="401"/>
      <c r="R197" s="401"/>
      <c r="S197" s="401"/>
    </row>
    <row r="198" spans="1:19" ht="12.75" hidden="1" customHeight="1">
      <c r="A198" s="401" t="str">
        <f t="shared" si="7"/>
        <v>OK</v>
      </c>
      <c r="B198" s="491" t="str">
        <f t="shared" si="8"/>
        <v/>
      </c>
      <c r="C198" s="404" t="str">
        <f>IF(CONSOLIDA!GD180="","",CONSOLIDA!GD180)</f>
        <v/>
      </c>
      <c r="D198" s="704" t="str">
        <f>IF(CONSOLIDA!GE180="","",CONSOLIDA!GE180)</f>
        <v/>
      </c>
      <c r="E198" s="704"/>
      <c r="F198" s="704"/>
      <c r="G198" s="704"/>
      <c r="H198" s="704"/>
      <c r="I198" s="401"/>
      <c r="J198" s="401"/>
      <c r="K198" s="401"/>
      <c r="L198" s="401"/>
      <c r="M198" s="401"/>
      <c r="N198" s="401"/>
      <c r="O198" s="401"/>
      <c r="P198" s="401"/>
      <c r="Q198" s="401"/>
      <c r="R198" s="401"/>
      <c r="S198" s="401"/>
    </row>
    <row r="199" spans="1:19" ht="12.75" hidden="1" customHeight="1">
      <c r="A199" s="401" t="str">
        <f t="shared" si="7"/>
        <v>OK</v>
      </c>
      <c r="B199" s="491" t="str">
        <f t="shared" si="8"/>
        <v/>
      </c>
      <c r="C199" s="404" t="str">
        <f>IF(CONSOLIDA!GD181="","",CONSOLIDA!GD181)</f>
        <v/>
      </c>
      <c r="D199" s="704" t="str">
        <f>IF(CONSOLIDA!GE181="","",CONSOLIDA!GE181)</f>
        <v/>
      </c>
      <c r="E199" s="704"/>
      <c r="F199" s="704"/>
      <c r="G199" s="704"/>
      <c r="H199" s="704"/>
      <c r="I199" s="401"/>
      <c r="J199" s="401"/>
      <c r="K199" s="401"/>
      <c r="L199" s="401"/>
      <c r="M199" s="401"/>
      <c r="N199" s="401"/>
      <c r="O199" s="401"/>
      <c r="P199" s="401"/>
      <c r="Q199" s="401"/>
      <c r="R199" s="401"/>
      <c r="S199" s="401"/>
    </row>
    <row r="200" spans="1:19" ht="12.75" hidden="1" customHeight="1">
      <c r="A200" s="401" t="str">
        <f t="shared" si="7"/>
        <v>OK</v>
      </c>
      <c r="B200" s="491" t="str">
        <f t="shared" si="8"/>
        <v/>
      </c>
      <c r="C200" s="404" t="str">
        <f>IF(CONSOLIDA!GD182="","",CONSOLIDA!GD182)</f>
        <v/>
      </c>
      <c r="D200" s="704" t="str">
        <f>IF(CONSOLIDA!GE182="","",CONSOLIDA!GE182)</f>
        <v/>
      </c>
      <c r="E200" s="704"/>
      <c r="F200" s="704"/>
      <c r="G200" s="704"/>
      <c r="H200" s="704"/>
      <c r="I200" s="401"/>
      <c r="J200" s="401"/>
      <c r="K200" s="401"/>
      <c r="L200" s="401"/>
      <c r="M200" s="401"/>
      <c r="N200" s="401"/>
    </row>
    <row r="201" spans="1:19" ht="12.75" hidden="1" customHeight="1">
      <c r="A201" s="401" t="str">
        <f t="shared" si="7"/>
        <v>OK</v>
      </c>
      <c r="B201" s="491" t="str">
        <f t="shared" si="8"/>
        <v/>
      </c>
      <c r="C201" s="404" t="str">
        <f>IF(CONSOLIDA!GD183="","",CONSOLIDA!GD183)</f>
        <v/>
      </c>
      <c r="D201" s="704" t="str">
        <f>IF(CONSOLIDA!GE183="","",CONSOLIDA!GE183)</f>
        <v/>
      </c>
      <c r="E201" s="704"/>
      <c r="F201" s="704"/>
      <c r="G201" s="704"/>
      <c r="H201" s="704"/>
      <c r="I201" s="401"/>
      <c r="J201" s="401"/>
      <c r="K201" s="401"/>
      <c r="L201" s="401"/>
      <c r="M201" s="401"/>
      <c r="N201" s="401"/>
    </row>
    <row r="202" spans="1:19" ht="12.75" hidden="1" customHeight="1">
      <c r="A202" s="401" t="str">
        <f t="shared" si="7"/>
        <v>OK</v>
      </c>
      <c r="B202" s="491" t="str">
        <f t="shared" si="8"/>
        <v/>
      </c>
      <c r="C202" s="404" t="str">
        <f>IF(CONSOLIDA!GD184="","",CONSOLIDA!GD184)</f>
        <v/>
      </c>
      <c r="D202" s="704" t="str">
        <f>IF(CONSOLIDA!GE184="","",CONSOLIDA!GE184)</f>
        <v/>
      </c>
      <c r="E202" s="704"/>
      <c r="F202" s="704"/>
      <c r="G202" s="704"/>
      <c r="H202" s="704"/>
      <c r="I202" s="401"/>
      <c r="J202" s="401"/>
      <c r="K202" s="401"/>
      <c r="L202" s="401"/>
      <c r="M202" s="401"/>
      <c r="N202" s="401"/>
    </row>
    <row r="203" spans="1:19" ht="12.75" hidden="1" customHeight="1">
      <c r="A203" s="401" t="str">
        <f t="shared" si="7"/>
        <v>OK</v>
      </c>
      <c r="B203" s="491" t="str">
        <f t="shared" si="8"/>
        <v/>
      </c>
      <c r="C203" s="404" t="str">
        <f>IF(CONSOLIDA!GD185="","",CONSOLIDA!GD185)</f>
        <v/>
      </c>
      <c r="D203" s="704" t="str">
        <f>IF(CONSOLIDA!GE185="","",CONSOLIDA!GE185)</f>
        <v/>
      </c>
      <c r="E203" s="704"/>
      <c r="F203" s="704"/>
      <c r="G203" s="704"/>
      <c r="H203" s="704"/>
      <c r="I203" s="401"/>
      <c r="J203" s="401"/>
      <c r="K203" s="401"/>
      <c r="L203" s="401"/>
      <c r="M203" s="401"/>
      <c r="N203" s="401"/>
    </row>
    <row r="204" spans="1:19" ht="12.75" hidden="1" customHeight="1">
      <c r="A204" s="401" t="str">
        <f t="shared" si="7"/>
        <v>OK</v>
      </c>
      <c r="B204" s="491" t="str">
        <f t="shared" si="8"/>
        <v/>
      </c>
      <c r="C204" s="404" t="str">
        <f>IF(CONSOLIDA!GD186="","",CONSOLIDA!GD186)</f>
        <v/>
      </c>
      <c r="D204" s="704" t="str">
        <f>IF(CONSOLIDA!GE186="","",CONSOLIDA!GE186)</f>
        <v/>
      </c>
      <c r="E204" s="704"/>
      <c r="F204" s="704"/>
      <c r="G204" s="704"/>
      <c r="H204" s="704"/>
      <c r="I204" s="401"/>
      <c r="J204" s="401"/>
      <c r="K204" s="401"/>
      <c r="L204" s="401"/>
      <c r="M204" s="401"/>
      <c r="N204" s="401"/>
    </row>
    <row r="205" spans="1:19" ht="12.75" hidden="1" customHeight="1">
      <c r="A205" s="401" t="str">
        <f t="shared" si="7"/>
        <v>OK</v>
      </c>
      <c r="B205" s="491" t="str">
        <f t="shared" si="8"/>
        <v/>
      </c>
      <c r="C205" s="404" t="str">
        <f>IF(CONSOLIDA!GD187="","",CONSOLIDA!GD187)</f>
        <v/>
      </c>
      <c r="D205" s="704" t="str">
        <f>IF(CONSOLIDA!GE187="","",CONSOLIDA!GE187)</f>
        <v/>
      </c>
      <c r="E205" s="704"/>
      <c r="F205" s="704"/>
      <c r="G205" s="704"/>
      <c r="H205" s="704"/>
      <c r="I205" s="401"/>
      <c r="J205" s="401"/>
      <c r="K205" s="401"/>
      <c r="L205" s="401"/>
      <c r="M205" s="401"/>
      <c r="N205" s="401"/>
    </row>
    <row r="206" spans="1:19" ht="12.75" hidden="1" customHeight="1">
      <c r="A206" s="401" t="str">
        <f t="shared" si="7"/>
        <v>OK</v>
      </c>
      <c r="B206" s="491" t="str">
        <f t="shared" si="8"/>
        <v/>
      </c>
      <c r="C206" s="404" t="str">
        <f>IF(CONSOLIDA!GD188="","",CONSOLIDA!GD188)</f>
        <v/>
      </c>
      <c r="D206" s="704" t="str">
        <f>IF(CONSOLIDA!GE188="","",CONSOLIDA!GE188)</f>
        <v/>
      </c>
      <c r="E206" s="704"/>
      <c r="F206" s="704"/>
      <c r="G206" s="704"/>
      <c r="H206" s="704"/>
      <c r="I206" s="401"/>
      <c r="J206" s="401"/>
      <c r="K206" s="401"/>
      <c r="L206" s="401"/>
      <c r="M206" s="401"/>
      <c r="N206" s="401"/>
    </row>
    <row r="207" spans="1:19" ht="12.75" hidden="1" customHeight="1">
      <c r="A207" s="401" t="str">
        <f t="shared" si="7"/>
        <v>OK</v>
      </c>
      <c r="B207" s="491" t="str">
        <f t="shared" si="8"/>
        <v/>
      </c>
      <c r="C207" s="404" t="str">
        <f>IF(CONSOLIDA!GD189="","",CONSOLIDA!GD189)</f>
        <v/>
      </c>
      <c r="D207" s="704" t="str">
        <f>IF(CONSOLIDA!GE189="","",CONSOLIDA!GE189)</f>
        <v/>
      </c>
      <c r="E207" s="704"/>
      <c r="F207" s="704"/>
      <c r="G207" s="704"/>
      <c r="H207" s="704"/>
      <c r="I207" s="401"/>
      <c r="J207" s="401"/>
      <c r="K207" s="401"/>
      <c r="L207" s="401"/>
      <c r="M207" s="401"/>
      <c r="N207" s="401"/>
    </row>
    <row r="208" spans="1:19" ht="12.75" hidden="1" customHeight="1">
      <c r="A208" s="401" t="str">
        <f t="shared" si="7"/>
        <v>OK</v>
      </c>
      <c r="B208" s="491" t="str">
        <f t="shared" si="8"/>
        <v/>
      </c>
      <c r="C208" s="404" t="str">
        <f>IF(CONSOLIDA!GD190="","",CONSOLIDA!GD190)</f>
        <v/>
      </c>
      <c r="D208" s="704" t="str">
        <f>IF(CONSOLIDA!GE190="","",CONSOLIDA!GE190)</f>
        <v/>
      </c>
      <c r="E208" s="704"/>
      <c r="F208" s="704"/>
      <c r="G208" s="704"/>
      <c r="H208" s="704"/>
      <c r="I208" s="401"/>
      <c r="J208" s="401"/>
      <c r="K208" s="401"/>
      <c r="L208" s="401"/>
      <c r="M208" s="401"/>
      <c r="N208" s="401"/>
    </row>
    <row r="209" spans="1:14" ht="12.75" hidden="1" customHeight="1">
      <c r="A209" s="401" t="str">
        <f t="shared" si="7"/>
        <v>OK</v>
      </c>
      <c r="B209" s="491" t="str">
        <f t="shared" si="8"/>
        <v/>
      </c>
      <c r="C209" s="404" t="str">
        <f>IF(CONSOLIDA!GD191="","",CONSOLIDA!GD191)</f>
        <v/>
      </c>
      <c r="D209" s="704" t="str">
        <f>IF(CONSOLIDA!GE191="","",CONSOLIDA!GE191)</f>
        <v/>
      </c>
      <c r="E209" s="704"/>
      <c r="F209" s="704"/>
      <c r="G209" s="704"/>
      <c r="H209" s="704"/>
      <c r="I209" s="401"/>
      <c r="J209" s="401"/>
      <c r="K209" s="401"/>
      <c r="L209" s="401"/>
      <c r="M209" s="401"/>
      <c r="N209" s="401"/>
    </row>
    <row r="210" spans="1:14" ht="12.75" hidden="1" customHeight="1">
      <c r="A210" s="401" t="str">
        <f t="shared" si="7"/>
        <v>OK</v>
      </c>
      <c r="B210" s="491" t="str">
        <f t="shared" si="8"/>
        <v/>
      </c>
      <c r="C210" s="404" t="str">
        <f>IF(CONSOLIDA!GD192="","",CONSOLIDA!GD192)</f>
        <v/>
      </c>
      <c r="D210" s="704" t="str">
        <f>IF(CONSOLIDA!GE192="","",CONSOLIDA!GE192)</f>
        <v/>
      </c>
      <c r="E210" s="704"/>
      <c r="F210" s="704"/>
      <c r="G210" s="704"/>
      <c r="H210" s="704"/>
      <c r="I210" s="401"/>
      <c r="J210" s="401"/>
      <c r="K210" s="401"/>
      <c r="L210" s="401"/>
      <c r="M210" s="401"/>
      <c r="N210" s="401"/>
    </row>
    <row r="211" spans="1:14" ht="12.75" hidden="1" customHeight="1">
      <c r="A211" s="401" t="str">
        <f t="shared" si="7"/>
        <v>OK</v>
      </c>
      <c r="B211" s="491" t="str">
        <f t="shared" si="8"/>
        <v/>
      </c>
      <c r="C211" s="404" t="str">
        <f>IF(CONSOLIDA!GD193="","",CONSOLIDA!GD193)</f>
        <v/>
      </c>
      <c r="D211" s="704" t="str">
        <f>IF(CONSOLIDA!GE193="","",CONSOLIDA!GE193)</f>
        <v/>
      </c>
      <c r="E211" s="704"/>
      <c r="F211" s="704"/>
      <c r="G211" s="704"/>
      <c r="H211" s="704"/>
      <c r="I211" s="401"/>
      <c r="J211" s="401"/>
      <c r="K211" s="401"/>
      <c r="L211" s="401"/>
      <c r="M211" s="401"/>
      <c r="N211" s="401"/>
    </row>
    <row r="212" spans="1:14" ht="12.75" hidden="1" customHeight="1">
      <c r="A212" s="401" t="str">
        <f t="shared" si="7"/>
        <v>OK</v>
      </c>
      <c r="B212" s="491" t="str">
        <f t="shared" si="8"/>
        <v/>
      </c>
      <c r="C212" s="404" t="str">
        <f>IF(CONSOLIDA!GD194="","",CONSOLIDA!GD194)</f>
        <v/>
      </c>
      <c r="D212" s="704" t="str">
        <f>IF(CONSOLIDA!GE194="","",CONSOLIDA!GE194)</f>
        <v/>
      </c>
      <c r="E212" s="704"/>
      <c r="F212" s="704"/>
      <c r="G212" s="704"/>
      <c r="H212" s="704"/>
      <c r="I212" s="401"/>
      <c r="J212" s="401"/>
      <c r="K212" s="401"/>
      <c r="L212" s="401"/>
      <c r="M212" s="401"/>
      <c r="N212" s="401"/>
    </row>
    <row r="213" spans="1:14" ht="12.75" hidden="1" customHeight="1">
      <c r="A213" s="401" t="str">
        <f t="shared" si="7"/>
        <v>OK</v>
      </c>
      <c r="B213" s="491" t="str">
        <f t="shared" si="8"/>
        <v/>
      </c>
      <c r="C213" s="404" t="str">
        <f>IF(CONSOLIDA!GD195="","",CONSOLIDA!GD195)</f>
        <v/>
      </c>
      <c r="D213" s="704" t="str">
        <f>IF(CONSOLIDA!GE195="","",CONSOLIDA!GE195)</f>
        <v/>
      </c>
      <c r="E213" s="704"/>
      <c r="F213" s="704"/>
      <c r="G213" s="704"/>
      <c r="H213" s="704"/>
      <c r="I213" s="401"/>
      <c r="J213" s="401"/>
      <c r="K213" s="401"/>
      <c r="L213" s="401"/>
      <c r="M213" s="401"/>
      <c r="N213" s="401"/>
    </row>
    <row r="214" spans="1:14" ht="12.75" hidden="1" customHeight="1">
      <c r="A214" s="401" t="str">
        <f t="shared" si="7"/>
        <v>OK</v>
      </c>
      <c r="B214" s="491" t="str">
        <f t="shared" si="8"/>
        <v/>
      </c>
      <c r="C214" s="404" t="str">
        <f>IF(CONSOLIDA!GD196="","",CONSOLIDA!GD196)</f>
        <v/>
      </c>
      <c r="D214" s="704" t="str">
        <f>IF(CONSOLIDA!GE196="","",CONSOLIDA!GE196)</f>
        <v/>
      </c>
      <c r="E214" s="704"/>
      <c r="F214" s="704"/>
      <c r="G214" s="704"/>
      <c r="H214" s="704"/>
      <c r="I214" s="401"/>
      <c r="J214" s="401"/>
      <c r="K214" s="401"/>
      <c r="L214" s="401"/>
      <c r="M214" s="401"/>
      <c r="N214" s="401"/>
    </row>
    <row r="215" spans="1:14" ht="12.75" hidden="1" customHeight="1">
      <c r="A215" s="401" t="str">
        <f t="shared" si="7"/>
        <v>OK</v>
      </c>
      <c r="B215" s="491" t="str">
        <f t="shared" si="8"/>
        <v/>
      </c>
      <c r="C215" s="404" t="str">
        <f>IF(CONSOLIDA!GD197="","",CONSOLIDA!GD197)</f>
        <v/>
      </c>
      <c r="D215" s="704" t="str">
        <f>IF(CONSOLIDA!GE197="","",CONSOLIDA!GE197)</f>
        <v/>
      </c>
      <c r="E215" s="704"/>
      <c r="F215" s="704"/>
      <c r="G215" s="704"/>
      <c r="H215" s="704"/>
      <c r="I215" s="401"/>
      <c r="J215" s="401"/>
      <c r="K215" s="401"/>
      <c r="L215" s="401"/>
      <c r="M215" s="401"/>
      <c r="N215" s="401"/>
    </row>
    <row r="216" spans="1:14" ht="12.75" hidden="1" customHeight="1">
      <c r="A216" s="401" t="str">
        <f t="shared" si="7"/>
        <v>OK</v>
      </c>
      <c r="B216" s="491" t="str">
        <f t="shared" si="8"/>
        <v/>
      </c>
      <c r="C216" s="404" t="str">
        <f>IF(CONSOLIDA!GD198="","",CONSOLIDA!GD198)</f>
        <v/>
      </c>
      <c r="D216" s="704" t="str">
        <f>IF(CONSOLIDA!GE198="","",CONSOLIDA!GE198)</f>
        <v/>
      </c>
      <c r="E216" s="704"/>
      <c r="F216" s="704"/>
      <c r="G216" s="704"/>
      <c r="H216" s="704"/>
      <c r="I216" s="401"/>
      <c r="J216" s="401"/>
      <c r="K216" s="401"/>
      <c r="L216" s="401"/>
      <c r="M216" s="401"/>
      <c r="N216" s="401"/>
    </row>
    <row r="217" spans="1:14" ht="12.75" hidden="1" customHeight="1">
      <c r="A217" s="401" t="str">
        <f t="shared" si="7"/>
        <v>OK</v>
      </c>
      <c r="B217" s="491" t="str">
        <f t="shared" si="8"/>
        <v/>
      </c>
      <c r="C217" s="404" t="str">
        <f>IF(CONSOLIDA!GD199="","",CONSOLIDA!GD199)</f>
        <v/>
      </c>
      <c r="D217" s="704" t="str">
        <f>IF(CONSOLIDA!GE199="","",CONSOLIDA!GE199)</f>
        <v/>
      </c>
      <c r="E217" s="704"/>
      <c r="F217" s="704"/>
      <c r="G217" s="704"/>
      <c r="H217" s="704"/>
      <c r="I217" s="401"/>
      <c r="J217" s="401"/>
      <c r="K217" s="401"/>
      <c r="L217" s="401"/>
      <c r="M217" s="401"/>
      <c r="N217" s="401"/>
    </row>
    <row r="218" spans="1:14" ht="12.75" hidden="1" customHeight="1">
      <c r="A218" s="401" t="str">
        <f t="shared" si="7"/>
        <v>OK</v>
      </c>
      <c r="B218" s="491" t="str">
        <f t="shared" si="8"/>
        <v/>
      </c>
      <c r="C218" s="404" t="str">
        <f>IF(CONSOLIDA!GD200="","",CONSOLIDA!GD200)</f>
        <v/>
      </c>
      <c r="D218" s="704" t="str">
        <f>IF(CONSOLIDA!GE200="","",CONSOLIDA!GE200)</f>
        <v/>
      </c>
      <c r="E218" s="704"/>
      <c r="F218" s="704"/>
      <c r="G218" s="704"/>
      <c r="H218" s="704"/>
      <c r="I218" s="401"/>
      <c r="J218" s="401"/>
      <c r="K218" s="401"/>
      <c r="L218" s="401"/>
      <c r="M218" s="401"/>
      <c r="N218" s="401"/>
    </row>
    <row r="219" spans="1:14" ht="12.75" hidden="1" customHeight="1">
      <c r="A219" s="401" t="str">
        <f t="shared" si="7"/>
        <v>OK</v>
      </c>
      <c r="B219" s="491" t="str">
        <f t="shared" si="8"/>
        <v/>
      </c>
      <c r="C219" s="404" t="str">
        <f>IF(CONSOLIDA!GD201="","",CONSOLIDA!GD201)</f>
        <v/>
      </c>
      <c r="D219" s="704" t="str">
        <f>IF(CONSOLIDA!GE201="","",CONSOLIDA!GE201)</f>
        <v/>
      </c>
      <c r="E219" s="704"/>
      <c r="F219" s="704"/>
      <c r="G219" s="704"/>
      <c r="H219" s="704"/>
      <c r="I219" s="401"/>
      <c r="J219" s="401"/>
      <c r="K219" s="401"/>
      <c r="L219" s="401"/>
      <c r="M219" s="401"/>
      <c r="N219" s="401"/>
    </row>
    <row r="220" spans="1:14" ht="12.75" hidden="1" customHeight="1">
      <c r="A220" s="401" t="str">
        <f t="shared" si="7"/>
        <v>OK</v>
      </c>
      <c r="B220" s="491" t="str">
        <f t="shared" si="8"/>
        <v/>
      </c>
      <c r="C220" s="404" t="str">
        <f>IF(CONSOLIDA!GD202="","",CONSOLIDA!GD202)</f>
        <v/>
      </c>
      <c r="D220" s="704" t="str">
        <f>IF(CONSOLIDA!GE202="","",CONSOLIDA!GE202)</f>
        <v/>
      </c>
      <c r="E220" s="704"/>
      <c r="F220" s="704"/>
      <c r="G220" s="704"/>
      <c r="H220" s="704"/>
    </row>
    <row r="221" spans="1:14" ht="12.75" hidden="1" customHeight="1">
      <c r="A221" s="401" t="str">
        <f t="shared" si="7"/>
        <v>OK</v>
      </c>
      <c r="B221" s="491" t="str">
        <f t="shared" si="8"/>
        <v/>
      </c>
      <c r="C221" s="404" t="str">
        <f>IF(CONSOLIDA!GD203="","",CONSOLIDA!GD203)</f>
        <v/>
      </c>
      <c r="D221" s="704" t="str">
        <f>IF(CONSOLIDA!GE203="","",CONSOLIDA!GE203)</f>
        <v/>
      </c>
      <c r="E221" s="704"/>
      <c r="F221" s="704"/>
      <c r="G221" s="704"/>
      <c r="H221" s="704"/>
    </row>
    <row r="222" spans="1:14" ht="12.75" hidden="1" customHeight="1">
      <c r="A222" s="401"/>
      <c r="B222" s="491"/>
      <c r="C222" s="404"/>
      <c r="D222" s="704"/>
      <c r="E222" s="704"/>
      <c r="F222" s="704"/>
      <c r="G222" s="704"/>
      <c r="H222" s="704"/>
    </row>
    <row r="223" spans="1:14" ht="12.75" hidden="1" customHeight="1"/>
    <row r="224" spans="1:14" ht="12.75" hidden="1" customHeight="1"/>
    <row r="225" ht="12.75" hidden="1" customHeight="1"/>
  </sheetData>
  <sheetProtection password="F326" sheet="1" objects="1" scenarios="1" formatRows="0"/>
  <mergeCells count="213">
    <mergeCell ref="L10:M10"/>
    <mergeCell ref="L15:M15"/>
    <mergeCell ref="L2:M2"/>
    <mergeCell ref="D214:H214"/>
    <mergeCell ref="D215:H215"/>
    <mergeCell ref="D216:H216"/>
    <mergeCell ref="D217:H217"/>
    <mergeCell ref="D218:H218"/>
    <mergeCell ref="D219:H219"/>
    <mergeCell ref="C13:G13"/>
    <mergeCell ref="B7:H7"/>
    <mergeCell ref="B2:H2"/>
    <mergeCell ref="B3:H3"/>
    <mergeCell ref="B5:H5"/>
    <mergeCell ref="D11:F11"/>
    <mergeCell ref="C12:D12"/>
    <mergeCell ref="F12:G12"/>
    <mergeCell ref="D21:G21"/>
    <mergeCell ref="D22:H22"/>
    <mergeCell ref="D23:H23"/>
    <mergeCell ref="D24:H24"/>
    <mergeCell ref="D25:H25"/>
    <mergeCell ref="D26:H26"/>
    <mergeCell ref="D27:H27"/>
    <mergeCell ref="D196:H196"/>
    <mergeCell ref="D197:H197"/>
    <mergeCell ref="D198:H198"/>
    <mergeCell ref="D199:H199"/>
    <mergeCell ref="D200:H200"/>
    <mergeCell ref="D201:H201"/>
    <mergeCell ref="D202:H202"/>
    <mergeCell ref="D203:H203"/>
    <mergeCell ref="D204:H204"/>
    <mergeCell ref="D222:H222"/>
    <mergeCell ref="D205:H205"/>
    <mergeCell ref="D206:H206"/>
    <mergeCell ref="D207:H207"/>
    <mergeCell ref="D208:H208"/>
    <mergeCell ref="D209:H209"/>
    <mergeCell ref="D210:H210"/>
    <mergeCell ref="D211:H211"/>
    <mergeCell ref="D212:H212"/>
    <mergeCell ref="D213:H213"/>
    <mergeCell ref="D220:H220"/>
    <mergeCell ref="D221:H221"/>
    <mergeCell ref="D28:H28"/>
    <mergeCell ref="D29:H29"/>
    <mergeCell ref="D30:H30"/>
    <mergeCell ref="D31:H31"/>
    <mergeCell ref="D32:H32"/>
    <mergeCell ref="D33:H33"/>
    <mergeCell ref="D34:H34"/>
    <mergeCell ref="D35:H35"/>
    <mergeCell ref="D36:H36"/>
    <mergeCell ref="D37:H37"/>
    <mergeCell ref="D38:H38"/>
    <mergeCell ref="D39:H39"/>
    <mergeCell ref="D40:H40"/>
    <mergeCell ref="D41:H41"/>
    <mergeCell ref="D42:H42"/>
    <mergeCell ref="D43:H43"/>
    <mergeCell ref="D44:H44"/>
    <mergeCell ref="D45:H45"/>
    <mergeCell ref="D46:H46"/>
    <mergeCell ref="D47:H47"/>
    <mergeCell ref="D48:H48"/>
    <mergeCell ref="D49:H49"/>
    <mergeCell ref="D50:H50"/>
    <mergeCell ref="D51:H51"/>
    <mergeCell ref="D52:H52"/>
    <mergeCell ref="D53:H53"/>
    <mergeCell ref="D54:H54"/>
    <mergeCell ref="D55:H55"/>
    <mergeCell ref="D56:H56"/>
    <mergeCell ref="D57:H57"/>
    <mergeCell ref="D58:H58"/>
    <mergeCell ref="D59:H59"/>
    <mergeCell ref="D60:H60"/>
    <mergeCell ref="D61:H61"/>
    <mergeCell ref="D62:H62"/>
    <mergeCell ref="D63:H63"/>
    <mergeCell ref="D64:H64"/>
    <mergeCell ref="D65:H65"/>
    <mergeCell ref="D66:H66"/>
    <mergeCell ref="D67:H67"/>
    <mergeCell ref="D68:H68"/>
    <mergeCell ref="D69:H69"/>
    <mergeCell ref="D70:H70"/>
    <mergeCell ref="D71:H71"/>
    <mergeCell ref="D72:H72"/>
    <mergeCell ref="D73:H73"/>
    <mergeCell ref="D74:H74"/>
    <mergeCell ref="D75:H75"/>
    <mergeCell ref="D76:H76"/>
    <mergeCell ref="D77:H77"/>
    <mergeCell ref="D78:H78"/>
    <mergeCell ref="D79:H79"/>
    <mergeCell ref="D80:H80"/>
    <mergeCell ref="D81:H81"/>
    <mergeCell ref="D82:H82"/>
    <mergeCell ref="D83:H83"/>
    <mergeCell ref="D84:H84"/>
    <mergeCell ref="D85:H85"/>
    <mergeCell ref="D86:H86"/>
    <mergeCell ref="D87:H87"/>
    <mergeCell ref="D88:H88"/>
    <mergeCell ref="D89:H89"/>
    <mergeCell ref="D90:H90"/>
    <mergeCell ref="D91:H91"/>
    <mergeCell ref="D92:H92"/>
    <mergeCell ref="D93:H93"/>
    <mergeCell ref="D94:H94"/>
    <mergeCell ref="D95:H95"/>
    <mergeCell ref="D96:H96"/>
    <mergeCell ref="D97:H97"/>
    <mergeCell ref="D98:H98"/>
    <mergeCell ref="D99:H99"/>
    <mergeCell ref="D100:H100"/>
    <mergeCell ref="D101:H101"/>
    <mergeCell ref="D102:H102"/>
    <mergeCell ref="D103:H103"/>
    <mergeCell ref="D104:H104"/>
    <mergeCell ref="D105:H105"/>
    <mergeCell ref="D106:H106"/>
    <mergeCell ref="D107:H107"/>
    <mergeCell ref="D108:H108"/>
    <mergeCell ref="D109:H109"/>
    <mergeCell ref="D110:H110"/>
    <mergeCell ref="D111:H111"/>
    <mergeCell ref="D112:H112"/>
    <mergeCell ref="D113:H113"/>
    <mergeCell ref="D114:H114"/>
    <mergeCell ref="D115:H115"/>
    <mergeCell ref="D116:H116"/>
    <mergeCell ref="D117:H117"/>
    <mergeCell ref="D118:H118"/>
    <mergeCell ref="D119:H119"/>
    <mergeCell ref="D120:H120"/>
    <mergeCell ref="D121:H121"/>
    <mergeCell ref="D122:H122"/>
    <mergeCell ref="D123:H123"/>
    <mergeCell ref="D124:H124"/>
    <mergeCell ref="D125:H125"/>
    <mergeCell ref="D126:H126"/>
    <mergeCell ref="D127:H127"/>
    <mergeCell ref="D128:H128"/>
    <mergeCell ref="D129:H129"/>
    <mergeCell ref="D130:H130"/>
    <mergeCell ref="D131:H131"/>
    <mergeCell ref="D132:H132"/>
    <mergeCell ref="D133:H133"/>
    <mergeCell ref="D134:H134"/>
    <mergeCell ref="D135:H135"/>
    <mergeCell ref="D136:H136"/>
    <mergeCell ref="D137:H137"/>
    <mergeCell ref="D138:H138"/>
    <mergeCell ref="D139:H139"/>
    <mergeCell ref="D140:H140"/>
    <mergeCell ref="D141:H141"/>
    <mergeCell ref="D142:H142"/>
    <mergeCell ref="D143:H143"/>
    <mergeCell ref="D144:H144"/>
    <mergeCell ref="D145:H145"/>
    <mergeCell ref="D146:H146"/>
    <mergeCell ref="D147:H147"/>
    <mergeCell ref="D148:H148"/>
    <mergeCell ref="D149:H149"/>
    <mergeCell ref="D150:H150"/>
    <mergeCell ref="D151:H151"/>
    <mergeCell ref="D152:H152"/>
    <mergeCell ref="D153:H153"/>
    <mergeCell ref="D154:H154"/>
    <mergeCell ref="D155:H155"/>
    <mergeCell ref="D156:H156"/>
    <mergeCell ref="D157:H157"/>
    <mergeCell ref="D158:H158"/>
    <mergeCell ref="D159:H159"/>
    <mergeCell ref="D160:H160"/>
    <mergeCell ref="D161:H161"/>
    <mergeCell ref="D162:H162"/>
    <mergeCell ref="D163:H163"/>
    <mergeCell ref="D164:H164"/>
    <mergeCell ref="D165:H165"/>
    <mergeCell ref="D166:H166"/>
    <mergeCell ref="D167:H167"/>
    <mergeCell ref="D168:H168"/>
    <mergeCell ref="D169:H169"/>
    <mergeCell ref="D170:H170"/>
    <mergeCell ref="D171:H171"/>
    <mergeCell ref="D172:H172"/>
    <mergeCell ref="D173:H173"/>
    <mergeCell ref="D174:H174"/>
    <mergeCell ref="D175:H175"/>
    <mergeCell ref="D176:H176"/>
    <mergeCell ref="D177:H177"/>
    <mergeCell ref="D178:H178"/>
    <mergeCell ref="D179:H179"/>
    <mergeCell ref="D180:H180"/>
    <mergeCell ref="D181:H181"/>
    <mergeCell ref="D182:H182"/>
    <mergeCell ref="D183:H183"/>
    <mergeCell ref="D184:H184"/>
    <mergeCell ref="D185:H185"/>
    <mergeCell ref="D186:H186"/>
    <mergeCell ref="D187:H187"/>
    <mergeCell ref="D188:H188"/>
    <mergeCell ref="D195:H195"/>
    <mergeCell ref="D189:H189"/>
    <mergeCell ref="D190:H190"/>
    <mergeCell ref="D191:H191"/>
    <mergeCell ref="D192:H192"/>
    <mergeCell ref="D193:H193"/>
    <mergeCell ref="D194:H194"/>
  </mergeCells>
  <phoneticPr fontId="7" type="noConversion"/>
  <conditionalFormatting sqref="B12">
    <cfRule type="expression" dxfId="8179" priority="11" stopIfTrue="1">
      <formula>B17=0</formula>
    </cfRule>
    <cfRule type="expression" dxfId="8178" priority="12" stopIfTrue="1">
      <formula>B17&gt;0</formula>
    </cfRule>
  </conditionalFormatting>
  <conditionalFormatting sqref="C15:G15">
    <cfRule type="expression" dxfId="8177" priority="13" stopIfTrue="1">
      <formula>#REF!=0</formula>
    </cfRule>
  </conditionalFormatting>
  <conditionalFormatting sqref="E12">
    <cfRule type="expression" dxfId="8176" priority="8" stopIfTrue="1">
      <formula>IF($D$11="ATENÇÃO",TRUE)</formula>
    </cfRule>
    <cfRule type="expression" dxfId="8175" priority="14" stopIfTrue="1">
      <formula>IF($D$11="EXPIROU",TRUE)</formula>
    </cfRule>
  </conditionalFormatting>
  <conditionalFormatting sqref="C11 G11">
    <cfRule type="expression" dxfId="8174" priority="15" stopIfTrue="1">
      <formula>$E$12&lt;=5</formula>
    </cfRule>
  </conditionalFormatting>
  <conditionalFormatting sqref="C13:G13">
    <cfRule type="cellIs" dxfId="8173" priority="16" stopIfTrue="1" operator="equal">
      <formula>"Contate a SME URGENTE"</formula>
    </cfRule>
  </conditionalFormatting>
  <conditionalFormatting sqref="B11">
    <cfRule type="expression" dxfId="8172" priority="17" stopIfTrue="1">
      <formula>B17=0</formula>
    </cfRule>
    <cfRule type="expression" dxfId="8171" priority="18" stopIfTrue="1">
      <formula>B17&gt;0</formula>
    </cfRule>
  </conditionalFormatting>
  <conditionalFormatting sqref="B13">
    <cfRule type="expression" dxfId="8170" priority="19" stopIfTrue="1">
      <formula>B17=0</formula>
    </cfRule>
    <cfRule type="expression" dxfId="8169" priority="20" stopIfTrue="1">
      <formula>B17&gt;0</formula>
    </cfRule>
  </conditionalFormatting>
  <conditionalFormatting sqref="D11:F11">
    <cfRule type="cellIs" dxfId="8168" priority="21" stopIfTrue="1" operator="equal">
      <formula>"EXPIROU"</formula>
    </cfRule>
  </conditionalFormatting>
  <conditionalFormatting sqref="C12:D12">
    <cfRule type="cellIs" dxfId="8167" priority="10" stopIfTrue="1" operator="equal">
      <formula>"SEU PRAZO EM"</formula>
    </cfRule>
  </conditionalFormatting>
  <conditionalFormatting sqref="F12:G12">
    <cfRule type="expression" dxfId="8166" priority="9" stopIfTrue="1">
      <formula>IF($D$11="EXPIROU",TRUE)</formula>
    </cfRule>
  </conditionalFormatting>
  <conditionalFormatting sqref="L3:L4">
    <cfRule type="cellIs" dxfId="8165" priority="7" operator="greaterThan">
      <formula>0</formula>
    </cfRule>
  </conditionalFormatting>
  <conditionalFormatting sqref="L5">
    <cfRule type="cellIs" dxfId="8164" priority="6" operator="greaterThan">
      <formula>0</formula>
    </cfRule>
  </conditionalFormatting>
  <conditionalFormatting sqref="L6">
    <cfRule type="cellIs" dxfId="8163" priority="5" operator="greaterThan">
      <formula>0</formula>
    </cfRule>
  </conditionalFormatting>
  <conditionalFormatting sqref="L7">
    <cfRule type="cellIs" dxfId="8162" priority="4" operator="greaterThan">
      <formula>0</formula>
    </cfRule>
  </conditionalFormatting>
  <conditionalFormatting sqref="L8:L9">
    <cfRule type="cellIs" dxfId="8161" priority="3" operator="greaterThan">
      <formula>0</formula>
    </cfRule>
  </conditionalFormatting>
  <conditionalFormatting sqref="L11:L13">
    <cfRule type="cellIs" dxfId="8160" priority="2" operator="equal">
      <formula>""</formula>
    </cfRule>
  </conditionalFormatting>
  <conditionalFormatting sqref="L10:M10">
    <cfRule type="cellIs" dxfId="8159" priority="1" operator="notEqual">
      <formula>""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>
    <tabColor indexed="47"/>
  </sheetPr>
  <dimension ref="A1:M54"/>
  <sheetViews>
    <sheetView zoomScale="120" workbookViewId="0"/>
  </sheetViews>
  <sheetFormatPr defaultColWidth="0" defaultRowHeight="12.75" zeroHeight="1"/>
  <cols>
    <col min="1" max="1" width="9.140625" customWidth="1"/>
    <col min="2" max="2" width="13.85546875" customWidth="1"/>
    <col min="3" max="3" width="14.85546875" customWidth="1"/>
    <col min="4" max="4" width="16.7109375" customWidth="1"/>
    <col min="5" max="5" width="7.85546875" customWidth="1"/>
    <col min="6" max="6" width="16.7109375" customWidth="1"/>
    <col min="7" max="7" width="8.5703125" customWidth="1"/>
    <col min="8" max="8" width="9.140625" style="28" customWidth="1"/>
    <col min="9" max="9" width="11.7109375" style="28" hidden="1" customWidth="1"/>
    <col min="10" max="10" width="13.140625" style="28" hidden="1" customWidth="1"/>
    <col min="11" max="12" width="9.140625" style="28" hidden="1" customWidth="1"/>
    <col min="13" max="13" width="38" hidden="1" customWidth="1"/>
  </cols>
  <sheetData>
    <row r="1" spans="1:12" s="3" customFormat="1" ht="36.75" customHeight="1" thickBot="1">
      <c r="A1" s="325">
        <f>MENU!$A$1</f>
        <v>1</v>
      </c>
      <c r="B1" s="334"/>
      <c r="C1" s="335"/>
      <c r="D1" s="335"/>
      <c r="E1" s="335"/>
      <c r="F1" s="335"/>
      <c r="G1" s="336"/>
      <c r="H1" s="88"/>
      <c r="I1" s="23"/>
      <c r="J1" s="23"/>
      <c r="K1" s="23"/>
      <c r="L1" s="23"/>
    </row>
    <row r="2" spans="1:12" s="3" customFormat="1" ht="15" customHeight="1" thickBot="1">
      <c r="A2" s="86"/>
      <c r="B2" s="730" t="s">
        <v>159</v>
      </c>
      <c r="C2" s="731"/>
      <c r="D2" s="731"/>
      <c r="E2" s="731"/>
      <c r="F2" s="731"/>
      <c r="G2" s="732"/>
      <c r="H2" s="88"/>
      <c r="I2" s="23"/>
      <c r="J2" s="23"/>
      <c r="K2" s="23"/>
      <c r="L2" s="23"/>
    </row>
    <row r="3" spans="1:12" s="3" customFormat="1" ht="15" customHeight="1">
      <c r="A3" s="87"/>
      <c r="B3" s="337"/>
      <c r="C3" s="338"/>
      <c r="D3" s="338"/>
      <c r="E3" s="338"/>
      <c r="F3" s="338"/>
      <c r="G3" s="339"/>
      <c r="H3" s="89"/>
      <c r="I3" s="24"/>
      <c r="J3" s="23"/>
      <c r="K3" s="23"/>
      <c r="L3" s="23"/>
    </row>
    <row r="4" spans="1:12" s="3" customFormat="1" ht="15" customHeight="1" thickBot="1">
      <c r="A4" s="87"/>
      <c r="B4" s="340"/>
      <c r="C4" s="341"/>
      <c r="D4" s="341"/>
      <c r="E4" s="341"/>
      <c r="F4" s="341"/>
      <c r="G4" s="342"/>
      <c r="H4" s="89"/>
      <c r="I4" s="24"/>
      <c r="J4" s="23"/>
      <c r="K4" s="23"/>
      <c r="L4" s="23"/>
    </row>
    <row r="5" spans="1:12" s="3" customFormat="1" ht="15" customHeight="1" thickBot="1">
      <c r="A5" s="87"/>
      <c r="B5" s="733" t="s">
        <v>294</v>
      </c>
      <c r="C5" s="734"/>
      <c r="D5" s="735" t="s">
        <v>180</v>
      </c>
      <c r="E5" s="736"/>
      <c r="F5" s="737"/>
      <c r="G5" s="363" t="str">
        <f>IF($D$5="","",VLOOKUP($D$5,$B$21:$H$33,4))</f>
        <v>CL</v>
      </c>
      <c r="H5" s="194"/>
      <c r="I5" s="71"/>
      <c r="J5" s="23"/>
      <c r="K5" s="23"/>
      <c r="L5" s="23"/>
    </row>
    <row r="6" spans="1:12" s="3" customFormat="1" ht="15" customHeight="1" thickBot="1">
      <c r="A6" s="87"/>
      <c r="B6" s="368"/>
      <c r="C6" s="369"/>
      <c r="D6" s="357"/>
      <c r="E6" s="357"/>
      <c r="F6" s="357"/>
      <c r="G6" s="343"/>
      <c r="H6" s="90"/>
      <c r="I6" s="25"/>
      <c r="J6" s="23"/>
      <c r="K6" s="23"/>
      <c r="L6" s="23"/>
    </row>
    <row r="7" spans="1:12" s="3" customFormat="1" ht="15" customHeight="1" thickBot="1">
      <c r="A7" s="87"/>
      <c r="B7" s="368"/>
      <c r="C7" s="347" t="s">
        <v>26</v>
      </c>
      <c r="D7" s="739" t="str">
        <f>IF($D$5="","",VLOOKUP($D$5,$B$21:$H$33,5))</f>
        <v>46.392.114/0007-10</v>
      </c>
      <c r="E7" s="740"/>
      <c r="F7" s="357"/>
      <c r="G7" s="343"/>
      <c r="H7" s="90"/>
      <c r="I7" s="25"/>
      <c r="J7" s="23"/>
      <c r="K7" s="23"/>
      <c r="L7" s="23"/>
    </row>
    <row r="8" spans="1:12" s="3" customFormat="1" ht="15" customHeight="1" thickBot="1">
      <c r="A8" s="87"/>
      <c r="B8" s="348"/>
      <c r="C8" s="347"/>
      <c r="D8" s="360"/>
      <c r="E8" s="358"/>
      <c r="F8" s="358"/>
      <c r="G8" s="343"/>
      <c r="H8" s="91"/>
      <c r="I8" s="26"/>
      <c r="J8" s="23"/>
      <c r="K8" s="23"/>
      <c r="L8" s="23"/>
    </row>
    <row r="9" spans="1:12" s="3" customFormat="1" ht="15" customHeight="1" thickBot="1">
      <c r="A9" s="87"/>
      <c r="B9" s="348"/>
      <c r="C9" s="347" t="s">
        <v>25</v>
      </c>
      <c r="D9" s="364">
        <f>MENU!$A$2</f>
        <v>2020</v>
      </c>
      <c r="E9" s="361"/>
      <c r="F9" s="359"/>
      <c r="G9" s="344"/>
      <c r="H9" s="101"/>
      <c r="I9" s="27"/>
      <c r="J9" s="23"/>
      <c r="K9" s="23"/>
      <c r="L9" s="23"/>
    </row>
    <row r="10" spans="1:12" s="3" customFormat="1" ht="15" customHeight="1" thickBot="1">
      <c r="A10" s="87"/>
      <c r="B10" s="368"/>
      <c r="C10" s="369"/>
      <c r="D10" s="341"/>
      <c r="E10" s="341"/>
      <c r="F10" s="341"/>
      <c r="G10" s="342"/>
      <c r="H10" s="89"/>
      <c r="I10" s="24"/>
      <c r="J10" s="23"/>
      <c r="K10" s="23"/>
      <c r="L10" s="23"/>
    </row>
    <row r="11" spans="1:12" s="3" customFormat="1" ht="15" customHeight="1" thickBot="1">
      <c r="A11" s="86"/>
      <c r="B11" s="349"/>
      <c r="C11" s="347" t="s">
        <v>59</v>
      </c>
      <c r="D11" s="364" t="str">
        <f>IF(A1=3,C39,IF(A1=2,C38,IF(A1=1,C37,"")))</f>
        <v>01/12/2019</v>
      </c>
      <c r="E11" s="362" t="s">
        <v>24</v>
      </c>
      <c r="F11" s="364" t="str">
        <f>IF(A1=3,D39,IF(A1=2,D38,IF(A1=1,D37,"")))</f>
        <v>31/10/2020</v>
      </c>
      <c r="G11" s="345"/>
      <c r="H11" s="88"/>
      <c r="I11" s="23"/>
      <c r="J11" s="23"/>
      <c r="K11" s="23"/>
      <c r="L11" s="23"/>
    </row>
    <row r="12" spans="1:12" s="3" customFormat="1" ht="15" customHeight="1">
      <c r="A12" s="86"/>
      <c r="B12" s="350"/>
      <c r="C12" s="351"/>
      <c r="D12" s="355"/>
      <c r="E12" s="351"/>
      <c r="F12" s="355"/>
      <c r="G12" s="345"/>
      <c r="H12" s="88"/>
      <c r="I12" s="23"/>
      <c r="J12" s="23"/>
      <c r="K12" s="23"/>
      <c r="L12" s="23"/>
    </row>
    <row r="13" spans="1:12" s="3" customFormat="1" ht="15" customHeight="1" thickBot="1">
      <c r="A13" s="86"/>
      <c r="B13" s="352" t="str">
        <f>IF(B14="1ª parcela","1º período",IF(B14="2ª parcela","2º período",IF(B14="3ª parcela","3º período","")))</f>
        <v/>
      </c>
      <c r="C13" s="351"/>
      <c r="D13" s="351"/>
      <c r="E13" s="351"/>
      <c r="F13" s="356"/>
      <c r="G13" s="345"/>
      <c r="H13" s="88"/>
      <c r="I13" s="23"/>
      <c r="J13" s="23"/>
      <c r="K13" s="23"/>
      <c r="L13" s="23"/>
    </row>
    <row r="14" spans="1:12" s="3" customFormat="1" ht="15" customHeight="1" thickBot="1">
      <c r="A14" s="86"/>
      <c r="B14" s="265" t="str">
        <f>IF(A1=1,B37,IF(A1=2,B38,IF(A1=3,B39,"")))</f>
        <v>1º Repasse de</v>
      </c>
      <c r="C14" s="266">
        <f>D9</f>
        <v>2020</v>
      </c>
      <c r="D14" s="733" t="s">
        <v>157</v>
      </c>
      <c r="E14" s="738"/>
      <c r="F14" s="365">
        <f>MENU!$H$13</f>
        <v>44082</v>
      </c>
      <c r="G14" s="345"/>
      <c r="H14" s="88"/>
      <c r="I14" s="23"/>
      <c r="J14" s="23"/>
      <c r="K14" s="23"/>
      <c r="L14" s="23"/>
    </row>
    <row r="15" spans="1:12" s="3" customFormat="1" ht="14.25" customHeight="1" thickBot="1">
      <c r="A15" s="86"/>
      <c r="B15" s="353"/>
      <c r="C15" s="354"/>
      <c r="D15" s="354"/>
      <c r="E15" s="354"/>
      <c r="F15" s="354"/>
      <c r="G15" s="346"/>
      <c r="H15" s="86"/>
      <c r="I15" s="182"/>
      <c r="J15" s="182"/>
      <c r="K15" s="182"/>
      <c r="L15" s="182"/>
    </row>
    <row r="16" spans="1:12" s="3" customFormat="1">
      <c r="A16" s="86"/>
      <c r="B16" s="258" t="s">
        <v>153</v>
      </c>
      <c r="C16" s="259">
        <f>IF($D$5="","",VLOOKUP($D$5,$B$21:$H$33,2))</f>
        <v>611370</v>
      </c>
      <c r="D16" s="326" t="s">
        <v>291</v>
      </c>
      <c r="E16" s="741" t="str">
        <f>IF($D$5="","",VLOOKUP($D$5,$B$21:$H$33,6))</f>
        <v xml:space="preserve"> REGINA PAULA COLLAZO BERTUCCIOLI </v>
      </c>
      <c r="F16" s="741"/>
      <c r="G16" s="742"/>
      <c r="H16" s="86"/>
      <c r="I16" s="182"/>
      <c r="J16" s="182"/>
      <c r="K16" s="182"/>
      <c r="L16" s="182"/>
    </row>
    <row r="17" spans="1:12" s="3" customFormat="1" ht="13.5" thickBot="1">
      <c r="A17" s="86"/>
      <c r="B17" s="366" t="s">
        <v>154</v>
      </c>
      <c r="C17" s="367">
        <f>IF($D$5="","",VLOOKUP($D$5,$B$21:$H$33,3))</f>
        <v>2600</v>
      </c>
      <c r="D17" s="327" t="s">
        <v>402</v>
      </c>
      <c r="E17" s="725" t="s">
        <v>573</v>
      </c>
      <c r="F17" s="725"/>
      <c r="G17" s="726"/>
      <c r="H17" s="86"/>
      <c r="I17" s="182"/>
      <c r="J17" s="182"/>
      <c r="K17" s="182"/>
      <c r="L17" s="182"/>
    </row>
    <row r="18" spans="1:12" s="3" customFormat="1">
      <c r="A18" s="86"/>
      <c r="B18" s="86"/>
      <c r="C18" s="86"/>
      <c r="D18" s="86"/>
      <c r="E18" s="86"/>
      <c r="F18" s="86"/>
      <c r="G18" s="86"/>
      <c r="H18" s="86"/>
      <c r="I18" s="182"/>
      <c r="J18" s="182"/>
      <c r="K18" s="182"/>
      <c r="L18" s="182"/>
    </row>
    <row r="19" spans="1:12" hidden="1">
      <c r="I19" s="28" t="s">
        <v>295</v>
      </c>
    </row>
    <row r="20" spans="1:12" ht="12" hidden="1" customHeight="1">
      <c r="A20" s="288"/>
      <c r="B20" s="328" t="s">
        <v>179</v>
      </c>
      <c r="C20" s="322" t="s">
        <v>41</v>
      </c>
      <c r="D20" s="322" t="s">
        <v>42</v>
      </c>
      <c r="E20" s="322" t="s">
        <v>225</v>
      </c>
      <c r="F20" s="328" t="s">
        <v>30</v>
      </c>
      <c r="G20" s="331" t="s">
        <v>293</v>
      </c>
      <c r="H20" s="331" t="s">
        <v>292</v>
      </c>
      <c r="I20" s="331" t="s">
        <v>296</v>
      </c>
      <c r="J20" s="331" t="s">
        <v>297</v>
      </c>
    </row>
    <row r="21" spans="1:12" ht="12" hidden="1" customHeight="1">
      <c r="A21" s="288">
        <v>1</v>
      </c>
      <c r="B21" s="329" t="s">
        <v>32</v>
      </c>
      <c r="C21" s="450">
        <v>9325905</v>
      </c>
      <c r="D21" s="450">
        <v>32200</v>
      </c>
      <c r="E21" s="330" t="s">
        <v>226</v>
      </c>
      <c r="F21" s="329" t="s">
        <v>31</v>
      </c>
      <c r="G21" s="332" t="s">
        <v>380</v>
      </c>
      <c r="H21" s="333" t="s">
        <v>381</v>
      </c>
      <c r="I21" s="333"/>
      <c r="J21" s="333"/>
    </row>
    <row r="22" spans="1:12" ht="12" hidden="1" customHeight="1">
      <c r="A22" s="288">
        <v>2</v>
      </c>
      <c r="B22" s="329" t="s">
        <v>180</v>
      </c>
      <c r="C22" s="450">
        <v>611370</v>
      </c>
      <c r="D22" s="450">
        <v>2600</v>
      </c>
      <c r="E22" s="330" t="s">
        <v>227</v>
      </c>
      <c r="F22" s="329" t="s">
        <v>181</v>
      </c>
      <c r="G22" s="332" t="s">
        <v>337</v>
      </c>
      <c r="H22" s="333" t="s">
        <v>338</v>
      </c>
      <c r="I22" s="333"/>
      <c r="J22" s="333"/>
    </row>
    <row r="23" spans="1:12" ht="12" hidden="1" customHeight="1">
      <c r="A23" s="288">
        <v>3</v>
      </c>
      <c r="B23" s="329" t="s">
        <v>182</v>
      </c>
      <c r="C23" s="450">
        <v>449901</v>
      </c>
      <c r="D23" s="450">
        <v>1400</v>
      </c>
      <c r="E23" s="330" t="s">
        <v>228</v>
      </c>
      <c r="F23" s="329" t="s">
        <v>183</v>
      </c>
      <c r="G23" s="332" t="s">
        <v>382</v>
      </c>
      <c r="H23" s="333" t="s">
        <v>383</v>
      </c>
      <c r="I23" s="333"/>
      <c r="J23" s="333"/>
    </row>
    <row r="24" spans="1:12" ht="12" hidden="1" customHeight="1">
      <c r="A24" s="288">
        <v>4</v>
      </c>
      <c r="B24" s="329" t="s">
        <v>184</v>
      </c>
      <c r="C24" s="450">
        <v>446603</v>
      </c>
      <c r="D24" s="450">
        <v>0</v>
      </c>
      <c r="E24" s="330" t="s">
        <v>229</v>
      </c>
      <c r="F24" s="329" t="s">
        <v>185</v>
      </c>
      <c r="G24" s="332" t="s">
        <v>416</v>
      </c>
      <c r="H24" s="333" t="s">
        <v>417</v>
      </c>
      <c r="I24" s="333"/>
      <c r="J24" s="333"/>
    </row>
    <row r="25" spans="1:12" ht="12" hidden="1" customHeight="1">
      <c r="A25" s="288">
        <v>5</v>
      </c>
      <c r="B25" s="329" t="s">
        <v>186</v>
      </c>
      <c r="C25" s="450">
        <v>422137</v>
      </c>
      <c r="D25" s="450">
        <v>2000</v>
      </c>
      <c r="E25" s="330" t="s">
        <v>230</v>
      </c>
      <c r="F25" s="329" t="s">
        <v>187</v>
      </c>
      <c r="G25" s="332" t="s">
        <v>339</v>
      </c>
      <c r="H25" s="333" t="s">
        <v>340</v>
      </c>
      <c r="I25" s="333"/>
      <c r="J25" s="333"/>
    </row>
    <row r="26" spans="1:12" ht="12" hidden="1" customHeight="1">
      <c r="A26" s="288">
        <v>6</v>
      </c>
      <c r="B26" s="329" t="s">
        <v>188</v>
      </c>
      <c r="C26" s="450">
        <v>431354</v>
      </c>
      <c r="D26" s="450">
        <v>0</v>
      </c>
      <c r="E26" s="330" t="s">
        <v>231</v>
      </c>
      <c r="F26" s="329" t="s">
        <v>189</v>
      </c>
      <c r="G26" s="332" t="s">
        <v>400</v>
      </c>
      <c r="H26" s="333" t="s">
        <v>401</v>
      </c>
      <c r="I26" s="333"/>
      <c r="J26" s="333"/>
    </row>
    <row r="27" spans="1:12" ht="12" hidden="1" customHeight="1">
      <c r="A27" s="288">
        <v>7</v>
      </c>
      <c r="B27" s="329" t="s">
        <v>190</v>
      </c>
      <c r="C27" s="450">
        <v>554454</v>
      </c>
      <c r="D27" s="450">
        <v>2000</v>
      </c>
      <c r="E27" s="330" t="s">
        <v>408</v>
      </c>
      <c r="F27" s="329" t="s">
        <v>191</v>
      </c>
      <c r="G27" s="332" t="s">
        <v>341</v>
      </c>
      <c r="H27" s="333" t="s">
        <v>342</v>
      </c>
      <c r="I27" s="333"/>
      <c r="J27" s="333"/>
    </row>
    <row r="28" spans="1:12" ht="12" hidden="1" customHeight="1">
      <c r="A28" s="288">
        <v>8</v>
      </c>
      <c r="B28" s="329" t="s">
        <v>192</v>
      </c>
      <c r="C28" s="450">
        <v>459109</v>
      </c>
      <c r="D28" s="450">
        <v>2000</v>
      </c>
      <c r="E28" s="330" t="s">
        <v>232</v>
      </c>
      <c r="F28" s="329" t="s">
        <v>193</v>
      </c>
      <c r="G28" s="332" t="s">
        <v>343</v>
      </c>
      <c r="H28" s="333" t="s">
        <v>344</v>
      </c>
      <c r="I28" s="333"/>
      <c r="J28" s="333"/>
    </row>
    <row r="29" spans="1:12" ht="12" hidden="1" customHeight="1">
      <c r="A29" s="288">
        <v>9</v>
      </c>
      <c r="B29" s="329" t="s">
        <v>194</v>
      </c>
      <c r="C29" s="450">
        <v>527027</v>
      </c>
      <c r="D29" s="450">
        <v>0</v>
      </c>
      <c r="E29" s="330" t="s">
        <v>233</v>
      </c>
      <c r="F29" s="329" t="s">
        <v>195</v>
      </c>
      <c r="G29" s="332" t="s">
        <v>347</v>
      </c>
      <c r="H29" s="333" t="s">
        <v>348</v>
      </c>
      <c r="I29" s="333"/>
      <c r="J29" s="333"/>
    </row>
    <row r="30" spans="1:12" ht="12" hidden="1" customHeight="1">
      <c r="A30" s="288">
        <v>10</v>
      </c>
      <c r="B30" s="329" t="s">
        <v>418</v>
      </c>
      <c r="C30" s="450">
        <v>444657</v>
      </c>
      <c r="D30" s="450">
        <v>1400</v>
      </c>
      <c r="E30" s="330" t="s">
        <v>234</v>
      </c>
      <c r="F30" s="329" t="s">
        <v>196</v>
      </c>
      <c r="G30" s="332" t="s">
        <v>384</v>
      </c>
      <c r="H30" s="333" t="s">
        <v>385</v>
      </c>
      <c r="I30" s="333"/>
      <c r="J30" s="333"/>
    </row>
    <row r="31" spans="1:12" ht="12" hidden="1" customHeight="1">
      <c r="A31" s="288">
        <v>11</v>
      </c>
      <c r="B31" s="329" t="s">
        <v>197</v>
      </c>
      <c r="C31" s="450">
        <v>589090</v>
      </c>
      <c r="D31" s="450">
        <v>1600</v>
      </c>
      <c r="E31" s="330" t="s">
        <v>235</v>
      </c>
      <c r="F31" s="329" t="s">
        <v>198</v>
      </c>
      <c r="G31" s="332" t="s">
        <v>349</v>
      </c>
      <c r="H31" s="333" t="s">
        <v>350</v>
      </c>
      <c r="I31" s="333"/>
      <c r="J31" s="333"/>
    </row>
    <row r="32" spans="1:12" ht="12" hidden="1" customHeight="1">
      <c r="A32" s="288">
        <v>12</v>
      </c>
      <c r="B32" s="329" t="s">
        <v>199</v>
      </c>
      <c r="C32" s="450">
        <v>553271</v>
      </c>
      <c r="D32" s="450">
        <v>1000</v>
      </c>
      <c r="E32" s="330" t="s">
        <v>236</v>
      </c>
      <c r="F32" s="329" t="s">
        <v>200</v>
      </c>
      <c r="G32" s="332" t="s">
        <v>351</v>
      </c>
      <c r="H32" s="333" t="s">
        <v>352</v>
      </c>
      <c r="I32" s="333"/>
      <c r="J32" s="333"/>
    </row>
    <row r="33" spans="1:10" ht="12" hidden="1" customHeight="1">
      <c r="A33" s="288">
        <v>13</v>
      </c>
      <c r="B33" s="329" t="s">
        <v>419</v>
      </c>
      <c r="C33" s="450">
        <v>616021</v>
      </c>
      <c r="D33" s="450">
        <v>0</v>
      </c>
      <c r="E33" s="330" t="s">
        <v>237</v>
      </c>
      <c r="F33" s="329" t="s">
        <v>201</v>
      </c>
      <c r="G33" s="332" t="s">
        <v>345</v>
      </c>
      <c r="H33" s="333" t="s">
        <v>346</v>
      </c>
      <c r="I33" s="333"/>
      <c r="J33" s="333"/>
    </row>
    <row r="34" spans="1:10" hidden="1">
      <c r="C34" s="287">
        <f>SUM(C21:C33)</f>
        <v>15430899</v>
      </c>
      <c r="D34" s="287">
        <f>SUM(D21:D33)</f>
        <v>46200</v>
      </c>
      <c r="E34" s="728"/>
      <c r="F34" s="729"/>
      <c r="G34" s="727"/>
      <c r="H34" s="727"/>
    </row>
    <row r="35" spans="1:10" hidden="1"/>
    <row r="36" spans="1:10" hidden="1">
      <c r="B36" s="323"/>
      <c r="C36" s="323"/>
      <c r="D36" s="323"/>
    </row>
    <row r="37" spans="1:10" hidden="1">
      <c r="B37" s="451" t="s">
        <v>288</v>
      </c>
      <c r="C37" s="449" t="s">
        <v>554</v>
      </c>
      <c r="D37" s="449" t="s">
        <v>555</v>
      </c>
    </row>
    <row r="38" spans="1:10" hidden="1">
      <c r="B38" s="451" t="s">
        <v>289</v>
      </c>
      <c r="C38" s="449"/>
      <c r="D38" s="449"/>
    </row>
    <row r="39" spans="1:10" ht="12" hidden="1" customHeight="1">
      <c r="B39" s="451" t="s">
        <v>286</v>
      </c>
      <c r="C39" s="449"/>
      <c r="D39" s="449"/>
    </row>
    <row r="40" spans="1:10" hidden="1">
      <c r="B40" s="323"/>
      <c r="C40" s="323"/>
      <c r="D40" s="323"/>
    </row>
    <row r="41" spans="1:10" hidden="1">
      <c r="B41" s="323"/>
      <c r="C41" s="323"/>
      <c r="D41" s="323"/>
    </row>
    <row r="42" spans="1:10" hidden="1">
      <c r="B42" s="324"/>
      <c r="C42" s="324"/>
      <c r="D42" s="324"/>
      <c r="F42" s="28"/>
    </row>
    <row r="43" spans="1:10" hidden="1">
      <c r="B43" s="324"/>
      <c r="C43" s="324"/>
      <c r="D43" s="324"/>
      <c r="F43" s="28"/>
    </row>
    <row r="44" spans="1:10" hidden="1">
      <c r="B44" s="28"/>
      <c r="C44" s="324"/>
      <c r="D44" s="324"/>
      <c r="F44" s="28"/>
    </row>
    <row r="45" spans="1:10" hidden="1">
      <c r="B45" s="28"/>
      <c r="C45" s="324"/>
      <c r="D45" s="324"/>
      <c r="F45" s="28"/>
    </row>
    <row r="46" spans="1:10" hidden="1">
      <c r="B46" s="28"/>
      <c r="C46" s="324"/>
      <c r="D46" s="324"/>
      <c r="F46" s="28"/>
    </row>
    <row r="47" spans="1:10" hidden="1">
      <c r="B47" s="28"/>
      <c r="C47" s="324"/>
      <c r="D47" s="324"/>
      <c r="F47" s="28"/>
    </row>
    <row r="48" spans="1:10" hidden="1">
      <c r="B48" s="28"/>
      <c r="C48" s="324"/>
      <c r="D48" s="324"/>
      <c r="F48" s="28"/>
    </row>
    <row r="49" spans="3:6" hidden="1">
      <c r="C49" s="28"/>
      <c r="D49" s="28"/>
      <c r="E49" s="28"/>
      <c r="F49" s="28"/>
    </row>
    <row r="50" spans="3:6" hidden="1">
      <c r="C50" s="28"/>
      <c r="D50" s="28"/>
      <c r="E50" s="28"/>
      <c r="F50" s="28"/>
    </row>
    <row r="51" spans="3:6" hidden="1">
      <c r="C51" s="28"/>
      <c r="D51" s="28"/>
      <c r="E51" s="28"/>
      <c r="F51" s="28"/>
    </row>
    <row r="52" spans="3:6" hidden="1">
      <c r="C52" s="28"/>
      <c r="D52" s="28"/>
      <c r="E52" s="28"/>
      <c r="F52" s="28"/>
    </row>
    <row r="53" spans="3:6" hidden="1">
      <c r="C53" s="28"/>
      <c r="D53" s="28"/>
      <c r="E53" s="28"/>
      <c r="F53" s="28"/>
    </row>
    <row r="54" spans="3:6" hidden="1">
      <c r="C54" s="28"/>
      <c r="D54" s="28"/>
      <c r="E54" s="28"/>
      <c r="F54" s="28"/>
    </row>
  </sheetData>
  <sortState ref="B21:H33">
    <sortCondition ref="E21:E33"/>
  </sortState>
  <mergeCells count="9">
    <mergeCell ref="E17:G17"/>
    <mergeCell ref="G34:H34"/>
    <mergeCell ref="E34:F34"/>
    <mergeCell ref="B2:G2"/>
    <mergeCell ref="B5:C5"/>
    <mergeCell ref="D5:F5"/>
    <mergeCell ref="D14:E14"/>
    <mergeCell ref="D7:E7"/>
    <mergeCell ref="E16:G16"/>
  </mergeCells>
  <phoneticPr fontId="7" type="noConversion"/>
  <dataValidations count="1">
    <dataValidation type="list" allowBlank="1" showInputMessage="1" showErrorMessage="1" sqref="D5:F5">
      <formula1>$B$21:$B$33</formula1>
    </dataValidation>
  </dataValidations>
  <pageMargins left="0.78740157499999996" right="0.78740157499999996" top="0.984251969" bottom="0.984251969" header="0.49212598499999999" footer="0.49212598499999999"/>
  <pageSetup paperSize="9" orientation="portrait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>
    <tabColor indexed="44"/>
  </sheetPr>
  <dimension ref="A1:XFD1048576"/>
  <sheetViews>
    <sheetView showRowColHeaders="0" zoomScale="80" zoomScaleNormal="8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E4" sqref="E4"/>
    </sheetView>
  </sheetViews>
  <sheetFormatPr defaultColWidth="0" defaultRowHeight="0" customHeight="1" zeroHeight="1"/>
  <cols>
    <col min="1" max="1" width="0.7109375" style="3" customWidth="1"/>
    <col min="2" max="2" width="7.42578125" style="3" bestFit="1" customWidth="1"/>
    <col min="3" max="3" width="8" style="3" customWidth="1"/>
    <col min="4" max="4" width="36" style="3" customWidth="1"/>
    <col min="5" max="7" width="13.5703125" style="3" customWidth="1"/>
    <col min="8" max="8" width="12.28515625" style="3" customWidth="1"/>
    <col min="9" max="9" width="12.5703125" style="3" customWidth="1"/>
    <col min="10" max="10" width="12.28515625" style="3" customWidth="1"/>
    <col min="11" max="11" width="10.7109375" style="3" customWidth="1"/>
    <col min="12" max="12" width="10.85546875" style="3" customWidth="1"/>
    <col min="13" max="13" width="12.28515625" style="3" customWidth="1"/>
    <col min="14" max="14" width="17" style="3" customWidth="1"/>
    <col min="15" max="15" width="11.85546875" style="192" customWidth="1"/>
    <col min="16" max="16" width="9.7109375" style="192" bestFit="1" customWidth="1"/>
    <col min="17" max="17" width="11.5703125" style="3" customWidth="1"/>
    <col min="18" max="18" width="12" style="3" hidden="1" customWidth="1"/>
    <col min="19" max="19" width="10.42578125" style="3" hidden="1" customWidth="1"/>
    <col min="20" max="20" width="11.28515625" style="3" hidden="1" customWidth="1"/>
    <col min="21" max="21" width="10.140625" style="3" hidden="1" customWidth="1"/>
    <col min="22" max="22" width="10" style="3" hidden="1" customWidth="1"/>
    <col min="23" max="23" width="10.28515625" style="3" hidden="1" customWidth="1"/>
    <col min="24" max="25" width="10.140625" style="3" hidden="1" customWidth="1"/>
    <col min="26" max="26" width="10.5703125" style="3" hidden="1" customWidth="1"/>
    <col min="27" max="27" width="10.7109375" style="3" customWidth="1"/>
    <col min="28" max="28" width="11.85546875" style="3" hidden="1" customWidth="1"/>
    <col min="29" max="46" width="9.140625" style="182" hidden="1" customWidth="1"/>
    <col min="47" max="47" width="10.140625" style="182" hidden="1" customWidth="1"/>
    <col min="48" max="48" width="9.42578125" style="182" hidden="1" customWidth="1"/>
    <col min="49" max="49" width="11.28515625" style="182" hidden="1" customWidth="1"/>
    <col min="50" max="57" width="9.140625" style="182" hidden="1" customWidth="1"/>
    <col min="58" max="58" width="10.28515625" style="3" customWidth="1"/>
    <col min="59" max="77" width="9.140625" style="3" hidden="1" customWidth="1"/>
    <col min="78" max="78" width="10.5703125" style="3" hidden="1" customWidth="1"/>
    <col min="79" max="79" width="11.28515625" style="3" hidden="1" customWidth="1"/>
    <col min="80" max="87" width="9.140625" style="3" hidden="1" customWidth="1"/>
    <col min="88" max="88" width="10" style="3" customWidth="1"/>
    <col min="89" max="110" width="9.140625" style="407" hidden="1" customWidth="1"/>
    <col min="111" max="111" width="10.140625" style="407" hidden="1" customWidth="1"/>
    <col min="112" max="117" width="9.140625" style="407" hidden="1" customWidth="1"/>
    <col min="118" max="118" width="10.140625" style="407" hidden="1" customWidth="1"/>
    <col min="119" max="119" width="10" style="3" customWidth="1"/>
    <col min="120" max="150" width="9.140625" style="407" hidden="1" customWidth="1"/>
    <col min="151" max="152" width="8.7109375" style="407" hidden="1" customWidth="1"/>
    <col min="153" max="153" width="6.7109375" style="399" hidden="1" customWidth="1"/>
    <col min="154" max="155" width="10" style="399" hidden="1" customWidth="1"/>
    <col min="156" max="181" width="9.140625" style="399" hidden="1" customWidth="1"/>
    <col min="182" max="182" width="14" style="284" customWidth="1"/>
    <col min="183" max="186" width="9.140625" style="284" hidden="1" customWidth="1"/>
    <col min="187" max="187" width="53.7109375" style="284" hidden="1" customWidth="1"/>
    <col min="188" max="188" width="4.85546875" style="284" hidden="1" customWidth="1"/>
    <col min="189" max="189" width="5.7109375" style="284" hidden="1" customWidth="1"/>
    <col min="190" max="202" width="4.85546875" style="284" hidden="1" customWidth="1"/>
    <col min="203" max="203" width="11" style="3" customWidth="1"/>
    <col min="204" max="204" width="9.140625" style="3" customWidth="1"/>
    <col min="205" max="205" width="9.85546875" style="284" hidden="1" customWidth="1"/>
    <col min="206" max="211" width="4.85546875" style="284" hidden="1" customWidth="1"/>
    <col min="212" max="212" width="10.7109375" style="284" hidden="1" customWidth="1"/>
    <col min="213" max="213" width="13" style="284" hidden="1" customWidth="1"/>
    <col min="214" max="214" width="17.42578125" style="284" hidden="1" customWidth="1"/>
    <col min="215" max="215" width="18.7109375" style="284" hidden="1" customWidth="1"/>
    <col min="216" max="216" width="22.42578125" style="284" customWidth="1"/>
    <col min="217" max="217" width="16.85546875" style="284" customWidth="1"/>
    <col min="218" max="253" width="16.85546875" style="284" hidden="1" customWidth="1"/>
    <col min="254" max="254" width="16.85546875" style="284" customWidth="1"/>
    <col min="255" max="255" width="21" style="284" bestFit="1" customWidth="1"/>
    <col min="256" max="256" width="10.140625" style="284" hidden="1" customWidth="1"/>
    <col min="257" max="257" width="1.140625" style="284" customWidth="1"/>
    <col min="258" max="259" width="9.140625" style="284" hidden="1"/>
    <col min="260" max="16383" width="0.85546875" style="284" hidden="1"/>
    <col min="16384" max="16384" width="0" style="284" hidden="1"/>
  </cols>
  <sheetData>
    <row r="1" spans="1:259 16384:16384" s="391" customFormat="1" ht="44.25" customHeight="1" thickBot="1">
      <c r="A1" s="392"/>
      <c r="B1" s="393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4"/>
      <c r="P1" s="394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770" t="s">
        <v>216</v>
      </c>
      <c r="AD1" s="770"/>
      <c r="AE1" s="770"/>
      <c r="AF1" s="770"/>
      <c r="AG1" s="770"/>
      <c r="AH1" s="770"/>
      <c r="AI1" s="770"/>
      <c r="AJ1" s="770"/>
      <c r="AK1" s="770"/>
      <c r="AL1" s="770"/>
      <c r="AM1" s="770"/>
      <c r="AN1" s="770"/>
      <c r="AO1" s="770"/>
      <c r="AP1" s="770"/>
      <c r="AQ1" s="770"/>
      <c r="AR1" s="770"/>
      <c r="AS1" s="770"/>
      <c r="AT1" s="770"/>
      <c r="AU1" s="770"/>
      <c r="AV1" s="770"/>
      <c r="AW1" s="770"/>
      <c r="AX1" s="770"/>
      <c r="AY1" s="770"/>
      <c r="AZ1" s="770"/>
      <c r="BA1" s="770"/>
      <c r="BB1" s="770"/>
      <c r="BC1" s="770"/>
      <c r="BD1" s="770"/>
      <c r="BE1" s="770"/>
      <c r="BF1" s="393"/>
      <c r="BG1" s="771" t="s">
        <v>218</v>
      </c>
      <c r="BH1" s="771"/>
      <c r="BI1" s="771"/>
      <c r="BJ1" s="771"/>
      <c r="BK1" s="771"/>
      <c r="BL1" s="771"/>
      <c r="BM1" s="771"/>
      <c r="BN1" s="771"/>
      <c r="BO1" s="771"/>
      <c r="BP1" s="771"/>
      <c r="BQ1" s="771"/>
      <c r="BR1" s="771"/>
      <c r="BS1" s="771"/>
      <c r="BT1" s="771"/>
      <c r="BU1" s="771"/>
      <c r="BV1" s="771"/>
      <c r="BW1" s="771"/>
      <c r="BX1" s="771"/>
      <c r="BY1" s="771"/>
      <c r="BZ1" s="771"/>
      <c r="CA1" s="771"/>
      <c r="CB1" s="771"/>
      <c r="CC1" s="771"/>
      <c r="CD1" s="771"/>
      <c r="CE1" s="771"/>
      <c r="CF1" s="771"/>
      <c r="CG1" s="771"/>
      <c r="CH1" s="771"/>
      <c r="CI1" s="393"/>
      <c r="CJ1" s="393"/>
      <c r="CK1" s="771" t="s">
        <v>219</v>
      </c>
      <c r="CL1" s="771"/>
      <c r="CM1" s="771"/>
      <c r="CN1" s="771"/>
      <c r="CO1" s="771"/>
      <c r="CP1" s="771"/>
      <c r="CQ1" s="771"/>
      <c r="CR1" s="771"/>
      <c r="CS1" s="771"/>
      <c r="CT1" s="771"/>
      <c r="CU1" s="771"/>
      <c r="CV1" s="771"/>
      <c r="CW1" s="771"/>
      <c r="CX1" s="771"/>
      <c r="CY1" s="771"/>
      <c r="CZ1" s="771"/>
      <c r="DA1" s="771"/>
      <c r="DB1" s="771"/>
      <c r="DC1" s="771"/>
      <c r="DD1" s="771"/>
      <c r="DE1" s="771"/>
      <c r="DF1" s="771"/>
      <c r="DG1" s="771"/>
      <c r="DH1" s="771"/>
      <c r="DI1" s="771"/>
      <c r="DJ1" s="771"/>
      <c r="DK1" s="771"/>
      <c r="DL1" s="771"/>
      <c r="DM1" s="771"/>
      <c r="DN1" s="771"/>
      <c r="DO1" s="393"/>
      <c r="DP1" s="799" t="s">
        <v>220</v>
      </c>
      <c r="DQ1" s="799"/>
      <c r="DR1" s="799"/>
      <c r="DS1" s="799"/>
      <c r="DT1" s="799"/>
      <c r="DU1" s="799"/>
      <c r="DV1" s="799"/>
      <c r="DW1" s="799"/>
      <c r="DX1" s="799"/>
      <c r="DY1" s="799"/>
      <c r="DZ1" s="799"/>
      <c r="EA1" s="799"/>
      <c r="EB1" s="799"/>
      <c r="EC1" s="799"/>
      <c r="ED1" s="799"/>
      <c r="EE1" s="799"/>
      <c r="EF1" s="799"/>
      <c r="EG1" s="799"/>
      <c r="EH1" s="799"/>
      <c r="EI1" s="799"/>
      <c r="EJ1" s="799"/>
      <c r="EK1" s="799"/>
      <c r="EL1" s="799"/>
      <c r="EM1" s="799"/>
      <c r="EN1" s="799"/>
      <c r="EO1" s="799"/>
      <c r="EP1" s="799"/>
      <c r="EQ1" s="799"/>
      <c r="ER1" s="799"/>
      <c r="ES1" s="799"/>
      <c r="ET1" s="799"/>
      <c r="EU1" s="799" t="s">
        <v>217</v>
      </c>
      <c r="EV1" s="799"/>
      <c r="EW1" s="799"/>
      <c r="EX1" s="799"/>
      <c r="EY1" s="799"/>
      <c r="EZ1" s="799"/>
      <c r="FA1" s="799"/>
      <c r="FB1" s="799"/>
      <c r="FC1" s="799"/>
      <c r="FD1" s="799"/>
      <c r="FE1" s="799"/>
      <c r="FF1" s="799"/>
      <c r="FG1" s="799"/>
      <c r="FH1" s="799"/>
      <c r="FI1" s="799"/>
      <c r="FJ1" s="799"/>
      <c r="FK1" s="799"/>
      <c r="FL1" s="799"/>
      <c r="FM1" s="799"/>
      <c r="FN1" s="799"/>
      <c r="FO1" s="799"/>
      <c r="FP1" s="799"/>
      <c r="FQ1" s="799"/>
      <c r="FR1" s="799"/>
      <c r="FS1" s="799"/>
      <c r="FT1" s="799"/>
      <c r="FU1" s="799"/>
      <c r="FV1" s="799"/>
      <c r="FW1" s="799"/>
      <c r="FX1" s="799"/>
      <c r="FY1" s="799"/>
      <c r="FZ1" s="395"/>
      <c r="GA1" s="395"/>
      <c r="GB1" s="395"/>
      <c r="GC1" s="396">
        <f>COUNT(GC4:GC207)</f>
        <v>5</v>
      </c>
      <c r="GD1" s="764" t="s">
        <v>247</v>
      </c>
      <c r="GE1" s="764"/>
      <c r="GF1" s="395"/>
      <c r="GG1" s="753" t="s">
        <v>248</v>
      </c>
      <c r="GH1" s="753"/>
      <c r="GI1" s="753"/>
      <c r="GJ1" s="753"/>
      <c r="GK1" s="753"/>
      <c r="GL1" s="753"/>
      <c r="GM1" s="753"/>
      <c r="GN1" s="753"/>
      <c r="GO1" s="753"/>
      <c r="GP1" s="753"/>
      <c r="GQ1" s="753"/>
      <c r="GR1" s="753"/>
      <c r="GS1" s="395"/>
      <c r="GT1" s="395"/>
      <c r="GU1" s="393"/>
      <c r="GV1" s="393"/>
      <c r="GW1" s="395"/>
      <c r="GX1" s="395"/>
      <c r="GY1" s="395"/>
      <c r="GZ1" s="395"/>
      <c r="HA1" s="395"/>
      <c r="HB1" s="395"/>
      <c r="HC1" s="395"/>
      <c r="HD1" s="395"/>
      <c r="HE1" s="395"/>
      <c r="HF1" s="395"/>
      <c r="HG1" s="395"/>
      <c r="HH1" s="395"/>
      <c r="HI1" s="395"/>
      <c r="IT1" s="395"/>
      <c r="IU1" s="395"/>
      <c r="IV1" s="395"/>
    </row>
    <row r="2" spans="1:259 16384:16384" ht="12.75" customHeight="1">
      <c r="A2" s="29"/>
      <c r="B2" s="785" t="s">
        <v>202</v>
      </c>
      <c r="C2" s="792" t="s">
        <v>149</v>
      </c>
      <c r="D2" s="793"/>
      <c r="E2" s="787" t="s">
        <v>41</v>
      </c>
      <c r="F2" s="788"/>
      <c r="G2" s="788"/>
      <c r="H2" s="788"/>
      <c r="I2" s="789"/>
      <c r="J2" s="790" t="s">
        <v>42</v>
      </c>
      <c r="K2" s="749"/>
      <c r="L2" s="749"/>
      <c r="M2" s="791"/>
      <c r="N2" s="790" t="s">
        <v>30</v>
      </c>
      <c r="O2" s="797" t="s">
        <v>90</v>
      </c>
      <c r="P2" s="745" t="s">
        <v>72</v>
      </c>
      <c r="Q2" s="745" t="s">
        <v>124</v>
      </c>
      <c r="R2" s="747" t="s">
        <v>7</v>
      </c>
      <c r="S2" s="749" t="s">
        <v>8</v>
      </c>
      <c r="T2" s="749" t="s">
        <v>9</v>
      </c>
      <c r="U2" s="749" t="s">
        <v>10</v>
      </c>
      <c r="V2" s="749" t="s">
        <v>11</v>
      </c>
      <c r="W2" s="749" t="s">
        <v>7</v>
      </c>
      <c r="X2" s="749" t="s">
        <v>8</v>
      </c>
      <c r="Y2" s="749" t="s">
        <v>10</v>
      </c>
      <c r="Z2" s="749" t="s">
        <v>11</v>
      </c>
      <c r="AA2" s="745" t="s">
        <v>215</v>
      </c>
      <c r="AB2" s="182"/>
      <c r="AC2" s="756" t="s">
        <v>164</v>
      </c>
      <c r="AD2" s="758" t="s">
        <v>164</v>
      </c>
      <c r="AE2" s="760" t="s">
        <v>148</v>
      </c>
      <c r="AF2" s="772" t="s">
        <v>224</v>
      </c>
      <c r="AG2" s="756" t="s">
        <v>149</v>
      </c>
      <c r="AH2" s="778" t="s">
        <v>41</v>
      </c>
      <c r="AI2" s="779"/>
      <c r="AJ2" s="779"/>
      <c r="AK2" s="779"/>
      <c r="AL2" s="780"/>
      <c r="AM2" s="775" t="s">
        <v>42</v>
      </c>
      <c r="AN2" s="776"/>
      <c r="AO2" s="776"/>
      <c r="AP2" s="777"/>
      <c r="AQ2" s="774" t="s">
        <v>30</v>
      </c>
      <c r="AR2" s="762" t="s">
        <v>90</v>
      </c>
      <c r="AS2" s="754" t="s">
        <v>72</v>
      </c>
      <c r="AT2" s="754" t="s">
        <v>124</v>
      </c>
      <c r="AU2" s="375" t="s">
        <v>162</v>
      </c>
      <c r="AV2" s="375" t="s">
        <v>161</v>
      </c>
      <c r="AW2" s="767" t="s">
        <v>7</v>
      </c>
      <c r="AX2" s="751" t="s">
        <v>8</v>
      </c>
      <c r="AY2" s="751" t="s">
        <v>9</v>
      </c>
      <c r="AZ2" s="751" t="s">
        <v>10</v>
      </c>
      <c r="BA2" s="751" t="s">
        <v>11</v>
      </c>
      <c r="BB2" s="751" t="s">
        <v>7</v>
      </c>
      <c r="BC2" s="751" t="s">
        <v>8</v>
      </c>
      <c r="BD2" s="751" t="s">
        <v>10</v>
      </c>
      <c r="BE2" s="751" t="s">
        <v>11</v>
      </c>
      <c r="BF2" s="765" t="s">
        <v>281</v>
      </c>
      <c r="BG2" s="756" t="s">
        <v>164</v>
      </c>
      <c r="BH2" s="758" t="s">
        <v>164</v>
      </c>
      <c r="BI2" s="760" t="s">
        <v>148</v>
      </c>
      <c r="BJ2" s="772" t="s">
        <v>224</v>
      </c>
      <c r="BK2" s="756" t="s">
        <v>149</v>
      </c>
      <c r="BL2" s="778" t="s">
        <v>41</v>
      </c>
      <c r="BM2" s="779"/>
      <c r="BN2" s="779"/>
      <c r="BO2" s="779"/>
      <c r="BP2" s="780"/>
      <c r="BQ2" s="775" t="s">
        <v>42</v>
      </c>
      <c r="BR2" s="776"/>
      <c r="BS2" s="776"/>
      <c r="BT2" s="777"/>
      <c r="BU2" s="774" t="s">
        <v>30</v>
      </c>
      <c r="BV2" s="762" t="s">
        <v>90</v>
      </c>
      <c r="BW2" s="754" t="s">
        <v>72</v>
      </c>
      <c r="BX2" s="754" t="s">
        <v>124</v>
      </c>
      <c r="BY2" s="375" t="s">
        <v>166</v>
      </c>
      <c r="BZ2" s="375" t="s">
        <v>165</v>
      </c>
      <c r="CA2" s="767" t="s">
        <v>7</v>
      </c>
      <c r="CB2" s="751" t="s">
        <v>8</v>
      </c>
      <c r="CC2" s="751" t="s">
        <v>9</v>
      </c>
      <c r="CD2" s="751" t="s">
        <v>10</v>
      </c>
      <c r="CE2" s="751" t="s">
        <v>11</v>
      </c>
      <c r="CF2" s="751" t="s">
        <v>7</v>
      </c>
      <c r="CG2" s="751" t="s">
        <v>8</v>
      </c>
      <c r="CH2" s="751" t="s">
        <v>10</v>
      </c>
      <c r="CI2" s="751" t="s">
        <v>11</v>
      </c>
      <c r="CJ2" s="765" t="s">
        <v>282</v>
      </c>
      <c r="CK2" s="756" t="s">
        <v>164</v>
      </c>
      <c r="CL2" s="758" t="s">
        <v>164</v>
      </c>
      <c r="CM2" s="760" t="s">
        <v>148</v>
      </c>
      <c r="CN2" s="772" t="s">
        <v>224</v>
      </c>
      <c r="CO2" s="756" t="s">
        <v>149</v>
      </c>
      <c r="CP2" s="778" t="s">
        <v>41</v>
      </c>
      <c r="CQ2" s="779"/>
      <c r="CR2" s="779"/>
      <c r="CS2" s="779"/>
      <c r="CT2" s="780"/>
      <c r="CU2" s="775" t="s">
        <v>42</v>
      </c>
      <c r="CV2" s="776"/>
      <c r="CW2" s="776"/>
      <c r="CX2" s="777"/>
      <c r="CY2" s="652"/>
      <c r="CZ2" s="774" t="s">
        <v>30</v>
      </c>
      <c r="DA2" s="762" t="s">
        <v>90</v>
      </c>
      <c r="DB2" s="754" t="s">
        <v>72</v>
      </c>
      <c r="DC2" s="754" t="s">
        <v>124</v>
      </c>
      <c r="DD2" s="375" t="s">
        <v>166</v>
      </c>
      <c r="DE2" s="375" t="s">
        <v>165</v>
      </c>
      <c r="DF2" s="767" t="s">
        <v>7</v>
      </c>
      <c r="DG2" s="751" t="s">
        <v>8</v>
      </c>
      <c r="DH2" s="751" t="s">
        <v>9</v>
      </c>
      <c r="DI2" s="751" t="s">
        <v>10</v>
      </c>
      <c r="DJ2" s="751" t="s">
        <v>11</v>
      </c>
      <c r="DK2" s="751" t="s">
        <v>7</v>
      </c>
      <c r="DL2" s="751" t="s">
        <v>8</v>
      </c>
      <c r="DM2" s="751" t="s">
        <v>10</v>
      </c>
      <c r="DN2" s="751" t="s">
        <v>11</v>
      </c>
      <c r="DO2" s="765" t="s">
        <v>283</v>
      </c>
      <c r="DP2" s="756" t="s">
        <v>164</v>
      </c>
      <c r="DQ2" s="758" t="s">
        <v>164</v>
      </c>
      <c r="DR2" s="760" t="s">
        <v>148</v>
      </c>
      <c r="DS2" s="772" t="s">
        <v>224</v>
      </c>
      <c r="DT2" s="756" t="s">
        <v>149</v>
      </c>
      <c r="DU2" s="778" t="s">
        <v>41</v>
      </c>
      <c r="DV2" s="779"/>
      <c r="DW2" s="779"/>
      <c r="DX2" s="779"/>
      <c r="DY2" s="780"/>
      <c r="DZ2" s="775" t="s">
        <v>42</v>
      </c>
      <c r="EA2" s="776"/>
      <c r="EB2" s="776"/>
      <c r="EC2" s="777"/>
      <c r="ED2" s="774" t="s">
        <v>30</v>
      </c>
      <c r="EE2" s="762" t="s">
        <v>90</v>
      </c>
      <c r="EF2" s="754" t="s">
        <v>72</v>
      </c>
      <c r="EG2" s="754" t="s">
        <v>124</v>
      </c>
      <c r="EH2" s="375" t="s">
        <v>166</v>
      </c>
      <c r="EI2" s="375" t="s">
        <v>165</v>
      </c>
      <c r="EJ2" s="767" t="s">
        <v>7</v>
      </c>
      <c r="EK2" s="751" t="s">
        <v>8</v>
      </c>
      <c r="EL2" s="751" t="s">
        <v>9</v>
      </c>
      <c r="EM2" s="751" t="s">
        <v>10</v>
      </c>
      <c r="EN2" s="751" t="s">
        <v>11</v>
      </c>
      <c r="EO2" s="751" t="s">
        <v>7</v>
      </c>
      <c r="EP2" s="751" t="s">
        <v>8</v>
      </c>
      <c r="EQ2" s="751" t="s">
        <v>10</v>
      </c>
      <c r="ER2" s="751" t="s">
        <v>11</v>
      </c>
      <c r="ES2" s="781" t="s">
        <v>169</v>
      </c>
      <c r="ET2" s="781" t="s">
        <v>170</v>
      </c>
      <c r="EU2" s="756" t="s">
        <v>164</v>
      </c>
      <c r="EV2" s="758" t="s">
        <v>164</v>
      </c>
      <c r="EW2" s="760" t="s">
        <v>148</v>
      </c>
      <c r="EX2" s="772" t="s">
        <v>224</v>
      </c>
      <c r="EY2" s="756" t="s">
        <v>149</v>
      </c>
      <c r="EZ2" s="778" t="s">
        <v>41</v>
      </c>
      <c r="FA2" s="779"/>
      <c r="FB2" s="779"/>
      <c r="FC2" s="779"/>
      <c r="FD2" s="780"/>
      <c r="FE2" s="775" t="s">
        <v>42</v>
      </c>
      <c r="FF2" s="776"/>
      <c r="FG2" s="776"/>
      <c r="FH2" s="777"/>
      <c r="FI2" s="774" t="s">
        <v>30</v>
      </c>
      <c r="FJ2" s="762" t="s">
        <v>90</v>
      </c>
      <c r="FK2" s="754" t="s">
        <v>72</v>
      </c>
      <c r="FL2" s="754" t="s">
        <v>124</v>
      </c>
      <c r="FM2" s="375" t="s">
        <v>166</v>
      </c>
      <c r="FN2" s="375" t="s">
        <v>165</v>
      </c>
      <c r="FO2" s="775" t="s">
        <v>7</v>
      </c>
      <c r="FP2" s="776" t="s">
        <v>8</v>
      </c>
      <c r="FQ2" s="776" t="s">
        <v>9</v>
      </c>
      <c r="FR2" s="776" t="s">
        <v>10</v>
      </c>
      <c r="FS2" s="776" t="s">
        <v>11</v>
      </c>
      <c r="FT2" s="776" t="s">
        <v>7</v>
      </c>
      <c r="FU2" s="776" t="s">
        <v>8</v>
      </c>
      <c r="FV2" s="776" t="s">
        <v>10</v>
      </c>
      <c r="FW2" s="776" t="s">
        <v>11</v>
      </c>
      <c r="FX2" s="805" t="s">
        <v>169</v>
      </c>
      <c r="FY2" s="802" t="s">
        <v>170</v>
      </c>
      <c r="FZ2" s="743" t="s">
        <v>324</v>
      </c>
      <c r="GA2" s="756" t="s">
        <v>164</v>
      </c>
      <c r="GB2" s="758" t="s">
        <v>164</v>
      </c>
      <c r="GC2" s="760" t="s">
        <v>148</v>
      </c>
      <c r="GD2" s="772" t="s">
        <v>224</v>
      </c>
      <c r="GE2" s="754" t="s">
        <v>149</v>
      </c>
      <c r="GF2" s="302"/>
      <c r="GG2" s="302"/>
      <c r="GH2" s="302"/>
      <c r="GI2" s="302"/>
      <c r="GJ2" s="302"/>
      <c r="GK2" s="302"/>
      <c r="GL2" s="302"/>
      <c r="GM2" s="302"/>
      <c r="GN2" s="302"/>
      <c r="GO2" s="302"/>
      <c r="GP2" s="302"/>
      <c r="GQ2" s="302"/>
      <c r="GR2" s="302"/>
      <c r="GS2" s="302"/>
      <c r="GT2" s="302"/>
      <c r="GU2" s="765" t="s">
        <v>321</v>
      </c>
      <c r="GV2" s="745" t="s">
        <v>322</v>
      </c>
      <c r="GW2" s="801" t="s">
        <v>323</v>
      </c>
      <c r="GX2" s="302"/>
      <c r="GY2" s="302"/>
      <c r="GZ2" s="302"/>
      <c r="HA2" s="302"/>
      <c r="HB2" s="302"/>
      <c r="HC2" s="302"/>
      <c r="HD2" s="302"/>
      <c r="HE2" s="302"/>
      <c r="HF2" s="302"/>
      <c r="HG2" s="302"/>
      <c r="HH2" s="745" t="s">
        <v>328</v>
      </c>
      <c r="HI2" s="743" t="s">
        <v>377</v>
      </c>
      <c r="HJ2" s="302"/>
      <c r="HK2" s="302"/>
      <c r="HL2" s="302"/>
      <c r="HM2" s="423" t="s">
        <v>318</v>
      </c>
      <c r="HN2" s="423" t="s">
        <v>319</v>
      </c>
      <c r="HO2" s="424" t="s">
        <v>320</v>
      </c>
      <c r="HP2" s="424" t="s">
        <v>329</v>
      </c>
      <c r="HQ2" s="302" t="str">
        <f>IF(HM208=1,"no ítem: ",IF(HM208&gt;1,"nos itens: ",""""))</f>
        <v>"</v>
      </c>
      <c r="HR2" s="302"/>
      <c r="HS2" s="302"/>
      <c r="HT2" s="302"/>
      <c r="HU2" s="302"/>
      <c r="HV2" s="302"/>
      <c r="HW2" s="302"/>
      <c r="HX2" s="302"/>
      <c r="HY2" s="302"/>
      <c r="HZ2" s="302"/>
      <c r="IA2" s="302"/>
      <c r="IB2" s="302"/>
      <c r="IC2" s="302"/>
      <c r="ID2" s="302"/>
      <c r="IE2" s="302"/>
      <c r="IF2" s="302"/>
      <c r="IG2" s="302"/>
      <c r="IH2" s="302"/>
      <c r="II2" s="302"/>
      <c r="IJ2" s="302"/>
      <c r="IK2" s="302"/>
      <c r="IL2" s="302"/>
      <c r="IM2" s="302"/>
      <c r="IN2" s="302"/>
      <c r="IO2" s="302"/>
      <c r="IP2" s="302"/>
      <c r="IQ2" s="302"/>
      <c r="IR2" s="302"/>
      <c r="IS2" s="302"/>
      <c r="IT2" s="743" t="s">
        <v>376</v>
      </c>
      <c r="IU2" s="743" t="s">
        <v>330</v>
      </c>
      <c r="IV2" s="743" t="s">
        <v>370</v>
      </c>
      <c r="IW2" s="391"/>
      <c r="IX2" s="391"/>
      <c r="XFD2" s="391"/>
    </row>
    <row r="3" spans="1:259 16384:16384" ht="18.75" customHeight="1" thickBot="1">
      <c r="A3" s="29"/>
      <c r="B3" s="786"/>
      <c r="C3" s="794"/>
      <c r="D3" s="795"/>
      <c r="E3" s="700" t="s">
        <v>7</v>
      </c>
      <c r="F3" s="701" t="s">
        <v>8</v>
      </c>
      <c r="G3" s="701" t="s">
        <v>9</v>
      </c>
      <c r="H3" s="701" t="s">
        <v>10</v>
      </c>
      <c r="I3" s="702" t="s">
        <v>11</v>
      </c>
      <c r="J3" s="674" t="s">
        <v>7</v>
      </c>
      <c r="K3" s="675" t="s">
        <v>8</v>
      </c>
      <c r="L3" s="675" t="s">
        <v>10</v>
      </c>
      <c r="M3" s="676" t="s">
        <v>11</v>
      </c>
      <c r="N3" s="796"/>
      <c r="O3" s="798"/>
      <c r="P3" s="746"/>
      <c r="Q3" s="746"/>
      <c r="R3" s="748"/>
      <c r="S3" s="750"/>
      <c r="T3" s="750"/>
      <c r="U3" s="750"/>
      <c r="V3" s="750"/>
      <c r="W3" s="750"/>
      <c r="X3" s="750"/>
      <c r="Y3" s="750"/>
      <c r="Z3" s="750"/>
      <c r="AA3" s="746"/>
      <c r="AB3" s="182"/>
      <c r="AC3" s="757"/>
      <c r="AD3" s="759"/>
      <c r="AE3" s="761"/>
      <c r="AF3" s="773"/>
      <c r="AG3" s="757"/>
      <c r="AH3" s="376" t="s">
        <v>7</v>
      </c>
      <c r="AI3" s="377" t="s">
        <v>8</v>
      </c>
      <c r="AJ3" s="377" t="s">
        <v>9</v>
      </c>
      <c r="AK3" s="377" t="s">
        <v>10</v>
      </c>
      <c r="AL3" s="378" t="s">
        <v>11</v>
      </c>
      <c r="AM3" s="376" t="s">
        <v>7</v>
      </c>
      <c r="AN3" s="377" t="s">
        <v>8</v>
      </c>
      <c r="AO3" s="377" t="s">
        <v>10</v>
      </c>
      <c r="AP3" s="378" t="s">
        <v>11</v>
      </c>
      <c r="AQ3" s="768"/>
      <c r="AR3" s="763"/>
      <c r="AS3" s="755"/>
      <c r="AT3" s="755"/>
      <c r="AU3" s="677">
        <f>COUNT($AE$4:$AE$207)</f>
        <v>0</v>
      </c>
      <c r="AV3" s="677">
        <f>IF(AU3&lt;=23,1,IF(AND(AU3&gt;=24,AU3&lt;=45),2,IF(AND(AU3&gt;=46,AU3&lt;=67),3,IF(AND(AU3&gt;=68,AU3&lt;=89),4,IF(AND(AU3&gt;=90,AU3&lt;=111),5,IF(AND(AU3&gt;=112,AU3&lt;=133),6,IF(AND(AU3&gt;=134,AU3&lt;=155),7,IF(AND(AU3&gt;=156,AU3&lt;=177),8,IF(AND(AU3&gt;=178,AU3&lt;=199),9,IF(AND(AU3&gt;=200,AU3&lt;=221),10))))))))))</f>
        <v>1</v>
      </c>
      <c r="AW3" s="768"/>
      <c r="AX3" s="752"/>
      <c r="AY3" s="752"/>
      <c r="AZ3" s="752"/>
      <c r="BA3" s="752"/>
      <c r="BB3" s="752"/>
      <c r="BC3" s="752"/>
      <c r="BD3" s="752"/>
      <c r="BE3" s="752"/>
      <c r="BF3" s="766"/>
      <c r="BG3" s="757"/>
      <c r="BH3" s="759"/>
      <c r="BI3" s="761"/>
      <c r="BJ3" s="773"/>
      <c r="BK3" s="757"/>
      <c r="BL3" s="376" t="s">
        <v>7</v>
      </c>
      <c r="BM3" s="377" t="s">
        <v>8</v>
      </c>
      <c r="BN3" s="377" t="s">
        <v>9</v>
      </c>
      <c r="BO3" s="377" t="s">
        <v>10</v>
      </c>
      <c r="BP3" s="378" t="s">
        <v>11</v>
      </c>
      <c r="BQ3" s="376" t="s">
        <v>7</v>
      </c>
      <c r="BR3" s="377" t="s">
        <v>8</v>
      </c>
      <c r="BS3" s="377" t="s">
        <v>10</v>
      </c>
      <c r="BT3" s="378" t="s">
        <v>11</v>
      </c>
      <c r="BU3" s="768"/>
      <c r="BV3" s="763"/>
      <c r="BW3" s="755"/>
      <c r="BX3" s="755"/>
      <c r="BY3" s="677">
        <f>COUNT($BI$4:$BI$207)</f>
        <v>0</v>
      </c>
      <c r="BZ3" s="677"/>
      <c r="CA3" s="768"/>
      <c r="CB3" s="752"/>
      <c r="CC3" s="752"/>
      <c r="CD3" s="752"/>
      <c r="CE3" s="752"/>
      <c r="CF3" s="752"/>
      <c r="CG3" s="752"/>
      <c r="CH3" s="752"/>
      <c r="CI3" s="752"/>
      <c r="CJ3" s="766"/>
      <c r="CK3" s="757"/>
      <c r="CL3" s="759"/>
      <c r="CM3" s="761"/>
      <c r="CN3" s="773"/>
      <c r="CO3" s="757"/>
      <c r="CP3" s="376" t="s">
        <v>7</v>
      </c>
      <c r="CQ3" s="377" t="s">
        <v>8</v>
      </c>
      <c r="CR3" s="377" t="s">
        <v>9</v>
      </c>
      <c r="CS3" s="377" t="s">
        <v>10</v>
      </c>
      <c r="CT3" s="378" t="s">
        <v>11</v>
      </c>
      <c r="CU3" s="376" t="s">
        <v>7</v>
      </c>
      <c r="CV3" s="377" t="s">
        <v>8</v>
      </c>
      <c r="CW3" s="377" t="s">
        <v>10</v>
      </c>
      <c r="CX3" s="378" t="s">
        <v>11</v>
      </c>
      <c r="CY3" s="678"/>
      <c r="CZ3" s="768"/>
      <c r="DA3" s="763"/>
      <c r="DB3" s="755"/>
      <c r="DC3" s="755"/>
      <c r="DD3" s="677">
        <f>COUNT($CM$4:$CM$207)</f>
        <v>0</v>
      </c>
      <c r="DE3" s="677"/>
      <c r="DF3" s="768"/>
      <c r="DG3" s="752"/>
      <c r="DH3" s="752"/>
      <c r="DI3" s="752"/>
      <c r="DJ3" s="752"/>
      <c r="DK3" s="752"/>
      <c r="DL3" s="752"/>
      <c r="DM3" s="752"/>
      <c r="DN3" s="752"/>
      <c r="DO3" s="766"/>
      <c r="DP3" s="757"/>
      <c r="DQ3" s="759"/>
      <c r="DR3" s="761"/>
      <c r="DS3" s="773"/>
      <c r="DT3" s="757"/>
      <c r="DU3" s="376" t="s">
        <v>7</v>
      </c>
      <c r="DV3" s="377" t="s">
        <v>8</v>
      </c>
      <c r="DW3" s="377" t="s">
        <v>9</v>
      </c>
      <c r="DX3" s="377" t="s">
        <v>10</v>
      </c>
      <c r="DY3" s="378" t="s">
        <v>11</v>
      </c>
      <c r="DZ3" s="376" t="s">
        <v>7</v>
      </c>
      <c r="EA3" s="377" t="s">
        <v>8</v>
      </c>
      <c r="EB3" s="377" t="s">
        <v>10</v>
      </c>
      <c r="EC3" s="378" t="s">
        <v>11</v>
      </c>
      <c r="ED3" s="768"/>
      <c r="EE3" s="763"/>
      <c r="EF3" s="755"/>
      <c r="EG3" s="755"/>
      <c r="EH3" s="677">
        <f>COUNT($DR$4:$DR$207)</f>
        <v>0</v>
      </c>
      <c r="EI3" s="677"/>
      <c r="EJ3" s="768"/>
      <c r="EK3" s="752"/>
      <c r="EL3" s="752"/>
      <c r="EM3" s="752"/>
      <c r="EN3" s="752"/>
      <c r="EO3" s="752"/>
      <c r="EP3" s="752"/>
      <c r="EQ3" s="752"/>
      <c r="ER3" s="752"/>
      <c r="ES3" s="782"/>
      <c r="ET3" s="782"/>
      <c r="EU3" s="757"/>
      <c r="EV3" s="759"/>
      <c r="EW3" s="761"/>
      <c r="EX3" s="773"/>
      <c r="EY3" s="757"/>
      <c r="EZ3" s="376" t="s">
        <v>7</v>
      </c>
      <c r="FA3" s="377" t="s">
        <v>8</v>
      </c>
      <c r="FB3" s="377" t="s">
        <v>9</v>
      </c>
      <c r="FC3" s="377" t="s">
        <v>10</v>
      </c>
      <c r="FD3" s="378" t="s">
        <v>11</v>
      </c>
      <c r="FE3" s="376" t="s">
        <v>7</v>
      </c>
      <c r="FF3" s="377" t="s">
        <v>8</v>
      </c>
      <c r="FG3" s="377" t="s">
        <v>10</v>
      </c>
      <c r="FH3" s="378" t="s">
        <v>11</v>
      </c>
      <c r="FI3" s="768"/>
      <c r="FJ3" s="763"/>
      <c r="FK3" s="755"/>
      <c r="FL3" s="755"/>
      <c r="FM3" s="677">
        <f>COUNT($EW$4:$EW$207)</f>
        <v>0</v>
      </c>
      <c r="FN3" s="677">
        <f>IF(FM3&lt;=27,1,IF(AND(FM3&gt;=28,FM3&lt;=53),2,IF(AND(FM3&gt;=54,FM3&lt;=79),3,IF(AND(FM3&gt;=80,FM3&lt;=105),4,IF(AND(FM3&gt;=106,FM3&lt;=131),5,IF(AND(FM3&gt;=132,FM3&lt;=157),6,IF(AND(FM3&gt;=158,FM3&lt;=183),7,IF(AND(FM3&gt;=184,FM3&lt;=208),8,))))))))</f>
        <v>1</v>
      </c>
      <c r="FO3" s="800"/>
      <c r="FP3" s="752"/>
      <c r="FQ3" s="752"/>
      <c r="FR3" s="752"/>
      <c r="FS3" s="752"/>
      <c r="FT3" s="752"/>
      <c r="FU3" s="752"/>
      <c r="FV3" s="752"/>
      <c r="FW3" s="752"/>
      <c r="FX3" s="782"/>
      <c r="FY3" s="803"/>
      <c r="FZ3" s="769"/>
      <c r="GA3" s="757"/>
      <c r="GB3" s="759"/>
      <c r="GC3" s="761"/>
      <c r="GD3" s="773"/>
      <c r="GE3" s="755"/>
      <c r="GF3" s="302"/>
      <c r="GG3" s="302"/>
      <c r="GH3" s="302"/>
      <c r="GI3" s="302"/>
      <c r="GJ3" s="804" t="s">
        <v>245</v>
      </c>
      <c r="GK3" s="804"/>
      <c r="GL3" s="804"/>
      <c r="GM3" s="804"/>
      <c r="GN3" s="302"/>
      <c r="GO3" s="804" t="s">
        <v>246</v>
      </c>
      <c r="GP3" s="804"/>
      <c r="GQ3" s="804"/>
      <c r="GR3" s="804"/>
      <c r="GS3" s="302"/>
      <c r="GT3" s="302"/>
      <c r="GU3" s="766"/>
      <c r="GV3" s="746"/>
      <c r="GW3" s="801"/>
      <c r="GX3" s="302"/>
      <c r="GY3" s="302"/>
      <c r="GZ3" s="302"/>
      <c r="HA3" s="302" t="s">
        <v>285</v>
      </c>
      <c r="HB3" s="302"/>
      <c r="HC3" s="302"/>
      <c r="HD3" s="302" t="s">
        <v>566</v>
      </c>
      <c r="HE3" s="302" t="s">
        <v>567</v>
      </c>
      <c r="HF3" s="302" t="s">
        <v>568</v>
      </c>
      <c r="HG3" s="302" t="s">
        <v>569</v>
      </c>
      <c r="HH3" s="746"/>
      <c r="HI3" s="769"/>
      <c r="HJ3" s="302"/>
      <c r="HK3" s="302"/>
      <c r="HL3" s="302"/>
      <c r="HM3" s="423" t="s">
        <v>316</v>
      </c>
      <c r="HN3" s="423" t="s">
        <v>317</v>
      </c>
      <c r="HO3" s="423"/>
      <c r="HP3" s="302" t="str">
        <f>IF(HM208=1,"Devolução ao Tesouro Municipal - Nº de Ordem e Valor: ",IF(HM208&gt;1,"Devolução ao Tesouro Municipal - Nºs de Ordem e Valores: ",""))</f>
        <v/>
      </c>
      <c r="HQ3" s="302"/>
      <c r="HR3" s="425" t="str">
        <f>HP3&amp;HQ4&amp;HQ5&amp;HQ6&amp;HQ7&amp;HQ8&amp;HQ9&amp;HQ10&amp;HQ11&amp;HQ12&amp;HQ13&amp;HQ14&amp;HQ15&amp;HQ16&amp;HQ17&amp;HQ18&amp;HQ19&amp;HQ20&amp;HQ21&amp;HQ22&amp;HQ23&amp;HQ24&amp;HQ25&amp;HQ26&amp;HQ27&amp;HQ28&amp;HQ29&amp;HQ30&amp;HQ31&amp;HQ32&amp;HQ33&amp;HQ34&amp;HQ35&amp;HQ36&amp;HQ37&amp;HQ38&amp;HQ39&amp;HQ40&amp;HQ41&amp;HQ42&amp;HQ43&amp;HQ44&amp;HQ45&amp;HQ46&amp;HQ47&amp;HQ48&amp;HQ49&amp;HQ50&amp;HQ51&amp;HQ52&amp;HQ53&amp;HQ54&amp;HQ55&amp;HQ56&amp;HQ57&amp;HQ58&amp;HQ59&amp;HQ60&amp;HQ61&amp;HQ62&amp;HQ63&amp;HQ64&amp;HQ65&amp;HQ66&amp;HQ67&amp;HQ68&amp;HQ69&amp;HQ70&amp;HQ71&amp;HQ72&amp;HQ73&amp;HQ74&amp;HQ75&amp;HQ76&amp;HQ77&amp;HQ78&amp;HQ79&amp;HQ80&amp;HQ81&amp;HQ82&amp;HQ83&amp;HQ84&amp;HQ85&amp;HQ86&amp;HQ87&amp;HQ88&amp;HQ89&amp;HQ90&amp;HQ91&amp;HQ92&amp;HQ93&amp;HQ94&amp;HQ95&amp;HQ96&amp;HQ97&amp;HQ98&amp;HQ99&amp;HQ100&amp;HQ101&amp;HQ102&amp;HQ103&amp;HQ104&amp;HQ105&amp;HQ106&amp;HQ107&amp;HQ108&amp;HQ109&amp;HQ110&amp;HQ111&amp;HQ112&amp;HQ113&amp;HQ114&amp;HQ115&amp;HQ116&amp;HQ117&amp;HQ118&amp;HQ119&amp;HQ120&amp;HQ121&amp;HQ122&amp;HQ123&amp;HQ124&amp;HQ125&amp;HQ126&amp;HQ127&amp;HQ128&amp;HQ129&amp;HQ130&amp;HQ131&amp;HQ132&amp;HQ133&amp;HQ134&amp;HQ135&amp;HQ136&amp;HQ137&amp;HQ138&amp;HQ139&amp;HQ140&amp;HQ141&amp;HQ142&amp;HQ143&amp;HQ144&amp;HQ145&amp;HQ146&amp;HQ147&amp;HQ148&amp;HQ149&amp;HQ150&amp;HQ151&amp;HQ152&amp;HQ153&amp;HQ154&amp;HQ155&amp;HQ156&amp;HQ157&amp;HQ158&amp;HQ159&amp;HQ160&amp;HQ161&amp;HQ162&amp;HQ163&amp;HQ164&amp;HQ165&amp;HQ166&amp;HQ167&amp;HQ168&amp;HQ169&amp;HQ170&amp;HQ171&amp;HQ172&amp;HQ173&amp;HQ174&amp;HQ175&amp;HQ176&amp;HQ177&amp;HQ178&amp;HQ179&amp;HQ180&amp;HQ181&amp;HQ182&amp;HQ183&amp;HQ184&amp;HQ185&amp;HQ186&amp;HQ187&amp;HQ188&amp;HQ189&amp;HQ190&amp;HQ191&amp;HQ192&amp;HQ193&amp;HQ194&amp;HQ195&amp;HQ196&amp;HQ197&amp;HQ198&amp;HQ199&amp;HQ200&amp;HQ201&amp;HQ202&amp;HQ203&amp;HQ204&amp;HQ205&amp;HQ206&amp;HQ207</f>
        <v/>
      </c>
      <c r="HS3" s="302"/>
      <c r="HT3" s="302"/>
      <c r="HU3" s="302"/>
      <c r="HV3" s="302"/>
      <c r="HW3" s="302"/>
      <c r="HX3" s="302"/>
      <c r="HY3" s="302"/>
      <c r="HZ3" s="302"/>
      <c r="IA3" s="302"/>
      <c r="IB3" s="302"/>
      <c r="IC3" s="302"/>
      <c r="ID3" s="302"/>
      <c r="IE3" s="302"/>
      <c r="IF3" s="302"/>
      <c r="IG3" s="302"/>
      <c r="IH3" s="302"/>
      <c r="II3" s="302"/>
      <c r="IJ3" s="302"/>
      <c r="IK3" s="302"/>
      <c r="IL3" s="302"/>
      <c r="IM3" s="302"/>
      <c r="IN3" s="302"/>
      <c r="IO3" s="302"/>
      <c r="IP3" s="302"/>
      <c r="IQ3" s="302"/>
      <c r="IR3" s="302"/>
      <c r="IS3" s="302"/>
      <c r="IT3" s="769"/>
      <c r="IU3" s="769"/>
      <c r="IV3" s="744"/>
      <c r="IW3" s="391"/>
      <c r="IX3" s="391"/>
      <c r="XFD3" s="391"/>
    </row>
    <row r="4" spans="1:259 16384:16384" s="391" customFormat="1" ht="12.75" customHeight="1">
      <c r="A4" s="390">
        <f>IF(B4="","",IF(F4="BLOQUEADO",0,F4+K4))</f>
        <v>84802</v>
      </c>
      <c r="B4" s="655">
        <f>IF(D4="","",1)</f>
        <v>1</v>
      </c>
      <c r="C4" s="656">
        <f>[1]Dados!$E$3</f>
        <v>400090</v>
      </c>
      <c r="D4" s="657" t="str">
        <f>[1]Dados!$E$69</f>
        <v>CEI - JARDIM KAGOHARA</v>
      </c>
      <c r="E4" s="673">
        <f>[1]MOD_2!$C$15+[1]MOD_2_futuro!$C$15+[1]MOD_2_transporte!$C$15+[1]MOD_2_imprensa!$C$15+[1]MOD_2_gremio!$C$15+[1]MOD_2_volta_aulas!$C$15+[1]MOD_2_formacao!$C$15+[1]MOD_2_mais_escola!$C$15+[1]MOD_2_livre_aplicacao!$C$15</f>
        <v>27968.79</v>
      </c>
      <c r="F4" s="659">
        <f>[1]MOD_2!$G$15+[1]MOD_2_futuro!$G$15+[1]MOD_2_transporte!$G$15+[1]MOD_2_imprensa!$G$15+[1]MOD_2_gremio!$G$15+[1]MOD_2_volta_aulas!$G$15+[1]MOD_2_formacao!$G$15+[1]MOD_2_mais_escola!$G$15+[1]MOD_2_livre_aplicacao!$G$15</f>
        <v>84802</v>
      </c>
      <c r="G4" s="660">
        <f>IF(OR($P4=2,$P4=1),0,IF(OR($P4=3,$P4=""),[1]MOD_2!$P$15))</f>
        <v>0</v>
      </c>
      <c r="H4" s="660">
        <f>IF(OR($P4=2,$P4=1),0,IF(OR($P4=3,$P4=""),[1]MOD_2!$P$15+[1]MOD_2_futuro!$P$15+[1]MOD_2_transporte!$P$15+[1]MOD_2_imprensa!$P$15+[1]MOD_2_gremio!$P$15+[1]MOD_2_volta_aulas!$P$15+[1]MOD_2_formacao!$P$15+[1]MOD_2_mais_escola!$P$15+[1]MOD_2_livre_aplicacao!$P$15))</f>
        <v>0</v>
      </c>
      <c r="I4" s="661">
        <f>IF(C4="","",SUM(E4:G4)-H4)</f>
        <v>112770.79000000001</v>
      </c>
      <c r="J4" s="658">
        <f>[1]MOD_2!$C$16+[1]MOD_2_futuro!$C$16+[1]MOD_2_transporte!$C$16+[1]MOD_2_imprensa!$C$16+[1]MOD_2_gremio!$C$16+[1]MOD_2_volta_aulas!$C$16+[1]MOD_2_formacao!$C$16+[1]MOD_2_mais_escola!$C$16+[1]MOD_2_livre_aplicacao!$C$16</f>
        <v>2280</v>
      </c>
      <c r="K4" s="660">
        <f>[1]MOD_2!$G$16+[1]MOD_2_futuro!$G$16+[1]MOD_2_transporte!$G$16+[1]MOD_2_imprensa!$G$16+[1]MOD_2_gremio!$G$16+[1]MOD_2_volta_aulas!$G$16+[1]MOD_2_formacao!$G$16+[1]MOD_2_mais_escola!$G$16+[1]MOD_2_livre_aplicacao!$G$16</f>
        <v>0</v>
      </c>
      <c r="L4" s="660">
        <f>IF(OR($P4=2,$P4=1),0,IF(OR($P4=3,$P4=""),[1]MOD_2!$P$16+[1]MOD_2_futuro!$P$16+[1]MOD_2_transporte!$P$16+[1]MOD_2_imprensa!$P$16+[1]MOD_2_gremio!$P$16+[1]MOD_2_volta_aulas!$P$16+[1]MOD_2_formacao!$P$16+[1]MOD_2_mais_escola!$P$16+[1]MOD_2_livre_aplicacao!$P$16))</f>
        <v>0</v>
      </c>
      <c r="M4" s="661">
        <f>IF(C4="","",SUM(J4:K4)-L4)</f>
        <v>2280</v>
      </c>
      <c r="N4" s="662">
        <f>[1]MOD_2!$J$11</f>
        <v>8003092000175</v>
      </c>
      <c r="O4" s="663">
        <f>[1]MOD_2!$L$11</f>
        <v>37620991</v>
      </c>
      <c r="P4" s="664"/>
      <c r="Q4" s="665"/>
      <c r="R4" s="693">
        <f>SUM($E$4:$E$33)</f>
        <v>132008.59</v>
      </c>
      <c r="S4" s="693">
        <f>SUM($F$4:$F$33)</f>
        <v>611370</v>
      </c>
      <c r="T4" s="693">
        <f>SUM($G$4:$G$33)</f>
        <v>0</v>
      </c>
      <c r="U4" s="693">
        <f>SUM($H$4:$H$33)</f>
        <v>0</v>
      </c>
      <c r="V4" s="693">
        <f>SUM($I$4:$I$33)</f>
        <v>743378.59000000008</v>
      </c>
      <c r="W4" s="693">
        <f>SUM($J$4:$J$33)</f>
        <v>39293</v>
      </c>
      <c r="X4" s="693">
        <f>SUM($K$4:$K$33)</f>
        <v>2600</v>
      </c>
      <c r="Y4" s="693">
        <f>SUM($L$4:$L$33)</f>
        <v>0</v>
      </c>
      <c r="Z4" s="693">
        <f>SUM($M$4:$M$33)</f>
        <v>41893</v>
      </c>
      <c r="AA4" s="666"/>
      <c r="AB4" s="694">
        <f>IF(C4="","",IF(AND(F4=0,K4=0),"X",(F4+K4)))</f>
        <v>84802</v>
      </c>
      <c r="AC4" s="695">
        <f>IF(AE4&lt;&gt;"",1,0)</f>
        <v>0</v>
      </c>
      <c r="AD4" s="695" t="str">
        <f>IF(AE4&lt;&gt;"",ROW(AE4)-3,"")</f>
        <v/>
      </c>
      <c r="AE4" s="694"/>
      <c r="AF4" s="694"/>
      <c r="AG4" s="694"/>
      <c r="AH4" s="693"/>
      <c r="AI4" s="693"/>
      <c r="AJ4" s="693"/>
      <c r="AK4" s="693"/>
      <c r="AL4" s="693"/>
      <c r="AM4" s="693"/>
      <c r="AN4" s="693"/>
      <c r="AO4" s="693"/>
      <c r="AP4" s="693"/>
      <c r="AQ4" s="694"/>
      <c r="AR4" s="694"/>
      <c r="AS4" s="694"/>
      <c r="AT4" s="694"/>
      <c r="AU4" s="693" t="str">
        <f>IF(SUM(AH4:AJ4)=0,"",SUM(AH4:AJ4))</f>
        <v/>
      </c>
      <c r="AV4" s="693" t="str">
        <f>IF(SUM(AM4:AN4)=0,"",SUM(AM4:AN4))</f>
        <v/>
      </c>
      <c r="AW4" s="693">
        <f>SUM($AH$4:$AH$26)</f>
        <v>0</v>
      </c>
      <c r="AX4" s="693">
        <f>SUM($AI$4:$AI$26)</f>
        <v>0</v>
      </c>
      <c r="AY4" s="693">
        <f>SUM($AJ$4:$AJ$26)</f>
        <v>0</v>
      </c>
      <c r="AZ4" s="693">
        <f>SUM($AK$4:$AK$26)</f>
        <v>0</v>
      </c>
      <c r="BA4" s="693">
        <f>SUM($AL$4:$AL$26)</f>
        <v>0</v>
      </c>
      <c r="BB4" s="693">
        <f>SUM($AM$4:$AM$26)</f>
        <v>0</v>
      </c>
      <c r="BC4" s="693">
        <f>SUM($AN$4:$AN$26)</f>
        <v>0</v>
      </c>
      <c r="BD4" s="693">
        <f>SUM($AO$4:$AO$26)</f>
        <v>0</v>
      </c>
      <c r="BE4" s="693">
        <f>SUM($AP$4:$AP$26)</f>
        <v>0</v>
      </c>
      <c r="BF4" s="667">
        <f>IF(OR($P4=2,$P4=1),0,IF(OR($P4=3,$P4=""),IX4))</f>
        <v>0</v>
      </c>
      <c r="BG4" s="695">
        <f>IF(BI4&lt;&gt;"",1,0)</f>
        <v>0</v>
      </c>
      <c r="BH4" s="695" t="str">
        <f>IF(BI4&lt;&gt;"",ROW(BI4)-3,"")</f>
        <v/>
      </c>
      <c r="BI4" s="694"/>
      <c r="BJ4" s="694"/>
      <c r="BK4" s="694"/>
      <c r="BL4" s="693"/>
      <c r="BM4" s="693"/>
      <c r="BN4" s="693"/>
      <c r="BO4" s="693"/>
      <c r="BP4" s="693"/>
      <c r="BQ4" s="693"/>
      <c r="BR4" s="693"/>
      <c r="BS4" s="693"/>
      <c r="BT4" s="693"/>
      <c r="BU4" s="694"/>
      <c r="BV4" s="694"/>
      <c r="BW4" s="694"/>
      <c r="BX4" s="694"/>
      <c r="BY4" s="693" t="str">
        <f>IF(SUM(BL4:BN4)=0,"",SUM(BL4:BN4))</f>
        <v/>
      </c>
      <c r="BZ4" s="693" t="str">
        <f>IF(SUM(BQ4:BR4)=0,"",SUM(BQ4:BR4))</f>
        <v/>
      </c>
      <c r="CA4" s="693">
        <f>SUM($BL$4:$BL$26)</f>
        <v>0</v>
      </c>
      <c r="CB4" s="693">
        <f>SUM($BM$4:$BM$26)</f>
        <v>0</v>
      </c>
      <c r="CC4" s="693">
        <f>SUM($BN$4:$BN$26)</f>
        <v>0</v>
      </c>
      <c r="CD4" s="693">
        <f>SUM($BO$4:$BO$26)</f>
        <v>0</v>
      </c>
      <c r="CE4" s="693">
        <f>SUM($BP$4:$BP$26)</f>
        <v>0</v>
      </c>
      <c r="CF4" s="693">
        <f>SUM($BQ$4:$BQ$26)</f>
        <v>0</v>
      </c>
      <c r="CG4" s="693">
        <f>SUM($BR$4:$BR$26)</f>
        <v>0</v>
      </c>
      <c r="CH4" s="693">
        <f>SUM($BS$4:$BS$26)</f>
        <v>0</v>
      </c>
      <c r="CI4" s="693">
        <f>SUM($BT$4:$BT$26)</f>
        <v>0</v>
      </c>
      <c r="CJ4" s="667">
        <f>IF(OR($P4=2,$P4=1),0,IF(OR($P4=3,$P4=""),IY4))</f>
        <v>0</v>
      </c>
      <c r="CK4" s="695">
        <f>IF(CM4&lt;&gt;"",1,0)</f>
        <v>0</v>
      </c>
      <c r="CL4" s="695" t="str">
        <f>IF(CM4&lt;&gt;"",ROW(CM4)-3,"")</f>
        <v/>
      </c>
      <c r="CM4" s="694"/>
      <c r="CN4" s="694"/>
      <c r="CO4" s="694"/>
      <c r="CP4" s="693"/>
      <c r="CQ4" s="693"/>
      <c r="CR4" s="693"/>
      <c r="CS4" s="693"/>
      <c r="CT4" s="693"/>
      <c r="CU4" s="693"/>
      <c r="CV4" s="693"/>
      <c r="CW4" s="693"/>
      <c r="CX4" s="693"/>
      <c r="CY4" s="693"/>
      <c r="CZ4" s="694"/>
      <c r="DA4" s="694"/>
      <c r="DB4" s="694"/>
      <c r="DC4" s="694"/>
      <c r="DD4" s="693" t="str">
        <f>IF(SUM(CP4:CR4)=0,"",SUM(CP4:CR4))</f>
        <v/>
      </c>
      <c r="DE4" s="693">
        <f>IF(B4="","",IF(SUM(CU4:CV4)=0,0,SUM(CU4:CV4)))</f>
        <v>0</v>
      </c>
      <c r="DF4" s="693">
        <f>SUM($CP$4:$CP$26)</f>
        <v>0</v>
      </c>
      <c r="DG4" s="693">
        <f>SUM($CQ$4:$CQ$26)</f>
        <v>0</v>
      </c>
      <c r="DH4" s="693">
        <f>SUM($CR$4:$CR$26)</f>
        <v>0</v>
      </c>
      <c r="DI4" s="693">
        <f>SUM($CS$4:$CS$26)</f>
        <v>0</v>
      </c>
      <c r="DJ4" s="693">
        <f>SUM($CT$4:$CT$26)</f>
        <v>0</v>
      </c>
      <c r="DK4" s="693">
        <f>SUM($CU$4:$CU$26)</f>
        <v>0</v>
      </c>
      <c r="DL4" s="693">
        <f>SUM($CV$4:$CV$26)</f>
        <v>0</v>
      </c>
      <c r="DM4" s="693">
        <f>SUM($CW$4:$CW$26)</f>
        <v>0</v>
      </c>
      <c r="DN4" s="693">
        <f>SUM($CX$4:$CX$26)</f>
        <v>0</v>
      </c>
      <c r="DO4" s="667" t="str">
        <f>IF(AND(BF4=0,CJ4=0),"",IF(AND(BF4=0,CJ4=""),"",IF(AND(BF4="",CJ4=""),"",SUM(BF4,CJ4))))</f>
        <v/>
      </c>
      <c r="DP4" s="695">
        <f>IF(DR4&lt;&gt;"",1,0)</f>
        <v>0</v>
      </c>
      <c r="DQ4" s="695" t="str">
        <f>IF(DR4&lt;&gt;"",ROW(DR4)-3,"")</f>
        <v/>
      </c>
      <c r="DR4" s="694"/>
      <c r="DS4" s="694"/>
      <c r="DT4" s="694"/>
      <c r="DU4" s="693"/>
      <c r="DV4" s="693"/>
      <c r="DW4" s="693"/>
      <c r="DX4" s="693"/>
      <c r="DY4" s="693"/>
      <c r="DZ4" s="693"/>
      <c r="EA4" s="693"/>
      <c r="EB4" s="693"/>
      <c r="EC4" s="693"/>
      <c r="ED4" s="694"/>
      <c r="EE4" s="694"/>
      <c r="EF4" s="694"/>
      <c r="EG4" s="694"/>
      <c r="EH4" s="693" t="str">
        <f>IF(SUM(DU4:DW4)=0,"",SUM(DU4:DW4))</f>
        <v/>
      </c>
      <c r="EI4" s="693" t="str">
        <f>IF(SUM(DZ4:EA4)=0,"",SUM(DZ4:EA4))</f>
        <v/>
      </c>
      <c r="EJ4" s="693">
        <f>SUM($DU$4:$DU$30)</f>
        <v>0</v>
      </c>
      <c r="EK4" s="693">
        <f>SUM($DV$4:$DV$30)</f>
        <v>0</v>
      </c>
      <c r="EL4" s="693">
        <f>SUM($DW$4:$DW$30)</f>
        <v>0</v>
      </c>
      <c r="EM4" s="693">
        <f>SUM($DX$4:$DX$30)</f>
        <v>0</v>
      </c>
      <c r="EN4" s="693">
        <f>SUM($DY$4:$DY$30)</f>
        <v>0</v>
      </c>
      <c r="EO4" s="693">
        <f>SUM($DZ$4:$DZ$30)</f>
        <v>0</v>
      </c>
      <c r="EP4" s="693">
        <f>SUM($EA$4:$EA$30)</f>
        <v>0</v>
      </c>
      <c r="EQ4" s="693">
        <f>SUM($EB$4:$EB$30)</f>
        <v>0</v>
      </c>
      <c r="ER4" s="693">
        <f>SUM($EC$4:$EC$30)</f>
        <v>0</v>
      </c>
      <c r="ES4" s="693">
        <f>SUM($EJ$4:$EL$4)</f>
        <v>0</v>
      </c>
      <c r="ET4" s="693">
        <f>SUM($EO$4:$EP$4)</f>
        <v>0</v>
      </c>
      <c r="EU4" s="695">
        <f>IF(EW4&lt;&gt;"",1,0)</f>
        <v>0</v>
      </c>
      <c r="EV4" s="695" t="str">
        <f>IF(EW4&lt;&gt;"",ROW(EW4)-3,"")</f>
        <v/>
      </c>
      <c r="EW4" s="694"/>
      <c r="EX4" s="694"/>
      <c r="EY4" s="694"/>
      <c r="EZ4" s="693"/>
      <c r="FA4" s="693"/>
      <c r="FB4" s="693"/>
      <c r="FC4" s="693"/>
      <c r="FD4" s="693"/>
      <c r="FE4" s="693"/>
      <c r="FF4" s="693"/>
      <c r="FG4" s="693"/>
      <c r="FH4" s="693"/>
      <c r="FI4" s="694"/>
      <c r="FJ4" s="694"/>
      <c r="FK4" s="694"/>
      <c r="FL4" s="694"/>
      <c r="FM4" s="693" t="str">
        <f>IF(SUM(EZ4:FB4)=0,"",SUM(EZ4:FB4))</f>
        <v/>
      </c>
      <c r="FN4" s="693" t="str">
        <f>IF(AND(FE4="",FF4=""),"",SUM(FE4:FF4))</f>
        <v/>
      </c>
      <c r="FO4" s="693">
        <f>SUM($EZ$4:$EZ$30)</f>
        <v>0</v>
      </c>
      <c r="FP4" s="693">
        <f>SUM($FA$4:$FA$30)</f>
        <v>0</v>
      </c>
      <c r="FQ4" s="693">
        <f>SUM($FB$4:$FB$30)</f>
        <v>0</v>
      </c>
      <c r="FR4" s="693">
        <f>SUM($FC$4:$FC$30)</f>
        <v>0</v>
      </c>
      <c r="FS4" s="693">
        <f>SUM($FD$4:$FD$30)</f>
        <v>0</v>
      </c>
      <c r="FT4" s="693">
        <f>SUM($FE$4:$FE$30)</f>
        <v>0</v>
      </c>
      <c r="FU4" s="693">
        <f>SUM($FF$4:$FF$30)</f>
        <v>0</v>
      </c>
      <c r="FV4" s="693">
        <f>SUM($FG$4:$FG$30)</f>
        <v>0</v>
      </c>
      <c r="FW4" s="693">
        <f>SUM($FH$4:$FH$30)</f>
        <v>0</v>
      </c>
      <c r="FX4" s="693">
        <f>SUM($FO$4:$FQ$4)</f>
        <v>0</v>
      </c>
      <c r="FY4" s="693">
        <f>SUM($FT$4:$FU$4)</f>
        <v>0</v>
      </c>
      <c r="FZ4" s="668"/>
      <c r="GA4" s="695">
        <f>IF(GC4&lt;&gt;"",1,0)</f>
        <v>1</v>
      </c>
      <c r="GB4" s="695">
        <f>IF(GC4&lt;&gt;"",ROW(GC4)-3,"")</f>
        <v>1</v>
      </c>
      <c r="GC4" s="694">
        <v>1</v>
      </c>
      <c r="GD4" s="694">
        <v>400090</v>
      </c>
      <c r="GE4" s="694" t="s">
        <v>369</v>
      </c>
      <c r="GF4" s="694"/>
      <c r="GG4" s="696">
        <f>[1]Dados!$C$70</f>
        <v>0</v>
      </c>
      <c r="GH4" s="696">
        <f>[1]Dados!$C$47</f>
        <v>0</v>
      </c>
      <c r="GI4" s="694"/>
      <c r="GJ4" s="694"/>
      <c r="GK4" s="694"/>
      <c r="GL4" s="694"/>
      <c r="GM4" s="694"/>
      <c r="GN4" s="694"/>
      <c r="GO4" s="694"/>
      <c r="GP4" s="694"/>
      <c r="GQ4" s="694"/>
      <c r="GR4" s="694"/>
      <c r="GS4" s="694"/>
      <c r="GT4" s="694"/>
      <c r="GU4" s="667">
        <f>IF(OR($P4=2,$P4=1),0,IF(OR($P4=3,$P4=""),[1]MOD_3!$Q$197))</f>
        <v>0</v>
      </c>
      <c r="GV4" s="669" t="str">
        <f>IF(L4="","",IF(OR(SUM(GU4,FZ4,GW4)=L4,SUM(L4,FZ4,GW4)=GU4),"OK",IF(SUM(GU4,FZ4,GW4)&lt;&gt;L4,"STOP")))</f>
        <v>OK</v>
      </c>
      <c r="GW4" s="697">
        <f>IF(CJ4="",0,CJ4)</f>
        <v>0</v>
      </c>
      <c r="GX4" s="694"/>
      <c r="GY4" s="694"/>
      <c r="GZ4" s="694"/>
      <c r="HA4" s="698"/>
      <c r="HB4" s="694"/>
      <c r="HC4" s="694"/>
      <c r="HD4" s="699" t="str">
        <f>[1]Dados!$E$102</f>
        <v>31/10/2020</v>
      </c>
      <c r="HE4" s="693">
        <f>[1]Dados!$G$102</f>
        <v>115050.79</v>
      </c>
      <c r="HF4" s="694" t="str">
        <f>[1]Dados!$E$88</f>
        <v>LILIAN PINHEIRO DOS SANTOS</v>
      </c>
      <c r="HG4" s="694" t="str">
        <f>[1]Dados!$E$91</f>
        <v>RITA DE CÁSSIA REZENDE ALVES CAVALCANTE</v>
      </c>
      <c r="HH4" s="670" t="str">
        <f>[1]MENU!$H$25</f>
        <v>Versão 1.0.2020 
23/07/2020</v>
      </c>
      <c r="HI4" s="671">
        <f>[1]MENU!$V$13</f>
        <v>0</v>
      </c>
      <c r="HJ4" s="694" t="str">
        <f>IF(HH4="","",MID(HH4,1,15))</f>
        <v>Versão 1.0.2020</v>
      </c>
      <c r="HK4" s="697" t="s">
        <v>561</v>
      </c>
      <c r="HL4" s="694">
        <f>[1]MOD_3!$Q$197</f>
        <v>0</v>
      </c>
      <c r="HM4" s="694"/>
      <c r="HN4" s="694"/>
      <c r="HO4" s="694" t="str">
        <f>IF(HM4="","",$HM$2&amp;HM4)</f>
        <v/>
      </c>
      <c r="HP4" s="694" t="str">
        <f>IF(HN4="","",$HN$2&amp;HN4)</f>
        <v/>
      </c>
      <c r="HQ4" s="694" t="str">
        <f t="shared" ref="HQ4" si="0">IF(HM4="","",$HM$2&amp;HM4&amp;$HO$2&amp;$HN$2&amp;HN4&amp;$HP$2)</f>
        <v/>
      </c>
      <c r="HR4" s="694"/>
      <c r="HS4" s="694"/>
      <c r="HT4" s="694"/>
      <c r="HU4" s="694"/>
      <c r="HV4" s="694"/>
      <c r="HW4" s="694"/>
      <c r="HX4" s="694"/>
      <c r="HY4" s="694"/>
      <c r="HZ4" s="694"/>
      <c r="IA4" s="694"/>
      <c r="IB4" s="694"/>
      <c r="IC4" s="694"/>
      <c r="ID4" s="694"/>
      <c r="IE4" s="694"/>
      <c r="IF4" s="694"/>
      <c r="IG4" s="694"/>
      <c r="IH4" s="694"/>
      <c r="II4" s="694"/>
      <c r="IJ4" s="694"/>
      <c r="IK4" s="694"/>
      <c r="IL4" s="694"/>
      <c r="IM4" s="694"/>
      <c r="IN4" s="694"/>
      <c r="IO4" s="694"/>
      <c r="IP4" s="694"/>
      <c r="IQ4" s="694"/>
      <c r="IR4" s="694"/>
      <c r="IS4" s="694"/>
      <c r="IT4" s="671">
        <f>[1]MENU!$V$15</f>
        <v>0</v>
      </c>
      <c r="IU4" s="671" t="str">
        <f>[1]Dados!$I$102</f>
        <v>Saldo Bancário Correto</v>
      </c>
      <c r="IV4" s="655">
        <f>[1]Dados!$C$88</f>
        <v>167</v>
      </c>
      <c r="IX4" s="391">
        <f>SUM([1]Ata!$BG$64,[1]Ata!$BI$64,[1]Ata!$BK$64,[1]Ata!$BM$64,[1]Ata!$BO$64,[1]Ata!$BQ$64,[1]Ata!$BS$64,[1]Ata!$BU$64,[1]Ata!$BW$64)</f>
        <v>0</v>
      </c>
      <c r="IY4" s="391">
        <f>SUM([1]Ata!$BH$64,[1]Ata!$BJ$64,[1]Ata!$BL$64,[1]Ata!$BN$64,[1]Ata!$BP$64,[1]Ata!$BR$64,[1]Ata!$BT$64,[1]Ata!$BV$64,[1]Ata!$BX$64)</f>
        <v>0</v>
      </c>
    </row>
    <row r="5" spans="1:259 16384:16384" s="302" customFormat="1" ht="12.75" customHeight="1">
      <c r="A5" s="397">
        <f t="shared" ref="A5:A68" si="1">IF(B5="","",IF(F5="BLOQUEADO",0,F5+K5))</f>
        <v>154948</v>
      </c>
      <c r="B5" s="462">
        <f t="shared" ref="B5" si="2">IF(D5="","",B4+1)</f>
        <v>2</v>
      </c>
      <c r="C5" s="426">
        <f>[2]Dados!$E$3</f>
        <v>92908</v>
      </c>
      <c r="D5" s="575" t="str">
        <f>[2]Dados!$E$69</f>
        <v>EMEF - CLEMENTE PASTORE, PROF.</v>
      </c>
      <c r="E5" s="463">
        <f>[2]MOD_2!$C$15+[2]MOD_2_futuro!$C$15+[2]MOD_2_transporte!$C$15+[2]MOD_2_imprensa!$C$15+[2]MOD_2_gremio!$C$15+[2]MOD_2_volta_aulas!$C$15+[2]MOD_2_formacao!$C$15+[2]MOD_2_mais_escola!$C$15+[2]MOD_2_livre_aplicacao!$C$15</f>
        <v>31013.61</v>
      </c>
      <c r="F5" s="464">
        <f>[2]MOD_2!$G$15+[2]MOD_2_futuro!$G$15+[2]MOD_2_transporte!$G$15+[2]MOD_2_imprensa!$G$15+[2]MOD_2_gremio!$G$15+[2]MOD_2_volta_aulas!$G$15+[2]MOD_2_formacao!$G$15+[2]MOD_2_mais_escola!$G$15+[2]MOD_2_livre_aplicacao!$G$15</f>
        <v>152948</v>
      </c>
      <c r="G5" s="465">
        <f>IF(OR($P5=2,$P5=1),0,IF(OR($P5=3,$P5=""),[2]MOD_2!$P$15))</f>
        <v>0</v>
      </c>
      <c r="H5" s="465">
        <f>IF(OR($P5=2,$P5=1),0,IF(OR($P5=3,$P5=""),[2]MOD_2!$P$15+[2]MOD_2_futuro!$P$15+[2]MOD_2_transporte!$P$15+[2]MOD_2_imprensa!$P$15+[2]MOD_2_gremio!$P$15+[2]MOD_2_volta_aulas!$P$15+[2]MOD_2_formacao!$P$15+[2]MOD_2_mais_escola!$P$15+[2]MOD_2_livre_aplicacao!$P$15))</f>
        <v>0</v>
      </c>
      <c r="I5" s="466">
        <f t="shared" ref="I5:I8" si="3">IF(C5="","",SUM(E5:G5)-H5)</f>
        <v>183961.61</v>
      </c>
      <c r="J5" s="463">
        <f>[2]MOD_2!$C$16+[2]MOD_2_futuro!$C$16+[2]MOD_2_transporte!$C$16+[2]MOD_2_imprensa!$C$16+[2]MOD_2_gremio!$C$16+[2]MOD_2_volta_aulas!$C$16+[2]MOD_2_formacao!$C$16+[2]MOD_2_mais_escola!$C$16+[2]MOD_2_livre_aplicacao!$C$16</f>
        <v>11560</v>
      </c>
      <c r="K5" s="465">
        <f>[2]MOD_2!$G$16+[2]MOD_2_futuro!$G$16+[2]MOD_2_transporte!$G$16+[2]MOD_2_imprensa!$G$16+[2]MOD_2_gremio!$G$16+[2]MOD_2_volta_aulas!$G$16+[2]MOD_2_formacao!$G$16+[2]MOD_2_mais_escola!$G$16+[2]MOD_2_livre_aplicacao!$G$16</f>
        <v>2000</v>
      </c>
      <c r="L5" s="465">
        <f>IF(OR($P5=2,$P5=1),0,IF(OR($P5=3,$P5=""),[2]MOD_2!$P$16+[2]MOD_2_futuro!$P$16+[2]MOD_2_transporte!$P$16+[2]MOD_2_imprensa!$P$16+[2]MOD_2_gremio!$P$16+[2]MOD_2_volta_aulas!$P$16+[2]MOD_2_formacao!$P$16+[2]MOD_2_mais_escola!$P$16+[2]MOD_2_livre_aplicacao!$P$16))</f>
        <v>0</v>
      </c>
      <c r="M5" s="466">
        <f t="shared" ref="M5:M8" si="4">IF(C5="","",SUM(J5:K5)-L5)</f>
        <v>13560</v>
      </c>
      <c r="N5" s="573">
        <f>[2]MOD_2!$J$11</f>
        <v>43613389000153</v>
      </c>
      <c r="O5" s="467">
        <f>[2]MOD_2!$L$11</f>
        <v>37619969</v>
      </c>
      <c r="P5" s="518"/>
      <c r="Q5" s="381"/>
      <c r="R5" s="380">
        <f>SUM($E$4:$E$62)</f>
        <v>132008.59</v>
      </c>
      <c r="S5" s="380">
        <f>SUM($F$4:$F$62)</f>
        <v>611370</v>
      </c>
      <c r="T5" s="380">
        <f>SUM($G$4:$G$62)</f>
        <v>0</v>
      </c>
      <c r="U5" s="380">
        <f>SUM($H$4:$H$62)</f>
        <v>0</v>
      </c>
      <c r="V5" s="380">
        <f>SUM($I$4:$I$62)</f>
        <v>743378.59000000008</v>
      </c>
      <c r="W5" s="380">
        <f>SUM($J$4:$J$62)</f>
        <v>39293</v>
      </c>
      <c r="X5" s="380">
        <f>SUM($K$4:$K$62)</f>
        <v>2600</v>
      </c>
      <c r="Y5" s="380">
        <f>SUM($L$4:$L$62)</f>
        <v>0</v>
      </c>
      <c r="Z5" s="380">
        <f>SUM($M$4:$M$62)</f>
        <v>41893</v>
      </c>
      <c r="AA5" s="382"/>
      <c r="AB5" s="302">
        <f t="shared" ref="AB5:AB8" si="5">IF(C5="","",IF(AND(F5=0,K5=0),"X",(F5+K5)))</f>
        <v>154948</v>
      </c>
      <c r="AC5" s="515">
        <f t="shared" ref="AC5:AC6" si="6">IF(AE5&lt;&gt;"",1,0)</f>
        <v>0</v>
      </c>
      <c r="AD5" s="515" t="str">
        <f t="shared" ref="AD5:AD6" si="7">IF(AE5&lt;&gt;"",ROW(AE5)-3,"")</f>
        <v/>
      </c>
      <c r="AH5" s="380"/>
      <c r="AI5" s="380"/>
      <c r="AJ5" s="380"/>
      <c r="AK5" s="380"/>
      <c r="AL5" s="380"/>
      <c r="AM5" s="380"/>
      <c r="AN5" s="380"/>
      <c r="AO5" s="380"/>
      <c r="AP5" s="380"/>
      <c r="AU5" s="380" t="str">
        <f t="shared" ref="AU5:AU6" si="8">IF(SUM(AH5:AJ5)=0,"",SUM(AH5:AJ5))</f>
        <v/>
      </c>
      <c r="AV5" s="380" t="str">
        <f t="shared" ref="AV5:AV6" si="9">IF(SUM(AM5:AN5)=0,"",SUM(AM5:AN5))</f>
        <v/>
      </c>
      <c r="AW5" s="380">
        <f>SUM($AH$4:$AH$48)</f>
        <v>0</v>
      </c>
      <c r="AX5" s="380">
        <f>SUM($AI$4:$AI$48)</f>
        <v>0</v>
      </c>
      <c r="AY5" s="380">
        <f>SUM($AJ$4:$AJ$48)</f>
        <v>0</v>
      </c>
      <c r="AZ5" s="380">
        <f>SUM($AK$4:$AK$48)</f>
        <v>0</v>
      </c>
      <c r="BA5" s="380">
        <f>SUM($AL$4:$AL$48)</f>
        <v>0</v>
      </c>
      <c r="BB5" s="380">
        <f>SUM($AM$4:$AM$48)</f>
        <v>0</v>
      </c>
      <c r="BC5" s="380">
        <f>SUM($AN$4:$AN$48)</f>
        <v>0</v>
      </c>
      <c r="BD5" s="380">
        <f>SUM($AO$4:$AO$48)</f>
        <v>0</v>
      </c>
      <c r="BE5" s="380">
        <f>SUM($AP$4:$AP$48)</f>
        <v>0</v>
      </c>
      <c r="BF5" s="468">
        <f t="shared" ref="BF5:BF8" si="10">IF(OR($P5=2,$P5=1),0,IF(OR($P5=3,$P5=""),IX5))</f>
        <v>0</v>
      </c>
      <c r="BG5" s="515">
        <f t="shared" ref="BG5:BG6" si="11">IF(BI5&lt;&gt;"",1,0)</f>
        <v>0</v>
      </c>
      <c r="BH5" s="515" t="str">
        <f t="shared" ref="BH5:BH6" si="12">IF(BI5&lt;&gt;"",ROW(BI5)-3,"")</f>
        <v/>
      </c>
      <c r="BL5" s="380"/>
      <c r="BM5" s="380"/>
      <c r="BN5" s="380"/>
      <c r="BO5" s="380"/>
      <c r="BP5" s="380"/>
      <c r="BQ5" s="380"/>
      <c r="BR5" s="380"/>
      <c r="BS5" s="380"/>
      <c r="BT5" s="380"/>
      <c r="BY5" s="380" t="str">
        <f t="shared" ref="BY5:BY6" si="13">IF(SUM(BL5:BN5)=0,"",SUM(BL5:BN5))</f>
        <v/>
      </c>
      <c r="BZ5" s="380" t="str">
        <f t="shared" ref="BZ5:BZ6" si="14">IF(SUM(BQ5:BR5)=0,"",SUM(BQ5:BR5))</f>
        <v/>
      </c>
      <c r="CA5" s="380">
        <f>SUM($BL$4:$BL$48)</f>
        <v>0</v>
      </c>
      <c r="CB5" s="380">
        <f>SUM($BM$4:$BM$48)</f>
        <v>0</v>
      </c>
      <c r="CC5" s="380">
        <f>SUM($BN$4:$BN$48)</f>
        <v>0</v>
      </c>
      <c r="CD5" s="380">
        <f>SUM($BO$4:$BO$48)</f>
        <v>0</v>
      </c>
      <c r="CE5" s="380">
        <f>SUM($BP$4:$BP$48)</f>
        <v>0</v>
      </c>
      <c r="CF5" s="380">
        <f>SUM($BQ$4:$BQ$48)</f>
        <v>0</v>
      </c>
      <c r="CG5" s="380">
        <f>SUM($BR$4:$BR$48)</f>
        <v>0</v>
      </c>
      <c r="CH5" s="380">
        <f>SUM($BS$4:$BS$48)</f>
        <v>0</v>
      </c>
      <c r="CI5" s="380">
        <f>SUM($BT$4:$BT$48)</f>
        <v>0</v>
      </c>
      <c r="CJ5" s="468">
        <f t="shared" ref="CJ5:CJ8" si="15">IF(OR($P5=2,$P5=1),0,IF(OR($P5=3,$P5=""),IY5))</f>
        <v>0</v>
      </c>
      <c r="CK5" s="515">
        <f t="shared" ref="CK5:CK6" si="16">IF(CM5&lt;&gt;"",1,0)</f>
        <v>0</v>
      </c>
      <c r="CL5" s="515" t="str">
        <f t="shared" ref="CL5:CL6" si="17">IF(CM5&lt;&gt;"",ROW(CM5)-3,"")</f>
        <v/>
      </c>
      <c r="CP5" s="380"/>
      <c r="CQ5" s="380"/>
      <c r="CR5" s="380"/>
      <c r="CS5" s="380"/>
      <c r="CT5" s="380"/>
      <c r="CU5" s="380"/>
      <c r="CV5" s="380"/>
      <c r="CW5" s="380"/>
      <c r="CX5" s="380"/>
      <c r="CY5" s="380"/>
      <c r="DD5" s="380" t="str">
        <f t="shared" ref="DD5:DD6" si="18">IF(SUM(CP5:CR5)=0,"",SUM(CP5:CR5))</f>
        <v/>
      </c>
      <c r="DE5" s="380">
        <f t="shared" ref="DE5:DE6" si="19">IF(B5="","",IF(SUM(CU5:CV5)=0,0,SUM(CU5:CV5)))</f>
        <v>0</v>
      </c>
      <c r="DF5" s="380">
        <f>SUM($CP$4:$CP$48)</f>
        <v>0</v>
      </c>
      <c r="DG5" s="380">
        <f>SUM($CQ$4:$CQ$48)</f>
        <v>0</v>
      </c>
      <c r="DH5" s="380">
        <f>SUM($CR$4:$CR$48)</f>
        <v>0</v>
      </c>
      <c r="DI5" s="380">
        <f>SUM($CS$4:$CS$48)</f>
        <v>0</v>
      </c>
      <c r="DJ5" s="380">
        <f>SUM($CT$4:$CT$48)</f>
        <v>0</v>
      </c>
      <c r="DK5" s="380">
        <f>SUM($CU$4:$CU$48)</f>
        <v>0</v>
      </c>
      <c r="DL5" s="380">
        <f>SUM($CV$4:$CV$48)</f>
        <v>0</v>
      </c>
      <c r="DM5" s="380">
        <f>SUM($CW$4:$CW$48)</f>
        <v>0</v>
      </c>
      <c r="DN5" s="380">
        <f>SUM($CX$4:$CX$48)</f>
        <v>0</v>
      </c>
      <c r="DO5" s="469" t="str">
        <f t="shared" ref="DO5:DO8" si="20">IF(AND(BF5=0,CJ5=0),"",IF(AND(BF5=0,CJ5=""),"",IF(AND(BF5="",CJ5=""),"",SUM(BF5,CJ5))))</f>
        <v/>
      </c>
      <c r="DP5" s="515">
        <f t="shared" ref="DP5:DP6" si="21">IF(DR5&lt;&gt;"",1,0)</f>
        <v>0</v>
      </c>
      <c r="DQ5" s="515" t="str">
        <f t="shared" ref="DQ5:DQ6" si="22">IF(DR5&lt;&gt;"",ROW(DR5)-3,"")</f>
        <v/>
      </c>
      <c r="DU5" s="380"/>
      <c r="DV5" s="380"/>
      <c r="DW5" s="380"/>
      <c r="DX5" s="380"/>
      <c r="DY5" s="380"/>
      <c r="DZ5" s="380"/>
      <c r="EA5" s="380"/>
      <c r="EB5" s="380"/>
      <c r="EC5" s="380"/>
      <c r="EH5" s="380" t="str">
        <f t="shared" ref="EH5:EH6" si="23">IF(SUM(DU5:DW5)=0,"",SUM(DU5:DW5))</f>
        <v/>
      </c>
      <c r="EI5" s="380" t="str">
        <f t="shared" ref="EI5:EI6" si="24">IF(SUM(DZ5:EA5)=0,"",SUM(DZ5:EA5))</f>
        <v/>
      </c>
      <c r="EJ5" s="380">
        <f>SUM($DU$4:$DU$56)</f>
        <v>0</v>
      </c>
      <c r="EK5" s="380">
        <f>SUM($DV$4:$DV$56)</f>
        <v>0</v>
      </c>
      <c r="EL5" s="380">
        <f>SUM($DW$4:$DW$56)</f>
        <v>0</v>
      </c>
      <c r="EM5" s="380">
        <f>SUM($DX$4:$DX$56)</f>
        <v>0</v>
      </c>
      <c r="EN5" s="380">
        <f>SUM($DY$4:$DY$56)</f>
        <v>0</v>
      </c>
      <c r="EO5" s="380">
        <f>SUM($DZ$4:$DZ$56)</f>
        <v>0</v>
      </c>
      <c r="EP5" s="380">
        <f>SUM($EA$4:$EA$56)</f>
        <v>0</v>
      </c>
      <c r="EQ5" s="380">
        <f>SUM($EB$4:$EB$56)</f>
        <v>0</v>
      </c>
      <c r="ER5" s="380">
        <f>SUM($EC$4:$EC$56)</f>
        <v>0</v>
      </c>
      <c r="ES5" s="380">
        <f>SUM($EJ$5:$EL$5)</f>
        <v>0</v>
      </c>
      <c r="ET5" s="380">
        <f>SUM($EO$5:$EP$5)</f>
        <v>0</v>
      </c>
      <c r="EU5" s="515">
        <f t="shared" ref="EU5:EU6" si="25">IF(EW5&lt;&gt;"",1,0)</f>
        <v>0</v>
      </c>
      <c r="EV5" s="515" t="str">
        <f t="shared" ref="EV5:EV6" si="26">IF(EW5&lt;&gt;"",ROW(EW5)-3,"")</f>
        <v/>
      </c>
      <c r="EZ5" s="380"/>
      <c r="FA5" s="380"/>
      <c r="FB5" s="380"/>
      <c r="FC5" s="380"/>
      <c r="FD5" s="380"/>
      <c r="FE5" s="380"/>
      <c r="FF5" s="380"/>
      <c r="FG5" s="380"/>
      <c r="FH5" s="380"/>
      <c r="FM5" s="380" t="str">
        <f t="shared" ref="FM5:FM6" si="27">IF(SUM(EZ5:FB5)=0,"",SUM(EZ5:FB5))</f>
        <v/>
      </c>
      <c r="FN5" s="380" t="str">
        <f t="shared" ref="FN5:FN8" si="28">IF(AND(FE5="",FF5=""),"",SUM(FE5:FF5))</f>
        <v/>
      </c>
      <c r="FO5" s="380">
        <f>SUM($EZ$4:$EZ$56)</f>
        <v>0</v>
      </c>
      <c r="FP5" s="380">
        <f>SUM($FA$4:$FA$56)</f>
        <v>0</v>
      </c>
      <c r="FQ5" s="380">
        <f>SUM($FB$4:$FB$56)</f>
        <v>0</v>
      </c>
      <c r="FR5" s="380">
        <f>SUM($FC$4:$FC$56)</f>
        <v>0</v>
      </c>
      <c r="FS5" s="380">
        <f>SUM($FD$4:$FD$56)</f>
        <v>0</v>
      </c>
      <c r="FT5" s="380">
        <f>SUM($FE$4:$FE$56)</f>
        <v>0</v>
      </c>
      <c r="FU5" s="380">
        <f>SUM($FF$4:$FF$56)</f>
        <v>0</v>
      </c>
      <c r="FV5" s="380">
        <f>SUM($FG$4:$FG$56)</f>
        <v>0</v>
      </c>
      <c r="FW5" s="380">
        <f>SUM($FH$4:$FH$56)</f>
        <v>0</v>
      </c>
      <c r="FX5" s="380">
        <f>SUM($FO$5:$FQ$5)</f>
        <v>0</v>
      </c>
      <c r="FY5" s="380">
        <f>SUM($FT$5:$FU$5)</f>
        <v>0</v>
      </c>
      <c r="FZ5" s="408"/>
      <c r="GA5" s="515">
        <f t="shared" ref="GA5:GA6" si="29">IF(GC5&lt;&gt;"",1,0)</f>
        <v>1</v>
      </c>
      <c r="GB5" s="515">
        <f t="shared" ref="GB5:GB6" si="30">IF(GC5&lt;&gt;"",ROW(GC5)-3,"")</f>
        <v>2</v>
      </c>
      <c r="GC5" s="302">
        <v>2</v>
      </c>
      <c r="GD5" s="302">
        <v>92908</v>
      </c>
      <c r="GE5" s="302" t="s">
        <v>548</v>
      </c>
      <c r="GG5" s="460">
        <f>[2]Dados!$C$70</f>
        <v>0</v>
      </c>
      <c r="GH5" s="460">
        <f>[2]Dados!$C$47</f>
        <v>0</v>
      </c>
      <c r="GU5" s="469">
        <f>IF(OR($P5=2,$P5=1),0,IF(OR($P5=3,$P5=""),[2]MOD_3!$Q$197))</f>
        <v>0</v>
      </c>
      <c r="GV5" s="470" t="str">
        <f t="shared" ref="GV5:GV6" si="31">IF(L5="","",IF(OR(SUM(GU5,FZ5,GW5)=L5,SUM(L5,FZ5,GW5)=GU5),"OK",IF(SUM(GU5,FZ5,GW5)&lt;&gt;L5,"STOP")))</f>
        <v>OK</v>
      </c>
      <c r="GW5" s="302">
        <f t="shared" ref="GW5:GW6" si="32">IF(CJ5="",0,CJ5)</f>
        <v>0</v>
      </c>
      <c r="HA5" s="654"/>
      <c r="HD5" s="379" t="str">
        <f>[2]Dados!$E$102</f>
        <v>31/10/2020</v>
      </c>
      <c r="HE5" s="380">
        <f>[2]Dados!$G$102</f>
        <v>197521.61</v>
      </c>
      <c r="HF5" s="302" t="str">
        <f>[2]Dados!$E$88</f>
        <v>DANIELA PEREIRA GOMES</v>
      </c>
      <c r="HG5" s="302" t="str">
        <f>[2]Dados!$E$91</f>
        <v>ANTONIO AUGUSTO FONSECA CORREIA</v>
      </c>
      <c r="HH5" s="383" t="str">
        <f>[2]MENU!$H$25</f>
        <v>Versão 1.0.2020 
23/07/2020</v>
      </c>
      <c r="HI5" s="410">
        <f>[2]MENU!$V$13</f>
        <v>0</v>
      </c>
      <c r="HJ5" s="302" t="str">
        <f t="shared" ref="HJ5:HJ6" si="33">IF(HH5="","",MID(HH5,1,15))</f>
        <v>Versão 1.0.2020</v>
      </c>
      <c r="HK5" s="461" t="s">
        <v>562</v>
      </c>
      <c r="HL5" s="302">
        <f>[2]MOD_3!$Q$197</f>
        <v>0</v>
      </c>
      <c r="HO5" s="302" t="str">
        <f t="shared" ref="HO5:HO68" si="34">IF(HM5="","",$HM$2&amp;HM5)</f>
        <v/>
      </c>
      <c r="HP5" s="302" t="str">
        <f t="shared" ref="HP5:HP68" si="35">IF(HN5="","",$HN$2&amp;HN5)</f>
        <v/>
      </c>
      <c r="HQ5" s="302" t="str">
        <f t="shared" ref="HQ5:HQ68" si="36">IF(HM5="","",$HM$2&amp;HM5&amp;$HO$2&amp;$HN$2&amp;HN5&amp;$HP$2)</f>
        <v/>
      </c>
      <c r="IT5" s="410">
        <f>[2]MENU!$V$15</f>
        <v>0</v>
      </c>
      <c r="IU5" s="410" t="str">
        <f>[2]Dados!$I$102</f>
        <v>Saldo Bancário Correto</v>
      </c>
      <c r="IV5" s="462">
        <f>[2]Dados!$C$88</f>
        <v>1286</v>
      </c>
      <c r="IX5" s="302">
        <f>SUM([2]Ata!$BG$64,[2]Ata!$BI$64,[2]Ata!$BK$64,[2]Ata!$BM$64,[2]Ata!$BO$64,[2]Ata!$BQ$64,[2]Ata!$BS$64,[2]Ata!$BU$64,[2]Ata!$BW$64)</f>
        <v>0</v>
      </c>
      <c r="IY5" s="302">
        <f>SUM([2]Ata!$BH$64,[2]Ata!$BJ$64,[2]Ata!$BL$64,[2]Ata!$BN$64,[2]Ata!$BP$64,[2]Ata!$BR$64,[2]Ata!$BT$64,[2]Ata!$BV$64,[2]Ata!$BX$64)</f>
        <v>0</v>
      </c>
    </row>
    <row r="6" spans="1:259 16384:16384" s="302" customFormat="1" ht="12.75" customHeight="1">
      <c r="A6" s="397">
        <f t="shared" si="1"/>
        <v>142026</v>
      </c>
      <c r="B6" s="462">
        <f>IF(D6="","",B5+1)</f>
        <v>3</v>
      </c>
      <c r="C6" s="426">
        <f>[3]Dados!$E$3</f>
        <v>99228</v>
      </c>
      <c r="D6" s="575" t="str">
        <f>[3]Dados!$E$69</f>
        <v>EMEF - JOAO PEDRO DE CARVALHO NETO, DR.</v>
      </c>
      <c r="E6" s="463">
        <f>[3]MOD_2!$C$15+[3]MOD_2_futuro!$C$15+[3]MOD_2_transporte!$C$15+[3]MOD_2_imprensa!$C$15+[3]MOD_2_gremio!$C$15+[3]MOD_2_volta_aulas!$C$15+[3]MOD_2_formacao!$C$15+[3]MOD_2_mais_escola!$C$15+[3]MOD_2_livre_aplicacao!$C$15</f>
        <v>20070.400000000001</v>
      </c>
      <c r="F6" s="464">
        <f>[3]MOD_2!$G$15+[3]MOD_2_futuro!$G$15+[3]MOD_2_transporte!$G$15+[3]MOD_2_imprensa!$G$15+[3]MOD_2_gremio!$G$15+[3]MOD_2_volta_aulas!$G$15+[3]MOD_2_formacao!$G$15+[3]MOD_2_mais_escola!$G$15+[3]MOD_2_livre_aplicacao!$G$15</f>
        <v>141426</v>
      </c>
      <c r="G6" s="465">
        <f>IF(OR($P6=2,$P6=1),0,IF(OR($P6=3,$P6=""),[3]MOD_2!$P$15))</f>
        <v>0</v>
      </c>
      <c r="H6" s="465">
        <f>IF(OR($P6=2,$P6=1),0,IF(OR($P6=3,$P6=""),[3]MOD_2!$P$15+[3]MOD_2_futuro!$P$15+[3]MOD_2_transporte!$P$15+[3]MOD_2_imprensa!$P$15+[3]MOD_2_gremio!$P$15+[3]MOD_2_volta_aulas!$P$15+[3]MOD_2_formacao!$P$15+[3]MOD_2_mais_escola!$P$15+[3]MOD_2_livre_aplicacao!$P$15))</f>
        <v>0</v>
      </c>
      <c r="I6" s="466">
        <f t="shared" si="3"/>
        <v>161496.4</v>
      </c>
      <c r="J6" s="463">
        <f>[3]MOD_2!$C$16+[3]MOD_2_futuro!$C$16+[3]MOD_2_transporte!$C$16+[3]MOD_2_imprensa!$C$16+[3]MOD_2_gremio!$C$16+[3]MOD_2_volta_aulas!$C$16+[3]MOD_2_formacao!$C$16+[3]MOD_2_mais_escola!$C$16+[3]MOD_2_livre_aplicacao!$C$16</f>
        <v>5000</v>
      </c>
      <c r="K6" s="465">
        <f>[3]MOD_2!$G$16+[3]MOD_2_futuro!$G$16+[3]MOD_2_transporte!$G$16+[3]MOD_2_imprensa!$G$16+[3]MOD_2_gremio!$G$16+[3]MOD_2_volta_aulas!$G$16+[3]MOD_2_formacao!$G$16+[3]MOD_2_mais_escola!$G$16+[3]MOD_2_livre_aplicacao!$G$16</f>
        <v>600</v>
      </c>
      <c r="L6" s="465">
        <f>IF(OR($P6=2,$P6=1),0,IF(OR($P6=3,$P6=""),[3]MOD_2!$P$16+[3]MOD_2_futuro!$P$16+[3]MOD_2_transporte!$P$16+[3]MOD_2_imprensa!$P$16+[3]MOD_2_gremio!$P$16+[3]MOD_2_volta_aulas!$P$16+[3]MOD_2_formacao!$P$16+[3]MOD_2_mais_escola!$P$16+[3]MOD_2_livre_aplicacao!$P$16))</f>
        <v>0</v>
      </c>
      <c r="M6" s="466">
        <f t="shared" si="4"/>
        <v>5600</v>
      </c>
      <c r="N6" s="573">
        <f>[3]MOD_2!$J$11</f>
        <v>60522711000158</v>
      </c>
      <c r="O6" s="467">
        <f>[3]MOD_2!$L$11</f>
        <v>37619861</v>
      </c>
      <c r="P6" s="518"/>
      <c r="Q6" s="381"/>
      <c r="R6" s="380">
        <f>SUM($E$4:$E$91)</f>
        <v>132008.59</v>
      </c>
      <c r="S6" s="380">
        <f>SUM($F$4:$F$91)</f>
        <v>611370</v>
      </c>
      <c r="T6" s="380">
        <f>SUM($G$4:$G$91)</f>
        <v>0</v>
      </c>
      <c r="U6" s="380">
        <f>SUM($H$4:$H$91)</f>
        <v>0</v>
      </c>
      <c r="V6" s="380">
        <f>SUM($I$4:$I$91)</f>
        <v>743378.59000000008</v>
      </c>
      <c r="W6" s="380">
        <f>SUM($J$4:$J$91)</f>
        <v>39293</v>
      </c>
      <c r="X6" s="380">
        <f>SUM($K$4:$K$91)</f>
        <v>2600</v>
      </c>
      <c r="Y6" s="380">
        <f>SUM($L$4:$L$91)</f>
        <v>0</v>
      </c>
      <c r="Z6" s="380">
        <f>SUM($M$4:$M$91)</f>
        <v>41893</v>
      </c>
      <c r="AA6" s="384"/>
      <c r="AB6" s="302">
        <f t="shared" si="5"/>
        <v>142026</v>
      </c>
      <c r="AC6" s="515">
        <f t="shared" si="6"/>
        <v>0</v>
      </c>
      <c r="AD6" s="515" t="str">
        <f t="shared" si="7"/>
        <v/>
      </c>
      <c r="AH6" s="380"/>
      <c r="AI6" s="380"/>
      <c r="AJ6" s="380"/>
      <c r="AK6" s="380"/>
      <c r="AL6" s="380"/>
      <c r="AM6" s="380"/>
      <c r="AN6" s="380"/>
      <c r="AO6" s="380"/>
      <c r="AP6" s="380"/>
      <c r="AU6" s="380" t="str">
        <f t="shared" si="8"/>
        <v/>
      </c>
      <c r="AV6" s="380" t="str">
        <f t="shared" si="9"/>
        <v/>
      </c>
      <c r="AW6" s="380">
        <f>SUM($AH$4:$AH$70)</f>
        <v>0</v>
      </c>
      <c r="AX6" s="380">
        <f>SUM($AI$4:$AI$70)</f>
        <v>0</v>
      </c>
      <c r="AY6" s="380">
        <f>SUM($AJ$4:$AJ$70)</f>
        <v>0</v>
      </c>
      <c r="AZ6" s="380">
        <f>SUM($AK$4:$AK$70)</f>
        <v>0</v>
      </c>
      <c r="BA6" s="380">
        <f>SUM($AL$4:$AL$70)</f>
        <v>0</v>
      </c>
      <c r="BB6" s="380">
        <f>SUM($AM$4:$AM$70)</f>
        <v>0</v>
      </c>
      <c r="BC6" s="380">
        <f>SUM($AN$4:$AN$70)</f>
        <v>0</v>
      </c>
      <c r="BD6" s="380">
        <f>SUM($AO$4:$AO$70)</f>
        <v>0</v>
      </c>
      <c r="BE6" s="380">
        <f>SUM($AP$4:$AP$70)</f>
        <v>0</v>
      </c>
      <c r="BF6" s="469">
        <f t="shared" si="10"/>
        <v>0</v>
      </c>
      <c r="BG6" s="515">
        <f t="shared" si="11"/>
        <v>0</v>
      </c>
      <c r="BH6" s="515" t="str">
        <f t="shared" si="12"/>
        <v/>
      </c>
      <c r="BL6" s="380"/>
      <c r="BM6" s="380"/>
      <c r="BN6" s="380"/>
      <c r="BO6" s="380"/>
      <c r="BP6" s="380"/>
      <c r="BQ6" s="380"/>
      <c r="BR6" s="380"/>
      <c r="BS6" s="380"/>
      <c r="BT6" s="380"/>
      <c r="BY6" s="380" t="str">
        <f t="shared" si="13"/>
        <v/>
      </c>
      <c r="BZ6" s="380" t="str">
        <f t="shared" si="14"/>
        <v/>
      </c>
      <c r="CA6" s="380">
        <f>SUM($BL$4:$BL$70)</f>
        <v>0</v>
      </c>
      <c r="CB6" s="380">
        <f>SUM($BM$4:$BM$70)</f>
        <v>0</v>
      </c>
      <c r="CC6" s="380">
        <f>SUM($BN$4:$BN$70)</f>
        <v>0</v>
      </c>
      <c r="CD6" s="380">
        <f>SUM($BO$4:$BO$70)</f>
        <v>0</v>
      </c>
      <c r="CE6" s="380">
        <f>SUM($BP$4:$BP$70)</f>
        <v>0</v>
      </c>
      <c r="CF6" s="380">
        <f>SUM($BQ$4:$BQ$70)</f>
        <v>0</v>
      </c>
      <c r="CG6" s="380">
        <f>SUM($BR$4:$BR$70)</f>
        <v>0</v>
      </c>
      <c r="CH6" s="380">
        <f>SUM($BS$4:$BS$70)</f>
        <v>0</v>
      </c>
      <c r="CI6" s="380">
        <f>SUM($BT$4:$BT$70)</f>
        <v>0</v>
      </c>
      <c r="CJ6" s="469">
        <f t="shared" si="15"/>
        <v>0</v>
      </c>
      <c r="CK6" s="515">
        <f t="shared" si="16"/>
        <v>0</v>
      </c>
      <c r="CL6" s="515" t="str">
        <f t="shared" si="17"/>
        <v/>
      </c>
      <c r="CP6" s="380"/>
      <c r="CQ6" s="380"/>
      <c r="CR6" s="380"/>
      <c r="CS6" s="380"/>
      <c r="CT6" s="380"/>
      <c r="CU6" s="380"/>
      <c r="CV6" s="380"/>
      <c r="CW6" s="380"/>
      <c r="CX6" s="380"/>
      <c r="CY6" s="380"/>
      <c r="DD6" s="380" t="str">
        <f t="shared" si="18"/>
        <v/>
      </c>
      <c r="DE6" s="380">
        <f t="shared" si="19"/>
        <v>0</v>
      </c>
      <c r="DF6" s="380">
        <f>SUM($CP$4:$CP$70)</f>
        <v>0</v>
      </c>
      <c r="DG6" s="380">
        <f>SUM($CQ$4:$CQ$70)</f>
        <v>0</v>
      </c>
      <c r="DH6" s="380">
        <f>SUM($CR$4:$CR$70)</f>
        <v>0</v>
      </c>
      <c r="DI6" s="380">
        <f>SUM($CS$4:$CS$70)</f>
        <v>0</v>
      </c>
      <c r="DJ6" s="380">
        <f>SUM($CT$4:$CT$70)</f>
        <v>0</v>
      </c>
      <c r="DK6" s="380">
        <f>SUM($CU$4:$CU$70)</f>
        <v>0</v>
      </c>
      <c r="DL6" s="380">
        <f>SUM($CV$4:$CV$70)</f>
        <v>0</v>
      </c>
      <c r="DM6" s="380">
        <f>SUM($CW$4:$CW$70)</f>
        <v>0</v>
      </c>
      <c r="DN6" s="380">
        <f>SUM($CX$4:$CX$70)</f>
        <v>0</v>
      </c>
      <c r="DO6" s="469" t="str">
        <f t="shared" si="20"/>
        <v/>
      </c>
      <c r="DP6" s="515">
        <f t="shared" si="21"/>
        <v>0</v>
      </c>
      <c r="DQ6" s="515" t="str">
        <f t="shared" si="22"/>
        <v/>
      </c>
      <c r="DU6" s="380"/>
      <c r="DV6" s="380"/>
      <c r="DW6" s="380"/>
      <c r="DX6" s="380"/>
      <c r="DY6" s="380"/>
      <c r="DZ6" s="380"/>
      <c r="EA6" s="380"/>
      <c r="EB6" s="380"/>
      <c r="EC6" s="380"/>
      <c r="EH6" s="380" t="str">
        <f t="shared" si="23"/>
        <v/>
      </c>
      <c r="EI6" s="380" t="str">
        <f t="shared" si="24"/>
        <v/>
      </c>
      <c r="EJ6" s="380">
        <f>SUM($DU$4:$DU$82)</f>
        <v>0</v>
      </c>
      <c r="EK6" s="380">
        <f>SUM($DV$4:$DV$82)</f>
        <v>0</v>
      </c>
      <c r="EL6" s="380">
        <f>SUM($DW$4:$DW$82)</f>
        <v>0</v>
      </c>
      <c r="EM6" s="380">
        <f>SUM($DX$4:$DX$82)</f>
        <v>0</v>
      </c>
      <c r="EN6" s="380">
        <f>SUM($DY$4:$DY$82)</f>
        <v>0</v>
      </c>
      <c r="EO6" s="380">
        <f>SUM($DZ$4:$DZ$82)</f>
        <v>0</v>
      </c>
      <c r="EP6" s="380">
        <f>SUM($EA$4:$EA$82)</f>
        <v>0</v>
      </c>
      <c r="EQ6" s="380">
        <f>SUM($EB$4:$EB$82)</f>
        <v>0</v>
      </c>
      <c r="ER6" s="380">
        <f>SUM($EC$4:$EC$82)</f>
        <v>0</v>
      </c>
      <c r="ES6" s="380">
        <f>SUM($EJ$6:$EL$6)</f>
        <v>0</v>
      </c>
      <c r="ET6" s="380">
        <f>SUM($EO$6:$EP$6)</f>
        <v>0</v>
      </c>
      <c r="EU6" s="515">
        <f t="shared" si="25"/>
        <v>0</v>
      </c>
      <c r="EV6" s="515" t="str">
        <f t="shared" si="26"/>
        <v/>
      </c>
      <c r="EZ6" s="380"/>
      <c r="FA6" s="380"/>
      <c r="FB6" s="380"/>
      <c r="FC6" s="380"/>
      <c r="FD6" s="380"/>
      <c r="FE6" s="380"/>
      <c r="FF6" s="380"/>
      <c r="FG6" s="380"/>
      <c r="FH6" s="380"/>
      <c r="FM6" s="380" t="str">
        <f t="shared" si="27"/>
        <v/>
      </c>
      <c r="FN6" s="380" t="str">
        <f t="shared" si="28"/>
        <v/>
      </c>
      <c r="FO6" s="380">
        <f>SUM($EZ$4:$EZ$82)</f>
        <v>0</v>
      </c>
      <c r="FP6" s="380">
        <f>SUM($FA$4:$FA$82)</f>
        <v>0</v>
      </c>
      <c r="FQ6" s="380">
        <f>SUM($FB$4:$FB$82)</f>
        <v>0</v>
      </c>
      <c r="FR6" s="380">
        <f>SUM($FC$4:$FC$82)</f>
        <v>0</v>
      </c>
      <c r="FS6" s="380">
        <f>SUM($FD$4:$FD$82)</f>
        <v>0</v>
      </c>
      <c r="FT6" s="380">
        <f>SUM($FE$4:$FE$82)</f>
        <v>0</v>
      </c>
      <c r="FU6" s="380">
        <f>SUM($FF$4:$FF$82)</f>
        <v>0</v>
      </c>
      <c r="FV6" s="380">
        <f>SUM($FG$4:$FG$82)</f>
        <v>0</v>
      </c>
      <c r="FW6" s="380">
        <f>SUM($FH$4:$FH$82)</f>
        <v>0</v>
      </c>
      <c r="FX6" s="380">
        <f>SUM($FO$6:$FQ$6)</f>
        <v>0</v>
      </c>
      <c r="FY6" s="380">
        <f>SUM($FT$6:$FU$6)</f>
        <v>0</v>
      </c>
      <c r="FZ6" s="408"/>
      <c r="GA6" s="515">
        <f t="shared" si="29"/>
        <v>1</v>
      </c>
      <c r="GB6" s="515">
        <f t="shared" si="30"/>
        <v>3</v>
      </c>
      <c r="GC6" s="302">
        <v>3</v>
      </c>
      <c r="GD6" s="302">
        <v>99228</v>
      </c>
      <c r="GE6" s="302" t="s">
        <v>549</v>
      </c>
      <c r="GG6" s="460">
        <f>[3]Dados!$C$70</f>
        <v>0</v>
      </c>
      <c r="GH6" s="460">
        <f>[3]Dados!$C$47</f>
        <v>0</v>
      </c>
      <c r="GU6" s="469">
        <f>IF(OR($P6=2,$P6=1),0,IF(OR($P6=3,$P6=""),[3]MOD_3!$Q$197))</f>
        <v>0</v>
      </c>
      <c r="GV6" s="470" t="str">
        <f t="shared" si="31"/>
        <v>OK</v>
      </c>
      <c r="GW6" s="302">
        <f t="shared" si="32"/>
        <v>0</v>
      </c>
      <c r="HA6" s="654"/>
      <c r="HD6" s="379" t="str">
        <f>[3]Dados!$E$102</f>
        <v>31/10/2020</v>
      </c>
      <c r="HE6" s="380">
        <f>[3]Dados!$G$102</f>
        <v>167096.4</v>
      </c>
      <c r="HF6" s="302" t="str">
        <f>[3]Dados!$E$88</f>
        <v>FÁBIO RODRIGO BOTTAS</v>
      </c>
      <c r="HG6" s="302" t="str">
        <f>[3]Dados!$E$91</f>
        <v>ADRIANA DE OLIVEIRA BORGES</v>
      </c>
      <c r="HH6" s="385" t="str">
        <f>[3]MENU!$H$25</f>
        <v>Versão 1.0.2020 
23/07/2020</v>
      </c>
      <c r="HI6" s="411">
        <f>[3]MENU!$V$13</f>
        <v>0</v>
      </c>
      <c r="HJ6" s="302" t="str">
        <f t="shared" si="33"/>
        <v>Versão 1.0.2020</v>
      </c>
      <c r="HK6" s="461" t="s">
        <v>563</v>
      </c>
      <c r="HL6" s="302">
        <f>[3]MOD_3!$Q$197</f>
        <v>0</v>
      </c>
      <c r="HO6" s="302" t="str">
        <f t="shared" si="34"/>
        <v/>
      </c>
      <c r="HP6" s="302" t="str">
        <f t="shared" si="35"/>
        <v/>
      </c>
      <c r="HQ6" s="302" t="str">
        <f t="shared" si="36"/>
        <v/>
      </c>
      <c r="IT6" s="411">
        <f>[3]MENU!$V$15</f>
        <v>0</v>
      </c>
      <c r="IU6" s="411" t="str">
        <f>[3]Dados!$I$102</f>
        <v>Saldo Bancário Correto</v>
      </c>
      <c r="IV6" s="462">
        <f>[3]Dados!$C$88</f>
        <v>510</v>
      </c>
      <c r="IX6" s="302">
        <f>SUM([3]Ata!$BG$64,[3]Ata!$BI$64,[3]Ata!$BK$64,[3]Ata!$BM$64,[3]Ata!$BO$64,[3]Ata!$BQ$64,[3]Ata!$BS$64,[3]Ata!$BU$64,[3]Ata!$BW$64)</f>
        <v>0</v>
      </c>
      <c r="IY6" s="302">
        <f>SUM([3]Ata!$BH$64,[3]Ata!$BJ$64,[3]Ata!$BL$64,[3]Ata!$BN$64,[3]Ata!$BP$64,[3]Ata!$BR$64,[3]Ata!$BT$64,[3]Ata!$BV$64,[3]Ata!$BX$64)</f>
        <v>0</v>
      </c>
    </row>
    <row r="7" spans="1:259 16384:16384" s="302" customFormat="1" ht="12.75" customHeight="1">
      <c r="A7" s="397">
        <f t="shared" si="1"/>
        <v>110442</v>
      </c>
      <c r="B7" s="462">
        <f>IF(D7="","",B6+1)</f>
        <v>4</v>
      </c>
      <c r="C7" s="426">
        <f>[4]Dados!$E$3</f>
        <v>19490</v>
      </c>
      <c r="D7" s="575" t="str">
        <f>[4]Dados!$E$69</f>
        <v>EMEI - CAMPO LIMPO VI</v>
      </c>
      <c r="E7" s="463">
        <f>[4]MOD_2!$C$15+[4]MOD_2_futuro!$C$15+[4]MOD_2_transporte!$C$15+[4]MOD_2_imprensa!$C$15+[4]MOD_2_gremio!$C$15+[4]MOD_2_volta_aulas!$C$15+[4]MOD_2_formacao!$C$15+[4]MOD_2_mais_escola!$C$15+[4]MOD_2_livre_aplicacao!$C$15</f>
        <v>34977.589999999997</v>
      </c>
      <c r="F7" s="464">
        <f>[4]MOD_2!$G$15+[4]MOD_2_futuro!$G$15+[4]MOD_2_transporte!$G$15+[4]MOD_2_imprensa!$G$15+[4]MOD_2_gremio!$G$15+[4]MOD_2_volta_aulas!$G$15+[4]MOD_2_formacao!$G$15+[4]MOD_2_mais_escola!$G$15+[4]MOD_2_livre_aplicacao!$G$15</f>
        <v>110442</v>
      </c>
      <c r="G7" s="465">
        <f>IF(OR($P7=2,$P7=1),0,IF(OR($P7=3,$P7=""),[4]MOD_2!$P$15))</f>
        <v>0</v>
      </c>
      <c r="H7" s="465">
        <f>IF(OR($P7=2,$P7=1),0,IF(OR($P7=3,$P7=""),[4]MOD_2!$P$15+[4]MOD_2_futuro!$P$15+[4]MOD_2_transporte!$P$15+[4]MOD_2_imprensa!$P$15+[4]MOD_2_gremio!$P$15+[4]MOD_2_volta_aulas!$P$15+[4]MOD_2_formacao!$P$15+[4]MOD_2_mais_escola!$P$15+[4]MOD_2_livre_aplicacao!$P$15))</f>
        <v>0</v>
      </c>
      <c r="I7" s="466">
        <f t="shared" si="3"/>
        <v>145419.59</v>
      </c>
      <c r="J7" s="463">
        <f>[4]MOD_2!$C$16+[4]MOD_2_futuro!$C$16+[4]MOD_2_transporte!$C$16+[4]MOD_2_imprensa!$C$16+[4]MOD_2_gremio!$C$16+[4]MOD_2_volta_aulas!$C$16+[4]MOD_2_formacao!$C$16+[4]MOD_2_mais_escola!$C$16+[4]MOD_2_livre_aplicacao!$C$16</f>
        <v>9343</v>
      </c>
      <c r="K7" s="465">
        <f>[4]MOD_2!$G$16+[4]MOD_2_futuro!$G$16+[4]MOD_2_transporte!$G$16+[4]MOD_2_imprensa!$G$16+[4]MOD_2_gremio!$G$16+[4]MOD_2_volta_aulas!$G$16+[4]MOD_2_formacao!$G$16+[4]MOD_2_mais_escola!$G$16+[4]MOD_2_livre_aplicacao!$G$16</f>
        <v>0</v>
      </c>
      <c r="L7" s="465">
        <f>IF(OR($P7=2,$P7=1),0,IF(OR($P7=3,$P7=""),[4]MOD_2!$P$16+[4]MOD_2_futuro!$P$16+[4]MOD_2_transporte!$P$16+[4]MOD_2_imprensa!$P$16+[4]MOD_2_gremio!$P$16+[4]MOD_2_volta_aulas!$P$16+[4]MOD_2_formacao!$P$16+[4]MOD_2_mais_escola!$P$16+[4]MOD_2_livre_aplicacao!$P$16))</f>
        <v>0</v>
      </c>
      <c r="M7" s="466">
        <f t="shared" si="4"/>
        <v>9343</v>
      </c>
      <c r="N7" s="573">
        <f>[4]MOD_2!$J$11</f>
        <v>24866805000180</v>
      </c>
      <c r="O7" s="467">
        <f>[4]MOD_2!$L$11</f>
        <v>54969751</v>
      </c>
      <c r="P7" s="518"/>
      <c r="Q7" s="381"/>
      <c r="R7" s="380">
        <f>SUM($E$4:$E$120)</f>
        <v>132008.59</v>
      </c>
      <c r="S7" s="380">
        <f>SUM($F$4:$F$120)</f>
        <v>611370</v>
      </c>
      <c r="T7" s="380">
        <f>SUM($G$4:$G$120)</f>
        <v>0</v>
      </c>
      <c r="U7" s="380">
        <f>SUM($H$4:$H$120)</f>
        <v>0</v>
      </c>
      <c r="V7" s="380">
        <f>SUM($I$4:$I$120)</f>
        <v>743378.59000000008</v>
      </c>
      <c r="W7" s="380">
        <f>SUM($J$4:$J$120)</f>
        <v>39293</v>
      </c>
      <c r="X7" s="380">
        <f>SUM($K$4:$K$120)</f>
        <v>2600</v>
      </c>
      <c r="Y7" s="380">
        <f>SUM($L$4:$L$120)</f>
        <v>0</v>
      </c>
      <c r="Z7" s="380">
        <f>SUM($M$4:$M$120)</f>
        <v>41893</v>
      </c>
      <c r="AA7" s="382"/>
      <c r="AB7" s="302">
        <f t="shared" si="5"/>
        <v>110442</v>
      </c>
      <c r="AC7" s="515">
        <f t="shared" ref="AC7" si="37">IF(AE7&lt;&gt;"",1,0)</f>
        <v>0</v>
      </c>
      <c r="AD7" s="515" t="str">
        <f t="shared" ref="AD7" si="38">IF(AE7&lt;&gt;"",ROW(AE7)-3,"")</f>
        <v/>
      </c>
      <c r="AH7" s="380"/>
      <c r="AI7" s="380"/>
      <c r="AJ7" s="380"/>
      <c r="AK7" s="380"/>
      <c r="AL7" s="380"/>
      <c r="AM7" s="380"/>
      <c r="AN7" s="380"/>
      <c r="AO7" s="380"/>
      <c r="AP7" s="380"/>
      <c r="AT7" s="461"/>
      <c r="AU7" s="380" t="str">
        <f t="shared" ref="AU7" si="39">IF(SUM(AH7:AJ7)=0,"",SUM(AH7:AJ7))</f>
        <v/>
      </c>
      <c r="AV7" s="380" t="str">
        <f t="shared" ref="AV7" si="40">IF(SUM(AM7:AN7)=0,"",SUM(AM7:AN7))</f>
        <v/>
      </c>
      <c r="AW7" s="380">
        <f>SUM($AH$4:$AH$92)</f>
        <v>0</v>
      </c>
      <c r="AX7" s="380">
        <f>SUM($AI$4:$AI$92)</f>
        <v>0</v>
      </c>
      <c r="AY7" s="380">
        <f>SUM($AJ$4:$AJ$92)</f>
        <v>0</v>
      </c>
      <c r="AZ7" s="380">
        <f>SUM($AK$4:$AK$92)</f>
        <v>0</v>
      </c>
      <c r="BA7" s="380">
        <f>SUM($AL$4:$AL$92)</f>
        <v>0</v>
      </c>
      <c r="BB7" s="380">
        <f>SUM($AM$4:$AM$92)</f>
        <v>0</v>
      </c>
      <c r="BC7" s="380">
        <f>SUM($AN$4:$AN$92)</f>
        <v>0</v>
      </c>
      <c r="BD7" s="380">
        <f>SUM($AO$4:$AO$92)</f>
        <v>0</v>
      </c>
      <c r="BE7" s="380">
        <f>SUM($AP$4:$AP$92)</f>
        <v>0</v>
      </c>
      <c r="BF7" s="468">
        <f t="shared" si="10"/>
        <v>0</v>
      </c>
      <c r="BG7" s="515">
        <f t="shared" ref="BG7" si="41">IF(BI7&lt;&gt;"",1,0)</f>
        <v>0</v>
      </c>
      <c r="BH7" s="515" t="str">
        <f t="shared" ref="BH7" si="42">IF(BI7&lt;&gt;"",ROW(BI7)-3,"")</f>
        <v/>
      </c>
      <c r="BL7" s="380"/>
      <c r="BM7" s="380"/>
      <c r="BN7" s="380"/>
      <c r="BO7" s="380"/>
      <c r="BP7" s="380"/>
      <c r="BQ7" s="380"/>
      <c r="BR7" s="380"/>
      <c r="BS7" s="380"/>
      <c r="BT7" s="380"/>
      <c r="BY7" s="380" t="str">
        <f t="shared" ref="BY7" si="43">IF(SUM(BL7:BN7)=0,"",SUM(BL7:BN7))</f>
        <v/>
      </c>
      <c r="BZ7" s="380" t="str">
        <f t="shared" ref="BZ7" si="44">IF(SUM(BQ7:BR7)=0,"",SUM(BQ7:BR7))</f>
        <v/>
      </c>
      <c r="CA7" s="380">
        <f>SUM($BL$4:$BL$92)</f>
        <v>0</v>
      </c>
      <c r="CB7" s="380">
        <f>SUM($BM$4:$BM$92)</f>
        <v>0</v>
      </c>
      <c r="CC7" s="380">
        <f>SUM($BN$4:$BN$92)</f>
        <v>0</v>
      </c>
      <c r="CD7" s="380">
        <f>SUM($BO$4:$BO$92)</f>
        <v>0</v>
      </c>
      <c r="CE7" s="380">
        <f>SUM($BP$4:$BP$92)</f>
        <v>0</v>
      </c>
      <c r="CF7" s="380">
        <f>SUM($BQ$4:$BQ$92)</f>
        <v>0</v>
      </c>
      <c r="CG7" s="380">
        <f>SUM($BR$4:$BR$92)</f>
        <v>0</v>
      </c>
      <c r="CH7" s="380">
        <f>SUM($BS$4:$BS$92)</f>
        <v>0</v>
      </c>
      <c r="CI7" s="380">
        <f>SUM($BT$4:$BT$92)</f>
        <v>0</v>
      </c>
      <c r="CJ7" s="468">
        <f t="shared" si="15"/>
        <v>0</v>
      </c>
      <c r="CK7" s="515">
        <f t="shared" ref="CK7" si="45">IF(CM7&lt;&gt;"",1,0)</f>
        <v>0</v>
      </c>
      <c r="CL7" s="515" t="str">
        <f t="shared" ref="CL7" si="46">IF(CM7&lt;&gt;"",ROW(CM7)-3,"")</f>
        <v/>
      </c>
      <c r="CP7" s="380"/>
      <c r="CQ7" s="380"/>
      <c r="CR7" s="380"/>
      <c r="CS7" s="380"/>
      <c r="CT7" s="380"/>
      <c r="CU7" s="380"/>
      <c r="CV7" s="380"/>
      <c r="CW7" s="380"/>
      <c r="CX7" s="380"/>
      <c r="CY7" s="380"/>
      <c r="DD7" s="380" t="str">
        <f t="shared" ref="DD7" si="47">IF(SUM(CP7:CR7)=0,"",SUM(CP7:CR7))</f>
        <v/>
      </c>
      <c r="DE7" s="380">
        <f t="shared" ref="DE7" si="48">IF(B7="","",IF(SUM(CU7:CV7)=0,0,SUM(CU7:CV7)))</f>
        <v>0</v>
      </c>
      <c r="DF7" s="380">
        <f>SUM($CP$4:$CP$92)</f>
        <v>0</v>
      </c>
      <c r="DG7" s="380">
        <f>SUM($CQ$4:$CQ$92)</f>
        <v>0</v>
      </c>
      <c r="DH7" s="380">
        <f>SUM($CR$4:$CR$92)</f>
        <v>0</v>
      </c>
      <c r="DI7" s="380">
        <f>SUM($CS$4:$CS$92)</f>
        <v>0</v>
      </c>
      <c r="DJ7" s="380">
        <f>SUM($CT$4:$CT$92)</f>
        <v>0</v>
      </c>
      <c r="DK7" s="380">
        <f>SUM($CU$4:$CU$92)</f>
        <v>0</v>
      </c>
      <c r="DL7" s="380">
        <f>SUM($CV$4:$CV$92)</f>
        <v>0</v>
      </c>
      <c r="DM7" s="380">
        <f>SUM($CW$4:$CW$92)</f>
        <v>0</v>
      </c>
      <c r="DN7" s="380">
        <f>SUM($CX$4:$CX$92)</f>
        <v>0</v>
      </c>
      <c r="DO7" s="469" t="str">
        <f t="shared" si="20"/>
        <v/>
      </c>
      <c r="DP7" s="515">
        <f t="shared" ref="DP7" si="49">IF(DR7&lt;&gt;"",1,0)</f>
        <v>0</v>
      </c>
      <c r="DQ7" s="515" t="str">
        <f t="shared" ref="DQ7" si="50">IF(DR7&lt;&gt;"",ROW(DR7)-3,"")</f>
        <v/>
      </c>
      <c r="DU7" s="380"/>
      <c r="DV7" s="380"/>
      <c r="DW7" s="380"/>
      <c r="DX7" s="380"/>
      <c r="DY7" s="380"/>
      <c r="DZ7" s="380"/>
      <c r="EA7" s="380"/>
      <c r="EB7" s="380"/>
      <c r="EC7" s="380"/>
      <c r="EH7" s="380" t="str">
        <f t="shared" ref="EH7" si="51">IF(SUM(DU7:DW7)=0,"",SUM(DU7:DW7))</f>
        <v/>
      </c>
      <c r="EI7" s="380" t="str">
        <f t="shared" ref="EI7" si="52">IF(SUM(DZ7:EA7)=0,"",SUM(DZ7:EA7))</f>
        <v/>
      </c>
      <c r="EJ7" s="380">
        <f>SUM($DU$4:$DU$108)</f>
        <v>0</v>
      </c>
      <c r="EK7" s="380">
        <f>SUM($DV$4:$DV$108)</f>
        <v>0</v>
      </c>
      <c r="EL7" s="380">
        <f>SUM($DW$4:$DW$108)</f>
        <v>0</v>
      </c>
      <c r="EM7" s="380">
        <f>SUM($DX$4:$DX$108)</f>
        <v>0</v>
      </c>
      <c r="EN7" s="380">
        <f>SUM($DY$4:$DY$108)</f>
        <v>0</v>
      </c>
      <c r="EO7" s="380">
        <f>SUM($DZ$4:$DZ$108)</f>
        <v>0</v>
      </c>
      <c r="EP7" s="380">
        <f>SUM($EA$4:$EA$108)</f>
        <v>0</v>
      </c>
      <c r="EQ7" s="380">
        <f>SUM($EB$4:$EB$108)</f>
        <v>0</v>
      </c>
      <c r="ER7" s="380">
        <f>SUM($EC$4:$EC$108)</f>
        <v>0</v>
      </c>
      <c r="ES7" s="380">
        <f>SUM($EJ$7:$EL$7)</f>
        <v>0</v>
      </c>
      <c r="ET7" s="380">
        <f>SUM($EO$7:$EP$7)</f>
        <v>0</v>
      </c>
      <c r="EU7" s="515">
        <f t="shared" ref="EU7" si="53">IF(EW7&lt;&gt;"",1,0)</f>
        <v>0</v>
      </c>
      <c r="EV7" s="515" t="str">
        <f t="shared" ref="EV7" si="54">IF(EW7&lt;&gt;"",ROW(EW7)-3,"")</f>
        <v/>
      </c>
      <c r="EZ7" s="380"/>
      <c r="FA7" s="380"/>
      <c r="FB7" s="380"/>
      <c r="FC7" s="380"/>
      <c r="FD7" s="380"/>
      <c r="FE7" s="380"/>
      <c r="FF7" s="380"/>
      <c r="FG7" s="380"/>
      <c r="FH7" s="380"/>
      <c r="FM7" s="380" t="str">
        <f t="shared" ref="FM7" si="55">IF(SUM(EZ7:FB7)=0,"",SUM(EZ7:FB7))</f>
        <v/>
      </c>
      <c r="FN7" s="380" t="str">
        <f t="shared" si="28"/>
        <v/>
      </c>
      <c r="FO7" s="380">
        <f>SUM($EZ$4:$EZ$108)</f>
        <v>0</v>
      </c>
      <c r="FP7" s="380">
        <f>SUM($FA$4:$FA$108)</f>
        <v>0</v>
      </c>
      <c r="FQ7" s="380">
        <f>SUM($FB$4:$FB$108)</f>
        <v>0</v>
      </c>
      <c r="FR7" s="380">
        <f>SUM($FC$4:$FC$108)</f>
        <v>0</v>
      </c>
      <c r="FS7" s="380">
        <f>SUM($FD$4:$FD$108)</f>
        <v>0</v>
      </c>
      <c r="FT7" s="380">
        <f>SUM($FE$4:$FE$108)</f>
        <v>0</v>
      </c>
      <c r="FU7" s="380">
        <f>SUM($FF$4:$FF$108)</f>
        <v>0</v>
      </c>
      <c r="FV7" s="380">
        <f>SUM($FG$4:$FG$108)</f>
        <v>0</v>
      </c>
      <c r="FW7" s="380">
        <f>SUM($FH$4:$FH$108)</f>
        <v>0</v>
      </c>
      <c r="FX7" s="380">
        <f>SUM($FO$7:$FQ$7)</f>
        <v>0</v>
      </c>
      <c r="FY7" s="380">
        <f>SUM($FT$7:$FU$7)</f>
        <v>0</v>
      </c>
      <c r="FZ7" s="408"/>
      <c r="GA7" s="515">
        <f t="shared" ref="GA7" si="56">IF(GC7&lt;&gt;"",1,0)</f>
        <v>1</v>
      </c>
      <c r="GB7" s="515">
        <f t="shared" ref="GB7" si="57">IF(GC7&lt;&gt;"",ROW(GC7)-3,"")</f>
        <v>4</v>
      </c>
      <c r="GC7" s="302">
        <v>4</v>
      </c>
      <c r="GD7" s="302">
        <v>19490</v>
      </c>
      <c r="GE7" s="302" t="s">
        <v>550</v>
      </c>
      <c r="GG7" s="460">
        <f>[4]Dados!$C$70</f>
        <v>0</v>
      </c>
      <c r="GH7" s="460">
        <f>[4]Dados!$C$47</f>
        <v>0</v>
      </c>
      <c r="GU7" s="469">
        <f>IF(OR($P7=2,$P7=1),0,IF(OR($P7=3,$P7=""),[4]MOD_3!$Q$197))</f>
        <v>0</v>
      </c>
      <c r="GV7" s="470" t="str">
        <f t="shared" ref="GV7" si="58">IF(L7="","",IF(OR(SUM(GU7,FZ7,GW7)=L7,SUM(L7,FZ7,GW7)=GU7),"OK",IF(SUM(GU7,FZ7,GW7)&lt;&gt;L7,"STOP")))</f>
        <v>OK</v>
      </c>
      <c r="GW7" s="302">
        <f t="shared" ref="GW7" si="59">IF(CJ7="",0,CJ7)</f>
        <v>0</v>
      </c>
      <c r="HA7" s="654"/>
      <c r="HD7" s="379" t="str">
        <f>[4]Dados!$E$102</f>
        <v>31/10/2020</v>
      </c>
      <c r="HE7" s="380">
        <f>[4]Dados!$G$102</f>
        <v>154762.59</v>
      </c>
      <c r="HF7" s="302" t="str">
        <f>[4]Dados!$E$88</f>
        <v>REGIANE PEREIRA DA SILVA</v>
      </c>
      <c r="HG7" s="302" t="str">
        <f>[4]Dados!$E$91</f>
        <v>TATHIANA GUARNIERI BALON SILVA</v>
      </c>
      <c r="HH7" s="383" t="str">
        <f>[4]MENU!$H$25</f>
        <v>Versão 1.0.2020 
23/07/2020</v>
      </c>
      <c r="HI7" s="410">
        <f>[4]MENU!$V$13</f>
        <v>0</v>
      </c>
      <c r="HJ7" s="302" t="str">
        <f t="shared" ref="HJ7" si="60">IF(HH7="","",MID(HH7,1,15))</f>
        <v>Versão 1.0.2020</v>
      </c>
      <c r="HK7" s="461" t="s">
        <v>564</v>
      </c>
      <c r="HL7" s="302">
        <f>[4]MOD_3!$Q$197</f>
        <v>0</v>
      </c>
      <c r="HO7" s="302" t="str">
        <f t="shared" si="34"/>
        <v/>
      </c>
      <c r="HP7" s="302" t="str">
        <f t="shared" si="35"/>
        <v/>
      </c>
      <c r="HQ7" s="302" t="str">
        <f t="shared" si="36"/>
        <v/>
      </c>
      <c r="IT7" s="410">
        <f>[4]MENU!$V$15</f>
        <v>0</v>
      </c>
      <c r="IU7" s="410" t="str">
        <f>[4]Dados!$I$102</f>
        <v>Saldo Bancário Correto</v>
      </c>
      <c r="IV7" s="462">
        <f>[4]Dados!$C$88</f>
        <v>591</v>
      </c>
      <c r="IX7" s="302">
        <f>SUM([4]Ata!$BG$64,[4]Ata!$BI$64,[4]Ata!$BK$64,[4]Ata!$BM$64,[4]Ata!$BO$64,[4]Ata!$BQ$64,[4]Ata!$BS$64,[4]Ata!$BU$64,[4]Ata!$BW$64)</f>
        <v>0</v>
      </c>
      <c r="IY7" s="302">
        <f>SUM([4]Ata!$BH$64,[4]Ata!$BJ$64,[4]Ata!$BL$64,[4]Ata!$BN$64,[4]Ata!$BP$64,[4]Ata!$BR$64,[4]Ata!$BT$64,[4]Ata!$BV$64,[4]Ata!$BX$64)</f>
        <v>0</v>
      </c>
    </row>
    <row r="8" spans="1:259 16384:16384" s="302" customFormat="1" ht="12.75" customHeight="1" thickBot="1">
      <c r="A8" s="397">
        <f t="shared" si="1"/>
        <v>121752</v>
      </c>
      <c r="B8" s="616">
        <f t="shared" ref="B8:B71" si="61">IF(D8="","",B7+1)</f>
        <v>5</v>
      </c>
      <c r="C8" s="617">
        <f>[5]Dados!$E$3</f>
        <v>200252</v>
      </c>
      <c r="D8" s="618" t="str">
        <f>[5]Dados!$E$69</f>
        <v>CEU - CAPAO REDONDO - CELSO SEIXAS RIBEIRO BASTOS, PROF. E DR.</v>
      </c>
      <c r="E8" s="619">
        <f>[5]MOD_2!$C$15+[5]MOD_2_futuro!$C$15+[5]MOD_2_transporte!$C$15+[5]MOD_2_imprensa!$C$15+[5]MOD_2_gremio!$C$15+[5]MOD_2_volta_aulas!$C$15+[5]MOD_2_formacao!$C$15+[5]MOD_2_mais_escola!$C$15+[5]MOD_2_livre_aplicacao!$C$15</f>
        <v>17978.2</v>
      </c>
      <c r="F8" s="620">
        <f>[5]MOD_2!$G$15+[5]MOD_2_futuro!$G$15+[5]MOD_2_transporte!$G$15+[5]MOD_2_imprensa!$G$15+[5]MOD_2_gremio!$G$15+[5]MOD_2_volta_aulas!$G$15+[5]MOD_2_formacao!$G$15+[5]MOD_2_mais_escola!$G$15+[5]MOD_2_livre_aplicacao!$G$15</f>
        <v>121752</v>
      </c>
      <c r="G8" s="621">
        <f>IF(OR($P8=2,$P8=1),0,IF(OR($P8=3,$P8=""),[5]MOD_2!$P$15))</f>
        <v>0</v>
      </c>
      <c r="H8" s="621">
        <f>IF(OR($P8=2,$P8=1),0,IF(OR($P8=3,$P8=""),[5]MOD_2!$P$15+[5]MOD_2_futuro!$P$15+[5]MOD_2_transporte!$P$15+[5]MOD_2_imprensa!$P$15+[5]MOD_2_gremio!$P$15+[5]MOD_2_volta_aulas!$P$15+[5]MOD_2_formacao!$P$15+[5]MOD_2_mais_escola!$P$15+[5]MOD_2_livre_aplicacao!$P$15))</f>
        <v>0</v>
      </c>
      <c r="I8" s="622">
        <f t="shared" si="3"/>
        <v>139730.20000000001</v>
      </c>
      <c r="J8" s="619">
        <f>[5]MOD_2!$C$16+[5]MOD_2_futuro!$C$16+[5]MOD_2_transporte!$C$16+[5]MOD_2_imprensa!$C$16+[5]MOD_2_gremio!$C$16+[5]MOD_2_volta_aulas!$C$16+[5]MOD_2_formacao!$C$16+[5]MOD_2_mais_escola!$C$16+[5]MOD_2_livre_aplicacao!$C$16</f>
        <v>11110</v>
      </c>
      <c r="K8" s="621">
        <f>[5]MOD_2!$G$16+[5]MOD_2_futuro!$G$16+[5]MOD_2_transporte!$G$16+[5]MOD_2_imprensa!$G$16+[5]MOD_2_gremio!$G$16+[5]MOD_2_volta_aulas!$G$16+[5]MOD_2_formacao!$G$16+[5]MOD_2_mais_escola!$G$16+[5]MOD_2_livre_aplicacao!$G$16</f>
        <v>0</v>
      </c>
      <c r="L8" s="621">
        <f>IF(OR($P8=2,$P8=1),0,IF(OR($P8=3,$P8=""),[5]MOD_2!$P$16+[5]MOD_2_futuro!$P$16+[5]MOD_2_transporte!$P$16+[5]MOD_2_imprensa!$P$16+[5]MOD_2_gremio!$P$16+[5]MOD_2_volta_aulas!$P$16+[5]MOD_2_formacao!$P$16+[5]MOD_2_mais_escola!$P$16+[5]MOD_2_livre_aplicacao!$P$16))</f>
        <v>0</v>
      </c>
      <c r="M8" s="622">
        <f t="shared" si="4"/>
        <v>11110</v>
      </c>
      <c r="N8" s="623">
        <f>[5]MOD_2!$J$11</f>
        <v>12436806000106</v>
      </c>
      <c r="O8" s="624">
        <f>[5]MOD_2!$L$11</f>
        <v>44754086</v>
      </c>
      <c r="P8" s="679"/>
      <c r="Q8" s="680"/>
      <c r="R8" s="681">
        <f>SUM($E$4:$E$149)</f>
        <v>132008.59</v>
      </c>
      <c r="S8" s="681">
        <f>SUM($F$4:$F$149)</f>
        <v>611370</v>
      </c>
      <c r="T8" s="681">
        <f>SUM($G$4:$G$149)</f>
        <v>0</v>
      </c>
      <c r="U8" s="681">
        <f>SUM($H$4:$H$149)</f>
        <v>0</v>
      </c>
      <c r="V8" s="681">
        <f>SUM($I$4:$I$149)</f>
        <v>743378.59000000008</v>
      </c>
      <c r="W8" s="681">
        <f>SUM($J$4:$J$149)</f>
        <v>39293</v>
      </c>
      <c r="X8" s="681">
        <f>SUM($K$4:$K$149)</f>
        <v>2600</v>
      </c>
      <c r="Y8" s="681">
        <f>SUM($L$4:$L$149)</f>
        <v>0</v>
      </c>
      <c r="Z8" s="681">
        <f>SUM($M$4:$M$149)</f>
        <v>41893</v>
      </c>
      <c r="AA8" s="682"/>
      <c r="AB8" s="683">
        <f t="shared" si="5"/>
        <v>121752</v>
      </c>
      <c r="AC8" s="684">
        <f t="shared" ref="AC8" si="62">IF(AE8&lt;&gt;"",1,0)</f>
        <v>0</v>
      </c>
      <c r="AD8" s="684" t="str">
        <f t="shared" ref="AD8:AD71" si="63">IF(AE8&lt;&gt;"",ROW(AE8)-3,"")</f>
        <v/>
      </c>
      <c r="AE8" s="683"/>
      <c r="AF8" s="683"/>
      <c r="AG8" s="683"/>
      <c r="AH8" s="681"/>
      <c r="AI8" s="681"/>
      <c r="AJ8" s="681"/>
      <c r="AK8" s="681"/>
      <c r="AL8" s="681"/>
      <c r="AM8" s="681"/>
      <c r="AN8" s="681"/>
      <c r="AO8" s="681"/>
      <c r="AP8" s="681"/>
      <c r="AQ8" s="683"/>
      <c r="AR8" s="683"/>
      <c r="AS8" s="683"/>
      <c r="AT8" s="685"/>
      <c r="AU8" s="681" t="str">
        <f t="shared" ref="AU8" si="64">IF(SUM(AH8:AJ8)=0,"",SUM(AH8:AJ8))</f>
        <v/>
      </c>
      <c r="AV8" s="681" t="str">
        <f t="shared" ref="AV8" si="65">IF(SUM(AM8:AN8)=0,"",SUM(AM8:AN8))</f>
        <v/>
      </c>
      <c r="AW8" s="681">
        <f>SUM($AH$4:$AH$114)</f>
        <v>0</v>
      </c>
      <c r="AX8" s="681">
        <f>SUM($AI$4:$AI$114)</f>
        <v>0</v>
      </c>
      <c r="AY8" s="681">
        <f>SUM($AJ$4:$AJ$114)</f>
        <v>0</v>
      </c>
      <c r="AZ8" s="681">
        <f>SUM($AK$4:$AK$114)</f>
        <v>0</v>
      </c>
      <c r="BA8" s="681">
        <f>SUM($AL$4:$AL$114)</f>
        <v>0</v>
      </c>
      <c r="BB8" s="681">
        <f>SUM($AM$4:$AM$114)</f>
        <v>0</v>
      </c>
      <c r="BC8" s="681">
        <f>SUM($AN$4:$AN$114)</f>
        <v>0</v>
      </c>
      <c r="BD8" s="681">
        <f>SUM($AO$4:$AO$114)</f>
        <v>0</v>
      </c>
      <c r="BE8" s="681">
        <f>SUM($AP$4:$AP$114)</f>
        <v>0</v>
      </c>
      <c r="BF8" s="628">
        <f t="shared" si="10"/>
        <v>0</v>
      </c>
      <c r="BG8" s="684">
        <f t="shared" ref="BG8" si="66">IF(BI8&lt;&gt;"",1,0)</f>
        <v>0</v>
      </c>
      <c r="BH8" s="684" t="str">
        <f t="shared" ref="BH8" si="67">IF(BI8&lt;&gt;"",ROW(BI8)-3,"")</f>
        <v/>
      </c>
      <c r="BI8" s="683"/>
      <c r="BJ8" s="683"/>
      <c r="BK8" s="683"/>
      <c r="BL8" s="681"/>
      <c r="BM8" s="681"/>
      <c r="BN8" s="681"/>
      <c r="BO8" s="681"/>
      <c r="BP8" s="681"/>
      <c r="BQ8" s="681"/>
      <c r="BR8" s="681"/>
      <c r="BS8" s="681"/>
      <c r="BT8" s="681"/>
      <c r="BU8" s="683"/>
      <c r="BV8" s="683"/>
      <c r="BW8" s="683"/>
      <c r="BX8" s="683"/>
      <c r="BY8" s="681" t="str">
        <f t="shared" ref="BY8" si="68">IF(SUM(BL8:BN8)=0,"",SUM(BL8:BN8))</f>
        <v/>
      </c>
      <c r="BZ8" s="681" t="str">
        <f t="shared" ref="BZ8" si="69">IF(SUM(BQ8:BR8)=0,"",SUM(BQ8:BR8))</f>
        <v/>
      </c>
      <c r="CA8" s="681">
        <f>SUM($BL$4:$BL$114)</f>
        <v>0</v>
      </c>
      <c r="CB8" s="681">
        <f>SUM($BM$4:$BM$114)</f>
        <v>0</v>
      </c>
      <c r="CC8" s="681">
        <f>SUM($BN$4:$BN$114)</f>
        <v>0</v>
      </c>
      <c r="CD8" s="681">
        <f>SUM($BO$4:$BO$114)</f>
        <v>0</v>
      </c>
      <c r="CE8" s="681">
        <f>SUM($BP$4:$BP$114)</f>
        <v>0</v>
      </c>
      <c r="CF8" s="681">
        <f>SUM($BQ$4:$BQ$114)</f>
        <v>0</v>
      </c>
      <c r="CG8" s="681">
        <f>SUM($BR$4:$BR$114)</f>
        <v>0</v>
      </c>
      <c r="CH8" s="681">
        <f>SUM($BS$4:$BS$114)</f>
        <v>0</v>
      </c>
      <c r="CI8" s="681">
        <f>SUM($BT$4:$BT$114)</f>
        <v>0</v>
      </c>
      <c r="CJ8" s="628">
        <f t="shared" si="15"/>
        <v>0</v>
      </c>
      <c r="CK8" s="684">
        <f t="shared" ref="CK8" si="70">IF(CM8&lt;&gt;"",1,0)</f>
        <v>0</v>
      </c>
      <c r="CL8" s="684" t="str">
        <f t="shared" ref="CL8" si="71">IF(CM8&lt;&gt;"",ROW(CM8)-3,"")</f>
        <v/>
      </c>
      <c r="CM8" s="683"/>
      <c r="CN8" s="683"/>
      <c r="CO8" s="683"/>
      <c r="CP8" s="681"/>
      <c r="CQ8" s="681"/>
      <c r="CR8" s="681"/>
      <c r="CS8" s="681"/>
      <c r="CT8" s="681"/>
      <c r="CU8" s="681"/>
      <c r="CV8" s="681"/>
      <c r="CW8" s="681"/>
      <c r="CX8" s="681"/>
      <c r="CY8" s="681"/>
      <c r="CZ8" s="683"/>
      <c r="DA8" s="683"/>
      <c r="DB8" s="683"/>
      <c r="DC8" s="683"/>
      <c r="DD8" s="681" t="str">
        <f t="shared" ref="DD8:DD71" si="72">IF(SUM(CP8:CR8)=0,"",SUM(CP8:CR8))</f>
        <v/>
      </c>
      <c r="DE8" s="681">
        <f t="shared" ref="DE8:DE71" si="73">IF(B8="","",IF(SUM(CU8:CV8)=0,0,SUM(CU8:CV8)))</f>
        <v>0</v>
      </c>
      <c r="DF8" s="681">
        <f>SUM($CP$4:$CP$114)</f>
        <v>0</v>
      </c>
      <c r="DG8" s="681">
        <f>SUM($CQ$4:$CQ$114)</f>
        <v>0</v>
      </c>
      <c r="DH8" s="681">
        <f>SUM($CR$4:$CR$114)</f>
        <v>0</v>
      </c>
      <c r="DI8" s="681">
        <f>SUM($CS$4:$CS$114)</f>
        <v>0</v>
      </c>
      <c r="DJ8" s="681">
        <f>SUM($CT$4:$CT$114)</f>
        <v>0</v>
      </c>
      <c r="DK8" s="681">
        <f>SUM($CU$4:$CU$114)</f>
        <v>0</v>
      </c>
      <c r="DL8" s="681">
        <f>SUM($CV$4:$CV$114)</f>
        <v>0</v>
      </c>
      <c r="DM8" s="681">
        <f>SUM($CW$4:$CW$114)</f>
        <v>0</v>
      </c>
      <c r="DN8" s="681">
        <f>SUM($CX$4:$CX$114)</f>
        <v>0</v>
      </c>
      <c r="DO8" s="628" t="str">
        <f t="shared" si="20"/>
        <v/>
      </c>
      <c r="DP8" s="684">
        <f t="shared" ref="DP8" si="74">IF(DR8&lt;&gt;"",1,0)</f>
        <v>0</v>
      </c>
      <c r="DQ8" s="684" t="str">
        <f t="shared" ref="DQ8" si="75">IF(DR8&lt;&gt;"",ROW(DR8)-3,"")</f>
        <v/>
      </c>
      <c r="DR8" s="683"/>
      <c r="DS8" s="683"/>
      <c r="DT8" s="683"/>
      <c r="DU8" s="681"/>
      <c r="DV8" s="681"/>
      <c r="DW8" s="681"/>
      <c r="DX8" s="681"/>
      <c r="DY8" s="681"/>
      <c r="DZ8" s="681"/>
      <c r="EA8" s="681"/>
      <c r="EB8" s="681"/>
      <c r="EC8" s="681"/>
      <c r="ED8" s="683"/>
      <c r="EE8" s="683"/>
      <c r="EF8" s="683"/>
      <c r="EG8" s="683"/>
      <c r="EH8" s="681" t="str">
        <f t="shared" ref="EH8" si="76">IF(SUM(DU8:DW8)=0,"",SUM(DU8:DW8))</f>
        <v/>
      </c>
      <c r="EI8" s="681" t="str">
        <f t="shared" ref="EI8" si="77">IF(SUM(DZ8:EA8)=0,"",SUM(DZ8:EA8))</f>
        <v/>
      </c>
      <c r="EJ8" s="681">
        <f>SUM($DU$4:$DU$134)</f>
        <v>0</v>
      </c>
      <c r="EK8" s="681">
        <f>SUM($DV$4:$DV$134)</f>
        <v>0</v>
      </c>
      <c r="EL8" s="681">
        <f>SUM($DW$4:$DW$134)</f>
        <v>0</v>
      </c>
      <c r="EM8" s="681">
        <f>SUM($DX$4:$DX$134)</f>
        <v>0</v>
      </c>
      <c r="EN8" s="681">
        <f>SUM($DY$4:$DY$134)</f>
        <v>0</v>
      </c>
      <c r="EO8" s="681">
        <f>SUM($DZ$4:$DZ$134)</f>
        <v>0</v>
      </c>
      <c r="EP8" s="681">
        <f>SUM($EA$4:$EA$134)</f>
        <v>0</v>
      </c>
      <c r="EQ8" s="681">
        <f>SUM($EB$4:$EB$134)</f>
        <v>0</v>
      </c>
      <c r="ER8" s="681">
        <f>SUM($EC$4:$EC$134)</f>
        <v>0</v>
      </c>
      <c r="ES8" s="681">
        <f>SUM($EJ$8:$EL$8)</f>
        <v>0</v>
      </c>
      <c r="ET8" s="681">
        <f>SUM($EO$8:$EP$8)</f>
        <v>0</v>
      </c>
      <c r="EU8" s="684">
        <f t="shared" ref="EU8" si="78">IF(EW8&lt;&gt;"",1,0)</f>
        <v>0</v>
      </c>
      <c r="EV8" s="684" t="str">
        <f t="shared" ref="EV8" si="79">IF(EW8&lt;&gt;"",ROW(EW8)-3,"")</f>
        <v/>
      </c>
      <c r="EW8" s="683"/>
      <c r="EX8" s="683"/>
      <c r="EY8" s="683"/>
      <c r="EZ8" s="681"/>
      <c r="FA8" s="681"/>
      <c r="FB8" s="681"/>
      <c r="FC8" s="681"/>
      <c r="FD8" s="681"/>
      <c r="FE8" s="681"/>
      <c r="FF8" s="681"/>
      <c r="FG8" s="681"/>
      <c r="FH8" s="681"/>
      <c r="FI8" s="683"/>
      <c r="FJ8" s="683"/>
      <c r="FK8" s="683"/>
      <c r="FL8" s="683"/>
      <c r="FM8" s="681" t="str">
        <f t="shared" ref="FM8" si="80">IF(SUM(EZ8:FB8)=0,"",SUM(EZ8:FB8))</f>
        <v/>
      </c>
      <c r="FN8" s="681" t="str">
        <f t="shared" si="28"/>
        <v/>
      </c>
      <c r="FO8" s="681">
        <f>SUM($EZ$4:$EZ$134)</f>
        <v>0</v>
      </c>
      <c r="FP8" s="681">
        <f>SUM($FA$4:$FA$134)</f>
        <v>0</v>
      </c>
      <c r="FQ8" s="681">
        <f>SUM($FB$4:$FB$134)</f>
        <v>0</v>
      </c>
      <c r="FR8" s="681">
        <f>SUM($FC$4:$FC$134)</f>
        <v>0</v>
      </c>
      <c r="FS8" s="681">
        <f>SUM($FD$4:$FD$134)</f>
        <v>0</v>
      </c>
      <c r="FT8" s="681">
        <f>SUM($FE$4:$FE$134)</f>
        <v>0</v>
      </c>
      <c r="FU8" s="681">
        <f>SUM($FF$4:$FF$134)</f>
        <v>0</v>
      </c>
      <c r="FV8" s="681">
        <f>SUM($FG$4:$FG$134)</f>
        <v>0</v>
      </c>
      <c r="FW8" s="681">
        <f>SUM($FH$4:$FH$134)</f>
        <v>0</v>
      </c>
      <c r="FX8" s="681">
        <f>SUM($FO$8:$FQ$8)</f>
        <v>0</v>
      </c>
      <c r="FY8" s="681">
        <f>SUM($FT$8:$FU$8)</f>
        <v>0</v>
      </c>
      <c r="FZ8" s="686"/>
      <c r="GA8" s="684">
        <f t="shared" ref="GA8" si="81">IF(GC8&lt;&gt;"",1,0)</f>
        <v>1</v>
      </c>
      <c r="GB8" s="684">
        <f t="shared" ref="GB8" si="82">IF(GC8&lt;&gt;"",ROW(GC8)-3,"")</f>
        <v>5</v>
      </c>
      <c r="GC8" s="683">
        <v>5</v>
      </c>
      <c r="GD8" s="683">
        <v>200252</v>
      </c>
      <c r="GE8" s="683" t="s">
        <v>551</v>
      </c>
      <c r="GF8" s="683"/>
      <c r="GG8" s="687">
        <f>[5]Dados!$C$70</f>
        <v>0</v>
      </c>
      <c r="GH8" s="687">
        <f>[5]Dados!$C$47</f>
        <v>0</v>
      </c>
      <c r="GI8" s="683"/>
      <c r="GJ8" s="683"/>
      <c r="GK8" s="683"/>
      <c r="GL8" s="683"/>
      <c r="GM8" s="683"/>
      <c r="GN8" s="683"/>
      <c r="GO8" s="683"/>
      <c r="GP8" s="683"/>
      <c r="GQ8" s="683"/>
      <c r="GR8" s="683"/>
      <c r="GS8" s="683"/>
      <c r="GT8" s="683"/>
      <c r="GU8" s="628">
        <f>IF(OR($P8=2,$P8=1),0,IF(OR($P8=3,$P8=""),[5]MOD_3!$Q$197))</f>
        <v>0</v>
      </c>
      <c r="GV8" s="630" t="str">
        <f t="shared" ref="GV8" si="83">IF(L8="","",IF(OR(SUM(GU8,FZ8,GW8)=L8,SUM(L8,FZ8,GW8)=GU8),"OK",IF(SUM(GU8,FZ8,GW8)&lt;&gt;L8,"STOP")))</f>
        <v>OK</v>
      </c>
      <c r="GW8" s="683">
        <f t="shared" ref="GW8" si="84">IF(CJ8="",0,CJ8)</f>
        <v>0</v>
      </c>
      <c r="GX8" s="683"/>
      <c r="GY8" s="683"/>
      <c r="GZ8" s="683"/>
      <c r="HA8" s="688"/>
      <c r="HB8" s="683"/>
      <c r="HC8" s="683"/>
      <c r="HD8" s="689" t="str">
        <f>[5]Dados!$E$102</f>
        <v>31/10/2020</v>
      </c>
      <c r="HE8" s="681">
        <f>[5]Dados!$G$102</f>
        <v>150840.20000000001</v>
      </c>
      <c r="HF8" s="683" t="str">
        <f>[5]Dados!$E$88</f>
        <v>DÉBORA HYPPOLITO DE LIMA</v>
      </c>
      <c r="HG8" s="683" t="str">
        <f>[5]Dados!$E$91</f>
        <v>KARINA AMORIM GOMES</v>
      </c>
      <c r="HH8" s="690" t="str">
        <f>[5]MENU!$H$25</f>
        <v>Versão 1.0.2020 
23/07/2020</v>
      </c>
      <c r="HI8" s="691">
        <f>[5]MENU!$V$13</f>
        <v>0</v>
      </c>
      <c r="HJ8" s="683" t="str">
        <f t="shared" ref="HJ8:HJ71" si="85">IF(HH8="","",MID(HH8,1,15))</f>
        <v>Versão 1.0.2020</v>
      </c>
      <c r="HK8" s="685" t="s">
        <v>565</v>
      </c>
      <c r="HL8" s="683">
        <f>[5]MOD_3!$Q$197</f>
        <v>0</v>
      </c>
      <c r="HM8" s="683"/>
      <c r="HN8" s="683"/>
      <c r="HO8" s="683" t="str">
        <f t="shared" si="34"/>
        <v/>
      </c>
      <c r="HP8" s="683" t="str">
        <f t="shared" si="35"/>
        <v/>
      </c>
      <c r="HQ8" s="683" t="str">
        <f t="shared" si="36"/>
        <v/>
      </c>
      <c r="HR8" s="683"/>
      <c r="HS8" s="683"/>
      <c r="HT8" s="683"/>
      <c r="HU8" s="683"/>
      <c r="HV8" s="683"/>
      <c r="HW8" s="683"/>
      <c r="HX8" s="683"/>
      <c r="HY8" s="683"/>
      <c r="HZ8" s="683"/>
      <c r="IA8" s="683"/>
      <c r="IB8" s="683"/>
      <c r="IC8" s="683"/>
      <c r="ID8" s="683"/>
      <c r="IE8" s="683"/>
      <c r="IF8" s="683"/>
      <c r="IG8" s="683"/>
      <c r="IH8" s="683"/>
      <c r="II8" s="683"/>
      <c r="IJ8" s="683"/>
      <c r="IK8" s="683"/>
      <c r="IL8" s="683"/>
      <c r="IM8" s="683"/>
      <c r="IN8" s="683"/>
      <c r="IO8" s="683"/>
      <c r="IP8" s="683"/>
      <c r="IQ8" s="683"/>
      <c r="IR8" s="683"/>
      <c r="IS8" s="683"/>
      <c r="IT8" s="691">
        <f>[5]MENU!$V$15</f>
        <v>0</v>
      </c>
      <c r="IU8" s="691" t="str">
        <f>[5]Dados!$I$102</f>
        <v>Saldo Bancário Correto</v>
      </c>
      <c r="IV8" s="462">
        <f>[5]Dados!$C$88</f>
        <v>1922</v>
      </c>
      <c r="IX8" s="302">
        <f>SUM([5]Ata!$BG$64,[5]Ata!$BI$64,[5]Ata!$BK$64,[5]Ata!$BM$64,[5]Ata!$BO$64,[5]Ata!$BQ$64,[5]Ata!$BS$64,[5]Ata!$BU$64,[5]Ata!$BW$64)</f>
        <v>0</v>
      </c>
      <c r="IY8" s="302">
        <f>SUM([5]Ata!$BH$64,[5]Ata!$BJ$64,[5]Ata!$BL$64,[5]Ata!$BN$64,[5]Ata!$BP$64,[5]Ata!$BR$64,[5]Ata!$BT$64,[5]Ata!$BV$64,[5]Ata!$BX$64)</f>
        <v>0</v>
      </c>
    </row>
    <row r="9" spans="1:259 16384:16384" s="391" customFormat="1" ht="12.75" hidden="1" customHeight="1">
      <c r="A9" s="390" t="str">
        <f t="shared" si="1"/>
        <v/>
      </c>
      <c r="B9" s="561" t="str">
        <f t="shared" si="61"/>
        <v/>
      </c>
      <c r="C9" s="562"/>
      <c r="D9" s="577"/>
      <c r="E9" s="563"/>
      <c r="F9" s="564"/>
      <c r="G9" s="565"/>
      <c r="H9" s="565"/>
      <c r="I9" s="566"/>
      <c r="J9" s="563"/>
      <c r="K9" s="565"/>
      <c r="L9" s="565"/>
      <c r="M9" s="566"/>
      <c r="N9" s="574"/>
      <c r="O9" s="567"/>
      <c r="P9" s="570"/>
      <c r="Q9" s="571"/>
      <c r="R9" s="221">
        <f>SUM($E$4:$E$178)</f>
        <v>132008.59</v>
      </c>
      <c r="S9" s="221">
        <f>SUM($F$4:$F$178)</f>
        <v>611370</v>
      </c>
      <c r="T9" s="221">
        <f>SUM($G$4:$G$178)</f>
        <v>0</v>
      </c>
      <c r="U9" s="221">
        <f>SUM($H$4:$H$178)</f>
        <v>0</v>
      </c>
      <c r="V9" s="221">
        <f>SUM($I$4:$I$178)</f>
        <v>743378.59000000008</v>
      </c>
      <c r="W9" s="221">
        <f>SUM($J$4:$J$178)</f>
        <v>39293</v>
      </c>
      <c r="X9" s="221">
        <f>SUM($K$4:$K$178)</f>
        <v>2600</v>
      </c>
      <c r="Y9" s="221">
        <f>SUM($L$4:$L$178)</f>
        <v>0</v>
      </c>
      <c r="Z9" s="221">
        <f>SUM($M$4:$M$178)</f>
        <v>41893</v>
      </c>
      <c r="AA9" s="382"/>
      <c r="AB9" s="182" t="str">
        <f t="shared" ref="AB9:AB72" si="86">IF(C9="","",IF(AND(F9=0,K9=0),"X",(F9+K9)))</f>
        <v/>
      </c>
      <c r="AC9" s="315">
        <f t="shared" ref="AC9:AC72" si="87">IF(AE9&lt;&gt;"",1,0)</f>
        <v>0</v>
      </c>
      <c r="AD9" s="315" t="str">
        <f t="shared" si="63"/>
        <v/>
      </c>
      <c r="AE9" s="182"/>
      <c r="AF9" s="182"/>
      <c r="AG9" s="182"/>
      <c r="AH9" s="221"/>
      <c r="AI9" s="221"/>
      <c r="AJ9" s="221"/>
      <c r="AK9" s="221"/>
      <c r="AL9" s="221"/>
      <c r="AM9" s="221"/>
      <c r="AN9" s="221"/>
      <c r="AO9" s="221"/>
      <c r="AP9" s="221"/>
      <c r="AQ9" s="182"/>
      <c r="AR9" s="182"/>
      <c r="AS9" s="182"/>
      <c r="AT9" s="182"/>
      <c r="AU9" s="221" t="str">
        <f t="shared" ref="AU9:AU72" si="88">IF(SUM(AH9:AJ9)=0,"",SUM(AH9:AJ9))</f>
        <v/>
      </c>
      <c r="AV9" s="221" t="str">
        <f t="shared" ref="AV9:AV72" si="89">IF(SUM(AM9:AN9)=0,"",SUM(AM9:AN9))</f>
        <v/>
      </c>
      <c r="AW9" s="221">
        <f>SUM($AH$4:$AH$136)</f>
        <v>0</v>
      </c>
      <c r="AX9" s="221">
        <f>SUM($AI$4:$AI$136)</f>
        <v>0</v>
      </c>
      <c r="AY9" s="221">
        <f>SUM($AJ$4:$AJ$136)</f>
        <v>0</v>
      </c>
      <c r="AZ9" s="221">
        <f>SUM($AK$4:$AK$136)</f>
        <v>0</v>
      </c>
      <c r="BA9" s="221">
        <f>SUM($AL$4:$AL$136)</f>
        <v>0</v>
      </c>
      <c r="BB9" s="221">
        <f>SUM($AM$4:$AM$136)</f>
        <v>0</v>
      </c>
      <c r="BC9" s="221">
        <f>SUM($AN$4:$AN$136)</f>
        <v>0</v>
      </c>
      <c r="BD9" s="221">
        <f>SUM($AO$4:$AO$136)</f>
        <v>0</v>
      </c>
      <c r="BE9" s="221">
        <f>SUM($AP$4:$AP$136)</f>
        <v>0</v>
      </c>
      <c r="BF9" s="468">
        <f t="shared" ref="BF9:BF72" si="90">IF(OR($P9=2,$P9=1),0,IF(OR($P9=3,$P9=""),IX9))</f>
        <v>0</v>
      </c>
      <c r="BG9" s="315">
        <f t="shared" ref="BG9:BG72" si="91">IF(BI9&lt;&gt;"",1,0)</f>
        <v>0</v>
      </c>
      <c r="BH9" s="315" t="str">
        <f t="shared" ref="BH9:BH72" si="92">IF(BI9&lt;&gt;"",ROW(BI9)-3,"")</f>
        <v/>
      </c>
      <c r="BI9" s="182"/>
      <c r="BJ9" s="182"/>
      <c r="BK9" s="182"/>
      <c r="BL9" s="221"/>
      <c r="BM9" s="221"/>
      <c r="BN9" s="221"/>
      <c r="BO9" s="221"/>
      <c r="BP9" s="221"/>
      <c r="BQ9" s="221"/>
      <c r="BR9" s="221"/>
      <c r="BS9" s="221"/>
      <c r="BT9" s="221"/>
      <c r="BU9" s="182"/>
      <c r="BV9" s="182"/>
      <c r="BW9" s="182"/>
      <c r="BX9" s="182"/>
      <c r="BY9" s="221" t="str">
        <f t="shared" ref="BY9:BY72" si="93">IF(SUM(BL9:BN9)=0,"",SUM(BL9:BN9))</f>
        <v/>
      </c>
      <c r="BZ9" s="221" t="str">
        <f t="shared" ref="BZ9:BZ72" si="94">IF(SUM(BQ9:BR9)=0,"",SUM(BQ9:BR9))</f>
        <v/>
      </c>
      <c r="CA9" s="221">
        <f>SUM($BL$4:$BL$136)</f>
        <v>0</v>
      </c>
      <c r="CB9" s="221">
        <f>SUM($BM$4:$BM$136)</f>
        <v>0</v>
      </c>
      <c r="CC9" s="221">
        <f>SUM($BN$4:$BN$136)</f>
        <v>0</v>
      </c>
      <c r="CD9" s="221">
        <f>SUM($BO$4:$BO$136)</f>
        <v>0</v>
      </c>
      <c r="CE9" s="221">
        <f>SUM($BP$4:$BP$136)</f>
        <v>0</v>
      </c>
      <c r="CF9" s="221">
        <f>SUM($BQ$4:$BQ$136)</f>
        <v>0</v>
      </c>
      <c r="CG9" s="221">
        <f>SUM($BR$4:$BR$136)</f>
        <v>0</v>
      </c>
      <c r="CH9" s="221">
        <f>SUM($BS$4:$BS$136)</f>
        <v>0</v>
      </c>
      <c r="CI9" s="221">
        <f>SUM($BT$4:$BT$136)</f>
        <v>0</v>
      </c>
      <c r="CJ9" s="468">
        <f t="shared" ref="CJ9:CJ72" si="95">IF(OR($P9=2,$P9=1),0,IF(OR($P9=3,$P9=""),IY9))</f>
        <v>0</v>
      </c>
      <c r="CK9" s="315">
        <f t="shared" ref="CK9:CK72" si="96">IF(CM9&lt;&gt;"",1,0)</f>
        <v>0</v>
      </c>
      <c r="CL9" s="315" t="str">
        <f t="shared" ref="CL9:CL72" si="97">IF(CM9&lt;&gt;"",ROW(CM9)-3,"")</f>
        <v/>
      </c>
      <c r="CM9" s="182"/>
      <c r="CN9" s="182"/>
      <c r="CO9" s="182"/>
      <c r="CP9" s="221"/>
      <c r="CQ9" s="221"/>
      <c r="CR9" s="221"/>
      <c r="CS9" s="221"/>
      <c r="CT9" s="221"/>
      <c r="CU9" s="221"/>
      <c r="CV9" s="221"/>
      <c r="CW9" s="221"/>
      <c r="CX9" s="221"/>
      <c r="CY9" s="221"/>
      <c r="CZ9" s="182"/>
      <c r="DA9" s="182"/>
      <c r="DB9" s="182"/>
      <c r="DC9" s="182"/>
      <c r="DD9" s="221" t="str">
        <f t="shared" si="72"/>
        <v/>
      </c>
      <c r="DE9" s="221" t="str">
        <f t="shared" si="73"/>
        <v/>
      </c>
      <c r="DF9" s="221">
        <f>SUM($CP$4:$CP$136)</f>
        <v>0</v>
      </c>
      <c r="DG9" s="221">
        <f>SUM($CQ$4:$CQ$136)</f>
        <v>0</v>
      </c>
      <c r="DH9" s="221">
        <f>SUM($CR$4:$CR$136)</f>
        <v>0</v>
      </c>
      <c r="DI9" s="221">
        <f>SUM($CS$4:$CS$136)</f>
        <v>0</v>
      </c>
      <c r="DJ9" s="221">
        <f>SUM($CT$4:$CT$136)</f>
        <v>0</v>
      </c>
      <c r="DK9" s="221">
        <f>SUM($CU$4:$CU$136)</f>
        <v>0</v>
      </c>
      <c r="DL9" s="221">
        <f>SUM($CV$4:$CV$136)</f>
        <v>0</v>
      </c>
      <c r="DM9" s="221">
        <f>SUM($CW$4:$CW$136)</f>
        <v>0</v>
      </c>
      <c r="DN9" s="221">
        <f>SUM($CX$4:$CX$136)</f>
        <v>0</v>
      </c>
      <c r="DO9" s="468" t="str">
        <f t="shared" ref="DO9:DO72" si="98">IF(AND(BF9=0,CJ9=0),"",IF(AND(BF9=0,CJ9=""),"",IF(AND(BF9="",CJ9=""),"",SUM(BF9,CJ9))))</f>
        <v/>
      </c>
      <c r="DP9" s="315">
        <f t="shared" ref="DP9:DP72" si="99">IF(DR9&lt;&gt;"",1,0)</f>
        <v>0</v>
      </c>
      <c r="DQ9" s="315" t="str">
        <f t="shared" ref="DQ9:DQ72" si="100">IF(DR9&lt;&gt;"",ROW(DR9)-3,"")</f>
        <v/>
      </c>
      <c r="DR9" s="182"/>
      <c r="DS9" s="182"/>
      <c r="DT9" s="182"/>
      <c r="DU9" s="221"/>
      <c r="DV9" s="221"/>
      <c r="DW9" s="221"/>
      <c r="DX9" s="221"/>
      <c r="DY9" s="221"/>
      <c r="DZ9" s="221"/>
      <c r="EA9" s="221"/>
      <c r="EB9" s="221"/>
      <c r="EC9" s="221"/>
      <c r="ED9" s="182"/>
      <c r="EE9" s="182"/>
      <c r="EF9" s="182"/>
      <c r="EG9" s="182"/>
      <c r="EH9" s="221" t="str">
        <f t="shared" ref="EH9:EH72" si="101">IF(SUM(DU9:DW9)=0,"",SUM(DU9:DW9))</f>
        <v/>
      </c>
      <c r="EI9" s="221" t="str">
        <f t="shared" ref="EI9:EI72" si="102">IF(SUM(DZ9:EA9)=0,"",SUM(DZ9:EA9))</f>
        <v/>
      </c>
      <c r="EJ9" s="221">
        <f>SUM($DU$4:$DU$160)</f>
        <v>0</v>
      </c>
      <c r="EK9" s="221">
        <f>SUM($DV$4:$DV$160)</f>
        <v>0</v>
      </c>
      <c r="EL9" s="221">
        <f>SUM($DW$4:$DW$160)</f>
        <v>0</v>
      </c>
      <c r="EM9" s="221">
        <f>SUM($DX$4:$DX$160)</f>
        <v>0</v>
      </c>
      <c r="EN9" s="221">
        <f>SUM($DY$4:$DY$160)</f>
        <v>0</v>
      </c>
      <c r="EO9" s="221">
        <f>SUM($DZ$4:$DZ$160)</f>
        <v>0</v>
      </c>
      <c r="EP9" s="221">
        <f>SUM($EA$4:$EA$160)</f>
        <v>0</v>
      </c>
      <c r="EQ9" s="221">
        <f>SUM($EB$4:$EB$160)</f>
        <v>0</v>
      </c>
      <c r="ER9" s="221">
        <f>SUM($EC$4:$EC$160)</f>
        <v>0</v>
      </c>
      <c r="ES9" s="221">
        <f>SUM($EJ$9:$EL$9)</f>
        <v>0</v>
      </c>
      <c r="ET9" s="221">
        <f>SUM($EO$9:$EP$9)</f>
        <v>0</v>
      </c>
      <c r="EU9" s="315">
        <f t="shared" ref="EU9:EU72" si="103">IF(EW9&lt;&gt;"",1,0)</f>
        <v>0</v>
      </c>
      <c r="EV9" s="315" t="str">
        <f t="shared" ref="EV9:EV72" si="104">IF(EW9&lt;&gt;"",ROW(EW9)-3,"")</f>
        <v/>
      </c>
      <c r="EW9" s="182"/>
      <c r="EX9" s="182"/>
      <c r="EY9" s="182"/>
      <c r="EZ9" s="221"/>
      <c r="FA9" s="221"/>
      <c r="FB9" s="221"/>
      <c r="FC9" s="221"/>
      <c r="FD9" s="221"/>
      <c r="FE9" s="221"/>
      <c r="FF9" s="221"/>
      <c r="FG9" s="221"/>
      <c r="FH9" s="221"/>
      <c r="FI9" s="182"/>
      <c r="FJ9" s="182"/>
      <c r="FK9" s="182"/>
      <c r="FL9" s="182"/>
      <c r="FM9" s="221" t="str">
        <f t="shared" ref="FM9:FM72" si="105">IF(SUM(EZ9:FB9)=0,"",SUM(EZ9:FB9))</f>
        <v/>
      </c>
      <c r="FN9" s="221" t="str">
        <f t="shared" ref="FN9:FN72" si="106">IF(AND(FE9="",FF9=""),"",SUM(FE9:FF9))</f>
        <v/>
      </c>
      <c r="FO9" s="221">
        <f>SUM($EZ$4:$EZ$160)</f>
        <v>0</v>
      </c>
      <c r="FP9" s="221">
        <f>SUM($FA$4:$FA$160)</f>
        <v>0</v>
      </c>
      <c r="FQ9" s="221">
        <f>SUM($FB$4:$FB$160)</f>
        <v>0</v>
      </c>
      <c r="FR9" s="221">
        <f>SUM($FC$4:$FC$160)</f>
        <v>0</v>
      </c>
      <c r="FS9" s="221">
        <f>SUM($FD$4:$FD$160)</f>
        <v>0</v>
      </c>
      <c r="FT9" s="221">
        <f>SUM($FE$4:$FE$160)</f>
        <v>0</v>
      </c>
      <c r="FU9" s="221">
        <f>SUM($FF$4:$FF$160)</f>
        <v>0</v>
      </c>
      <c r="FV9" s="221">
        <f>SUM($FG$4:$FG$160)</f>
        <v>0</v>
      </c>
      <c r="FW9" s="221">
        <f>SUM($FH$4:$FH$160)</f>
        <v>0</v>
      </c>
      <c r="FX9" s="221">
        <f>SUM($FO$9:$FQ$9)</f>
        <v>0</v>
      </c>
      <c r="FY9" s="221">
        <f>SUM($FT$9:$FU$9)</f>
        <v>0</v>
      </c>
      <c r="FZ9" s="692"/>
      <c r="GA9" s="315">
        <f t="shared" ref="GA9:GA72" si="107">IF(GC9&lt;&gt;"",1,0)</f>
        <v>0</v>
      </c>
      <c r="GB9" s="315" t="str">
        <f t="shared" ref="GB9:GB72" si="108">IF(GC9&lt;&gt;"",ROW(GC9)-3,"")</f>
        <v/>
      </c>
      <c r="GC9" s="302" t="s">
        <v>160</v>
      </c>
      <c r="GD9" s="302"/>
      <c r="GE9" s="302"/>
      <c r="GF9" s="302"/>
      <c r="GG9" s="460"/>
      <c r="GH9" s="460"/>
      <c r="GI9" s="302"/>
      <c r="GJ9" s="302"/>
      <c r="GK9" s="302"/>
      <c r="GL9" s="302"/>
      <c r="GM9" s="302"/>
      <c r="GN9" s="302"/>
      <c r="GO9" s="302"/>
      <c r="GP9" s="302"/>
      <c r="GQ9" s="302"/>
      <c r="GR9" s="302"/>
      <c r="GS9" s="302"/>
      <c r="GT9" s="302"/>
      <c r="GU9" s="468"/>
      <c r="GV9" s="569" t="str">
        <f t="shared" ref="GV9:GV72" si="109">IF(L9="","",IF(OR(SUM(GU9,FZ9,GW9)=L9,SUM(L9,FZ9,GW9)=GU9),"OK",IF(SUM(GU9,FZ9,GW9)&lt;&gt;L9,"STOP")))</f>
        <v/>
      </c>
      <c r="GW9" s="302">
        <f t="shared" ref="GW9:GW72" si="110">IF(CJ9="",0,CJ9)</f>
        <v>0</v>
      </c>
      <c r="GX9" s="302"/>
      <c r="GY9" s="302"/>
      <c r="GZ9" s="302"/>
      <c r="HA9" s="654"/>
      <c r="HB9" s="302"/>
      <c r="HC9" s="302"/>
      <c r="HD9" s="379"/>
      <c r="HE9" s="380"/>
      <c r="HF9" s="302"/>
      <c r="HG9" s="302"/>
      <c r="HH9" s="383"/>
      <c r="HI9" s="410"/>
      <c r="HJ9" s="302" t="str">
        <f t="shared" si="85"/>
        <v/>
      </c>
      <c r="HK9" s="302"/>
      <c r="HL9" s="302"/>
      <c r="HM9" s="302"/>
      <c r="HN9" s="302"/>
      <c r="HO9" s="302" t="str">
        <f t="shared" si="34"/>
        <v/>
      </c>
      <c r="HP9" s="302" t="str">
        <f t="shared" si="35"/>
        <v/>
      </c>
      <c r="HQ9" s="302" t="str">
        <f t="shared" si="36"/>
        <v/>
      </c>
      <c r="HR9" s="302"/>
      <c r="HS9" s="302"/>
      <c r="HT9" s="302"/>
      <c r="HU9" s="302"/>
      <c r="HV9" s="302"/>
      <c r="HW9" s="302"/>
      <c r="HX9" s="302"/>
      <c r="HY9" s="302"/>
      <c r="HZ9" s="302"/>
      <c r="IA9" s="302"/>
      <c r="IB9" s="302"/>
      <c r="IC9" s="302"/>
      <c r="ID9" s="302"/>
      <c r="IE9" s="302"/>
      <c r="IF9" s="302"/>
      <c r="IG9" s="302"/>
      <c r="IH9" s="302"/>
      <c r="II9" s="302"/>
      <c r="IJ9" s="302"/>
      <c r="IK9" s="302"/>
      <c r="IL9" s="302"/>
      <c r="IM9" s="302"/>
      <c r="IN9" s="302"/>
      <c r="IO9" s="302"/>
      <c r="IP9" s="302"/>
      <c r="IQ9" s="302"/>
      <c r="IR9" s="302"/>
      <c r="IS9" s="302"/>
      <c r="IT9" s="410"/>
      <c r="IU9" s="410"/>
      <c r="IV9" s="672"/>
    </row>
    <row r="10" spans="1:259 16384:16384" s="302" customFormat="1" ht="12.75" hidden="1" customHeight="1">
      <c r="A10" s="397" t="str">
        <f t="shared" si="1"/>
        <v/>
      </c>
      <c r="B10" s="462" t="str">
        <f t="shared" si="61"/>
        <v/>
      </c>
      <c r="C10" s="426"/>
      <c r="D10" s="575"/>
      <c r="E10" s="463"/>
      <c r="F10" s="464"/>
      <c r="G10" s="465"/>
      <c r="H10" s="465"/>
      <c r="I10" s="466"/>
      <c r="J10" s="463"/>
      <c r="K10" s="465"/>
      <c r="L10" s="465"/>
      <c r="M10" s="466"/>
      <c r="N10" s="573"/>
      <c r="O10" s="467"/>
      <c r="P10" s="518"/>
      <c r="Q10" s="381"/>
      <c r="R10" s="221">
        <f>SUM($E$4:$E$207)</f>
        <v>132008.59</v>
      </c>
      <c r="S10" s="221">
        <f>SUM($F$4:$F$207)</f>
        <v>611370</v>
      </c>
      <c r="T10" s="221">
        <f>SUM($G$4:$G$207)</f>
        <v>0</v>
      </c>
      <c r="U10" s="221">
        <f>SUM($H$4:$H$207)</f>
        <v>0</v>
      </c>
      <c r="V10" s="221">
        <f>SUM($I$4:$I$207)</f>
        <v>743378.59000000008</v>
      </c>
      <c r="W10" s="221">
        <f>SUM($J$4:$J$207)</f>
        <v>39293</v>
      </c>
      <c r="X10" s="221">
        <f>SUM($K$4:$K$207)</f>
        <v>2600</v>
      </c>
      <c r="Y10" s="221">
        <f>SUM($L$4:$L$207)</f>
        <v>0</v>
      </c>
      <c r="Z10" s="221">
        <f>SUM($M$4:$M$207)</f>
        <v>41893</v>
      </c>
      <c r="AA10" s="384"/>
      <c r="AB10" s="182" t="str">
        <f t="shared" si="86"/>
        <v/>
      </c>
      <c r="AC10" s="315">
        <f t="shared" si="87"/>
        <v>0</v>
      </c>
      <c r="AD10" s="315" t="str">
        <f t="shared" si="63"/>
        <v/>
      </c>
      <c r="AE10" s="182"/>
      <c r="AF10" s="182"/>
      <c r="AG10" s="182"/>
      <c r="AH10" s="221"/>
      <c r="AI10" s="221"/>
      <c r="AJ10" s="221"/>
      <c r="AK10" s="221"/>
      <c r="AL10" s="221"/>
      <c r="AM10" s="221"/>
      <c r="AN10" s="221"/>
      <c r="AO10" s="221"/>
      <c r="AP10" s="221"/>
      <c r="AQ10" s="182"/>
      <c r="AR10" s="182"/>
      <c r="AS10" s="182"/>
      <c r="AT10" s="182"/>
      <c r="AU10" s="221" t="str">
        <f t="shared" si="88"/>
        <v/>
      </c>
      <c r="AV10" s="221" t="str">
        <f t="shared" si="89"/>
        <v/>
      </c>
      <c r="AW10" s="221">
        <f>SUM($AH$4:$AH$158)</f>
        <v>0</v>
      </c>
      <c r="AX10" s="221">
        <f>SUM($AI$4:$AI$158)</f>
        <v>0</v>
      </c>
      <c r="AY10" s="221">
        <f>SUM($AJ$4:$AJ$158)</f>
        <v>0</v>
      </c>
      <c r="AZ10" s="221">
        <f>SUM($AK$4:$AK$158)</f>
        <v>0</v>
      </c>
      <c r="BA10" s="221">
        <f>SUM($AL$4:$AL$158)</f>
        <v>0</v>
      </c>
      <c r="BB10" s="221">
        <f>SUM($AM$4:$AM$158)</f>
        <v>0</v>
      </c>
      <c r="BC10" s="221">
        <f>SUM($AN$4:$AN$158)</f>
        <v>0</v>
      </c>
      <c r="BD10" s="221">
        <f>SUM($AO$4:$AO$158)</f>
        <v>0</v>
      </c>
      <c r="BE10" s="221">
        <f>SUM($AP$4:$AP$158)</f>
        <v>0</v>
      </c>
      <c r="BF10" s="469">
        <f t="shared" si="90"/>
        <v>0</v>
      </c>
      <c r="BG10" s="315">
        <f t="shared" si="91"/>
        <v>0</v>
      </c>
      <c r="BH10" s="315" t="str">
        <f t="shared" si="92"/>
        <v/>
      </c>
      <c r="BI10" s="182"/>
      <c r="BJ10" s="182"/>
      <c r="BK10" s="182"/>
      <c r="BL10" s="221"/>
      <c r="BM10" s="221"/>
      <c r="BN10" s="221"/>
      <c r="BO10" s="221"/>
      <c r="BP10" s="221"/>
      <c r="BQ10" s="221"/>
      <c r="BR10" s="221"/>
      <c r="BS10" s="221"/>
      <c r="BT10" s="221"/>
      <c r="BU10" s="182"/>
      <c r="BV10" s="182"/>
      <c r="BW10" s="182"/>
      <c r="BX10" s="182"/>
      <c r="BY10" s="221" t="str">
        <f t="shared" si="93"/>
        <v/>
      </c>
      <c r="BZ10" s="221" t="str">
        <f t="shared" si="94"/>
        <v/>
      </c>
      <c r="CA10" s="221">
        <f>SUM($BL$4:$BL$158)</f>
        <v>0</v>
      </c>
      <c r="CB10" s="221">
        <f>SUM($BM$4:$BM$158)</f>
        <v>0</v>
      </c>
      <c r="CC10" s="221">
        <f>SUM($BN$4:$BN$158)</f>
        <v>0</v>
      </c>
      <c r="CD10" s="221">
        <f>SUM($BO$4:$BO$158)</f>
        <v>0</v>
      </c>
      <c r="CE10" s="221">
        <f>SUM($BP$4:$BP$158)</f>
        <v>0</v>
      </c>
      <c r="CF10" s="221">
        <f>SUM($BQ$4:$BQ$158)</f>
        <v>0</v>
      </c>
      <c r="CG10" s="221">
        <f>SUM($BR$4:$BR$158)</f>
        <v>0</v>
      </c>
      <c r="CH10" s="221">
        <f>SUM($BS$4:$BS$158)</f>
        <v>0</v>
      </c>
      <c r="CI10" s="221">
        <f>SUM($BT$4:$BT$158)</f>
        <v>0</v>
      </c>
      <c r="CJ10" s="469">
        <f t="shared" si="95"/>
        <v>0</v>
      </c>
      <c r="CK10" s="315">
        <f t="shared" si="96"/>
        <v>0</v>
      </c>
      <c r="CL10" s="315" t="str">
        <f t="shared" si="97"/>
        <v/>
      </c>
      <c r="CM10" s="182"/>
      <c r="CN10" s="182"/>
      <c r="CO10" s="182"/>
      <c r="CP10" s="221"/>
      <c r="CQ10" s="221"/>
      <c r="CR10" s="221"/>
      <c r="CS10" s="221"/>
      <c r="CT10" s="221"/>
      <c r="CU10" s="221"/>
      <c r="CV10" s="221"/>
      <c r="CW10" s="221"/>
      <c r="CX10" s="221"/>
      <c r="CY10" s="221"/>
      <c r="CZ10" s="182"/>
      <c r="DA10" s="182"/>
      <c r="DB10" s="182"/>
      <c r="DC10" s="182"/>
      <c r="DD10" s="221" t="str">
        <f t="shared" si="72"/>
        <v/>
      </c>
      <c r="DE10" s="221" t="str">
        <f t="shared" si="73"/>
        <v/>
      </c>
      <c r="DF10" s="221">
        <f>SUM($CP$4:$CP$158)</f>
        <v>0</v>
      </c>
      <c r="DG10" s="221">
        <f>SUM($CQ$4:$CQ$158)</f>
        <v>0</v>
      </c>
      <c r="DH10" s="221">
        <f>SUM($CR$4:$CR$158)</f>
        <v>0</v>
      </c>
      <c r="DI10" s="221">
        <f>SUM($CS$4:$CS$158)</f>
        <v>0</v>
      </c>
      <c r="DJ10" s="221">
        <f>SUM($CT$4:$CT$158)</f>
        <v>0</v>
      </c>
      <c r="DK10" s="221">
        <f>SUM($CU$4:$CU$158)</f>
        <v>0</v>
      </c>
      <c r="DL10" s="221">
        <f>SUM($CV$4:$CV$158)</f>
        <v>0</v>
      </c>
      <c r="DM10" s="221">
        <f>SUM($CW$4:$CW$158)</f>
        <v>0</v>
      </c>
      <c r="DN10" s="221">
        <f>SUM($CX$4:$CX$158)</f>
        <v>0</v>
      </c>
      <c r="DO10" s="469" t="str">
        <f t="shared" si="98"/>
        <v/>
      </c>
      <c r="DP10" s="315">
        <f t="shared" si="99"/>
        <v>0</v>
      </c>
      <c r="DQ10" s="315" t="str">
        <f t="shared" si="100"/>
        <v/>
      </c>
      <c r="DR10" s="182"/>
      <c r="DS10" s="182"/>
      <c r="DT10" s="182"/>
      <c r="DU10" s="221"/>
      <c r="DV10" s="221"/>
      <c r="DW10" s="221"/>
      <c r="DX10" s="221"/>
      <c r="DY10" s="221"/>
      <c r="DZ10" s="221"/>
      <c r="EA10" s="221"/>
      <c r="EB10" s="221"/>
      <c r="EC10" s="221"/>
      <c r="ED10" s="182"/>
      <c r="EE10" s="182"/>
      <c r="EF10" s="182"/>
      <c r="EG10" s="182"/>
      <c r="EH10" s="221" t="str">
        <f t="shared" si="101"/>
        <v/>
      </c>
      <c r="EI10" s="221" t="str">
        <f t="shared" si="102"/>
        <v/>
      </c>
      <c r="EJ10" s="221">
        <f>SUM($DU$4:$DU$186)</f>
        <v>0</v>
      </c>
      <c r="EK10" s="221">
        <f>SUM($DV$4:$DV$186)</f>
        <v>0</v>
      </c>
      <c r="EL10" s="221">
        <f>SUM($DW$4:$DW$186)</f>
        <v>0</v>
      </c>
      <c r="EM10" s="221">
        <f>SUM($DX$4:$DX$186)</f>
        <v>0</v>
      </c>
      <c r="EN10" s="221">
        <f>SUM($DY$4:$DY$186)</f>
        <v>0</v>
      </c>
      <c r="EO10" s="221">
        <f>SUM($DZ$4:$DZ$186)</f>
        <v>0</v>
      </c>
      <c r="EP10" s="221">
        <f>SUM($EA$4:$EA$186)</f>
        <v>0</v>
      </c>
      <c r="EQ10" s="221">
        <f>SUM($EB$4:$EB$186)</f>
        <v>0</v>
      </c>
      <c r="ER10" s="221">
        <f>SUM($EC$4:$EC$186)</f>
        <v>0</v>
      </c>
      <c r="ES10" s="221">
        <f>SUM($EJ$10:$EL$10)</f>
        <v>0</v>
      </c>
      <c r="ET10" s="221">
        <f>SUM($EO$10:$EP$10)</f>
        <v>0</v>
      </c>
      <c r="EU10" s="315">
        <f t="shared" si="103"/>
        <v>0</v>
      </c>
      <c r="EV10" s="315" t="str">
        <f t="shared" si="104"/>
        <v/>
      </c>
      <c r="EW10" s="182"/>
      <c r="EX10" s="182"/>
      <c r="EY10" s="182"/>
      <c r="EZ10" s="221"/>
      <c r="FA10" s="221"/>
      <c r="FB10" s="221"/>
      <c r="FC10" s="221"/>
      <c r="FD10" s="221"/>
      <c r="FE10" s="221"/>
      <c r="FF10" s="221"/>
      <c r="FG10" s="221"/>
      <c r="FH10" s="221"/>
      <c r="FI10" s="182"/>
      <c r="FJ10" s="182"/>
      <c r="FK10" s="182"/>
      <c r="FL10" s="182"/>
      <c r="FM10" s="221" t="str">
        <f t="shared" si="105"/>
        <v/>
      </c>
      <c r="FN10" s="221" t="str">
        <f t="shared" si="106"/>
        <v/>
      </c>
      <c r="FO10" s="221">
        <f>SUM($EZ$4:$EZ$186)</f>
        <v>0</v>
      </c>
      <c r="FP10" s="221">
        <f>SUM($FA$4:$FA$186)</f>
        <v>0</v>
      </c>
      <c r="FQ10" s="221">
        <f>SUM($FB$4:$FB$186)</f>
        <v>0</v>
      </c>
      <c r="FR10" s="221">
        <f>SUM($FC$4:$FC$186)</f>
        <v>0</v>
      </c>
      <c r="FS10" s="221">
        <f>SUM($FD$4:$FD$186)</f>
        <v>0</v>
      </c>
      <c r="FT10" s="221">
        <f>SUM($FE$4:$FE$186)</f>
        <v>0</v>
      </c>
      <c r="FU10" s="221">
        <f>SUM($FF$4:$FF$186)</f>
        <v>0</v>
      </c>
      <c r="FV10" s="221">
        <f>SUM($FG$4:$FG$186)</f>
        <v>0</v>
      </c>
      <c r="FW10" s="221">
        <f>SUM($FH$4:$FH$186)</f>
        <v>0</v>
      </c>
      <c r="FX10" s="221">
        <f>SUM($FO$10:$FQ$10)</f>
        <v>0</v>
      </c>
      <c r="FY10" s="221">
        <f>SUM($FT$10:$FU$10)</f>
        <v>0</v>
      </c>
      <c r="FZ10" s="408"/>
      <c r="GA10" s="315">
        <f t="shared" si="107"/>
        <v>0</v>
      </c>
      <c r="GB10" s="315" t="str">
        <f t="shared" si="108"/>
        <v/>
      </c>
      <c r="GC10" s="182" t="s">
        <v>160</v>
      </c>
      <c r="GD10" s="182"/>
      <c r="GE10" s="182"/>
      <c r="GG10" s="460"/>
      <c r="GH10" s="460"/>
      <c r="GU10" s="469"/>
      <c r="GV10" s="470" t="str">
        <f t="shared" si="109"/>
        <v/>
      </c>
      <c r="GW10" s="302">
        <f t="shared" si="110"/>
        <v>0</v>
      </c>
      <c r="HA10" s="654"/>
      <c r="HD10" s="379"/>
      <c r="HE10" s="380"/>
      <c r="HH10" s="385"/>
      <c r="HI10" s="411"/>
      <c r="HJ10" s="302" t="str">
        <f t="shared" si="85"/>
        <v/>
      </c>
      <c r="HO10" s="302" t="str">
        <f t="shared" si="34"/>
        <v/>
      </c>
      <c r="HP10" s="302" t="str">
        <f t="shared" si="35"/>
        <v/>
      </c>
      <c r="HQ10" s="302" t="str">
        <f t="shared" si="36"/>
        <v/>
      </c>
      <c r="IT10" s="411"/>
      <c r="IU10" s="411"/>
      <c r="IV10" s="462"/>
    </row>
    <row r="11" spans="1:259 16384:16384" s="302" customFormat="1" ht="12.75" hidden="1" customHeight="1">
      <c r="A11" s="397" t="str">
        <f t="shared" si="1"/>
        <v/>
      </c>
      <c r="B11" s="462" t="str">
        <f t="shared" si="61"/>
        <v/>
      </c>
      <c r="C11" s="426"/>
      <c r="D11" s="575"/>
      <c r="E11" s="463"/>
      <c r="F11" s="464"/>
      <c r="G11" s="465"/>
      <c r="H11" s="465"/>
      <c r="I11" s="466"/>
      <c r="J11" s="463"/>
      <c r="K11" s="465"/>
      <c r="L11" s="465"/>
      <c r="M11" s="466"/>
      <c r="N11" s="573"/>
      <c r="O11" s="467"/>
      <c r="P11" s="518"/>
      <c r="Q11" s="381"/>
      <c r="R11" s="221"/>
      <c r="S11" s="182" t="s">
        <v>167</v>
      </c>
      <c r="T11" s="182" t="s">
        <v>168</v>
      </c>
      <c r="U11" s="182"/>
      <c r="V11" s="182"/>
      <c r="W11" s="182"/>
      <c r="X11" s="182"/>
      <c r="Y11" s="182"/>
      <c r="Z11" s="182"/>
      <c r="AA11" s="382"/>
      <c r="AB11" s="182" t="str">
        <f t="shared" si="86"/>
        <v/>
      </c>
      <c r="AC11" s="315">
        <f t="shared" si="87"/>
        <v>0</v>
      </c>
      <c r="AD11" s="315" t="str">
        <f t="shared" si="63"/>
        <v/>
      </c>
      <c r="AE11" s="182"/>
      <c r="AF11" s="182"/>
      <c r="AG11" s="182"/>
      <c r="AH11" s="221"/>
      <c r="AI11" s="221"/>
      <c r="AJ11" s="221"/>
      <c r="AK11" s="221"/>
      <c r="AL11" s="221"/>
      <c r="AM11" s="221"/>
      <c r="AN11" s="221"/>
      <c r="AO11" s="221"/>
      <c r="AP11" s="221"/>
      <c r="AQ11" s="182"/>
      <c r="AR11" s="182"/>
      <c r="AS11" s="182"/>
      <c r="AT11" s="182"/>
      <c r="AU11" s="221" t="str">
        <f t="shared" si="88"/>
        <v/>
      </c>
      <c r="AV11" s="221" t="str">
        <f t="shared" si="89"/>
        <v/>
      </c>
      <c r="AW11" s="221">
        <f>SUM($AH$4:$AH$180)</f>
        <v>0</v>
      </c>
      <c r="AX11" s="221">
        <f>SUM($AI$4:$AI$180)</f>
        <v>0</v>
      </c>
      <c r="AY11" s="221">
        <f>SUM($AJ$4:$AJ$180)</f>
        <v>0</v>
      </c>
      <c r="AZ11" s="221">
        <f>SUM($AK$4:$AK$180)</f>
        <v>0</v>
      </c>
      <c r="BA11" s="221">
        <f>SUM($AL$4:$AL$180)</f>
        <v>0</v>
      </c>
      <c r="BB11" s="221">
        <f>SUM($AM$4:$AM$180)</f>
        <v>0</v>
      </c>
      <c r="BC11" s="221">
        <f>SUM($AN$4:$AN$180)</f>
        <v>0</v>
      </c>
      <c r="BD11" s="221">
        <f>SUM($AO$4:$AO$180)</f>
        <v>0</v>
      </c>
      <c r="BE11" s="221">
        <f>SUM($AP$4:$AP$180)</f>
        <v>0</v>
      </c>
      <c r="BF11" s="468">
        <f t="shared" si="90"/>
        <v>0</v>
      </c>
      <c r="BG11" s="315">
        <f t="shared" si="91"/>
        <v>0</v>
      </c>
      <c r="BH11" s="315" t="str">
        <f t="shared" si="92"/>
        <v/>
      </c>
      <c r="BL11" s="380"/>
      <c r="BM11" s="380"/>
      <c r="BN11" s="380"/>
      <c r="BO11" s="380"/>
      <c r="BP11" s="380"/>
      <c r="BQ11" s="380"/>
      <c r="BR11" s="380"/>
      <c r="BS11" s="380"/>
      <c r="BT11" s="380"/>
      <c r="BY11" s="221" t="str">
        <f t="shared" si="93"/>
        <v/>
      </c>
      <c r="BZ11" s="221" t="str">
        <f t="shared" si="94"/>
        <v/>
      </c>
      <c r="CA11" s="221">
        <f>SUM($BL$4:$BL$180)</f>
        <v>0</v>
      </c>
      <c r="CB11" s="221">
        <f>SUM($BM$4:$BM$180)</f>
        <v>0</v>
      </c>
      <c r="CC11" s="221">
        <f>SUM($BN$4:$BN$180)</f>
        <v>0</v>
      </c>
      <c r="CD11" s="221">
        <f>SUM($BO$4:$BO$180)</f>
        <v>0</v>
      </c>
      <c r="CE11" s="221">
        <f>SUM($BP$4:$BP$180)</f>
        <v>0</v>
      </c>
      <c r="CF11" s="221">
        <f>SUM($BQ$4:$BQ$180)</f>
        <v>0</v>
      </c>
      <c r="CG11" s="221">
        <f>SUM($BR$4:$BR$180)</f>
        <v>0</v>
      </c>
      <c r="CH11" s="221">
        <f>SUM($BS$4:$BS$180)</f>
        <v>0</v>
      </c>
      <c r="CI11" s="221">
        <f>SUM($BT$4:$BT$180)</f>
        <v>0</v>
      </c>
      <c r="CJ11" s="468">
        <f t="shared" si="95"/>
        <v>0</v>
      </c>
      <c r="CK11" s="315">
        <f t="shared" si="96"/>
        <v>0</v>
      </c>
      <c r="CL11" s="315" t="str">
        <f t="shared" si="97"/>
        <v/>
      </c>
      <c r="CM11" s="182"/>
      <c r="CN11" s="182"/>
      <c r="CO11" s="182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182"/>
      <c r="DA11" s="182"/>
      <c r="DB11" s="182"/>
      <c r="DC11" s="182"/>
      <c r="DD11" s="221" t="str">
        <f t="shared" si="72"/>
        <v/>
      </c>
      <c r="DE11" s="221" t="str">
        <f t="shared" si="73"/>
        <v/>
      </c>
      <c r="DF11" s="221">
        <f>SUM($CP$4:$CP$180)</f>
        <v>0</v>
      </c>
      <c r="DG11" s="221">
        <f>SUM($CQ$4:$CQ$180)</f>
        <v>0</v>
      </c>
      <c r="DH11" s="221">
        <f>SUM($CR$4:$CR$180)</f>
        <v>0</v>
      </c>
      <c r="DI11" s="221">
        <f>SUM($CS$4:$CS$180)</f>
        <v>0</v>
      </c>
      <c r="DJ11" s="221">
        <f>SUM($CT$4:$CT$180)</f>
        <v>0</v>
      </c>
      <c r="DK11" s="221">
        <f>SUM($CU$4:$CU$180)</f>
        <v>0</v>
      </c>
      <c r="DL11" s="221">
        <f>SUM($CV$4:$CV$180)</f>
        <v>0</v>
      </c>
      <c r="DM11" s="221">
        <f>SUM($CW$4:$CW$180)</f>
        <v>0</v>
      </c>
      <c r="DN11" s="221">
        <f>SUM($CX$4:$CX$180)</f>
        <v>0</v>
      </c>
      <c r="DO11" s="469" t="str">
        <f t="shared" si="98"/>
        <v/>
      </c>
      <c r="DP11" s="315">
        <f t="shared" si="99"/>
        <v>0</v>
      </c>
      <c r="DQ11" s="315" t="str">
        <f t="shared" si="100"/>
        <v/>
      </c>
      <c r="DR11" s="182"/>
      <c r="DS11" s="182"/>
      <c r="DT11" s="182"/>
      <c r="DU11" s="221"/>
      <c r="DV11" s="221"/>
      <c r="DW11" s="221"/>
      <c r="DX11" s="221"/>
      <c r="DY11" s="221"/>
      <c r="DZ11" s="221"/>
      <c r="EA11" s="221"/>
      <c r="EB11" s="221"/>
      <c r="EC11" s="221"/>
      <c r="ED11" s="182"/>
      <c r="EE11" s="182"/>
      <c r="EF11" s="182"/>
      <c r="EG11" s="182"/>
      <c r="EH11" s="221" t="str">
        <f t="shared" si="101"/>
        <v/>
      </c>
      <c r="EI11" s="221" t="str">
        <f t="shared" si="102"/>
        <v/>
      </c>
      <c r="EJ11" s="221">
        <f>SUM($DU$4:$DU$207)</f>
        <v>0</v>
      </c>
      <c r="EK11" s="221">
        <f>SUM($DV$4:$DV$207)</f>
        <v>0</v>
      </c>
      <c r="EL11" s="221">
        <f>SUM($DW$4:$DW$207)</f>
        <v>0</v>
      </c>
      <c r="EM11" s="221">
        <f>SUM($DX$4:$DX$207)</f>
        <v>0</v>
      </c>
      <c r="EN11" s="221">
        <f>SUM($DY$4:$DY$207)</f>
        <v>0</v>
      </c>
      <c r="EO11" s="221">
        <f>SUM($DZ$4:$DZ$207)</f>
        <v>0</v>
      </c>
      <c r="EP11" s="221">
        <f>SUM($EA$4:$EA$207)</f>
        <v>0</v>
      </c>
      <c r="EQ11" s="221">
        <f>SUM($EB$4:$EB$207)</f>
        <v>0</v>
      </c>
      <c r="ER11" s="221">
        <f>SUM($EC$4:$EC$207)</f>
        <v>0</v>
      </c>
      <c r="ES11" s="221">
        <f>SUM($EJ$10:$EL$10)</f>
        <v>0</v>
      </c>
      <c r="ET11" s="221">
        <f>SUM($EO$10:$EP$10)</f>
        <v>0</v>
      </c>
      <c r="EU11" s="315">
        <f t="shared" si="103"/>
        <v>0</v>
      </c>
      <c r="EV11" s="315" t="str">
        <f t="shared" si="104"/>
        <v/>
      </c>
      <c r="EW11" s="182"/>
      <c r="EX11" s="182"/>
      <c r="EY11" s="182"/>
      <c r="EZ11" s="221"/>
      <c r="FA11" s="221"/>
      <c r="FB11" s="221"/>
      <c r="FC11" s="221"/>
      <c r="FD11" s="221"/>
      <c r="FE11" s="221"/>
      <c r="FF11" s="221"/>
      <c r="FG11" s="221"/>
      <c r="FH11" s="221"/>
      <c r="FI11" s="182"/>
      <c r="FJ11" s="182"/>
      <c r="FK11" s="182"/>
      <c r="FL11" s="182"/>
      <c r="FM11" s="221" t="str">
        <f t="shared" si="105"/>
        <v/>
      </c>
      <c r="FN11" s="221" t="str">
        <f t="shared" si="106"/>
        <v/>
      </c>
      <c r="FO11" s="221">
        <f>SUM($EZ$4:$EZ$207)</f>
        <v>0</v>
      </c>
      <c r="FP11" s="221">
        <f>SUM($FA$4:$FA$207)</f>
        <v>0</v>
      </c>
      <c r="FQ11" s="221">
        <f>SUM($FB$4:$FB$207)</f>
        <v>0</v>
      </c>
      <c r="FR11" s="221">
        <f>SUM($FC$4:$FC$207)</f>
        <v>0</v>
      </c>
      <c r="FS11" s="221">
        <f>SUM($FD$4:$FD$207)</f>
        <v>0</v>
      </c>
      <c r="FT11" s="221">
        <f>SUM($FE$4:$FE$207)</f>
        <v>0</v>
      </c>
      <c r="FU11" s="221">
        <f>SUM($FF$4:$FF$207)</f>
        <v>0</v>
      </c>
      <c r="FV11" s="221">
        <f>SUM($FG$4:$FG$207)</f>
        <v>0</v>
      </c>
      <c r="FW11" s="221">
        <f>SUM($FH$4:$FH$207)</f>
        <v>0</v>
      </c>
      <c r="FX11" s="221">
        <f>SUM($FO$11:$FQ$11)</f>
        <v>0</v>
      </c>
      <c r="FY11" s="221">
        <f>SUM($FT$11:$FU$11)</f>
        <v>0</v>
      </c>
      <c r="FZ11" s="408"/>
      <c r="GA11" s="315">
        <f t="shared" si="107"/>
        <v>0</v>
      </c>
      <c r="GB11" s="315" t="str">
        <f t="shared" si="108"/>
        <v/>
      </c>
      <c r="GC11" s="182" t="s">
        <v>160</v>
      </c>
      <c r="GD11" s="182"/>
      <c r="GE11" s="182"/>
      <c r="GG11" s="460"/>
      <c r="GH11" s="460"/>
      <c r="GU11" s="469"/>
      <c r="GV11" s="470" t="str">
        <f t="shared" si="109"/>
        <v/>
      </c>
      <c r="GW11" s="302">
        <f t="shared" si="110"/>
        <v>0</v>
      </c>
      <c r="HA11" s="654"/>
      <c r="HD11" s="379"/>
      <c r="HE11" s="380"/>
      <c r="HH11" s="383"/>
      <c r="HI11" s="410"/>
      <c r="HJ11" s="302" t="str">
        <f t="shared" si="85"/>
        <v/>
      </c>
      <c r="HO11" s="302" t="str">
        <f t="shared" si="34"/>
        <v/>
      </c>
      <c r="HP11" s="302" t="str">
        <f t="shared" si="35"/>
        <v/>
      </c>
      <c r="HQ11" s="302" t="str">
        <f t="shared" si="36"/>
        <v/>
      </c>
      <c r="IT11" s="410"/>
      <c r="IU11" s="410"/>
      <c r="IV11" s="462"/>
    </row>
    <row r="12" spans="1:259 16384:16384" s="302" customFormat="1" ht="12.75" hidden="1" customHeight="1">
      <c r="A12" s="397" t="str">
        <f t="shared" si="1"/>
        <v/>
      </c>
      <c r="B12" s="462" t="str">
        <f t="shared" si="61"/>
        <v/>
      </c>
      <c r="C12" s="426"/>
      <c r="D12" s="575"/>
      <c r="E12" s="463"/>
      <c r="F12" s="464"/>
      <c r="G12" s="465"/>
      <c r="H12" s="465"/>
      <c r="I12" s="466"/>
      <c r="J12" s="463"/>
      <c r="K12" s="465"/>
      <c r="L12" s="465"/>
      <c r="M12" s="466"/>
      <c r="N12" s="573"/>
      <c r="O12" s="467"/>
      <c r="P12" s="518"/>
      <c r="Q12" s="381"/>
      <c r="R12" s="221"/>
      <c r="S12" s="182">
        <f>MAX($B$4:$B$207)</f>
        <v>5</v>
      </c>
      <c r="T12" s="182">
        <f>IF(S12&lt;=30,1,IF(AND(S12&gt;31,S12&lt;=59),2,IF(AND(S12&gt;=60,S12&lt;=88),3,IF(AND(S12&gt;=89,S12&lt;=117),4,IF(AND(S12&gt;=118,S12&lt;=146),5,IF(AND(S12&gt;=147,S12&lt;=175),6,IF(AND(S12&gt;=176,S12&lt;=204),7,0)))))))</f>
        <v>1</v>
      </c>
      <c r="U12" s="182"/>
      <c r="V12" s="182"/>
      <c r="W12" s="182"/>
      <c r="X12" s="182"/>
      <c r="Y12" s="182"/>
      <c r="Z12" s="182"/>
      <c r="AA12" s="384"/>
      <c r="AB12" s="182" t="str">
        <f t="shared" si="86"/>
        <v/>
      </c>
      <c r="AC12" s="315">
        <f t="shared" si="87"/>
        <v>0</v>
      </c>
      <c r="AD12" s="315" t="str">
        <f t="shared" si="63"/>
        <v/>
      </c>
      <c r="AE12" s="182"/>
      <c r="AF12" s="182"/>
      <c r="AG12" s="182"/>
      <c r="AH12" s="221"/>
      <c r="AI12" s="221"/>
      <c r="AJ12" s="221"/>
      <c r="AK12" s="221"/>
      <c r="AL12" s="221"/>
      <c r="AM12" s="221"/>
      <c r="AN12" s="221"/>
      <c r="AO12" s="221"/>
      <c r="AP12" s="221"/>
      <c r="AQ12" s="182"/>
      <c r="AR12" s="182"/>
      <c r="AS12" s="182"/>
      <c r="AT12" s="182"/>
      <c r="AU12" s="221" t="str">
        <f t="shared" si="88"/>
        <v/>
      </c>
      <c r="AV12" s="221" t="str">
        <f t="shared" si="89"/>
        <v/>
      </c>
      <c r="AW12" s="221">
        <f>SUM($AH$4:$AH$202)</f>
        <v>0</v>
      </c>
      <c r="AX12" s="221">
        <f>SUM($AI$4:$AI$202)</f>
        <v>0</v>
      </c>
      <c r="AY12" s="221">
        <f>SUM($AJ$4:$AJ$202)</f>
        <v>0</v>
      </c>
      <c r="AZ12" s="221">
        <f>SUM($AK$4:$AK$202)</f>
        <v>0</v>
      </c>
      <c r="BA12" s="221">
        <f>SUM($AL$4:$AL$202)</f>
        <v>0</v>
      </c>
      <c r="BB12" s="221">
        <f>SUM($AM$4:$AM$202)</f>
        <v>0</v>
      </c>
      <c r="BC12" s="221">
        <f>SUM($AN$4:$AN$202)</f>
        <v>0</v>
      </c>
      <c r="BD12" s="221">
        <f>SUM($AO$4:$AO$202)</f>
        <v>0</v>
      </c>
      <c r="BE12" s="221">
        <f>SUM($AP$4:$AP$202)</f>
        <v>0</v>
      </c>
      <c r="BF12" s="469">
        <f t="shared" si="90"/>
        <v>0</v>
      </c>
      <c r="BG12" s="315">
        <f t="shared" si="91"/>
        <v>0</v>
      </c>
      <c r="BH12" s="315" t="str">
        <f t="shared" si="92"/>
        <v/>
      </c>
      <c r="BI12" s="182"/>
      <c r="BJ12" s="182"/>
      <c r="BK12" s="182"/>
      <c r="BL12" s="221"/>
      <c r="BM12" s="221"/>
      <c r="BN12" s="221"/>
      <c r="BO12" s="221"/>
      <c r="BP12" s="221"/>
      <c r="BQ12" s="221"/>
      <c r="BR12" s="221"/>
      <c r="BS12" s="221"/>
      <c r="BT12" s="221"/>
      <c r="BU12" s="182"/>
      <c r="BV12" s="182"/>
      <c r="BW12" s="182"/>
      <c r="BX12" s="182"/>
      <c r="BY12" s="221" t="str">
        <f t="shared" si="93"/>
        <v/>
      </c>
      <c r="BZ12" s="221" t="str">
        <f t="shared" si="94"/>
        <v/>
      </c>
      <c r="CA12" s="221">
        <f>SUM($BL$4:$BL$202)</f>
        <v>0</v>
      </c>
      <c r="CB12" s="221">
        <f>SUM($BM$4:$BM$202)</f>
        <v>0</v>
      </c>
      <c r="CC12" s="221">
        <f>SUM($BN$4:$BN$202)</f>
        <v>0</v>
      </c>
      <c r="CD12" s="221">
        <f>SUM($BO$4:$BO$202)</f>
        <v>0</v>
      </c>
      <c r="CE12" s="221">
        <f>SUM($BP$4:$BP$202)</f>
        <v>0</v>
      </c>
      <c r="CF12" s="221">
        <f>SUM($BQ$4:$BQ$202)</f>
        <v>0</v>
      </c>
      <c r="CG12" s="221">
        <f>SUM($BR$4:$BR$202)</f>
        <v>0</v>
      </c>
      <c r="CH12" s="221">
        <f>SUM($BS$4:$BS$202)</f>
        <v>0</v>
      </c>
      <c r="CI12" s="221">
        <f>SUM($BT$4:$BT$202)</f>
        <v>0</v>
      </c>
      <c r="CJ12" s="469">
        <f t="shared" si="95"/>
        <v>0</v>
      </c>
      <c r="CK12" s="315">
        <f t="shared" si="96"/>
        <v>0</v>
      </c>
      <c r="CL12" s="315" t="str">
        <f t="shared" si="97"/>
        <v/>
      </c>
      <c r="CM12" s="182"/>
      <c r="CN12" s="182"/>
      <c r="CO12" s="182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182"/>
      <c r="DA12" s="182"/>
      <c r="DB12" s="182"/>
      <c r="DC12" s="182"/>
      <c r="DD12" s="221" t="str">
        <f t="shared" si="72"/>
        <v/>
      </c>
      <c r="DE12" s="221" t="str">
        <f t="shared" si="73"/>
        <v/>
      </c>
      <c r="DF12" s="221">
        <f>SUM($CP$5:$CP$202)</f>
        <v>0</v>
      </c>
      <c r="DG12" s="221">
        <f>SUM($CQ$5:$CQ$202)</f>
        <v>0</v>
      </c>
      <c r="DH12" s="221">
        <f>SUM($CR$5:$CR$202)</f>
        <v>0</v>
      </c>
      <c r="DI12" s="221">
        <f>SUM($CS$5:$CS$202)</f>
        <v>0</v>
      </c>
      <c r="DJ12" s="221">
        <f>SUM($CT$5:$CT$202)</f>
        <v>0</v>
      </c>
      <c r="DK12" s="221">
        <f>SUM($CU$5:$CU$202)</f>
        <v>0</v>
      </c>
      <c r="DL12" s="221">
        <f>SUM($CV$5:$CV$202)</f>
        <v>0</v>
      </c>
      <c r="DM12" s="221">
        <f>SUM($CW$5:$CW$202)</f>
        <v>0</v>
      </c>
      <c r="DN12" s="221">
        <f>SUM($CX$5:$CX$202)</f>
        <v>0</v>
      </c>
      <c r="DO12" s="469" t="str">
        <f t="shared" si="98"/>
        <v/>
      </c>
      <c r="DP12" s="315">
        <f t="shared" si="99"/>
        <v>0</v>
      </c>
      <c r="DQ12" s="315" t="str">
        <f t="shared" si="100"/>
        <v/>
      </c>
      <c r="DR12" s="182"/>
      <c r="DS12" s="182"/>
      <c r="DT12" s="182"/>
      <c r="DU12" s="221"/>
      <c r="DV12" s="221"/>
      <c r="DW12" s="221"/>
      <c r="DX12" s="221"/>
      <c r="DY12" s="221"/>
      <c r="DZ12" s="221"/>
      <c r="EA12" s="221"/>
      <c r="EB12" s="221"/>
      <c r="EC12" s="221"/>
      <c r="ED12" s="182"/>
      <c r="EE12" s="182"/>
      <c r="EF12" s="182"/>
      <c r="EG12" s="182"/>
      <c r="EH12" s="221" t="str">
        <f t="shared" si="101"/>
        <v/>
      </c>
      <c r="EI12" s="221" t="str">
        <f t="shared" si="102"/>
        <v/>
      </c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315">
        <f t="shared" si="103"/>
        <v>0</v>
      </c>
      <c r="EV12" s="315" t="str">
        <f t="shared" si="104"/>
        <v/>
      </c>
      <c r="EW12" s="182"/>
      <c r="EX12" s="182"/>
      <c r="EY12" s="182"/>
      <c r="EZ12" s="221"/>
      <c r="FA12" s="221"/>
      <c r="FB12" s="221"/>
      <c r="FC12" s="221"/>
      <c r="FD12" s="221"/>
      <c r="FE12" s="221"/>
      <c r="FF12" s="221"/>
      <c r="FG12" s="221"/>
      <c r="FH12" s="221"/>
      <c r="FI12" s="182"/>
      <c r="FJ12" s="182"/>
      <c r="FK12" s="182"/>
      <c r="FL12" s="182"/>
      <c r="FM12" s="221" t="str">
        <f t="shared" si="105"/>
        <v/>
      </c>
      <c r="FN12" s="221" t="str">
        <f t="shared" si="106"/>
        <v/>
      </c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408"/>
      <c r="GA12" s="315">
        <f t="shared" si="107"/>
        <v>0</v>
      </c>
      <c r="GB12" s="315" t="str">
        <f t="shared" si="108"/>
        <v/>
      </c>
      <c r="GC12" s="302" t="s">
        <v>160</v>
      </c>
      <c r="GG12" s="460"/>
      <c r="GH12" s="460"/>
      <c r="GU12" s="469"/>
      <c r="GV12" s="470" t="str">
        <f t="shared" si="109"/>
        <v/>
      </c>
      <c r="GW12" s="302">
        <f t="shared" si="110"/>
        <v>0</v>
      </c>
      <c r="HA12" s="654"/>
      <c r="HD12" s="379"/>
      <c r="HE12" s="380"/>
      <c r="HH12" s="385"/>
      <c r="HI12" s="411"/>
      <c r="HJ12" s="302" t="str">
        <f t="shared" si="85"/>
        <v/>
      </c>
      <c r="HO12" s="302" t="str">
        <f t="shared" si="34"/>
        <v/>
      </c>
      <c r="HP12" s="302" t="str">
        <f t="shared" si="35"/>
        <v/>
      </c>
      <c r="HQ12" s="302" t="str">
        <f t="shared" si="36"/>
        <v/>
      </c>
      <c r="IT12" s="411"/>
      <c r="IU12" s="411"/>
      <c r="IV12" s="462"/>
    </row>
    <row r="13" spans="1:259 16384:16384" s="302" customFormat="1" ht="12.75" hidden="1" customHeight="1">
      <c r="A13" s="397" t="str">
        <f t="shared" si="1"/>
        <v/>
      </c>
      <c r="B13" s="462" t="str">
        <f t="shared" si="61"/>
        <v/>
      </c>
      <c r="C13" s="426"/>
      <c r="D13" s="575"/>
      <c r="E13" s="463"/>
      <c r="F13" s="464"/>
      <c r="G13" s="465"/>
      <c r="H13" s="465"/>
      <c r="I13" s="466"/>
      <c r="J13" s="463"/>
      <c r="K13" s="465"/>
      <c r="L13" s="465"/>
      <c r="M13" s="466"/>
      <c r="N13" s="573"/>
      <c r="O13" s="467"/>
      <c r="P13" s="518"/>
      <c r="Q13" s="381"/>
      <c r="R13" s="221"/>
      <c r="U13" s="182"/>
      <c r="V13" s="182"/>
      <c r="W13" s="182"/>
      <c r="X13" s="182"/>
      <c r="Y13" s="182"/>
      <c r="Z13" s="182"/>
      <c r="AA13" s="382"/>
      <c r="AB13" s="182" t="str">
        <f t="shared" si="86"/>
        <v/>
      </c>
      <c r="AC13" s="315">
        <f t="shared" si="87"/>
        <v>0</v>
      </c>
      <c r="AD13" s="315" t="str">
        <f t="shared" si="63"/>
        <v/>
      </c>
      <c r="AH13" s="380"/>
      <c r="AI13" s="380"/>
      <c r="AJ13" s="380"/>
      <c r="AK13" s="380"/>
      <c r="AL13" s="380"/>
      <c r="AM13" s="380"/>
      <c r="AN13" s="380"/>
      <c r="AO13" s="380"/>
      <c r="AP13" s="380"/>
      <c r="AU13" s="221" t="str">
        <f t="shared" si="88"/>
        <v/>
      </c>
      <c r="AV13" s="221" t="str">
        <f t="shared" si="89"/>
        <v/>
      </c>
      <c r="AW13" s="221">
        <f>SUM($AH$4:$AH$207)</f>
        <v>0</v>
      </c>
      <c r="AX13" s="221">
        <f>SUM($AI$4:$AI$207)</f>
        <v>0</v>
      </c>
      <c r="AY13" s="221">
        <f>SUM($AJ$4:$AJ$207)</f>
        <v>0</v>
      </c>
      <c r="AZ13" s="221">
        <f>SUM($AK$4:$AK$207)</f>
        <v>0</v>
      </c>
      <c r="BA13" s="221">
        <f>SUM($AL$4:$AL$207)</f>
        <v>0</v>
      </c>
      <c r="BB13" s="221">
        <f>SUM($AM$4:$AM$207)</f>
        <v>0</v>
      </c>
      <c r="BC13" s="221">
        <f>SUM($AN$4:$AN$207)</f>
        <v>0</v>
      </c>
      <c r="BD13" s="221">
        <f>SUM($AO$4:$AO$207)</f>
        <v>0</v>
      </c>
      <c r="BE13" s="221">
        <f>SUM($AP$4:$AP$207)</f>
        <v>0</v>
      </c>
      <c r="BF13" s="468">
        <f t="shared" si="90"/>
        <v>0</v>
      </c>
      <c r="BG13" s="315">
        <f t="shared" si="91"/>
        <v>0</v>
      </c>
      <c r="BH13" s="315" t="str">
        <f t="shared" si="92"/>
        <v/>
      </c>
      <c r="BI13" s="182"/>
      <c r="BJ13" s="182"/>
      <c r="BK13" s="182"/>
      <c r="BL13" s="221"/>
      <c r="BM13" s="221"/>
      <c r="BN13" s="221"/>
      <c r="BO13" s="221"/>
      <c r="BP13" s="221"/>
      <c r="BQ13" s="221"/>
      <c r="BR13" s="221"/>
      <c r="BS13" s="221"/>
      <c r="BT13" s="221"/>
      <c r="BU13" s="182"/>
      <c r="BV13" s="182"/>
      <c r="BW13" s="182"/>
      <c r="BX13" s="182"/>
      <c r="BY13" s="221" t="str">
        <f t="shared" si="93"/>
        <v/>
      </c>
      <c r="BZ13" s="221" t="str">
        <f t="shared" si="94"/>
        <v/>
      </c>
      <c r="CA13" s="221">
        <f>SUM($BL$4:$BL$207)</f>
        <v>0</v>
      </c>
      <c r="CB13" s="221">
        <f>SUM($BM$4:$BM$207)</f>
        <v>0</v>
      </c>
      <c r="CC13" s="221">
        <f>SUM($BN$4:$BN$207)</f>
        <v>0</v>
      </c>
      <c r="CD13" s="221">
        <f>SUM($BO$4:$BO$207)</f>
        <v>0</v>
      </c>
      <c r="CE13" s="221">
        <f>SUM($BP$4:$BP$207)</f>
        <v>0</v>
      </c>
      <c r="CF13" s="221">
        <f>SUM($BQ$4:$BQ$207)</f>
        <v>0</v>
      </c>
      <c r="CG13" s="221">
        <f>SUM($BR$4:$BR$207)</f>
        <v>0</v>
      </c>
      <c r="CH13" s="221">
        <f>SUM($BS$4:$BS$207)</f>
        <v>0</v>
      </c>
      <c r="CI13" s="221">
        <f>SUM($BT$4:$BT$207)</f>
        <v>0</v>
      </c>
      <c r="CJ13" s="468">
        <f t="shared" si="95"/>
        <v>0</v>
      </c>
      <c r="CK13" s="315">
        <f t="shared" si="96"/>
        <v>0</v>
      </c>
      <c r="CL13" s="315" t="str">
        <f t="shared" si="97"/>
        <v/>
      </c>
      <c r="CM13" s="182"/>
      <c r="CN13" s="182"/>
      <c r="CO13" s="182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182"/>
      <c r="DA13" s="182"/>
      <c r="DB13" s="182"/>
      <c r="DC13" s="182"/>
      <c r="DD13" s="221" t="str">
        <f t="shared" si="72"/>
        <v/>
      </c>
      <c r="DE13" s="221" t="str">
        <f t="shared" si="73"/>
        <v/>
      </c>
      <c r="DF13" s="221">
        <f>SUM($CP$5:$CP$207)</f>
        <v>0</v>
      </c>
      <c r="DG13" s="221">
        <f>SUM($CQ$5:$CQ$207)</f>
        <v>0</v>
      </c>
      <c r="DH13" s="221">
        <f>SUM($CR$5:$CR$207)</f>
        <v>0</v>
      </c>
      <c r="DI13" s="221">
        <f>SUM($CS$5:$CS$207)</f>
        <v>0</v>
      </c>
      <c r="DJ13" s="221">
        <f>SUM($CT$5:$CT$207)</f>
        <v>0</v>
      </c>
      <c r="DK13" s="221">
        <f>SUM($CU$5:$CU$207)</f>
        <v>0</v>
      </c>
      <c r="DL13" s="221">
        <f>SUM($CV$5:$CV$207)</f>
        <v>0</v>
      </c>
      <c r="DM13" s="221">
        <f>SUM($CW$5:$CW$207)</f>
        <v>0</v>
      </c>
      <c r="DN13" s="221">
        <f>SUM($CX$5:$CX$207)</f>
        <v>0</v>
      </c>
      <c r="DO13" s="469" t="str">
        <f t="shared" si="98"/>
        <v/>
      </c>
      <c r="DP13" s="315">
        <f t="shared" si="99"/>
        <v>0</v>
      </c>
      <c r="DQ13" s="315" t="str">
        <f t="shared" si="100"/>
        <v/>
      </c>
      <c r="DR13" s="182"/>
      <c r="DS13" s="182"/>
      <c r="DT13" s="182"/>
      <c r="DU13" s="221"/>
      <c r="DV13" s="221"/>
      <c r="DW13" s="221"/>
      <c r="DX13" s="221"/>
      <c r="DY13" s="221"/>
      <c r="DZ13" s="221"/>
      <c r="EA13" s="221"/>
      <c r="EB13" s="221"/>
      <c r="EC13" s="221"/>
      <c r="ED13" s="182"/>
      <c r="EE13" s="182"/>
      <c r="EF13" s="182"/>
      <c r="EG13" s="182"/>
      <c r="EH13" s="221" t="str">
        <f t="shared" si="101"/>
        <v/>
      </c>
      <c r="EI13" s="221" t="str">
        <f t="shared" si="102"/>
        <v/>
      </c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315">
        <f t="shared" si="103"/>
        <v>0</v>
      </c>
      <c r="EV13" s="315" t="str">
        <f t="shared" si="104"/>
        <v/>
      </c>
      <c r="EW13" s="182"/>
      <c r="EX13" s="182"/>
      <c r="EY13" s="182"/>
      <c r="EZ13" s="221"/>
      <c r="FA13" s="221"/>
      <c r="FB13" s="221"/>
      <c r="FC13" s="221"/>
      <c r="FD13" s="221"/>
      <c r="FE13" s="221"/>
      <c r="FF13" s="221"/>
      <c r="FG13" s="221"/>
      <c r="FH13" s="221"/>
      <c r="FI13" s="182"/>
      <c r="FJ13" s="182"/>
      <c r="FK13" s="182"/>
      <c r="FL13" s="182"/>
      <c r="FM13" s="221" t="str">
        <f t="shared" si="105"/>
        <v/>
      </c>
      <c r="FN13" s="221" t="str">
        <f t="shared" si="106"/>
        <v/>
      </c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408"/>
      <c r="GA13" s="315">
        <f t="shared" si="107"/>
        <v>0</v>
      </c>
      <c r="GB13" s="315" t="str">
        <f t="shared" si="108"/>
        <v/>
      </c>
      <c r="GC13" s="182" t="s">
        <v>160</v>
      </c>
      <c r="GD13" s="182"/>
      <c r="GE13" s="182"/>
      <c r="GG13" s="460"/>
      <c r="GH13" s="460"/>
      <c r="GU13" s="469"/>
      <c r="GV13" s="470" t="str">
        <f t="shared" si="109"/>
        <v/>
      </c>
      <c r="GW13" s="302">
        <f t="shared" si="110"/>
        <v>0</v>
      </c>
      <c r="HA13" s="654"/>
      <c r="HD13" s="379"/>
      <c r="HE13" s="380"/>
      <c r="HH13" s="383"/>
      <c r="HI13" s="410"/>
      <c r="HJ13" s="302" t="str">
        <f t="shared" si="85"/>
        <v/>
      </c>
      <c r="HO13" s="302" t="str">
        <f t="shared" si="34"/>
        <v/>
      </c>
      <c r="HP13" s="302" t="str">
        <f t="shared" si="35"/>
        <v/>
      </c>
      <c r="HQ13" s="302" t="str">
        <f t="shared" si="36"/>
        <v/>
      </c>
      <c r="IT13" s="410"/>
      <c r="IU13" s="410"/>
      <c r="IV13" s="462"/>
    </row>
    <row r="14" spans="1:259 16384:16384" s="302" customFormat="1" ht="12.75" hidden="1" customHeight="1">
      <c r="A14" s="397" t="str">
        <f t="shared" si="1"/>
        <v/>
      </c>
      <c r="B14" s="462" t="str">
        <f t="shared" si="61"/>
        <v/>
      </c>
      <c r="C14" s="426"/>
      <c r="D14" s="575"/>
      <c r="E14" s="463"/>
      <c r="F14" s="464"/>
      <c r="G14" s="465"/>
      <c r="H14" s="465"/>
      <c r="I14" s="466"/>
      <c r="J14" s="463"/>
      <c r="K14" s="465"/>
      <c r="L14" s="465"/>
      <c r="M14" s="466"/>
      <c r="N14" s="573"/>
      <c r="O14" s="467"/>
      <c r="P14" s="518"/>
      <c r="Q14" s="381"/>
      <c r="R14" s="182"/>
      <c r="S14" s="182"/>
      <c r="T14" s="182"/>
      <c r="U14" s="182"/>
      <c r="V14" s="182"/>
      <c r="W14" s="182"/>
      <c r="X14" s="182"/>
      <c r="Y14" s="182"/>
      <c r="Z14" s="182"/>
      <c r="AA14" s="384"/>
      <c r="AB14" s="182" t="str">
        <f t="shared" si="86"/>
        <v/>
      </c>
      <c r="AC14" s="315">
        <f t="shared" si="87"/>
        <v>0</v>
      </c>
      <c r="AD14" s="315" t="str">
        <f t="shared" si="63"/>
        <v/>
      </c>
      <c r="AE14" s="182"/>
      <c r="AF14" s="182"/>
      <c r="AG14" s="182"/>
      <c r="AH14" s="221"/>
      <c r="AI14" s="221"/>
      <c r="AJ14" s="221"/>
      <c r="AK14" s="221"/>
      <c r="AL14" s="221"/>
      <c r="AM14" s="221"/>
      <c r="AN14" s="221"/>
      <c r="AO14" s="221"/>
      <c r="AP14" s="221"/>
      <c r="AQ14" s="182"/>
      <c r="AR14" s="182"/>
      <c r="AS14" s="182"/>
      <c r="AT14" s="182"/>
      <c r="AU14" s="221" t="str">
        <f t="shared" si="88"/>
        <v/>
      </c>
      <c r="AV14" s="221" t="str">
        <f t="shared" si="89"/>
        <v/>
      </c>
      <c r="AW14" s="221"/>
      <c r="AX14" s="221"/>
      <c r="AY14" s="221"/>
      <c r="AZ14" s="221"/>
      <c r="BA14" s="221"/>
      <c r="BB14" s="221"/>
      <c r="BC14" s="221"/>
      <c r="BD14" s="221"/>
      <c r="BE14" s="221"/>
      <c r="BF14" s="469">
        <f t="shared" si="90"/>
        <v>0</v>
      </c>
      <c r="BG14" s="315">
        <f t="shared" si="91"/>
        <v>0</v>
      </c>
      <c r="BH14" s="315" t="str">
        <f t="shared" si="92"/>
        <v/>
      </c>
      <c r="BI14" s="182"/>
      <c r="BJ14" s="182"/>
      <c r="BK14" s="182"/>
      <c r="BL14" s="221"/>
      <c r="BM14" s="221"/>
      <c r="BN14" s="221"/>
      <c r="BO14" s="221"/>
      <c r="BP14" s="221"/>
      <c r="BQ14" s="221"/>
      <c r="BR14" s="221"/>
      <c r="BS14" s="221"/>
      <c r="BT14" s="221"/>
      <c r="BU14" s="182"/>
      <c r="BV14" s="182"/>
      <c r="BW14" s="182"/>
      <c r="BX14" s="182"/>
      <c r="BY14" s="221" t="str">
        <f t="shared" si="93"/>
        <v/>
      </c>
      <c r="BZ14" s="221" t="str">
        <f t="shared" si="94"/>
        <v/>
      </c>
      <c r="CA14" s="221"/>
      <c r="CB14" s="221"/>
      <c r="CC14" s="221"/>
      <c r="CD14" s="221"/>
      <c r="CE14" s="221"/>
      <c r="CF14" s="221"/>
      <c r="CG14" s="221"/>
      <c r="CH14" s="221"/>
      <c r="CI14" s="221"/>
      <c r="CJ14" s="469">
        <f t="shared" si="95"/>
        <v>0</v>
      </c>
      <c r="CK14" s="315">
        <f t="shared" si="96"/>
        <v>0</v>
      </c>
      <c r="CL14" s="315" t="str">
        <f t="shared" si="97"/>
        <v/>
      </c>
      <c r="CM14" s="182"/>
      <c r="CN14" s="182"/>
      <c r="CO14" s="182"/>
      <c r="CP14" s="221"/>
      <c r="CQ14" s="221"/>
      <c r="CR14" s="221"/>
      <c r="CS14" s="221"/>
      <c r="CT14" s="221"/>
      <c r="CU14" s="221"/>
      <c r="CV14" s="221"/>
      <c r="CW14" s="221"/>
      <c r="CX14" s="221"/>
      <c r="CY14" s="221"/>
      <c r="CZ14" s="182"/>
      <c r="DA14" s="182"/>
      <c r="DB14" s="182"/>
      <c r="DC14" s="182"/>
      <c r="DD14" s="221" t="str">
        <f t="shared" si="72"/>
        <v/>
      </c>
      <c r="DE14" s="221" t="str">
        <f t="shared" si="73"/>
        <v/>
      </c>
      <c r="DF14" s="221"/>
      <c r="DG14" s="221"/>
      <c r="DH14" s="221"/>
      <c r="DI14" s="221"/>
      <c r="DJ14" s="221"/>
      <c r="DK14" s="221"/>
      <c r="DL14" s="221"/>
      <c r="DM14" s="221"/>
      <c r="DN14" s="221"/>
      <c r="DO14" s="469" t="str">
        <f t="shared" si="98"/>
        <v/>
      </c>
      <c r="DP14" s="315">
        <f t="shared" si="99"/>
        <v>0</v>
      </c>
      <c r="DQ14" s="315" t="str">
        <f t="shared" si="100"/>
        <v/>
      </c>
      <c r="DR14" s="182"/>
      <c r="DS14" s="182"/>
      <c r="DT14" s="182"/>
      <c r="DU14" s="221"/>
      <c r="DV14" s="221"/>
      <c r="DW14" s="221"/>
      <c r="DX14" s="221"/>
      <c r="DY14" s="221"/>
      <c r="DZ14" s="221"/>
      <c r="EA14" s="221"/>
      <c r="EB14" s="221"/>
      <c r="EC14" s="221"/>
      <c r="ED14" s="182"/>
      <c r="EE14" s="182"/>
      <c r="EF14" s="182"/>
      <c r="EG14" s="182"/>
      <c r="EH14" s="221" t="str">
        <f t="shared" si="101"/>
        <v/>
      </c>
      <c r="EI14" s="221" t="str">
        <f t="shared" si="102"/>
        <v/>
      </c>
      <c r="EJ14" s="221"/>
      <c r="EK14" s="221"/>
      <c r="EL14" s="221"/>
      <c r="EM14" s="221"/>
      <c r="EN14" s="221"/>
      <c r="EO14" s="221"/>
      <c r="EP14" s="221"/>
      <c r="EQ14" s="221"/>
      <c r="ER14" s="221"/>
      <c r="ES14" s="221"/>
      <c r="ET14" s="221"/>
      <c r="EU14" s="315">
        <f t="shared" si="103"/>
        <v>0</v>
      </c>
      <c r="EV14" s="315" t="str">
        <f t="shared" si="104"/>
        <v/>
      </c>
      <c r="EW14" s="182"/>
      <c r="EX14" s="182"/>
      <c r="EY14" s="182"/>
      <c r="EZ14" s="221"/>
      <c r="FA14" s="221"/>
      <c r="FB14" s="221"/>
      <c r="FC14" s="221"/>
      <c r="FD14" s="221"/>
      <c r="FE14" s="221"/>
      <c r="FF14" s="221"/>
      <c r="FG14" s="221"/>
      <c r="FH14" s="221"/>
      <c r="FI14" s="182"/>
      <c r="FJ14" s="182"/>
      <c r="FK14" s="182"/>
      <c r="FL14" s="182"/>
      <c r="FM14" s="221" t="str">
        <f t="shared" si="105"/>
        <v/>
      </c>
      <c r="FN14" s="221" t="str">
        <f t="shared" si="106"/>
        <v/>
      </c>
      <c r="FO14" s="221"/>
      <c r="FP14" s="221"/>
      <c r="FQ14" s="221"/>
      <c r="FR14" s="221"/>
      <c r="FS14" s="221"/>
      <c r="FT14" s="221"/>
      <c r="FU14" s="221"/>
      <c r="FV14" s="221"/>
      <c r="FW14" s="221"/>
      <c r="FX14" s="221"/>
      <c r="FY14" s="221"/>
      <c r="FZ14" s="408"/>
      <c r="GA14" s="315">
        <f t="shared" si="107"/>
        <v>0</v>
      </c>
      <c r="GB14" s="315" t="str">
        <f t="shared" si="108"/>
        <v/>
      </c>
      <c r="GC14" s="302" t="s">
        <v>160</v>
      </c>
      <c r="GG14" s="460"/>
      <c r="GH14" s="460"/>
      <c r="GU14" s="469"/>
      <c r="GV14" s="470" t="str">
        <f t="shared" si="109"/>
        <v/>
      </c>
      <c r="GW14" s="302">
        <f t="shared" si="110"/>
        <v>0</v>
      </c>
      <c r="HA14" s="654"/>
      <c r="HD14" s="379"/>
      <c r="HE14" s="380"/>
      <c r="HH14" s="385"/>
      <c r="HI14" s="411"/>
      <c r="HJ14" s="302" t="str">
        <f t="shared" si="85"/>
        <v/>
      </c>
      <c r="HO14" s="302" t="str">
        <f t="shared" si="34"/>
        <v/>
      </c>
      <c r="HP14" s="302" t="str">
        <f t="shared" si="35"/>
        <v/>
      </c>
      <c r="HQ14" s="302" t="str">
        <f t="shared" si="36"/>
        <v/>
      </c>
      <c r="IT14" s="411"/>
      <c r="IU14" s="411"/>
      <c r="IV14" s="462"/>
    </row>
    <row r="15" spans="1:259 16384:16384" s="302" customFormat="1" ht="12.75" hidden="1" customHeight="1">
      <c r="A15" s="397" t="str">
        <f t="shared" si="1"/>
        <v/>
      </c>
      <c r="B15" s="462" t="str">
        <f t="shared" si="61"/>
        <v/>
      </c>
      <c r="C15" s="426"/>
      <c r="D15" s="575"/>
      <c r="E15" s="463"/>
      <c r="F15" s="464"/>
      <c r="G15" s="465"/>
      <c r="H15" s="465"/>
      <c r="I15" s="466"/>
      <c r="J15" s="463"/>
      <c r="K15" s="465"/>
      <c r="L15" s="465"/>
      <c r="M15" s="466"/>
      <c r="N15" s="573"/>
      <c r="O15" s="467"/>
      <c r="P15" s="518"/>
      <c r="Q15" s="381"/>
      <c r="R15" s="182"/>
      <c r="S15" s="182"/>
      <c r="T15" s="182"/>
      <c r="U15" s="182"/>
      <c r="V15" s="182"/>
      <c r="W15" s="182"/>
      <c r="X15" s="182"/>
      <c r="Y15" s="182"/>
      <c r="Z15" s="182"/>
      <c r="AA15" s="382"/>
      <c r="AB15" s="182" t="str">
        <f t="shared" si="86"/>
        <v/>
      </c>
      <c r="AC15" s="315">
        <f t="shared" si="87"/>
        <v>0</v>
      </c>
      <c r="AD15" s="315" t="str">
        <f t="shared" si="63"/>
        <v/>
      </c>
      <c r="AE15" s="182"/>
      <c r="AF15" s="182"/>
      <c r="AG15" s="182"/>
      <c r="AH15" s="221"/>
      <c r="AI15" s="221"/>
      <c r="AJ15" s="221"/>
      <c r="AK15" s="221"/>
      <c r="AL15" s="221"/>
      <c r="AM15" s="221"/>
      <c r="AN15" s="221"/>
      <c r="AO15" s="221"/>
      <c r="AP15" s="221"/>
      <c r="AQ15" s="182"/>
      <c r="AR15" s="182"/>
      <c r="AS15" s="182"/>
      <c r="AT15" s="182"/>
      <c r="AU15" s="221" t="str">
        <f t="shared" si="88"/>
        <v/>
      </c>
      <c r="AV15" s="221" t="str">
        <f t="shared" si="89"/>
        <v/>
      </c>
      <c r="AW15" s="221"/>
      <c r="AX15" s="221"/>
      <c r="AY15" s="221"/>
      <c r="AZ15" s="221"/>
      <c r="BA15" s="221"/>
      <c r="BB15" s="221"/>
      <c r="BC15" s="221"/>
      <c r="BD15" s="221"/>
      <c r="BE15" s="221"/>
      <c r="BF15" s="468">
        <f t="shared" si="90"/>
        <v>0</v>
      </c>
      <c r="BG15" s="315">
        <f t="shared" si="91"/>
        <v>0</v>
      </c>
      <c r="BH15" s="315" t="str">
        <f t="shared" si="92"/>
        <v/>
      </c>
      <c r="BI15" s="182"/>
      <c r="BJ15" s="182"/>
      <c r="BK15" s="182"/>
      <c r="BL15" s="221"/>
      <c r="BM15" s="221"/>
      <c r="BN15" s="221"/>
      <c r="BO15" s="221"/>
      <c r="BP15" s="221"/>
      <c r="BQ15" s="221"/>
      <c r="BR15" s="221"/>
      <c r="BS15" s="221"/>
      <c r="BT15" s="221"/>
      <c r="BU15" s="182"/>
      <c r="BV15" s="182"/>
      <c r="BW15" s="182"/>
      <c r="BX15" s="182"/>
      <c r="BY15" s="221" t="str">
        <f t="shared" si="93"/>
        <v/>
      </c>
      <c r="BZ15" s="221" t="str">
        <f t="shared" si="94"/>
        <v/>
      </c>
      <c r="CA15" s="221"/>
      <c r="CB15" s="221"/>
      <c r="CC15" s="221"/>
      <c r="CD15" s="221"/>
      <c r="CE15" s="221"/>
      <c r="CF15" s="221"/>
      <c r="CG15" s="221"/>
      <c r="CH15" s="221"/>
      <c r="CI15" s="221"/>
      <c r="CJ15" s="468">
        <f t="shared" si="95"/>
        <v>0</v>
      </c>
      <c r="CK15" s="315">
        <f t="shared" si="96"/>
        <v>0</v>
      </c>
      <c r="CL15" s="315" t="str">
        <f t="shared" si="97"/>
        <v/>
      </c>
      <c r="CM15" s="182"/>
      <c r="CN15" s="182"/>
      <c r="CO15" s="182"/>
      <c r="CP15" s="221"/>
      <c r="CQ15" s="221"/>
      <c r="CR15" s="221"/>
      <c r="CS15" s="221"/>
      <c r="CT15" s="221"/>
      <c r="CU15" s="221"/>
      <c r="CV15" s="221"/>
      <c r="CW15" s="221"/>
      <c r="CX15" s="221"/>
      <c r="CY15" s="221"/>
      <c r="CZ15" s="182"/>
      <c r="DA15" s="182"/>
      <c r="DB15" s="182"/>
      <c r="DC15" s="182"/>
      <c r="DD15" s="221" t="str">
        <f t="shared" si="72"/>
        <v/>
      </c>
      <c r="DE15" s="221" t="str">
        <f t="shared" si="73"/>
        <v/>
      </c>
      <c r="DF15" s="221"/>
      <c r="DG15" s="221"/>
      <c r="DH15" s="221"/>
      <c r="DI15" s="221"/>
      <c r="DJ15" s="221"/>
      <c r="DK15" s="221"/>
      <c r="DL15" s="221"/>
      <c r="DM15" s="221"/>
      <c r="DN15" s="221"/>
      <c r="DO15" s="469" t="str">
        <f t="shared" si="98"/>
        <v/>
      </c>
      <c r="DP15" s="315">
        <f t="shared" si="99"/>
        <v>0</v>
      </c>
      <c r="DQ15" s="315" t="str">
        <f t="shared" si="100"/>
        <v/>
      </c>
      <c r="DR15" s="182"/>
      <c r="DS15" s="182"/>
      <c r="DT15" s="182"/>
      <c r="DU15" s="221"/>
      <c r="DV15" s="221"/>
      <c r="DW15" s="221"/>
      <c r="DX15" s="221"/>
      <c r="DY15" s="221"/>
      <c r="DZ15" s="221"/>
      <c r="EA15" s="221"/>
      <c r="EB15" s="221"/>
      <c r="EC15" s="221"/>
      <c r="ED15" s="182"/>
      <c r="EE15" s="182"/>
      <c r="EF15" s="182"/>
      <c r="EG15" s="182"/>
      <c r="EH15" s="221" t="str">
        <f t="shared" si="101"/>
        <v/>
      </c>
      <c r="EI15" s="221" t="str">
        <f t="shared" si="102"/>
        <v/>
      </c>
      <c r="EJ15" s="221"/>
      <c r="EK15" s="221"/>
      <c r="EL15" s="221"/>
      <c r="EM15" s="221"/>
      <c r="EN15" s="221"/>
      <c r="EO15" s="221"/>
      <c r="EP15" s="221"/>
      <c r="EQ15" s="221"/>
      <c r="ER15" s="221"/>
      <c r="ES15" s="221"/>
      <c r="ET15" s="221"/>
      <c r="EU15" s="315">
        <f t="shared" si="103"/>
        <v>0</v>
      </c>
      <c r="EV15" s="315" t="str">
        <f t="shared" si="104"/>
        <v/>
      </c>
      <c r="EW15" s="182"/>
      <c r="EX15" s="182"/>
      <c r="EY15" s="182"/>
      <c r="EZ15" s="221"/>
      <c r="FA15" s="221"/>
      <c r="FB15" s="221"/>
      <c r="FC15" s="221"/>
      <c r="FD15" s="221"/>
      <c r="FE15" s="221"/>
      <c r="FF15" s="221"/>
      <c r="FG15" s="221"/>
      <c r="FH15" s="221"/>
      <c r="FI15" s="182"/>
      <c r="FJ15" s="182"/>
      <c r="FK15" s="182"/>
      <c r="FL15" s="182"/>
      <c r="FM15" s="221" t="str">
        <f t="shared" si="105"/>
        <v/>
      </c>
      <c r="FN15" s="221" t="str">
        <f t="shared" si="106"/>
        <v/>
      </c>
      <c r="FO15" s="221"/>
      <c r="FP15" s="221"/>
      <c r="FQ15" s="221"/>
      <c r="FR15" s="221"/>
      <c r="FS15" s="221"/>
      <c r="FT15" s="221"/>
      <c r="FU15" s="221"/>
      <c r="FV15" s="221"/>
      <c r="FW15" s="221"/>
      <c r="FX15" s="221"/>
      <c r="FY15" s="221"/>
      <c r="FZ15" s="408"/>
      <c r="GA15" s="315">
        <f t="shared" si="107"/>
        <v>0</v>
      </c>
      <c r="GB15" s="315" t="str">
        <f t="shared" si="108"/>
        <v/>
      </c>
      <c r="GC15" s="182" t="s">
        <v>160</v>
      </c>
      <c r="GD15" s="182"/>
      <c r="GE15" s="182"/>
      <c r="GG15" s="460"/>
      <c r="GH15" s="460"/>
      <c r="GU15" s="469"/>
      <c r="GV15" s="470" t="str">
        <f t="shared" si="109"/>
        <v/>
      </c>
      <c r="GW15" s="302">
        <f t="shared" si="110"/>
        <v>0</v>
      </c>
      <c r="HA15" s="654"/>
      <c r="HD15" s="379"/>
      <c r="HE15" s="380"/>
      <c r="HH15" s="383"/>
      <c r="HI15" s="410"/>
      <c r="HJ15" s="302" t="str">
        <f t="shared" si="85"/>
        <v/>
      </c>
      <c r="HO15" s="302" t="str">
        <f t="shared" si="34"/>
        <v/>
      </c>
      <c r="HP15" s="302" t="str">
        <f t="shared" si="35"/>
        <v/>
      </c>
      <c r="HQ15" s="302" t="str">
        <f t="shared" si="36"/>
        <v/>
      </c>
      <c r="IT15" s="410"/>
      <c r="IU15" s="410"/>
      <c r="IV15" s="462"/>
    </row>
    <row r="16" spans="1:259 16384:16384" s="302" customFormat="1" ht="12.75" hidden="1" customHeight="1">
      <c r="A16" s="397" t="str">
        <f t="shared" si="1"/>
        <v/>
      </c>
      <c r="B16" s="462" t="str">
        <f t="shared" si="61"/>
        <v/>
      </c>
      <c r="C16" s="426"/>
      <c r="D16" s="575"/>
      <c r="E16" s="463"/>
      <c r="F16" s="464"/>
      <c r="G16" s="465"/>
      <c r="H16" s="465"/>
      <c r="I16" s="466"/>
      <c r="J16" s="463"/>
      <c r="K16" s="465"/>
      <c r="L16" s="465"/>
      <c r="M16" s="466"/>
      <c r="N16" s="573"/>
      <c r="O16" s="467"/>
      <c r="P16" s="518"/>
      <c r="Q16" s="381"/>
      <c r="R16" s="182"/>
      <c r="S16" s="182"/>
      <c r="T16" s="182"/>
      <c r="U16" s="182"/>
      <c r="V16" s="182"/>
      <c r="W16" s="182"/>
      <c r="X16" s="182"/>
      <c r="Y16" s="182"/>
      <c r="Z16" s="182"/>
      <c r="AA16" s="384"/>
      <c r="AB16" s="182" t="str">
        <f t="shared" si="86"/>
        <v/>
      </c>
      <c r="AC16" s="315">
        <f t="shared" si="87"/>
        <v>0</v>
      </c>
      <c r="AD16" s="315" t="str">
        <f t="shared" si="63"/>
        <v/>
      </c>
      <c r="AE16" s="182"/>
      <c r="AF16" s="182"/>
      <c r="AG16" s="182"/>
      <c r="AH16" s="221"/>
      <c r="AI16" s="221"/>
      <c r="AJ16" s="221"/>
      <c r="AK16" s="221"/>
      <c r="AL16" s="221"/>
      <c r="AM16" s="221"/>
      <c r="AN16" s="221"/>
      <c r="AO16" s="221"/>
      <c r="AP16" s="221"/>
      <c r="AQ16" s="182"/>
      <c r="AR16" s="182"/>
      <c r="AS16" s="182"/>
      <c r="AT16" s="224"/>
      <c r="AU16" s="221" t="str">
        <f t="shared" si="88"/>
        <v/>
      </c>
      <c r="AV16" s="221" t="str">
        <f t="shared" si="89"/>
        <v/>
      </c>
      <c r="AW16" s="221"/>
      <c r="AX16" s="221"/>
      <c r="AY16" s="221"/>
      <c r="AZ16" s="221"/>
      <c r="BA16" s="221"/>
      <c r="BB16" s="221"/>
      <c r="BC16" s="221"/>
      <c r="BD16" s="221"/>
      <c r="BE16" s="221"/>
      <c r="BF16" s="469">
        <f t="shared" si="90"/>
        <v>0</v>
      </c>
      <c r="BG16" s="315">
        <f t="shared" si="91"/>
        <v>0</v>
      </c>
      <c r="BH16" s="315" t="str">
        <f t="shared" si="92"/>
        <v/>
      </c>
      <c r="BI16" s="182"/>
      <c r="BJ16" s="182"/>
      <c r="BK16" s="182"/>
      <c r="BL16" s="221"/>
      <c r="BM16" s="221"/>
      <c r="BN16" s="221"/>
      <c r="BO16" s="221"/>
      <c r="BP16" s="221"/>
      <c r="BQ16" s="221"/>
      <c r="BR16" s="221"/>
      <c r="BS16" s="221"/>
      <c r="BT16" s="221"/>
      <c r="BU16" s="182"/>
      <c r="BV16" s="182"/>
      <c r="BW16" s="182"/>
      <c r="BX16" s="182"/>
      <c r="BY16" s="221" t="str">
        <f t="shared" si="93"/>
        <v/>
      </c>
      <c r="BZ16" s="221" t="str">
        <f t="shared" si="94"/>
        <v/>
      </c>
      <c r="CA16" s="221"/>
      <c r="CB16" s="221"/>
      <c r="CC16" s="221"/>
      <c r="CD16" s="221"/>
      <c r="CE16" s="221"/>
      <c r="CF16" s="221"/>
      <c r="CG16" s="221"/>
      <c r="CH16" s="221"/>
      <c r="CI16" s="221"/>
      <c r="CJ16" s="469">
        <f t="shared" si="95"/>
        <v>0</v>
      </c>
      <c r="CK16" s="315">
        <f t="shared" si="96"/>
        <v>0</v>
      </c>
      <c r="CL16" s="315" t="str">
        <f t="shared" si="97"/>
        <v/>
      </c>
      <c r="CM16" s="182"/>
      <c r="CN16" s="182"/>
      <c r="CO16" s="182"/>
      <c r="CP16" s="221"/>
      <c r="CQ16" s="221"/>
      <c r="CR16" s="221"/>
      <c r="CS16" s="221"/>
      <c r="CT16" s="221"/>
      <c r="CU16" s="221"/>
      <c r="CV16" s="221"/>
      <c r="CW16" s="221"/>
      <c r="CX16" s="221"/>
      <c r="CY16" s="221"/>
      <c r="CZ16" s="182"/>
      <c r="DA16" s="182"/>
      <c r="DB16" s="182"/>
      <c r="DC16" s="182"/>
      <c r="DD16" s="221" t="str">
        <f t="shared" si="72"/>
        <v/>
      </c>
      <c r="DE16" s="221" t="str">
        <f t="shared" si="73"/>
        <v/>
      </c>
      <c r="DF16" s="221"/>
      <c r="DG16" s="221"/>
      <c r="DH16" s="221"/>
      <c r="DI16" s="221"/>
      <c r="DJ16" s="221"/>
      <c r="DK16" s="221"/>
      <c r="DL16" s="221"/>
      <c r="DM16" s="221"/>
      <c r="DN16" s="221"/>
      <c r="DO16" s="469" t="str">
        <f t="shared" si="98"/>
        <v/>
      </c>
      <c r="DP16" s="315">
        <f t="shared" si="99"/>
        <v>0</v>
      </c>
      <c r="DQ16" s="315" t="str">
        <f t="shared" si="100"/>
        <v/>
      </c>
      <c r="DR16" s="182"/>
      <c r="DS16" s="182"/>
      <c r="DT16" s="182"/>
      <c r="DU16" s="221"/>
      <c r="DV16" s="221"/>
      <c r="DW16" s="221"/>
      <c r="DX16" s="221"/>
      <c r="DY16" s="221"/>
      <c r="DZ16" s="221"/>
      <c r="EA16" s="221"/>
      <c r="EB16" s="221"/>
      <c r="EC16" s="221"/>
      <c r="ED16" s="182"/>
      <c r="EE16" s="182"/>
      <c r="EF16" s="182"/>
      <c r="EG16" s="182"/>
      <c r="EH16" s="221" t="str">
        <f t="shared" si="101"/>
        <v/>
      </c>
      <c r="EI16" s="221" t="str">
        <f t="shared" si="102"/>
        <v/>
      </c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315">
        <f t="shared" si="103"/>
        <v>0</v>
      </c>
      <c r="EV16" s="315" t="str">
        <f t="shared" si="104"/>
        <v/>
      </c>
      <c r="EW16" s="182"/>
      <c r="EX16" s="182"/>
      <c r="EY16" s="182"/>
      <c r="EZ16" s="221"/>
      <c r="FA16" s="221"/>
      <c r="FB16" s="221"/>
      <c r="FC16" s="221"/>
      <c r="FD16" s="221"/>
      <c r="FE16" s="221"/>
      <c r="FF16" s="221"/>
      <c r="FG16" s="221"/>
      <c r="FH16" s="221"/>
      <c r="FI16" s="182"/>
      <c r="FJ16" s="182"/>
      <c r="FK16" s="182"/>
      <c r="FL16" s="182"/>
      <c r="FM16" s="221" t="str">
        <f t="shared" si="105"/>
        <v/>
      </c>
      <c r="FN16" s="221" t="str">
        <f t="shared" si="106"/>
        <v/>
      </c>
      <c r="FO16" s="221"/>
      <c r="FP16" s="221"/>
      <c r="FQ16" s="221"/>
      <c r="FR16" s="221"/>
      <c r="FS16" s="221"/>
      <c r="FT16" s="221"/>
      <c r="FU16" s="221"/>
      <c r="FV16" s="221"/>
      <c r="FW16" s="221"/>
      <c r="FX16" s="221"/>
      <c r="FY16" s="221"/>
      <c r="FZ16" s="408"/>
      <c r="GA16" s="315">
        <f t="shared" si="107"/>
        <v>0</v>
      </c>
      <c r="GB16" s="315" t="str">
        <f t="shared" si="108"/>
        <v/>
      </c>
      <c r="GC16" s="182" t="s">
        <v>160</v>
      </c>
      <c r="GD16" s="182"/>
      <c r="GE16" s="182"/>
      <c r="GG16" s="460"/>
      <c r="GH16" s="460"/>
      <c r="GU16" s="469"/>
      <c r="GV16" s="470" t="str">
        <f t="shared" si="109"/>
        <v/>
      </c>
      <c r="GW16" s="302">
        <f t="shared" si="110"/>
        <v>0</v>
      </c>
      <c r="HA16" s="654"/>
      <c r="HD16" s="379"/>
      <c r="HE16" s="380"/>
      <c r="HH16" s="385"/>
      <c r="HI16" s="411"/>
      <c r="HJ16" s="302" t="str">
        <f t="shared" si="85"/>
        <v/>
      </c>
      <c r="HO16" s="302" t="str">
        <f t="shared" si="34"/>
        <v/>
      </c>
      <c r="HP16" s="302" t="str">
        <f t="shared" si="35"/>
        <v/>
      </c>
      <c r="HQ16" s="302" t="str">
        <f t="shared" si="36"/>
        <v/>
      </c>
      <c r="IT16" s="411"/>
      <c r="IU16" s="411"/>
      <c r="IV16" s="462"/>
    </row>
    <row r="17" spans="1:256" s="302" customFormat="1" ht="12.75" hidden="1" customHeight="1">
      <c r="A17" s="397" t="str">
        <f t="shared" si="1"/>
        <v/>
      </c>
      <c r="B17" s="462" t="str">
        <f t="shared" si="61"/>
        <v/>
      </c>
      <c r="C17" s="426"/>
      <c r="D17" s="575"/>
      <c r="E17" s="463"/>
      <c r="F17" s="464"/>
      <c r="G17" s="465"/>
      <c r="H17" s="465"/>
      <c r="I17" s="466"/>
      <c r="J17" s="463"/>
      <c r="K17" s="465"/>
      <c r="L17" s="465"/>
      <c r="M17" s="466"/>
      <c r="N17" s="573"/>
      <c r="O17" s="467"/>
      <c r="P17" s="518"/>
      <c r="Q17" s="381"/>
      <c r="R17" s="182"/>
      <c r="S17" s="182"/>
      <c r="T17" s="182">
        <f>SUM(T18:T19)</f>
        <v>0</v>
      </c>
      <c r="U17" s="182"/>
      <c r="V17" s="182"/>
      <c r="W17" s="182"/>
      <c r="X17" s="182"/>
      <c r="Y17" s="182"/>
      <c r="Z17" s="182"/>
      <c r="AA17" s="384"/>
      <c r="AB17" s="182" t="str">
        <f t="shared" si="86"/>
        <v/>
      </c>
      <c r="AC17" s="315">
        <f t="shared" si="87"/>
        <v>0</v>
      </c>
      <c r="AD17" s="315" t="str">
        <f t="shared" si="63"/>
        <v/>
      </c>
      <c r="AE17" s="182"/>
      <c r="AF17" s="182"/>
      <c r="AG17" s="182"/>
      <c r="AH17" s="221"/>
      <c r="AI17" s="221"/>
      <c r="AJ17" s="221"/>
      <c r="AK17" s="221"/>
      <c r="AL17" s="221"/>
      <c r="AM17" s="221"/>
      <c r="AN17" s="221"/>
      <c r="AO17" s="221"/>
      <c r="AP17" s="221"/>
      <c r="AQ17" s="182"/>
      <c r="AR17" s="182"/>
      <c r="AS17" s="182"/>
      <c r="AT17" s="182"/>
      <c r="AU17" s="221" t="str">
        <f t="shared" si="88"/>
        <v/>
      </c>
      <c r="AV17" s="221" t="str">
        <f t="shared" si="89"/>
        <v/>
      </c>
      <c r="AW17" s="221"/>
      <c r="AX17" s="221"/>
      <c r="AY17" s="221"/>
      <c r="AZ17" s="221"/>
      <c r="BA17" s="221"/>
      <c r="BB17" s="221"/>
      <c r="BC17" s="221"/>
      <c r="BD17" s="221"/>
      <c r="BE17" s="221"/>
      <c r="BF17" s="468">
        <f t="shared" si="90"/>
        <v>0</v>
      </c>
      <c r="BG17" s="315">
        <f t="shared" si="91"/>
        <v>0</v>
      </c>
      <c r="BH17" s="315" t="str">
        <f t="shared" si="92"/>
        <v/>
      </c>
      <c r="BI17" s="182"/>
      <c r="BJ17" s="182"/>
      <c r="BK17" s="182"/>
      <c r="BL17" s="221"/>
      <c r="BM17" s="221"/>
      <c r="BN17" s="221"/>
      <c r="BO17" s="221"/>
      <c r="BP17" s="221"/>
      <c r="BQ17" s="221"/>
      <c r="BR17" s="221"/>
      <c r="BS17" s="221"/>
      <c r="BT17" s="221"/>
      <c r="BU17" s="182"/>
      <c r="BV17" s="182"/>
      <c r="BW17" s="182"/>
      <c r="BX17" s="182"/>
      <c r="BY17" s="221" t="str">
        <f t="shared" si="93"/>
        <v/>
      </c>
      <c r="BZ17" s="221" t="str">
        <f t="shared" si="94"/>
        <v/>
      </c>
      <c r="CA17" s="221"/>
      <c r="CB17" s="221"/>
      <c r="CC17" s="221"/>
      <c r="CD17" s="221"/>
      <c r="CE17" s="221"/>
      <c r="CF17" s="221"/>
      <c r="CG17" s="221"/>
      <c r="CH17" s="221"/>
      <c r="CI17" s="221"/>
      <c r="CJ17" s="468">
        <f t="shared" si="95"/>
        <v>0</v>
      </c>
      <c r="CK17" s="315">
        <f t="shared" si="96"/>
        <v>0</v>
      </c>
      <c r="CL17" s="315" t="str">
        <f t="shared" si="97"/>
        <v/>
      </c>
      <c r="CM17" s="182"/>
      <c r="CN17" s="182"/>
      <c r="CO17" s="182"/>
      <c r="CP17" s="221"/>
      <c r="CQ17" s="221"/>
      <c r="CR17" s="221"/>
      <c r="CS17" s="221"/>
      <c r="CT17" s="221"/>
      <c r="CU17" s="221"/>
      <c r="CV17" s="221"/>
      <c r="CW17" s="221"/>
      <c r="CX17" s="221"/>
      <c r="CY17" s="221"/>
      <c r="CZ17" s="182"/>
      <c r="DA17" s="182"/>
      <c r="DB17" s="182"/>
      <c r="DC17" s="182"/>
      <c r="DD17" s="221" t="str">
        <f t="shared" si="72"/>
        <v/>
      </c>
      <c r="DE17" s="221" t="str">
        <f t="shared" si="73"/>
        <v/>
      </c>
      <c r="DF17" s="221"/>
      <c r="DG17" s="221"/>
      <c r="DH17" s="221"/>
      <c r="DI17" s="221"/>
      <c r="DJ17" s="221"/>
      <c r="DK17" s="221"/>
      <c r="DL17" s="221"/>
      <c r="DM17" s="221"/>
      <c r="DN17" s="221"/>
      <c r="DO17" s="469" t="str">
        <f t="shared" si="98"/>
        <v/>
      </c>
      <c r="DP17" s="315">
        <f t="shared" si="99"/>
        <v>0</v>
      </c>
      <c r="DQ17" s="315" t="str">
        <f t="shared" si="100"/>
        <v/>
      </c>
      <c r="DR17" s="182"/>
      <c r="DS17" s="182"/>
      <c r="DT17" s="182"/>
      <c r="DU17" s="221"/>
      <c r="DV17" s="221"/>
      <c r="DW17" s="221"/>
      <c r="DX17" s="221"/>
      <c r="DY17" s="221"/>
      <c r="DZ17" s="221"/>
      <c r="EA17" s="221"/>
      <c r="EB17" s="221"/>
      <c r="EC17" s="221"/>
      <c r="ED17" s="182"/>
      <c r="EE17" s="182"/>
      <c r="EF17" s="182"/>
      <c r="EG17" s="182"/>
      <c r="EH17" s="221" t="str">
        <f t="shared" si="101"/>
        <v/>
      </c>
      <c r="EI17" s="221" t="str">
        <f t="shared" si="102"/>
        <v/>
      </c>
      <c r="EJ17" s="221"/>
      <c r="EK17" s="221"/>
      <c r="EL17" s="221"/>
      <c r="EM17" s="221"/>
      <c r="EN17" s="221"/>
      <c r="EO17" s="221"/>
      <c r="EP17" s="221"/>
      <c r="EQ17" s="221"/>
      <c r="ER17" s="221"/>
      <c r="ES17" s="221"/>
      <c r="ET17" s="221"/>
      <c r="EU17" s="315">
        <f t="shared" si="103"/>
        <v>0</v>
      </c>
      <c r="EV17" s="315" t="str">
        <f t="shared" si="104"/>
        <v/>
      </c>
      <c r="EW17" s="182"/>
      <c r="EX17" s="182"/>
      <c r="EY17" s="182"/>
      <c r="EZ17" s="221"/>
      <c r="FA17" s="221"/>
      <c r="FB17" s="221"/>
      <c r="FC17" s="221"/>
      <c r="FD17" s="221"/>
      <c r="FE17" s="221"/>
      <c r="FF17" s="221"/>
      <c r="FG17" s="221"/>
      <c r="FH17" s="221"/>
      <c r="FI17" s="182"/>
      <c r="FJ17" s="182"/>
      <c r="FK17" s="182"/>
      <c r="FL17" s="182"/>
      <c r="FM17" s="221" t="str">
        <f t="shared" si="105"/>
        <v/>
      </c>
      <c r="FN17" s="221" t="str">
        <f t="shared" si="106"/>
        <v/>
      </c>
      <c r="FO17" s="221"/>
      <c r="FP17" s="221"/>
      <c r="FQ17" s="221"/>
      <c r="FR17" s="221"/>
      <c r="FS17" s="221"/>
      <c r="FT17" s="221"/>
      <c r="FU17" s="221"/>
      <c r="FV17" s="221"/>
      <c r="FW17" s="221"/>
      <c r="FX17" s="221"/>
      <c r="FY17" s="221"/>
      <c r="FZ17" s="408"/>
      <c r="GA17" s="315">
        <f t="shared" si="107"/>
        <v>0</v>
      </c>
      <c r="GB17" s="315" t="str">
        <f t="shared" si="108"/>
        <v/>
      </c>
      <c r="GC17" s="302" t="s">
        <v>160</v>
      </c>
      <c r="GG17" s="460"/>
      <c r="GH17" s="460"/>
      <c r="GU17" s="469"/>
      <c r="GV17" s="470" t="str">
        <f t="shared" si="109"/>
        <v/>
      </c>
      <c r="GW17" s="302">
        <f t="shared" si="110"/>
        <v>0</v>
      </c>
      <c r="HA17" s="654"/>
      <c r="HD17" s="379"/>
      <c r="HE17" s="380"/>
      <c r="HH17" s="385"/>
      <c r="HI17" s="411"/>
      <c r="HJ17" s="302" t="str">
        <f t="shared" si="85"/>
        <v/>
      </c>
      <c r="HO17" s="302" t="str">
        <f t="shared" si="34"/>
        <v/>
      </c>
      <c r="HP17" s="302" t="str">
        <f t="shared" si="35"/>
        <v/>
      </c>
      <c r="HQ17" s="302" t="str">
        <f t="shared" si="36"/>
        <v/>
      </c>
      <c r="IT17" s="411"/>
      <c r="IU17" s="411"/>
      <c r="IV17" s="462"/>
    </row>
    <row r="18" spans="1:256" s="302" customFormat="1" ht="12.75" hidden="1" customHeight="1">
      <c r="A18" s="397" t="str">
        <f t="shared" si="1"/>
        <v/>
      </c>
      <c r="B18" s="462" t="str">
        <f t="shared" si="61"/>
        <v/>
      </c>
      <c r="C18" s="426"/>
      <c r="D18" s="575"/>
      <c r="E18" s="463"/>
      <c r="F18" s="464"/>
      <c r="G18" s="465"/>
      <c r="H18" s="465"/>
      <c r="I18" s="466"/>
      <c r="J18" s="463"/>
      <c r="K18" s="465"/>
      <c r="L18" s="465"/>
      <c r="M18" s="466"/>
      <c r="N18" s="573"/>
      <c r="O18" s="467"/>
      <c r="P18" s="518"/>
      <c r="Q18" s="381"/>
      <c r="R18" s="182"/>
      <c r="S18" s="653">
        <v>1</v>
      </c>
      <c r="T18" s="653">
        <f>COUNTIF($P$4:$P$207,S18)</f>
        <v>0</v>
      </c>
      <c r="U18" s="182"/>
      <c r="V18" s="182"/>
      <c r="W18" s="182"/>
      <c r="X18" s="182"/>
      <c r="Y18" s="182"/>
      <c r="Z18" s="182"/>
      <c r="AA18" s="384"/>
      <c r="AB18" s="182" t="str">
        <f t="shared" si="86"/>
        <v/>
      </c>
      <c r="AC18" s="315">
        <f t="shared" si="87"/>
        <v>0</v>
      </c>
      <c r="AD18" s="315" t="str">
        <f t="shared" si="63"/>
        <v/>
      </c>
      <c r="AE18" s="182"/>
      <c r="AF18" s="182"/>
      <c r="AG18" s="182"/>
      <c r="AH18" s="221"/>
      <c r="AI18" s="221"/>
      <c r="AJ18" s="221"/>
      <c r="AK18" s="221"/>
      <c r="AL18" s="221"/>
      <c r="AM18" s="221"/>
      <c r="AN18" s="221"/>
      <c r="AO18" s="221"/>
      <c r="AP18" s="221"/>
      <c r="AQ18" s="182"/>
      <c r="AR18" s="182"/>
      <c r="AS18" s="182"/>
      <c r="AT18" s="182"/>
      <c r="AU18" s="221" t="str">
        <f t="shared" si="88"/>
        <v/>
      </c>
      <c r="AV18" s="221" t="str">
        <f t="shared" si="89"/>
        <v/>
      </c>
      <c r="AW18" s="221"/>
      <c r="AX18" s="221"/>
      <c r="AY18" s="221"/>
      <c r="AZ18" s="221"/>
      <c r="BA18" s="221"/>
      <c r="BB18" s="221"/>
      <c r="BC18" s="221"/>
      <c r="BD18" s="221"/>
      <c r="BE18" s="221"/>
      <c r="BF18" s="469">
        <f t="shared" si="90"/>
        <v>0</v>
      </c>
      <c r="BG18" s="315">
        <f t="shared" si="91"/>
        <v>0</v>
      </c>
      <c r="BH18" s="315" t="str">
        <f t="shared" si="92"/>
        <v/>
      </c>
      <c r="BI18" s="182"/>
      <c r="BJ18" s="182"/>
      <c r="BK18" s="182"/>
      <c r="BL18" s="221"/>
      <c r="BM18" s="221"/>
      <c r="BN18" s="221"/>
      <c r="BO18" s="221"/>
      <c r="BP18" s="221"/>
      <c r="BQ18" s="221"/>
      <c r="BR18" s="221"/>
      <c r="BS18" s="221"/>
      <c r="BT18" s="221"/>
      <c r="BU18" s="182"/>
      <c r="BV18" s="182"/>
      <c r="BW18" s="182"/>
      <c r="BX18" s="182"/>
      <c r="BY18" s="221" t="str">
        <f t="shared" si="93"/>
        <v/>
      </c>
      <c r="BZ18" s="221" t="str">
        <f t="shared" si="94"/>
        <v/>
      </c>
      <c r="CA18" s="221"/>
      <c r="CB18" s="221"/>
      <c r="CC18" s="221"/>
      <c r="CD18" s="221"/>
      <c r="CE18" s="221"/>
      <c r="CF18" s="221"/>
      <c r="CG18" s="221"/>
      <c r="CH18" s="221"/>
      <c r="CI18" s="221"/>
      <c r="CJ18" s="469">
        <f t="shared" si="95"/>
        <v>0</v>
      </c>
      <c r="CK18" s="315">
        <f t="shared" si="96"/>
        <v>0</v>
      </c>
      <c r="CL18" s="315" t="str">
        <f t="shared" si="97"/>
        <v/>
      </c>
      <c r="CM18" s="182"/>
      <c r="CN18" s="182"/>
      <c r="CO18" s="182"/>
      <c r="CP18" s="221"/>
      <c r="CQ18" s="221"/>
      <c r="CR18" s="221"/>
      <c r="CS18" s="221"/>
      <c r="CT18" s="221"/>
      <c r="CU18" s="221"/>
      <c r="CV18" s="221"/>
      <c r="CW18" s="221"/>
      <c r="CX18" s="221"/>
      <c r="CY18" s="221"/>
      <c r="CZ18" s="182"/>
      <c r="DA18" s="182"/>
      <c r="DB18" s="182"/>
      <c r="DC18" s="182"/>
      <c r="DD18" s="221" t="str">
        <f t="shared" si="72"/>
        <v/>
      </c>
      <c r="DE18" s="221" t="str">
        <f t="shared" si="73"/>
        <v/>
      </c>
      <c r="DF18" s="221"/>
      <c r="DG18" s="221"/>
      <c r="DH18" s="221"/>
      <c r="DI18" s="221"/>
      <c r="DJ18" s="221"/>
      <c r="DK18" s="221"/>
      <c r="DL18" s="221"/>
      <c r="DM18" s="221"/>
      <c r="DN18" s="221"/>
      <c r="DO18" s="469" t="str">
        <f t="shared" si="98"/>
        <v/>
      </c>
      <c r="DP18" s="315">
        <f t="shared" si="99"/>
        <v>0</v>
      </c>
      <c r="DQ18" s="315" t="str">
        <f t="shared" si="100"/>
        <v/>
      </c>
      <c r="DR18" s="182"/>
      <c r="DS18" s="182"/>
      <c r="DT18" s="182"/>
      <c r="DU18" s="221"/>
      <c r="DV18" s="221"/>
      <c r="DW18" s="221"/>
      <c r="DX18" s="221"/>
      <c r="DY18" s="221"/>
      <c r="DZ18" s="221"/>
      <c r="EA18" s="221"/>
      <c r="EB18" s="221"/>
      <c r="EC18" s="221"/>
      <c r="ED18" s="182"/>
      <c r="EE18" s="182"/>
      <c r="EF18" s="182"/>
      <c r="EG18" s="182"/>
      <c r="EH18" s="221" t="str">
        <f t="shared" si="101"/>
        <v/>
      </c>
      <c r="EI18" s="221" t="str">
        <f t="shared" si="102"/>
        <v/>
      </c>
      <c r="EJ18" s="221"/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  <c r="EU18" s="315">
        <f t="shared" si="103"/>
        <v>0</v>
      </c>
      <c r="EV18" s="315" t="str">
        <f t="shared" si="104"/>
        <v/>
      </c>
      <c r="EW18" s="182"/>
      <c r="EX18" s="182"/>
      <c r="EY18" s="182"/>
      <c r="EZ18" s="221"/>
      <c r="FA18" s="221"/>
      <c r="FB18" s="221"/>
      <c r="FC18" s="221"/>
      <c r="FD18" s="221"/>
      <c r="FE18" s="221"/>
      <c r="FF18" s="221"/>
      <c r="FG18" s="221"/>
      <c r="FH18" s="221"/>
      <c r="FI18" s="182"/>
      <c r="FJ18" s="182"/>
      <c r="FK18" s="182"/>
      <c r="FL18" s="182"/>
      <c r="FM18" s="221" t="str">
        <f t="shared" si="105"/>
        <v/>
      </c>
      <c r="FN18" s="221" t="str">
        <f t="shared" si="106"/>
        <v/>
      </c>
      <c r="FO18" s="221"/>
      <c r="FP18" s="221"/>
      <c r="FQ18" s="221"/>
      <c r="FR18" s="221"/>
      <c r="FS18" s="221"/>
      <c r="FT18" s="221"/>
      <c r="FU18" s="221"/>
      <c r="FV18" s="221"/>
      <c r="FW18" s="221"/>
      <c r="FX18" s="221"/>
      <c r="FY18" s="221"/>
      <c r="FZ18" s="408"/>
      <c r="GA18" s="315">
        <f t="shared" si="107"/>
        <v>0</v>
      </c>
      <c r="GB18" s="315" t="str">
        <f t="shared" si="108"/>
        <v/>
      </c>
      <c r="GC18" s="182" t="s">
        <v>160</v>
      </c>
      <c r="GD18" s="182"/>
      <c r="GE18" s="182"/>
      <c r="GG18" s="460"/>
      <c r="GH18" s="460"/>
      <c r="GU18" s="469"/>
      <c r="GV18" s="470" t="str">
        <f t="shared" si="109"/>
        <v/>
      </c>
      <c r="GW18" s="302">
        <f t="shared" si="110"/>
        <v>0</v>
      </c>
      <c r="HA18" s="654"/>
      <c r="HD18" s="379"/>
      <c r="HE18" s="380"/>
      <c r="HH18" s="385"/>
      <c r="HI18" s="411"/>
      <c r="HJ18" s="302" t="str">
        <f t="shared" si="85"/>
        <v/>
      </c>
      <c r="HO18" s="302" t="str">
        <f t="shared" si="34"/>
        <v/>
      </c>
      <c r="HP18" s="302" t="str">
        <f t="shared" si="35"/>
        <v/>
      </c>
      <c r="HQ18" s="302" t="str">
        <f t="shared" si="36"/>
        <v/>
      </c>
      <c r="IT18" s="411"/>
      <c r="IU18" s="411"/>
      <c r="IV18" s="462"/>
    </row>
    <row r="19" spans="1:256" s="302" customFormat="1" ht="12.75" hidden="1" customHeight="1">
      <c r="A19" s="397" t="str">
        <f t="shared" si="1"/>
        <v/>
      </c>
      <c r="B19" s="462" t="str">
        <f t="shared" si="61"/>
        <v/>
      </c>
      <c r="C19" s="426"/>
      <c r="D19" s="575"/>
      <c r="E19" s="463"/>
      <c r="F19" s="464"/>
      <c r="G19" s="465"/>
      <c r="H19" s="465"/>
      <c r="I19" s="466"/>
      <c r="J19" s="463"/>
      <c r="K19" s="465"/>
      <c r="L19" s="465"/>
      <c r="M19" s="466"/>
      <c r="N19" s="573"/>
      <c r="O19" s="467"/>
      <c r="P19" s="518"/>
      <c r="Q19" s="381"/>
      <c r="R19" s="182"/>
      <c r="S19" s="653">
        <v>2</v>
      </c>
      <c r="T19" s="653">
        <f>COUNTIF($P$4:$P$207,S19)</f>
        <v>0</v>
      </c>
      <c r="U19" s="182"/>
      <c r="V19" s="182"/>
      <c r="W19" s="182"/>
      <c r="X19" s="182"/>
      <c r="Y19" s="182"/>
      <c r="Z19" s="182"/>
      <c r="AA19" s="382"/>
      <c r="AB19" s="182" t="str">
        <f t="shared" si="86"/>
        <v/>
      </c>
      <c r="AC19" s="315">
        <f t="shared" si="87"/>
        <v>0</v>
      </c>
      <c r="AD19" s="315" t="str">
        <f t="shared" si="63"/>
        <v/>
      </c>
      <c r="AE19" s="182"/>
      <c r="AF19" s="182"/>
      <c r="AG19" s="182"/>
      <c r="AH19" s="221"/>
      <c r="AI19" s="221"/>
      <c r="AJ19" s="221"/>
      <c r="AK19" s="221"/>
      <c r="AL19" s="221"/>
      <c r="AM19" s="221"/>
      <c r="AN19" s="221"/>
      <c r="AO19" s="221"/>
      <c r="AP19" s="221"/>
      <c r="AQ19" s="182"/>
      <c r="AR19" s="182"/>
      <c r="AS19" s="182"/>
      <c r="AT19" s="182"/>
      <c r="AU19" s="221" t="str">
        <f t="shared" si="88"/>
        <v/>
      </c>
      <c r="AV19" s="221" t="str">
        <f t="shared" si="89"/>
        <v/>
      </c>
      <c r="AW19" s="221"/>
      <c r="AX19" s="221"/>
      <c r="AY19" s="221"/>
      <c r="AZ19" s="221"/>
      <c r="BA19" s="221"/>
      <c r="BB19" s="221"/>
      <c r="BC19" s="221"/>
      <c r="BD19" s="221"/>
      <c r="BE19" s="221"/>
      <c r="BF19" s="468">
        <f t="shared" si="90"/>
        <v>0</v>
      </c>
      <c r="BG19" s="315">
        <f t="shared" si="91"/>
        <v>0</v>
      </c>
      <c r="BH19" s="315" t="str">
        <f t="shared" si="92"/>
        <v/>
      </c>
      <c r="BI19" s="182"/>
      <c r="BJ19" s="182"/>
      <c r="BK19" s="182"/>
      <c r="BL19" s="221"/>
      <c r="BM19" s="221"/>
      <c r="BN19" s="221"/>
      <c r="BO19" s="221"/>
      <c r="BP19" s="221"/>
      <c r="BQ19" s="221"/>
      <c r="BR19" s="221"/>
      <c r="BS19" s="221"/>
      <c r="BT19" s="221"/>
      <c r="BU19" s="182"/>
      <c r="BV19" s="182"/>
      <c r="BW19" s="182"/>
      <c r="BX19" s="182"/>
      <c r="BY19" s="221" t="str">
        <f t="shared" si="93"/>
        <v/>
      </c>
      <c r="BZ19" s="221" t="str">
        <f t="shared" si="94"/>
        <v/>
      </c>
      <c r="CA19" s="221"/>
      <c r="CB19" s="221"/>
      <c r="CC19" s="221"/>
      <c r="CD19" s="221"/>
      <c r="CE19" s="221"/>
      <c r="CF19" s="221"/>
      <c r="CG19" s="221"/>
      <c r="CH19" s="221"/>
      <c r="CI19" s="221"/>
      <c r="CJ19" s="468">
        <f t="shared" si="95"/>
        <v>0</v>
      </c>
      <c r="CK19" s="315">
        <f t="shared" si="96"/>
        <v>0</v>
      </c>
      <c r="CL19" s="315" t="str">
        <f t="shared" si="97"/>
        <v/>
      </c>
      <c r="CM19" s="182"/>
      <c r="CN19" s="182"/>
      <c r="CO19" s="182"/>
      <c r="CP19" s="221"/>
      <c r="CQ19" s="221"/>
      <c r="CR19" s="221"/>
      <c r="CS19" s="221"/>
      <c r="CT19" s="221"/>
      <c r="CU19" s="221"/>
      <c r="CV19" s="221"/>
      <c r="CW19" s="221"/>
      <c r="CX19" s="221"/>
      <c r="CY19" s="221"/>
      <c r="CZ19" s="182"/>
      <c r="DA19" s="182"/>
      <c r="DB19" s="182"/>
      <c r="DC19" s="182"/>
      <c r="DD19" s="221" t="str">
        <f t="shared" si="72"/>
        <v/>
      </c>
      <c r="DE19" s="221" t="str">
        <f t="shared" si="73"/>
        <v/>
      </c>
      <c r="DF19" s="221"/>
      <c r="DG19" s="221"/>
      <c r="DH19" s="221"/>
      <c r="DI19" s="221"/>
      <c r="DJ19" s="221"/>
      <c r="DK19" s="221"/>
      <c r="DL19" s="221"/>
      <c r="DM19" s="221"/>
      <c r="DN19" s="221"/>
      <c r="DO19" s="469" t="str">
        <f t="shared" si="98"/>
        <v/>
      </c>
      <c r="DP19" s="315">
        <f t="shared" si="99"/>
        <v>0</v>
      </c>
      <c r="DQ19" s="315" t="str">
        <f t="shared" si="100"/>
        <v/>
      </c>
      <c r="DR19" s="182"/>
      <c r="DS19" s="182"/>
      <c r="DT19" s="182"/>
      <c r="DU19" s="221"/>
      <c r="DV19" s="221"/>
      <c r="DW19" s="221"/>
      <c r="DX19" s="221"/>
      <c r="DY19" s="221"/>
      <c r="DZ19" s="221"/>
      <c r="EA19" s="221"/>
      <c r="EB19" s="221"/>
      <c r="EC19" s="221"/>
      <c r="ED19" s="182"/>
      <c r="EE19" s="182"/>
      <c r="EF19" s="182"/>
      <c r="EG19" s="182"/>
      <c r="EH19" s="221" t="str">
        <f t="shared" si="101"/>
        <v/>
      </c>
      <c r="EI19" s="221" t="str">
        <f t="shared" si="102"/>
        <v/>
      </c>
      <c r="EJ19" s="221"/>
      <c r="EK19" s="221"/>
      <c r="EL19" s="221"/>
      <c r="EM19" s="221"/>
      <c r="EN19" s="221"/>
      <c r="EO19" s="221"/>
      <c r="EP19" s="221"/>
      <c r="EQ19" s="221"/>
      <c r="ER19" s="221"/>
      <c r="ES19" s="221"/>
      <c r="ET19" s="221"/>
      <c r="EU19" s="315">
        <f t="shared" si="103"/>
        <v>0</v>
      </c>
      <c r="EV19" s="315" t="str">
        <f t="shared" si="104"/>
        <v/>
      </c>
      <c r="EW19" s="182"/>
      <c r="EX19" s="182"/>
      <c r="EY19" s="182"/>
      <c r="EZ19" s="221"/>
      <c r="FA19" s="221"/>
      <c r="FB19" s="221"/>
      <c r="FC19" s="221"/>
      <c r="FD19" s="221"/>
      <c r="FE19" s="221"/>
      <c r="FF19" s="221"/>
      <c r="FG19" s="221"/>
      <c r="FH19" s="221"/>
      <c r="FI19" s="182"/>
      <c r="FJ19" s="182"/>
      <c r="FK19" s="182"/>
      <c r="FL19" s="182"/>
      <c r="FM19" s="221" t="str">
        <f t="shared" si="105"/>
        <v/>
      </c>
      <c r="FN19" s="221" t="str">
        <f t="shared" si="106"/>
        <v/>
      </c>
      <c r="FO19" s="221"/>
      <c r="FP19" s="221"/>
      <c r="FQ19" s="221"/>
      <c r="FR19" s="221"/>
      <c r="FS19" s="221"/>
      <c r="FT19" s="221"/>
      <c r="FU19" s="221"/>
      <c r="FV19" s="221"/>
      <c r="FW19" s="221"/>
      <c r="FX19" s="221"/>
      <c r="FY19" s="221"/>
      <c r="FZ19" s="408"/>
      <c r="GA19" s="315">
        <f t="shared" si="107"/>
        <v>0</v>
      </c>
      <c r="GB19" s="315" t="str">
        <f t="shared" si="108"/>
        <v/>
      </c>
      <c r="GC19" s="302" t="s">
        <v>160</v>
      </c>
      <c r="GG19" s="460"/>
      <c r="GH19" s="460"/>
      <c r="GU19" s="469"/>
      <c r="GV19" s="470" t="str">
        <f t="shared" si="109"/>
        <v/>
      </c>
      <c r="GW19" s="302">
        <f t="shared" si="110"/>
        <v>0</v>
      </c>
      <c r="HA19" s="654"/>
      <c r="HD19" s="379"/>
      <c r="HE19" s="380"/>
      <c r="HH19" s="383"/>
      <c r="HI19" s="410"/>
      <c r="HJ19" s="302" t="str">
        <f t="shared" si="85"/>
        <v/>
      </c>
      <c r="HO19" s="302" t="str">
        <f t="shared" si="34"/>
        <v/>
      </c>
      <c r="HP19" s="302" t="str">
        <f t="shared" si="35"/>
        <v/>
      </c>
      <c r="HQ19" s="302" t="str">
        <f t="shared" si="36"/>
        <v/>
      </c>
      <c r="IT19" s="410"/>
      <c r="IU19" s="410"/>
      <c r="IV19" s="462"/>
    </row>
    <row r="20" spans="1:256" s="302" customFormat="1" ht="12.75" hidden="1" customHeight="1">
      <c r="A20" s="397" t="str">
        <f t="shared" si="1"/>
        <v/>
      </c>
      <c r="B20" s="462" t="str">
        <f t="shared" si="61"/>
        <v/>
      </c>
      <c r="C20" s="426"/>
      <c r="D20" s="575"/>
      <c r="E20" s="463"/>
      <c r="F20" s="464"/>
      <c r="G20" s="465"/>
      <c r="H20" s="465"/>
      <c r="I20" s="466"/>
      <c r="J20" s="463"/>
      <c r="K20" s="465"/>
      <c r="L20" s="465"/>
      <c r="M20" s="466"/>
      <c r="N20" s="573"/>
      <c r="O20" s="467"/>
      <c r="P20" s="518"/>
      <c r="Q20" s="381"/>
      <c r="R20" s="182"/>
      <c r="S20" s="653">
        <v>3</v>
      </c>
      <c r="T20" s="653">
        <f>COUNTIF($P$4:$P$207,S20)</f>
        <v>0</v>
      </c>
      <c r="U20" s="182">
        <f>SUM(T18:T20)</f>
        <v>0</v>
      </c>
      <c r="V20" s="182"/>
      <c r="W20" s="182"/>
      <c r="X20" s="182"/>
      <c r="Y20" s="182"/>
      <c r="Z20" s="182"/>
      <c r="AA20" s="384"/>
      <c r="AB20" s="182" t="str">
        <f t="shared" si="86"/>
        <v/>
      </c>
      <c r="AC20" s="315">
        <f t="shared" si="87"/>
        <v>0</v>
      </c>
      <c r="AD20" s="315" t="str">
        <f t="shared" si="63"/>
        <v/>
      </c>
      <c r="AE20" s="182"/>
      <c r="AF20" s="182"/>
      <c r="AG20" s="182"/>
      <c r="AH20" s="221"/>
      <c r="AI20" s="221"/>
      <c r="AJ20" s="221"/>
      <c r="AK20" s="221"/>
      <c r="AL20" s="221"/>
      <c r="AM20" s="221"/>
      <c r="AN20" s="221"/>
      <c r="AO20" s="221"/>
      <c r="AP20" s="221"/>
      <c r="AQ20" s="182"/>
      <c r="AR20" s="182"/>
      <c r="AS20" s="182"/>
      <c r="AT20" s="182"/>
      <c r="AU20" s="221" t="str">
        <f t="shared" si="88"/>
        <v/>
      </c>
      <c r="AV20" s="221" t="str">
        <f t="shared" si="89"/>
        <v/>
      </c>
      <c r="AW20" s="221"/>
      <c r="AX20" s="221"/>
      <c r="AY20" s="221"/>
      <c r="AZ20" s="221"/>
      <c r="BA20" s="221"/>
      <c r="BB20" s="221"/>
      <c r="BC20" s="221"/>
      <c r="BD20" s="221"/>
      <c r="BE20" s="221"/>
      <c r="BF20" s="469">
        <f t="shared" si="90"/>
        <v>0</v>
      </c>
      <c r="BG20" s="315">
        <f t="shared" si="91"/>
        <v>0</v>
      </c>
      <c r="BH20" s="315" t="str">
        <f t="shared" si="92"/>
        <v/>
      </c>
      <c r="BI20" s="182"/>
      <c r="BJ20" s="182"/>
      <c r="BK20" s="182"/>
      <c r="BL20" s="221"/>
      <c r="BM20" s="221"/>
      <c r="BN20" s="221"/>
      <c r="BO20" s="221"/>
      <c r="BP20" s="221"/>
      <c r="BQ20" s="221"/>
      <c r="BR20" s="221"/>
      <c r="BS20" s="221"/>
      <c r="BT20" s="221"/>
      <c r="BU20" s="182"/>
      <c r="BV20" s="182"/>
      <c r="BW20" s="182"/>
      <c r="BX20" s="182"/>
      <c r="BY20" s="221" t="str">
        <f t="shared" si="93"/>
        <v/>
      </c>
      <c r="BZ20" s="221" t="str">
        <f t="shared" si="94"/>
        <v/>
      </c>
      <c r="CA20" s="221"/>
      <c r="CB20" s="221"/>
      <c r="CC20" s="221"/>
      <c r="CD20" s="221"/>
      <c r="CE20" s="221"/>
      <c r="CF20" s="221"/>
      <c r="CG20" s="221"/>
      <c r="CH20" s="221"/>
      <c r="CI20" s="221"/>
      <c r="CJ20" s="469">
        <f t="shared" si="95"/>
        <v>0</v>
      </c>
      <c r="CK20" s="315">
        <f t="shared" si="96"/>
        <v>0</v>
      </c>
      <c r="CL20" s="315" t="str">
        <f t="shared" si="97"/>
        <v/>
      </c>
      <c r="CM20" s="182"/>
      <c r="CN20" s="182"/>
      <c r="CO20" s="182"/>
      <c r="CP20" s="221"/>
      <c r="CQ20" s="221"/>
      <c r="CR20" s="221"/>
      <c r="CS20" s="221"/>
      <c r="CT20" s="221"/>
      <c r="CU20" s="221"/>
      <c r="CV20" s="221"/>
      <c r="CW20" s="221"/>
      <c r="CX20" s="221"/>
      <c r="CY20" s="221"/>
      <c r="CZ20" s="182"/>
      <c r="DA20" s="182"/>
      <c r="DB20" s="182"/>
      <c r="DC20" s="182"/>
      <c r="DD20" s="221" t="str">
        <f t="shared" si="72"/>
        <v/>
      </c>
      <c r="DE20" s="221" t="str">
        <f t="shared" si="73"/>
        <v/>
      </c>
      <c r="DF20" s="221"/>
      <c r="DG20" s="221"/>
      <c r="DH20" s="221"/>
      <c r="DI20" s="221"/>
      <c r="DJ20" s="221"/>
      <c r="DK20" s="221"/>
      <c r="DL20" s="221"/>
      <c r="DM20" s="221"/>
      <c r="DN20" s="221"/>
      <c r="DO20" s="469" t="str">
        <f t="shared" si="98"/>
        <v/>
      </c>
      <c r="DP20" s="315">
        <f t="shared" si="99"/>
        <v>0</v>
      </c>
      <c r="DQ20" s="315" t="str">
        <f t="shared" si="100"/>
        <v/>
      </c>
      <c r="DR20" s="182"/>
      <c r="DS20" s="182"/>
      <c r="DT20" s="182"/>
      <c r="DU20" s="221"/>
      <c r="DV20" s="221"/>
      <c r="DW20" s="221"/>
      <c r="DX20" s="221"/>
      <c r="DY20" s="221"/>
      <c r="DZ20" s="221"/>
      <c r="EA20" s="221"/>
      <c r="EB20" s="221"/>
      <c r="EC20" s="221"/>
      <c r="ED20" s="182"/>
      <c r="EE20" s="182"/>
      <c r="EF20" s="182"/>
      <c r="EG20" s="182"/>
      <c r="EH20" s="221" t="str">
        <f t="shared" si="101"/>
        <v/>
      </c>
      <c r="EI20" s="221" t="str">
        <f t="shared" si="102"/>
        <v/>
      </c>
      <c r="EJ20" s="221"/>
      <c r="EK20" s="221"/>
      <c r="EL20" s="221"/>
      <c r="EM20" s="221"/>
      <c r="EN20" s="221"/>
      <c r="EO20" s="221"/>
      <c r="EP20" s="221"/>
      <c r="EQ20" s="221"/>
      <c r="ER20" s="221"/>
      <c r="ES20" s="221"/>
      <c r="ET20" s="221"/>
      <c r="EU20" s="315">
        <f t="shared" si="103"/>
        <v>0</v>
      </c>
      <c r="EV20" s="315" t="str">
        <f t="shared" si="104"/>
        <v/>
      </c>
      <c r="EW20" s="182"/>
      <c r="EX20" s="182"/>
      <c r="EY20" s="182"/>
      <c r="EZ20" s="221"/>
      <c r="FA20" s="221"/>
      <c r="FB20" s="221"/>
      <c r="FC20" s="221"/>
      <c r="FD20" s="221"/>
      <c r="FE20" s="221"/>
      <c r="FF20" s="221"/>
      <c r="FG20" s="221"/>
      <c r="FH20" s="221"/>
      <c r="FI20" s="182"/>
      <c r="FJ20" s="182"/>
      <c r="FK20" s="182"/>
      <c r="FL20" s="182"/>
      <c r="FM20" s="221" t="str">
        <f t="shared" si="105"/>
        <v/>
      </c>
      <c r="FN20" s="221" t="str">
        <f t="shared" si="106"/>
        <v/>
      </c>
      <c r="FO20" s="221"/>
      <c r="FP20" s="221"/>
      <c r="FQ20" s="221"/>
      <c r="FR20" s="221"/>
      <c r="FS20" s="221"/>
      <c r="FT20" s="221"/>
      <c r="FU20" s="221"/>
      <c r="FV20" s="221"/>
      <c r="FW20" s="221"/>
      <c r="FX20" s="221"/>
      <c r="FY20" s="221"/>
      <c r="FZ20" s="408"/>
      <c r="GA20" s="315">
        <f t="shared" si="107"/>
        <v>0</v>
      </c>
      <c r="GB20" s="315" t="str">
        <f t="shared" si="108"/>
        <v/>
      </c>
      <c r="GC20" s="182" t="s">
        <v>160</v>
      </c>
      <c r="GD20" s="182"/>
      <c r="GE20" s="182"/>
      <c r="GG20" s="460"/>
      <c r="GH20" s="460"/>
      <c r="GU20" s="469"/>
      <c r="GV20" s="470" t="str">
        <f t="shared" si="109"/>
        <v/>
      </c>
      <c r="GW20" s="302">
        <f t="shared" si="110"/>
        <v>0</v>
      </c>
      <c r="HA20" s="654"/>
      <c r="HD20" s="379"/>
      <c r="HE20" s="380"/>
      <c r="HH20" s="385"/>
      <c r="HI20" s="411"/>
      <c r="HJ20" s="302" t="str">
        <f t="shared" si="85"/>
        <v/>
      </c>
      <c r="HO20" s="302" t="str">
        <f t="shared" si="34"/>
        <v/>
      </c>
      <c r="HP20" s="302" t="str">
        <f t="shared" si="35"/>
        <v/>
      </c>
      <c r="HQ20" s="302" t="str">
        <f t="shared" si="36"/>
        <v/>
      </c>
      <c r="IT20" s="411"/>
      <c r="IU20" s="411"/>
      <c r="IV20" s="462"/>
    </row>
    <row r="21" spans="1:256" s="302" customFormat="1" ht="12.75" hidden="1" customHeight="1">
      <c r="A21" s="397" t="str">
        <f t="shared" si="1"/>
        <v/>
      </c>
      <c r="B21" s="462" t="str">
        <f t="shared" si="61"/>
        <v/>
      </c>
      <c r="C21" s="426"/>
      <c r="D21" s="575"/>
      <c r="E21" s="463"/>
      <c r="F21" s="464"/>
      <c r="G21" s="465"/>
      <c r="H21" s="465"/>
      <c r="I21" s="466"/>
      <c r="J21" s="463"/>
      <c r="K21" s="465"/>
      <c r="L21" s="465"/>
      <c r="M21" s="466"/>
      <c r="N21" s="573"/>
      <c r="O21" s="467"/>
      <c r="P21" s="518"/>
      <c r="Q21" s="381"/>
      <c r="R21" s="182"/>
      <c r="S21" s="531" t="s">
        <v>171</v>
      </c>
      <c r="T21" s="653">
        <f>COUNTIF($P$4:$P$207,"")</f>
        <v>204</v>
      </c>
      <c r="U21" s="386"/>
      <c r="V21" s="182"/>
      <c r="W21" s="182"/>
      <c r="X21" s="182"/>
      <c r="Y21" s="182"/>
      <c r="Z21" s="182"/>
      <c r="AA21" s="382"/>
      <c r="AB21" s="182" t="str">
        <f t="shared" si="86"/>
        <v/>
      </c>
      <c r="AC21" s="315">
        <f t="shared" si="87"/>
        <v>0</v>
      </c>
      <c r="AD21" s="315" t="str">
        <f t="shared" si="63"/>
        <v/>
      </c>
      <c r="AE21" s="182"/>
      <c r="AF21" s="182"/>
      <c r="AG21" s="182"/>
      <c r="AH21" s="221"/>
      <c r="AI21" s="221"/>
      <c r="AJ21" s="221"/>
      <c r="AK21" s="221"/>
      <c r="AL21" s="221"/>
      <c r="AM21" s="221"/>
      <c r="AN21" s="221"/>
      <c r="AO21" s="221"/>
      <c r="AP21" s="221"/>
      <c r="AQ21" s="182"/>
      <c r="AR21" s="182"/>
      <c r="AS21" s="182"/>
      <c r="AT21" s="182"/>
      <c r="AU21" s="221" t="str">
        <f t="shared" si="88"/>
        <v/>
      </c>
      <c r="AV21" s="221" t="str">
        <f t="shared" si="89"/>
        <v/>
      </c>
      <c r="AW21" s="221"/>
      <c r="AX21" s="221"/>
      <c r="AY21" s="221"/>
      <c r="AZ21" s="221"/>
      <c r="BA21" s="221"/>
      <c r="BB21" s="221"/>
      <c r="BC21" s="221"/>
      <c r="BD21" s="221"/>
      <c r="BE21" s="221"/>
      <c r="BF21" s="468">
        <f t="shared" si="90"/>
        <v>0</v>
      </c>
      <c r="BG21" s="315">
        <f t="shared" si="91"/>
        <v>0</v>
      </c>
      <c r="BH21" s="315" t="str">
        <f t="shared" si="92"/>
        <v/>
      </c>
      <c r="BI21" s="182"/>
      <c r="BJ21" s="182"/>
      <c r="BK21" s="182"/>
      <c r="BL21" s="221"/>
      <c r="BM21" s="221"/>
      <c r="BN21" s="221"/>
      <c r="BO21" s="221"/>
      <c r="BP21" s="221"/>
      <c r="BQ21" s="221"/>
      <c r="BR21" s="221"/>
      <c r="BS21" s="221"/>
      <c r="BT21" s="221"/>
      <c r="BU21" s="182"/>
      <c r="BV21" s="182"/>
      <c r="BW21" s="182"/>
      <c r="BX21" s="182"/>
      <c r="BY21" s="221" t="str">
        <f t="shared" si="93"/>
        <v/>
      </c>
      <c r="BZ21" s="221" t="str">
        <f t="shared" si="94"/>
        <v/>
      </c>
      <c r="CA21" s="221"/>
      <c r="CB21" s="221"/>
      <c r="CC21" s="221"/>
      <c r="CD21" s="221"/>
      <c r="CE21" s="221"/>
      <c r="CF21" s="221"/>
      <c r="CG21" s="221"/>
      <c r="CH21" s="221"/>
      <c r="CI21" s="221"/>
      <c r="CJ21" s="468">
        <f t="shared" si="95"/>
        <v>0</v>
      </c>
      <c r="CK21" s="315">
        <f t="shared" si="96"/>
        <v>0</v>
      </c>
      <c r="CL21" s="315" t="str">
        <f t="shared" si="97"/>
        <v/>
      </c>
      <c r="CM21" s="182"/>
      <c r="CN21" s="182"/>
      <c r="CO21" s="182"/>
      <c r="CP21" s="221"/>
      <c r="CQ21" s="221"/>
      <c r="CR21" s="221"/>
      <c r="CS21" s="221"/>
      <c r="CT21" s="221"/>
      <c r="CU21" s="221"/>
      <c r="CV21" s="221"/>
      <c r="CW21" s="221"/>
      <c r="CX21" s="221"/>
      <c r="CY21" s="221"/>
      <c r="CZ21" s="182"/>
      <c r="DA21" s="182"/>
      <c r="DB21" s="182"/>
      <c r="DC21" s="182"/>
      <c r="DD21" s="221" t="str">
        <f t="shared" si="72"/>
        <v/>
      </c>
      <c r="DE21" s="221" t="str">
        <f t="shared" si="73"/>
        <v/>
      </c>
      <c r="DF21" s="221"/>
      <c r="DG21" s="221"/>
      <c r="DH21" s="221"/>
      <c r="DI21" s="221"/>
      <c r="DJ21" s="221"/>
      <c r="DK21" s="221"/>
      <c r="DL21" s="221"/>
      <c r="DM21" s="221"/>
      <c r="DN21" s="221"/>
      <c r="DO21" s="469" t="str">
        <f t="shared" si="98"/>
        <v/>
      </c>
      <c r="DP21" s="315">
        <f t="shared" si="99"/>
        <v>0</v>
      </c>
      <c r="DQ21" s="315" t="str">
        <f t="shared" si="100"/>
        <v/>
      </c>
      <c r="DR21" s="182"/>
      <c r="DS21" s="182"/>
      <c r="DT21" s="182"/>
      <c r="DU21" s="221"/>
      <c r="DV21" s="221"/>
      <c r="DW21" s="221"/>
      <c r="DX21" s="221"/>
      <c r="DY21" s="221"/>
      <c r="DZ21" s="221"/>
      <c r="EA21" s="221"/>
      <c r="EB21" s="221"/>
      <c r="EC21" s="221"/>
      <c r="ED21" s="182"/>
      <c r="EE21" s="182"/>
      <c r="EF21" s="182"/>
      <c r="EG21" s="182"/>
      <c r="EH21" s="221" t="str">
        <f t="shared" si="101"/>
        <v/>
      </c>
      <c r="EI21" s="221" t="str">
        <f t="shared" si="102"/>
        <v/>
      </c>
      <c r="EJ21" s="221"/>
      <c r="EK21" s="221"/>
      <c r="EL21" s="221"/>
      <c r="EM21" s="221"/>
      <c r="EN21" s="221"/>
      <c r="EO21" s="221"/>
      <c r="EP21" s="221"/>
      <c r="EQ21" s="221"/>
      <c r="ER21" s="221"/>
      <c r="ES21" s="221"/>
      <c r="ET21" s="221"/>
      <c r="EU21" s="315">
        <f t="shared" si="103"/>
        <v>0</v>
      </c>
      <c r="EV21" s="315" t="str">
        <f t="shared" si="104"/>
        <v/>
      </c>
      <c r="EW21" s="182"/>
      <c r="EX21" s="182"/>
      <c r="EY21" s="182"/>
      <c r="EZ21" s="221"/>
      <c r="FA21" s="221"/>
      <c r="FB21" s="221"/>
      <c r="FC21" s="221"/>
      <c r="FD21" s="221"/>
      <c r="FE21" s="221"/>
      <c r="FF21" s="221"/>
      <c r="FG21" s="221"/>
      <c r="FH21" s="221"/>
      <c r="FI21" s="182"/>
      <c r="FJ21" s="182"/>
      <c r="FK21" s="182"/>
      <c r="FL21" s="182"/>
      <c r="FM21" s="221" t="str">
        <f t="shared" si="105"/>
        <v/>
      </c>
      <c r="FN21" s="221" t="str">
        <f t="shared" si="106"/>
        <v/>
      </c>
      <c r="FO21" s="221"/>
      <c r="FP21" s="221"/>
      <c r="FQ21" s="221"/>
      <c r="FR21" s="221"/>
      <c r="FS21" s="221"/>
      <c r="FT21" s="221"/>
      <c r="FU21" s="221"/>
      <c r="FV21" s="221"/>
      <c r="FW21" s="221"/>
      <c r="FX21" s="221"/>
      <c r="FY21" s="221"/>
      <c r="FZ21" s="408"/>
      <c r="GA21" s="315">
        <f t="shared" si="107"/>
        <v>0</v>
      </c>
      <c r="GB21" s="315" t="str">
        <f t="shared" si="108"/>
        <v/>
      </c>
      <c r="GC21" s="302" t="s">
        <v>160</v>
      </c>
      <c r="GG21" s="460"/>
      <c r="GH21" s="460"/>
      <c r="GU21" s="469"/>
      <c r="GV21" s="470" t="str">
        <f t="shared" si="109"/>
        <v/>
      </c>
      <c r="GW21" s="302">
        <f t="shared" si="110"/>
        <v>0</v>
      </c>
      <c r="HA21" s="654"/>
      <c r="HD21" s="379"/>
      <c r="HE21" s="380"/>
      <c r="HH21" s="383"/>
      <c r="HI21" s="410"/>
      <c r="HJ21" s="302" t="str">
        <f t="shared" si="85"/>
        <v/>
      </c>
      <c r="HO21" s="302" t="str">
        <f t="shared" si="34"/>
        <v/>
      </c>
      <c r="HP21" s="302" t="str">
        <f t="shared" si="35"/>
        <v/>
      </c>
      <c r="HQ21" s="302" t="str">
        <f t="shared" si="36"/>
        <v/>
      </c>
      <c r="IT21" s="410"/>
      <c r="IU21" s="410"/>
      <c r="IV21" s="462"/>
    </row>
    <row r="22" spans="1:256" s="302" customFormat="1" ht="12.75" hidden="1" customHeight="1">
      <c r="A22" s="397" t="str">
        <f t="shared" si="1"/>
        <v/>
      </c>
      <c r="B22" s="462" t="str">
        <f t="shared" si="61"/>
        <v/>
      </c>
      <c r="C22" s="426"/>
      <c r="D22" s="575"/>
      <c r="E22" s="463"/>
      <c r="F22" s="464"/>
      <c r="G22" s="465"/>
      <c r="H22" s="465"/>
      <c r="I22" s="466"/>
      <c r="J22" s="463"/>
      <c r="K22" s="465"/>
      <c r="L22" s="465"/>
      <c r="M22" s="466"/>
      <c r="N22" s="573"/>
      <c r="O22" s="467"/>
      <c r="P22" s="518"/>
      <c r="Q22" s="381"/>
      <c r="R22" s="182"/>
      <c r="S22" s="783" t="s">
        <v>172</v>
      </c>
      <c r="T22" s="784"/>
      <c r="U22" s="182">
        <f>SUM(T21,U20)</f>
        <v>204</v>
      </c>
      <c r="V22" s="182"/>
      <c r="W22" s="182"/>
      <c r="X22" s="182"/>
      <c r="Y22" s="182"/>
      <c r="Z22" s="182"/>
      <c r="AA22" s="384"/>
      <c r="AB22" s="182" t="str">
        <f t="shared" si="86"/>
        <v/>
      </c>
      <c r="AC22" s="315">
        <f t="shared" si="87"/>
        <v>0</v>
      </c>
      <c r="AD22" s="315" t="str">
        <f t="shared" si="63"/>
        <v/>
      </c>
      <c r="AE22" s="182"/>
      <c r="AF22" s="182"/>
      <c r="AG22" s="182"/>
      <c r="AH22" s="221"/>
      <c r="AI22" s="221"/>
      <c r="AJ22" s="221"/>
      <c r="AK22" s="221"/>
      <c r="AL22" s="221"/>
      <c r="AM22" s="221"/>
      <c r="AN22" s="221"/>
      <c r="AO22" s="221"/>
      <c r="AP22" s="221"/>
      <c r="AQ22" s="182"/>
      <c r="AR22" s="182"/>
      <c r="AS22" s="182"/>
      <c r="AT22" s="182"/>
      <c r="AU22" s="221" t="str">
        <f t="shared" si="88"/>
        <v/>
      </c>
      <c r="AV22" s="221" t="str">
        <f t="shared" si="89"/>
        <v/>
      </c>
      <c r="AW22" s="221"/>
      <c r="AX22" s="221"/>
      <c r="AY22" s="221"/>
      <c r="AZ22" s="221"/>
      <c r="BA22" s="221"/>
      <c r="BB22" s="221"/>
      <c r="BC22" s="221"/>
      <c r="BD22" s="221"/>
      <c r="BE22" s="221"/>
      <c r="BF22" s="469">
        <f t="shared" si="90"/>
        <v>0</v>
      </c>
      <c r="BG22" s="315">
        <f t="shared" si="91"/>
        <v>0</v>
      </c>
      <c r="BH22" s="315" t="str">
        <f t="shared" si="92"/>
        <v/>
      </c>
      <c r="BI22" s="182"/>
      <c r="BJ22" s="182"/>
      <c r="BK22" s="182"/>
      <c r="BL22" s="221"/>
      <c r="BM22" s="221"/>
      <c r="BN22" s="221"/>
      <c r="BO22" s="221"/>
      <c r="BP22" s="221"/>
      <c r="BQ22" s="221"/>
      <c r="BR22" s="221"/>
      <c r="BS22" s="221"/>
      <c r="BT22" s="221"/>
      <c r="BU22" s="182"/>
      <c r="BV22" s="182"/>
      <c r="BW22" s="182"/>
      <c r="BX22" s="182"/>
      <c r="BY22" s="221" t="str">
        <f t="shared" si="93"/>
        <v/>
      </c>
      <c r="BZ22" s="221" t="str">
        <f t="shared" si="94"/>
        <v/>
      </c>
      <c r="CA22" s="221"/>
      <c r="CB22" s="221"/>
      <c r="CC22" s="221"/>
      <c r="CD22" s="221"/>
      <c r="CE22" s="221"/>
      <c r="CF22" s="221"/>
      <c r="CG22" s="221"/>
      <c r="CH22" s="221"/>
      <c r="CI22" s="221"/>
      <c r="CJ22" s="469">
        <f t="shared" si="95"/>
        <v>0</v>
      </c>
      <c r="CK22" s="315">
        <f t="shared" si="96"/>
        <v>0</v>
      </c>
      <c r="CL22" s="315" t="str">
        <f t="shared" si="97"/>
        <v/>
      </c>
      <c r="CM22" s="182"/>
      <c r="CN22" s="182"/>
      <c r="CO22" s="182"/>
      <c r="CP22" s="221"/>
      <c r="CQ22" s="221"/>
      <c r="CR22" s="221"/>
      <c r="CS22" s="221"/>
      <c r="CT22" s="221"/>
      <c r="CU22" s="221"/>
      <c r="CV22" s="221"/>
      <c r="CW22" s="221"/>
      <c r="CX22" s="221"/>
      <c r="CY22" s="221"/>
      <c r="CZ22" s="182"/>
      <c r="DA22" s="182"/>
      <c r="DB22" s="182"/>
      <c r="DC22" s="182"/>
      <c r="DD22" s="221" t="str">
        <f t="shared" si="72"/>
        <v/>
      </c>
      <c r="DE22" s="221" t="str">
        <f t="shared" si="73"/>
        <v/>
      </c>
      <c r="DF22" s="221"/>
      <c r="DG22" s="221"/>
      <c r="DH22" s="221"/>
      <c r="DI22" s="221"/>
      <c r="DJ22" s="221"/>
      <c r="DK22" s="221"/>
      <c r="DL22" s="221"/>
      <c r="DM22" s="221"/>
      <c r="DN22" s="221"/>
      <c r="DO22" s="469" t="str">
        <f t="shared" si="98"/>
        <v/>
      </c>
      <c r="DP22" s="315">
        <f t="shared" si="99"/>
        <v>0</v>
      </c>
      <c r="DQ22" s="315" t="str">
        <f t="shared" si="100"/>
        <v/>
      </c>
      <c r="DR22" s="182"/>
      <c r="DS22" s="182"/>
      <c r="DT22" s="182"/>
      <c r="DU22" s="221"/>
      <c r="DV22" s="221"/>
      <c r="DW22" s="221"/>
      <c r="DX22" s="221"/>
      <c r="DY22" s="221"/>
      <c r="DZ22" s="221"/>
      <c r="EA22" s="221"/>
      <c r="EB22" s="221"/>
      <c r="EC22" s="221"/>
      <c r="ED22" s="182"/>
      <c r="EE22" s="182"/>
      <c r="EF22" s="182"/>
      <c r="EG22" s="182"/>
      <c r="EH22" s="221" t="str">
        <f t="shared" si="101"/>
        <v/>
      </c>
      <c r="EI22" s="221" t="str">
        <f t="shared" si="102"/>
        <v/>
      </c>
      <c r="EJ22" s="221"/>
      <c r="EK22" s="221"/>
      <c r="EL22" s="221"/>
      <c r="EM22" s="221"/>
      <c r="EN22" s="221"/>
      <c r="EO22" s="221"/>
      <c r="EP22" s="221"/>
      <c r="EQ22" s="221"/>
      <c r="ER22" s="221"/>
      <c r="ES22" s="221"/>
      <c r="ET22" s="221"/>
      <c r="EU22" s="315">
        <f t="shared" si="103"/>
        <v>0</v>
      </c>
      <c r="EV22" s="315" t="str">
        <f t="shared" si="104"/>
        <v/>
      </c>
      <c r="EW22" s="182"/>
      <c r="EX22" s="182"/>
      <c r="EY22" s="182"/>
      <c r="EZ22" s="221"/>
      <c r="FA22" s="221"/>
      <c r="FB22" s="221"/>
      <c r="FC22" s="221"/>
      <c r="FD22" s="221"/>
      <c r="FE22" s="221"/>
      <c r="FF22" s="221"/>
      <c r="FG22" s="221"/>
      <c r="FH22" s="221"/>
      <c r="FI22" s="182"/>
      <c r="FJ22" s="182"/>
      <c r="FK22" s="182"/>
      <c r="FL22" s="182"/>
      <c r="FM22" s="221" t="str">
        <f t="shared" si="105"/>
        <v/>
      </c>
      <c r="FN22" s="221" t="str">
        <f t="shared" si="106"/>
        <v/>
      </c>
      <c r="FO22" s="221"/>
      <c r="FP22" s="221"/>
      <c r="FQ22" s="221"/>
      <c r="FR22" s="221"/>
      <c r="FS22" s="221"/>
      <c r="FT22" s="221"/>
      <c r="FU22" s="221"/>
      <c r="FV22" s="221"/>
      <c r="FW22" s="221"/>
      <c r="FX22" s="221"/>
      <c r="FY22" s="221"/>
      <c r="FZ22" s="408"/>
      <c r="GA22" s="315">
        <f t="shared" si="107"/>
        <v>0</v>
      </c>
      <c r="GB22" s="315" t="str">
        <f t="shared" si="108"/>
        <v/>
      </c>
      <c r="GC22" s="182" t="s">
        <v>160</v>
      </c>
      <c r="GD22" s="182"/>
      <c r="GE22" s="182"/>
      <c r="GG22" s="460"/>
      <c r="GH22" s="460"/>
      <c r="GU22" s="469"/>
      <c r="GV22" s="470" t="str">
        <f t="shared" si="109"/>
        <v/>
      </c>
      <c r="GW22" s="302">
        <f t="shared" si="110"/>
        <v>0</v>
      </c>
      <c r="HA22" s="654"/>
      <c r="HD22" s="379"/>
      <c r="HE22" s="380"/>
      <c r="HH22" s="385"/>
      <c r="HI22" s="411"/>
      <c r="HJ22" s="302" t="str">
        <f t="shared" si="85"/>
        <v/>
      </c>
      <c r="HO22" s="302" t="str">
        <f t="shared" si="34"/>
        <v/>
      </c>
      <c r="HP22" s="302" t="str">
        <f t="shared" si="35"/>
        <v/>
      </c>
      <c r="HQ22" s="302" t="str">
        <f t="shared" si="36"/>
        <v/>
      </c>
      <c r="IT22" s="411"/>
      <c r="IU22" s="411"/>
      <c r="IV22" s="635"/>
    </row>
    <row r="23" spans="1:256" s="302" customFormat="1" ht="12.75" hidden="1" customHeight="1">
      <c r="A23" s="397" t="str">
        <f t="shared" si="1"/>
        <v/>
      </c>
      <c r="B23" s="462" t="str">
        <f t="shared" si="61"/>
        <v/>
      </c>
      <c r="C23" s="426"/>
      <c r="D23" s="575"/>
      <c r="E23" s="463"/>
      <c r="F23" s="464"/>
      <c r="G23" s="465"/>
      <c r="H23" s="465"/>
      <c r="I23" s="466"/>
      <c r="J23" s="463"/>
      <c r="K23" s="465"/>
      <c r="L23" s="465"/>
      <c r="M23" s="466"/>
      <c r="N23" s="573"/>
      <c r="O23" s="467"/>
      <c r="P23" s="518"/>
      <c r="Q23" s="381"/>
      <c r="R23" s="182"/>
      <c r="S23" s="182"/>
      <c r="T23" s="182"/>
      <c r="U23" s="182"/>
      <c r="V23" s="182"/>
      <c r="W23" s="182"/>
      <c r="X23" s="182"/>
      <c r="Y23" s="182"/>
      <c r="Z23" s="182"/>
      <c r="AA23" s="382"/>
      <c r="AB23" s="182" t="str">
        <f t="shared" si="86"/>
        <v/>
      </c>
      <c r="AC23" s="315">
        <f t="shared" si="87"/>
        <v>0</v>
      </c>
      <c r="AD23" s="315" t="str">
        <f t="shared" si="63"/>
        <v/>
      </c>
      <c r="AE23" s="182"/>
      <c r="AF23" s="182"/>
      <c r="AG23" s="182"/>
      <c r="AH23" s="221"/>
      <c r="AI23" s="221"/>
      <c r="AJ23" s="221"/>
      <c r="AK23" s="221"/>
      <c r="AL23" s="221"/>
      <c r="AM23" s="221"/>
      <c r="AN23" s="221"/>
      <c r="AO23" s="221"/>
      <c r="AP23" s="221"/>
      <c r="AQ23" s="182"/>
      <c r="AR23" s="182"/>
      <c r="AS23" s="182"/>
      <c r="AT23" s="182"/>
      <c r="AU23" s="221" t="str">
        <f t="shared" si="88"/>
        <v/>
      </c>
      <c r="AV23" s="221" t="str">
        <f t="shared" si="89"/>
        <v/>
      </c>
      <c r="AW23" s="221"/>
      <c r="AX23" s="221"/>
      <c r="AY23" s="221"/>
      <c r="AZ23" s="221"/>
      <c r="BA23" s="221"/>
      <c r="BB23" s="221"/>
      <c r="BC23" s="221"/>
      <c r="BD23" s="221"/>
      <c r="BE23" s="221"/>
      <c r="BF23" s="468">
        <f t="shared" si="90"/>
        <v>0</v>
      </c>
      <c r="BG23" s="315">
        <f t="shared" si="91"/>
        <v>0</v>
      </c>
      <c r="BH23" s="315" t="str">
        <f t="shared" si="92"/>
        <v/>
      </c>
      <c r="BI23" s="182"/>
      <c r="BJ23" s="182"/>
      <c r="BK23" s="182"/>
      <c r="BL23" s="221"/>
      <c r="BM23" s="221"/>
      <c r="BN23" s="221"/>
      <c r="BO23" s="221"/>
      <c r="BP23" s="221"/>
      <c r="BQ23" s="221"/>
      <c r="BR23" s="221"/>
      <c r="BS23" s="221"/>
      <c r="BT23" s="221"/>
      <c r="BU23" s="182"/>
      <c r="BV23" s="182"/>
      <c r="BW23" s="182"/>
      <c r="BX23" s="182"/>
      <c r="BY23" s="221" t="str">
        <f t="shared" si="93"/>
        <v/>
      </c>
      <c r="BZ23" s="221" t="str">
        <f t="shared" si="94"/>
        <v/>
      </c>
      <c r="CA23" s="221"/>
      <c r="CB23" s="221"/>
      <c r="CC23" s="221"/>
      <c r="CD23" s="221"/>
      <c r="CE23" s="221"/>
      <c r="CF23" s="221"/>
      <c r="CG23" s="221"/>
      <c r="CH23" s="221"/>
      <c r="CI23" s="221"/>
      <c r="CJ23" s="468">
        <f t="shared" si="95"/>
        <v>0</v>
      </c>
      <c r="CK23" s="315">
        <f t="shared" si="96"/>
        <v>0</v>
      </c>
      <c r="CL23" s="315" t="str">
        <f t="shared" si="97"/>
        <v/>
      </c>
      <c r="CM23" s="182"/>
      <c r="CN23" s="182"/>
      <c r="CO23" s="182"/>
      <c r="CP23" s="221"/>
      <c r="CQ23" s="221"/>
      <c r="CR23" s="221"/>
      <c r="CS23" s="221"/>
      <c r="CT23" s="221"/>
      <c r="CU23" s="221"/>
      <c r="CV23" s="221"/>
      <c r="CW23" s="221"/>
      <c r="CX23" s="221"/>
      <c r="CY23" s="221"/>
      <c r="CZ23" s="182"/>
      <c r="DA23" s="182"/>
      <c r="DB23" s="182"/>
      <c r="DC23" s="182"/>
      <c r="DD23" s="221" t="str">
        <f t="shared" si="72"/>
        <v/>
      </c>
      <c r="DE23" s="221" t="str">
        <f t="shared" si="73"/>
        <v/>
      </c>
      <c r="DF23" s="221"/>
      <c r="DG23" s="221"/>
      <c r="DH23" s="221"/>
      <c r="DI23" s="221"/>
      <c r="DJ23" s="221"/>
      <c r="DK23" s="221"/>
      <c r="DL23" s="221"/>
      <c r="DM23" s="221"/>
      <c r="DN23" s="221"/>
      <c r="DO23" s="469" t="str">
        <f t="shared" si="98"/>
        <v/>
      </c>
      <c r="DP23" s="315">
        <f t="shared" si="99"/>
        <v>0</v>
      </c>
      <c r="DQ23" s="315" t="str">
        <f t="shared" si="100"/>
        <v/>
      </c>
      <c r="DR23" s="182"/>
      <c r="DS23" s="182"/>
      <c r="DT23" s="182"/>
      <c r="DU23" s="221"/>
      <c r="DV23" s="221"/>
      <c r="DW23" s="221"/>
      <c r="DX23" s="221"/>
      <c r="DY23" s="221"/>
      <c r="DZ23" s="221"/>
      <c r="EA23" s="221"/>
      <c r="EB23" s="221"/>
      <c r="EC23" s="221"/>
      <c r="ED23" s="182"/>
      <c r="EE23" s="182"/>
      <c r="EF23" s="182"/>
      <c r="EG23" s="182"/>
      <c r="EH23" s="221" t="str">
        <f t="shared" si="101"/>
        <v/>
      </c>
      <c r="EI23" s="221" t="str">
        <f t="shared" si="102"/>
        <v/>
      </c>
      <c r="EJ23" s="221"/>
      <c r="EK23" s="221"/>
      <c r="EL23" s="221"/>
      <c r="EM23" s="221"/>
      <c r="EN23" s="221"/>
      <c r="EO23" s="221"/>
      <c r="EP23" s="221"/>
      <c r="EQ23" s="221"/>
      <c r="ER23" s="221"/>
      <c r="ES23" s="221"/>
      <c r="ET23" s="221"/>
      <c r="EU23" s="315">
        <f t="shared" si="103"/>
        <v>0</v>
      </c>
      <c r="EV23" s="315" t="str">
        <f t="shared" si="104"/>
        <v/>
      </c>
      <c r="EW23" s="182"/>
      <c r="EX23" s="182"/>
      <c r="EY23" s="182"/>
      <c r="EZ23" s="221"/>
      <c r="FA23" s="221"/>
      <c r="FB23" s="221"/>
      <c r="FC23" s="221"/>
      <c r="FD23" s="221"/>
      <c r="FE23" s="221"/>
      <c r="FF23" s="221"/>
      <c r="FG23" s="221"/>
      <c r="FH23" s="221"/>
      <c r="FI23" s="182"/>
      <c r="FJ23" s="182"/>
      <c r="FK23" s="182"/>
      <c r="FL23" s="182"/>
      <c r="FM23" s="221" t="str">
        <f t="shared" si="105"/>
        <v/>
      </c>
      <c r="FN23" s="221" t="str">
        <f t="shared" si="106"/>
        <v/>
      </c>
      <c r="FO23" s="221"/>
      <c r="FP23" s="221"/>
      <c r="FQ23" s="221"/>
      <c r="FR23" s="221"/>
      <c r="FS23" s="221"/>
      <c r="FT23" s="221"/>
      <c r="FU23" s="221"/>
      <c r="FV23" s="221"/>
      <c r="FW23" s="221"/>
      <c r="FX23" s="221"/>
      <c r="FY23" s="221"/>
      <c r="FZ23" s="408"/>
      <c r="GA23" s="315">
        <f t="shared" si="107"/>
        <v>0</v>
      </c>
      <c r="GB23" s="315" t="str">
        <f t="shared" si="108"/>
        <v/>
      </c>
      <c r="GC23" s="182" t="s">
        <v>160</v>
      </c>
      <c r="GD23" s="182"/>
      <c r="GE23" s="182"/>
      <c r="GG23" s="460"/>
      <c r="GH23" s="460"/>
      <c r="GJ23" s="461"/>
      <c r="GK23" s="461"/>
      <c r="GL23" s="461"/>
      <c r="GM23" s="461"/>
      <c r="GU23" s="469"/>
      <c r="GV23" s="470" t="str">
        <f t="shared" si="109"/>
        <v/>
      </c>
      <c r="GW23" s="302">
        <f t="shared" si="110"/>
        <v>0</v>
      </c>
      <c r="HA23" s="654"/>
      <c r="HD23" s="379"/>
      <c r="HE23" s="380"/>
      <c r="HH23" s="383"/>
      <c r="HI23" s="410"/>
      <c r="HJ23" s="302" t="str">
        <f t="shared" si="85"/>
        <v/>
      </c>
      <c r="HO23" s="302" t="str">
        <f t="shared" si="34"/>
        <v/>
      </c>
      <c r="HP23" s="302" t="str">
        <f t="shared" si="35"/>
        <v/>
      </c>
      <c r="HQ23" s="302" t="str">
        <f t="shared" si="36"/>
        <v/>
      </c>
      <c r="IT23" s="410"/>
      <c r="IU23" s="410"/>
      <c r="IV23" s="635"/>
    </row>
    <row r="24" spans="1:256" s="302" customFormat="1" ht="12.75" hidden="1" customHeight="1">
      <c r="A24" s="397" t="str">
        <f t="shared" si="1"/>
        <v/>
      </c>
      <c r="B24" s="462" t="str">
        <f t="shared" si="61"/>
        <v/>
      </c>
      <c r="C24" s="426"/>
      <c r="D24" s="575"/>
      <c r="E24" s="463"/>
      <c r="F24" s="464"/>
      <c r="G24" s="465"/>
      <c r="H24" s="465"/>
      <c r="I24" s="466"/>
      <c r="J24" s="463"/>
      <c r="K24" s="465"/>
      <c r="L24" s="465"/>
      <c r="M24" s="466"/>
      <c r="N24" s="573"/>
      <c r="O24" s="467"/>
      <c r="P24" s="518"/>
      <c r="Q24" s="381"/>
      <c r="R24" s="182"/>
      <c r="S24" s="182"/>
      <c r="T24" s="182"/>
      <c r="U24" s="182"/>
      <c r="V24" s="182"/>
      <c r="W24" s="182"/>
      <c r="X24" s="182"/>
      <c r="Y24" s="182"/>
      <c r="Z24" s="182"/>
      <c r="AA24" s="384"/>
      <c r="AB24" s="182" t="str">
        <f t="shared" si="86"/>
        <v/>
      </c>
      <c r="AC24" s="315">
        <f t="shared" si="87"/>
        <v>0</v>
      </c>
      <c r="AD24" s="315" t="str">
        <f t="shared" si="63"/>
        <v/>
      </c>
      <c r="AE24" s="182"/>
      <c r="AF24" s="182"/>
      <c r="AG24" s="182"/>
      <c r="AH24" s="221"/>
      <c r="AI24" s="221"/>
      <c r="AJ24" s="221"/>
      <c r="AK24" s="221"/>
      <c r="AL24" s="221"/>
      <c r="AM24" s="221"/>
      <c r="AN24" s="221"/>
      <c r="AO24" s="221"/>
      <c r="AP24" s="221"/>
      <c r="AQ24" s="182"/>
      <c r="AR24" s="182"/>
      <c r="AS24" s="182"/>
      <c r="AT24" s="182"/>
      <c r="AU24" s="221" t="str">
        <f t="shared" si="88"/>
        <v/>
      </c>
      <c r="AV24" s="221" t="str">
        <f t="shared" si="89"/>
        <v/>
      </c>
      <c r="AW24" s="221"/>
      <c r="AX24" s="221"/>
      <c r="AY24" s="221"/>
      <c r="AZ24" s="221"/>
      <c r="BA24" s="221"/>
      <c r="BB24" s="221"/>
      <c r="BC24" s="221"/>
      <c r="BD24" s="221"/>
      <c r="BE24" s="221"/>
      <c r="BF24" s="469">
        <f t="shared" si="90"/>
        <v>0</v>
      </c>
      <c r="BG24" s="315">
        <f t="shared" si="91"/>
        <v>0</v>
      </c>
      <c r="BH24" s="315" t="str">
        <f t="shared" si="92"/>
        <v/>
      </c>
      <c r="BI24" s="182"/>
      <c r="BJ24" s="182"/>
      <c r="BK24" s="182"/>
      <c r="BL24" s="221"/>
      <c r="BM24" s="221"/>
      <c r="BN24" s="221"/>
      <c r="BO24" s="221"/>
      <c r="BP24" s="221"/>
      <c r="BQ24" s="221"/>
      <c r="BR24" s="221"/>
      <c r="BS24" s="221"/>
      <c r="BT24" s="221"/>
      <c r="BU24" s="182"/>
      <c r="BV24" s="182"/>
      <c r="BW24" s="182"/>
      <c r="BX24" s="182"/>
      <c r="BY24" s="221" t="str">
        <f t="shared" si="93"/>
        <v/>
      </c>
      <c r="BZ24" s="221" t="str">
        <f t="shared" si="94"/>
        <v/>
      </c>
      <c r="CA24" s="221"/>
      <c r="CB24" s="221"/>
      <c r="CC24" s="221"/>
      <c r="CD24" s="221"/>
      <c r="CE24" s="221"/>
      <c r="CF24" s="221"/>
      <c r="CG24" s="221"/>
      <c r="CH24" s="221"/>
      <c r="CI24" s="221"/>
      <c r="CJ24" s="469">
        <f t="shared" si="95"/>
        <v>0</v>
      </c>
      <c r="CK24" s="315">
        <f t="shared" si="96"/>
        <v>0</v>
      </c>
      <c r="CL24" s="315" t="str">
        <f t="shared" si="97"/>
        <v/>
      </c>
      <c r="CM24" s="182"/>
      <c r="CN24" s="182"/>
      <c r="CO24" s="182"/>
      <c r="CP24" s="221"/>
      <c r="CQ24" s="221"/>
      <c r="CR24" s="221"/>
      <c r="CS24" s="221"/>
      <c r="CT24" s="221"/>
      <c r="CU24" s="221"/>
      <c r="CV24" s="221"/>
      <c r="CW24" s="221"/>
      <c r="CX24" s="221"/>
      <c r="CY24" s="221"/>
      <c r="CZ24" s="182"/>
      <c r="DA24" s="182"/>
      <c r="DB24" s="182"/>
      <c r="DC24" s="182"/>
      <c r="DD24" s="221" t="str">
        <f t="shared" si="72"/>
        <v/>
      </c>
      <c r="DE24" s="221" t="str">
        <f t="shared" si="73"/>
        <v/>
      </c>
      <c r="DF24" s="221"/>
      <c r="DG24" s="221"/>
      <c r="DH24" s="221"/>
      <c r="DI24" s="221"/>
      <c r="DJ24" s="221"/>
      <c r="DK24" s="221"/>
      <c r="DL24" s="221"/>
      <c r="DM24" s="221"/>
      <c r="DN24" s="221"/>
      <c r="DO24" s="469" t="str">
        <f t="shared" si="98"/>
        <v/>
      </c>
      <c r="DP24" s="315">
        <f t="shared" si="99"/>
        <v>0</v>
      </c>
      <c r="DQ24" s="315" t="str">
        <f t="shared" si="100"/>
        <v/>
      </c>
      <c r="DR24" s="182"/>
      <c r="DS24" s="182"/>
      <c r="DT24" s="182"/>
      <c r="DU24" s="221"/>
      <c r="DV24" s="221"/>
      <c r="DW24" s="221"/>
      <c r="DX24" s="221"/>
      <c r="DY24" s="221"/>
      <c r="DZ24" s="221"/>
      <c r="EA24" s="221"/>
      <c r="EB24" s="221"/>
      <c r="EC24" s="221"/>
      <c r="ED24" s="182"/>
      <c r="EE24" s="182"/>
      <c r="EF24" s="182"/>
      <c r="EG24" s="182"/>
      <c r="EH24" s="221" t="str">
        <f t="shared" si="101"/>
        <v/>
      </c>
      <c r="EI24" s="221" t="str">
        <f t="shared" si="102"/>
        <v/>
      </c>
      <c r="EJ24" s="221"/>
      <c r="EK24" s="221"/>
      <c r="EL24" s="221"/>
      <c r="EM24" s="221"/>
      <c r="EN24" s="221"/>
      <c r="EO24" s="221"/>
      <c r="EP24" s="221"/>
      <c r="EQ24" s="221"/>
      <c r="ER24" s="221"/>
      <c r="ES24" s="221"/>
      <c r="ET24" s="221"/>
      <c r="EU24" s="315">
        <f t="shared" si="103"/>
        <v>0</v>
      </c>
      <c r="EV24" s="315" t="str">
        <f t="shared" si="104"/>
        <v/>
      </c>
      <c r="EW24" s="182"/>
      <c r="EX24" s="182"/>
      <c r="EY24" s="182"/>
      <c r="EZ24" s="221"/>
      <c r="FA24" s="221"/>
      <c r="FB24" s="221"/>
      <c r="FC24" s="221"/>
      <c r="FD24" s="221"/>
      <c r="FE24" s="221"/>
      <c r="FF24" s="221"/>
      <c r="FG24" s="221"/>
      <c r="FH24" s="221"/>
      <c r="FI24" s="182"/>
      <c r="FJ24" s="182"/>
      <c r="FK24" s="182"/>
      <c r="FL24" s="182"/>
      <c r="FM24" s="221" t="str">
        <f t="shared" si="105"/>
        <v/>
      </c>
      <c r="FN24" s="221" t="str">
        <f t="shared" si="106"/>
        <v/>
      </c>
      <c r="FO24" s="221"/>
      <c r="FP24" s="221"/>
      <c r="FQ24" s="221"/>
      <c r="FR24" s="221"/>
      <c r="FS24" s="221"/>
      <c r="FT24" s="221"/>
      <c r="FU24" s="221"/>
      <c r="FV24" s="221"/>
      <c r="FW24" s="221"/>
      <c r="FX24" s="221"/>
      <c r="FY24" s="221"/>
      <c r="FZ24" s="408"/>
      <c r="GA24" s="315">
        <f t="shared" si="107"/>
        <v>0</v>
      </c>
      <c r="GB24" s="315" t="str">
        <f t="shared" si="108"/>
        <v/>
      </c>
      <c r="GC24" s="182" t="s">
        <v>160</v>
      </c>
      <c r="GD24" s="182"/>
      <c r="GE24" s="182"/>
      <c r="GG24" s="460"/>
      <c r="GH24" s="460"/>
      <c r="GO24" s="461"/>
      <c r="GP24" s="461"/>
      <c r="GQ24" s="461"/>
      <c r="GR24" s="461"/>
      <c r="GU24" s="469"/>
      <c r="GV24" s="470" t="str">
        <f t="shared" si="109"/>
        <v/>
      </c>
      <c r="GW24" s="302">
        <f t="shared" si="110"/>
        <v>0</v>
      </c>
      <c r="HA24" s="654"/>
      <c r="HD24" s="379"/>
      <c r="HE24" s="380"/>
      <c r="HH24" s="385"/>
      <c r="HI24" s="411"/>
      <c r="HJ24" s="302" t="str">
        <f t="shared" si="85"/>
        <v/>
      </c>
      <c r="HO24" s="302" t="str">
        <f t="shared" si="34"/>
        <v/>
      </c>
      <c r="HP24" s="302" t="str">
        <f t="shared" si="35"/>
        <v/>
      </c>
      <c r="HQ24" s="302" t="str">
        <f t="shared" si="36"/>
        <v/>
      </c>
      <c r="IT24" s="411"/>
      <c r="IU24" s="411"/>
      <c r="IV24" s="635"/>
    </row>
    <row r="25" spans="1:256" s="302" customFormat="1" ht="12.75" hidden="1" customHeight="1">
      <c r="A25" s="397" t="str">
        <f t="shared" si="1"/>
        <v/>
      </c>
      <c r="B25" s="462" t="str">
        <f t="shared" si="61"/>
        <v/>
      </c>
      <c r="C25" s="426"/>
      <c r="D25" s="575"/>
      <c r="E25" s="463"/>
      <c r="F25" s="464"/>
      <c r="G25" s="465"/>
      <c r="H25" s="465"/>
      <c r="I25" s="466"/>
      <c r="J25" s="463"/>
      <c r="K25" s="465"/>
      <c r="L25" s="465"/>
      <c r="M25" s="466"/>
      <c r="N25" s="573"/>
      <c r="O25" s="467"/>
      <c r="P25" s="518"/>
      <c r="Q25" s="381"/>
      <c r="R25" s="182"/>
      <c r="S25" s="182"/>
      <c r="T25" s="182"/>
      <c r="U25" s="182"/>
      <c r="V25" s="182"/>
      <c r="W25" s="182"/>
      <c r="X25" s="182"/>
      <c r="Y25" s="182"/>
      <c r="Z25" s="182"/>
      <c r="AA25" s="382"/>
      <c r="AB25" s="182" t="str">
        <f t="shared" si="86"/>
        <v/>
      </c>
      <c r="AC25" s="315">
        <f t="shared" si="87"/>
        <v>0</v>
      </c>
      <c r="AD25" s="315" t="str">
        <f t="shared" si="63"/>
        <v/>
      </c>
      <c r="AE25" s="182"/>
      <c r="AF25" s="182"/>
      <c r="AG25" s="182"/>
      <c r="AH25" s="221"/>
      <c r="AI25" s="221"/>
      <c r="AJ25" s="221"/>
      <c r="AK25" s="221"/>
      <c r="AL25" s="221"/>
      <c r="AM25" s="221"/>
      <c r="AN25" s="221"/>
      <c r="AO25" s="221"/>
      <c r="AP25" s="221"/>
      <c r="AQ25" s="182"/>
      <c r="AR25" s="182"/>
      <c r="AS25" s="182"/>
      <c r="AT25" s="182"/>
      <c r="AU25" s="221" t="str">
        <f t="shared" si="88"/>
        <v/>
      </c>
      <c r="AV25" s="221" t="str">
        <f t="shared" si="89"/>
        <v/>
      </c>
      <c r="AW25" s="221"/>
      <c r="AX25" s="221"/>
      <c r="AY25" s="221"/>
      <c r="AZ25" s="221"/>
      <c r="BA25" s="221"/>
      <c r="BB25" s="221"/>
      <c r="BC25" s="221"/>
      <c r="BD25" s="221"/>
      <c r="BE25" s="221"/>
      <c r="BF25" s="468">
        <f t="shared" si="90"/>
        <v>0</v>
      </c>
      <c r="BG25" s="315">
        <f t="shared" si="91"/>
        <v>0</v>
      </c>
      <c r="BH25" s="315" t="str">
        <f t="shared" si="92"/>
        <v/>
      </c>
      <c r="BI25" s="182"/>
      <c r="BJ25" s="182"/>
      <c r="BK25" s="182"/>
      <c r="BL25" s="221"/>
      <c r="BM25" s="221"/>
      <c r="BN25" s="221"/>
      <c r="BO25" s="221"/>
      <c r="BP25" s="221"/>
      <c r="BQ25" s="221"/>
      <c r="BR25" s="221"/>
      <c r="BS25" s="221"/>
      <c r="BT25" s="221"/>
      <c r="BU25" s="182"/>
      <c r="BV25" s="182"/>
      <c r="BW25" s="182"/>
      <c r="BX25" s="182"/>
      <c r="BY25" s="221" t="str">
        <f t="shared" si="93"/>
        <v/>
      </c>
      <c r="BZ25" s="221" t="str">
        <f t="shared" si="94"/>
        <v/>
      </c>
      <c r="CA25" s="221"/>
      <c r="CB25" s="221"/>
      <c r="CC25" s="221"/>
      <c r="CD25" s="221"/>
      <c r="CE25" s="221"/>
      <c r="CF25" s="221"/>
      <c r="CG25" s="221"/>
      <c r="CH25" s="221"/>
      <c r="CI25" s="221"/>
      <c r="CJ25" s="468">
        <f t="shared" si="95"/>
        <v>0</v>
      </c>
      <c r="CK25" s="315">
        <f t="shared" si="96"/>
        <v>0</v>
      </c>
      <c r="CL25" s="315" t="str">
        <f t="shared" si="97"/>
        <v/>
      </c>
      <c r="CM25" s="182"/>
      <c r="CN25" s="182"/>
      <c r="CO25" s="182"/>
      <c r="CP25" s="221"/>
      <c r="CQ25" s="221"/>
      <c r="CR25" s="221"/>
      <c r="CS25" s="221"/>
      <c r="CT25" s="221"/>
      <c r="CU25" s="221"/>
      <c r="CV25" s="221"/>
      <c r="CW25" s="221"/>
      <c r="CX25" s="221"/>
      <c r="CY25" s="221"/>
      <c r="CZ25" s="182"/>
      <c r="DA25" s="182"/>
      <c r="DB25" s="182"/>
      <c r="DC25" s="182"/>
      <c r="DD25" s="221" t="str">
        <f t="shared" si="72"/>
        <v/>
      </c>
      <c r="DE25" s="221" t="str">
        <f t="shared" si="73"/>
        <v/>
      </c>
      <c r="DF25" s="221"/>
      <c r="DG25" s="221"/>
      <c r="DH25" s="221"/>
      <c r="DI25" s="221"/>
      <c r="DJ25" s="221"/>
      <c r="DK25" s="221"/>
      <c r="DL25" s="221"/>
      <c r="DM25" s="221"/>
      <c r="DN25" s="221"/>
      <c r="DO25" s="469" t="str">
        <f t="shared" si="98"/>
        <v/>
      </c>
      <c r="DP25" s="315">
        <f t="shared" si="99"/>
        <v>0</v>
      </c>
      <c r="DQ25" s="315" t="str">
        <f t="shared" si="100"/>
        <v/>
      </c>
      <c r="DR25" s="182"/>
      <c r="DS25" s="182"/>
      <c r="DT25" s="182"/>
      <c r="DU25" s="221"/>
      <c r="DV25" s="221"/>
      <c r="DW25" s="221"/>
      <c r="DX25" s="221"/>
      <c r="DY25" s="221"/>
      <c r="DZ25" s="221"/>
      <c r="EA25" s="221"/>
      <c r="EB25" s="221"/>
      <c r="EC25" s="221"/>
      <c r="ED25" s="182"/>
      <c r="EE25" s="182"/>
      <c r="EF25" s="182"/>
      <c r="EG25" s="182"/>
      <c r="EH25" s="221" t="str">
        <f t="shared" si="101"/>
        <v/>
      </c>
      <c r="EI25" s="221" t="str">
        <f t="shared" si="102"/>
        <v/>
      </c>
      <c r="EJ25" s="221"/>
      <c r="EK25" s="221"/>
      <c r="EL25" s="221"/>
      <c r="EM25" s="221"/>
      <c r="EN25" s="221"/>
      <c r="EO25" s="221"/>
      <c r="EP25" s="221"/>
      <c r="EQ25" s="221"/>
      <c r="ER25" s="221"/>
      <c r="ES25" s="221"/>
      <c r="ET25" s="221"/>
      <c r="EU25" s="315">
        <f t="shared" si="103"/>
        <v>0</v>
      </c>
      <c r="EV25" s="315" t="str">
        <f t="shared" si="104"/>
        <v/>
      </c>
      <c r="EW25" s="182"/>
      <c r="EX25" s="182"/>
      <c r="EY25" s="182"/>
      <c r="EZ25" s="221"/>
      <c r="FA25" s="221"/>
      <c r="FB25" s="221"/>
      <c r="FC25" s="221"/>
      <c r="FD25" s="221"/>
      <c r="FE25" s="221"/>
      <c r="FF25" s="221"/>
      <c r="FG25" s="221"/>
      <c r="FH25" s="221"/>
      <c r="FI25" s="182"/>
      <c r="FJ25" s="182"/>
      <c r="FK25" s="182"/>
      <c r="FL25" s="182"/>
      <c r="FM25" s="221" t="str">
        <f t="shared" si="105"/>
        <v/>
      </c>
      <c r="FN25" s="221" t="str">
        <f t="shared" si="106"/>
        <v/>
      </c>
      <c r="FO25" s="221"/>
      <c r="FP25" s="221"/>
      <c r="FQ25" s="221"/>
      <c r="FR25" s="221"/>
      <c r="FS25" s="221"/>
      <c r="FT25" s="221"/>
      <c r="FU25" s="221"/>
      <c r="FV25" s="221"/>
      <c r="FW25" s="221"/>
      <c r="FX25" s="221"/>
      <c r="FY25" s="221"/>
      <c r="FZ25" s="408"/>
      <c r="GA25" s="315">
        <f t="shared" si="107"/>
        <v>0</v>
      </c>
      <c r="GB25" s="315" t="str">
        <f t="shared" si="108"/>
        <v/>
      </c>
      <c r="GC25" s="182" t="s">
        <v>160</v>
      </c>
      <c r="GD25" s="182"/>
      <c r="GE25" s="182"/>
      <c r="GG25" s="460"/>
      <c r="GH25" s="460"/>
      <c r="GU25" s="469"/>
      <c r="GV25" s="470" t="str">
        <f t="shared" si="109"/>
        <v/>
      </c>
      <c r="GW25" s="302">
        <f t="shared" si="110"/>
        <v>0</v>
      </c>
      <c r="HA25" s="654"/>
      <c r="HD25" s="379"/>
      <c r="HE25" s="380"/>
      <c r="HH25" s="383"/>
      <c r="HI25" s="410"/>
      <c r="HJ25" s="302" t="str">
        <f t="shared" si="85"/>
        <v/>
      </c>
      <c r="HO25" s="302" t="str">
        <f t="shared" si="34"/>
        <v/>
      </c>
      <c r="HP25" s="302" t="str">
        <f t="shared" si="35"/>
        <v/>
      </c>
      <c r="HQ25" s="302" t="str">
        <f t="shared" si="36"/>
        <v/>
      </c>
      <c r="IT25" s="410"/>
      <c r="IU25" s="410"/>
      <c r="IV25" s="635"/>
    </row>
    <row r="26" spans="1:256" s="302" customFormat="1" ht="12.75" hidden="1" customHeight="1">
      <c r="A26" s="397" t="str">
        <f t="shared" si="1"/>
        <v/>
      </c>
      <c r="B26" s="462" t="str">
        <f t="shared" si="61"/>
        <v/>
      </c>
      <c r="C26" s="426"/>
      <c r="D26" s="575"/>
      <c r="E26" s="463"/>
      <c r="F26" s="464"/>
      <c r="G26" s="465"/>
      <c r="H26" s="465"/>
      <c r="I26" s="466"/>
      <c r="J26" s="463"/>
      <c r="K26" s="465"/>
      <c r="L26" s="465"/>
      <c r="M26" s="466"/>
      <c r="N26" s="573"/>
      <c r="O26" s="467"/>
      <c r="P26" s="518"/>
      <c r="Q26" s="381"/>
      <c r="R26" s="182"/>
      <c r="S26" s="182"/>
      <c r="T26" s="182"/>
      <c r="U26" s="182"/>
      <c r="V26" s="182"/>
      <c r="W26" s="182"/>
      <c r="X26" s="182"/>
      <c r="Y26" s="182"/>
      <c r="Z26" s="182"/>
      <c r="AA26" s="384"/>
      <c r="AB26" s="182" t="str">
        <f t="shared" si="86"/>
        <v/>
      </c>
      <c r="AC26" s="315">
        <f t="shared" si="87"/>
        <v>0</v>
      </c>
      <c r="AD26" s="315" t="str">
        <f t="shared" si="63"/>
        <v/>
      </c>
      <c r="AE26" s="182"/>
      <c r="AF26" s="182"/>
      <c r="AG26" s="182"/>
      <c r="AH26" s="221"/>
      <c r="AI26" s="221"/>
      <c r="AJ26" s="221"/>
      <c r="AK26" s="221"/>
      <c r="AL26" s="221"/>
      <c r="AM26" s="221"/>
      <c r="AN26" s="221"/>
      <c r="AO26" s="221"/>
      <c r="AP26" s="221"/>
      <c r="AQ26" s="182"/>
      <c r="AR26" s="182"/>
      <c r="AS26" s="182"/>
      <c r="AT26" s="182"/>
      <c r="AU26" s="221" t="str">
        <f t="shared" si="88"/>
        <v/>
      </c>
      <c r="AV26" s="221" t="str">
        <f t="shared" si="89"/>
        <v/>
      </c>
      <c r="AW26" s="221"/>
      <c r="AX26" s="221"/>
      <c r="AY26" s="221"/>
      <c r="AZ26" s="221"/>
      <c r="BA26" s="221"/>
      <c r="BB26" s="221"/>
      <c r="BC26" s="221"/>
      <c r="BD26" s="221"/>
      <c r="BE26" s="221"/>
      <c r="BF26" s="469">
        <f t="shared" si="90"/>
        <v>0</v>
      </c>
      <c r="BG26" s="315">
        <f t="shared" si="91"/>
        <v>0</v>
      </c>
      <c r="BH26" s="315" t="str">
        <f t="shared" si="92"/>
        <v/>
      </c>
      <c r="BI26" s="182"/>
      <c r="BJ26" s="182"/>
      <c r="BK26" s="182"/>
      <c r="BL26" s="221"/>
      <c r="BM26" s="221"/>
      <c r="BN26" s="221"/>
      <c r="BO26" s="221"/>
      <c r="BP26" s="221"/>
      <c r="BQ26" s="221"/>
      <c r="BR26" s="221"/>
      <c r="BS26" s="221"/>
      <c r="BT26" s="221"/>
      <c r="BU26" s="182"/>
      <c r="BV26" s="182"/>
      <c r="BW26" s="182"/>
      <c r="BX26" s="182"/>
      <c r="BY26" s="221" t="str">
        <f t="shared" si="93"/>
        <v/>
      </c>
      <c r="BZ26" s="221" t="str">
        <f t="shared" si="94"/>
        <v/>
      </c>
      <c r="CA26" s="221"/>
      <c r="CB26" s="221"/>
      <c r="CC26" s="221"/>
      <c r="CD26" s="221"/>
      <c r="CE26" s="221"/>
      <c r="CF26" s="221"/>
      <c r="CG26" s="221"/>
      <c r="CH26" s="221"/>
      <c r="CI26" s="221"/>
      <c r="CJ26" s="469">
        <f t="shared" si="95"/>
        <v>0</v>
      </c>
      <c r="CK26" s="315">
        <f t="shared" si="96"/>
        <v>0</v>
      </c>
      <c r="CL26" s="315" t="str">
        <f t="shared" si="97"/>
        <v/>
      </c>
      <c r="CM26" s="182"/>
      <c r="CN26" s="182"/>
      <c r="CO26" s="182"/>
      <c r="CP26" s="221"/>
      <c r="CQ26" s="221"/>
      <c r="CR26" s="221"/>
      <c r="CS26" s="221"/>
      <c r="CT26" s="221"/>
      <c r="CU26" s="221"/>
      <c r="CV26" s="221"/>
      <c r="CW26" s="221"/>
      <c r="CX26" s="221"/>
      <c r="CY26" s="221"/>
      <c r="CZ26" s="182"/>
      <c r="DA26" s="182"/>
      <c r="DB26" s="182"/>
      <c r="DC26" s="182"/>
      <c r="DD26" s="221" t="str">
        <f t="shared" si="72"/>
        <v/>
      </c>
      <c r="DE26" s="221" t="str">
        <f t="shared" si="73"/>
        <v/>
      </c>
      <c r="DF26" s="221"/>
      <c r="DG26" s="221"/>
      <c r="DH26" s="221"/>
      <c r="DI26" s="221"/>
      <c r="DJ26" s="221"/>
      <c r="DK26" s="221"/>
      <c r="DL26" s="221"/>
      <c r="DM26" s="221"/>
      <c r="DN26" s="221"/>
      <c r="DO26" s="469" t="str">
        <f t="shared" si="98"/>
        <v/>
      </c>
      <c r="DP26" s="315">
        <f t="shared" si="99"/>
        <v>0</v>
      </c>
      <c r="DQ26" s="315" t="str">
        <f t="shared" si="100"/>
        <v/>
      </c>
      <c r="DR26" s="182"/>
      <c r="DS26" s="182"/>
      <c r="DT26" s="182"/>
      <c r="DU26" s="221"/>
      <c r="DV26" s="221"/>
      <c r="DW26" s="221"/>
      <c r="DX26" s="221"/>
      <c r="DY26" s="221"/>
      <c r="DZ26" s="221"/>
      <c r="EA26" s="221"/>
      <c r="EB26" s="221"/>
      <c r="EC26" s="221"/>
      <c r="ED26" s="182"/>
      <c r="EE26" s="182"/>
      <c r="EF26" s="182"/>
      <c r="EG26" s="182"/>
      <c r="EH26" s="221" t="str">
        <f t="shared" si="101"/>
        <v/>
      </c>
      <c r="EI26" s="221" t="str">
        <f t="shared" si="102"/>
        <v/>
      </c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315">
        <f t="shared" si="103"/>
        <v>0</v>
      </c>
      <c r="EV26" s="315" t="str">
        <f t="shared" si="104"/>
        <v/>
      </c>
      <c r="EW26" s="182"/>
      <c r="EX26" s="182"/>
      <c r="EY26" s="182"/>
      <c r="EZ26" s="221"/>
      <c r="FA26" s="221"/>
      <c r="FB26" s="221"/>
      <c r="FC26" s="221"/>
      <c r="FD26" s="221"/>
      <c r="FE26" s="221"/>
      <c r="FF26" s="221"/>
      <c r="FG26" s="221"/>
      <c r="FH26" s="221"/>
      <c r="FI26" s="182"/>
      <c r="FJ26" s="182"/>
      <c r="FK26" s="182"/>
      <c r="FL26" s="182"/>
      <c r="FM26" s="221" t="str">
        <f t="shared" si="105"/>
        <v/>
      </c>
      <c r="FN26" s="221" t="str">
        <f t="shared" si="106"/>
        <v/>
      </c>
      <c r="FO26" s="221"/>
      <c r="FP26" s="221"/>
      <c r="FQ26" s="221"/>
      <c r="FR26" s="221"/>
      <c r="FS26" s="221"/>
      <c r="FT26" s="221"/>
      <c r="FU26" s="221"/>
      <c r="FV26" s="221"/>
      <c r="FW26" s="221"/>
      <c r="FX26" s="221"/>
      <c r="FY26" s="221"/>
      <c r="FZ26" s="408"/>
      <c r="GA26" s="315">
        <f t="shared" si="107"/>
        <v>0</v>
      </c>
      <c r="GB26" s="315" t="str">
        <f t="shared" si="108"/>
        <v/>
      </c>
      <c r="GC26" s="182" t="s">
        <v>160</v>
      </c>
      <c r="GD26" s="182"/>
      <c r="GE26" s="182"/>
      <c r="GG26" s="460"/>
      <c r="GH26" s="460"/>
      <c r="GU26" s="469"/>
      <c r="GV26" s="470" t="str">
        <f t="shared" si="109"/>
        <v/>
      </c>
      <c r="GW26" s="302">
        <f t="shared" si="110"/>
        <v>0</v>
      </c>
      <c r="HA26" s="654"/>
      <c r="HD26" s="379"/>
      <c r="HE26" s="380"/>
      <c r="HH26" s="385"/>
      <c r="HI26" s="411"/>
      <c r="HJ26" s="302" t="str">
        <f t="shared" si="85"/>
        <v/>
      </c>
      <c r="HO26" s="302" t="str">
        <f t="shared" si="34"/>
        <v/>
      </c>
      <c r="HP26" s="302" t="str">
        <f t="shared" si="35"/>
        <v/>
      </c>
      <c r="HQ26" s="302" t="str">
        <f t="shared" si="36"/>
        <v/>
      </c>
      <c r="IT26" s="411"/>
      <c r="IU26" s="411"/>
      <c r="IV26" s="635"/>
    </row>
    <row r="27" spans="1:256" s="302" customFormat="1" ht="12.75" hidden="1" customHeight="1">
      <c r="A27" s="397" t="str">
        <f t="shared" si="1"/>
        <v/>
      </c>
      <c r="B27" s="462" t="str">
        <f t="shared" si="61"/>
        <v/>
      </c>
      <c r="C27" s="426"/>
      <c r="D27" s="575"/>
      <c r="E27" s="463"/>
      <c r="F27" s="464"/>
      <c r="G27" s="465"/>
      <c r="H27" s="465"/>
      <c r="I27" s="466"/>
      <c r="J27" s="463"/>
      <c r="K27" s="465"/>
      <c r="L27" s="465"/>
      <c r="M27" s="466"/>
      <c r="N27" s="573"/>
      <c r="O27" s="467"/>
      <c r="P27" s="518"/>
      <c r="Q27" s="381"/>
      <c r="R27" s="182"/>
      <c r="S27" s="182"/>
      <c r="T27" s="182"/>
      <c r="U27" s="182"/>
      <c r="V27" s="182"/>
      <c r="W27" s="182"/>
      <c r="X27" s="182"/>
      <c r="Y27" s="182"/>
      <c r="Z27" s="182"/>
      <c r="AA27" s="382"/>
      <c r="AB27" s="182" t="str">
        <f t="shared" si="86"/>
        <v/>
      </c>
      <c r="AC27" s="315">
        <f t="shared" si="87"/>
        <v>0</v>
      </c>
      <c r="AD27" s="315" t="str">
        <f t="shared" si="63"/>
        <v/>
      </c>
      <c r="AE27" s="182"/>
      <c r="AF27" s="182"/>
      <c r="AG27" s="182"/>
      <c r="AH27" s="221"/>
      <c r="AI27" s="221"/>
      <c r="AJ27" s="221"/>
      <c r="AK27" s="221"/>
      <c r="AL27" s="221"/>
      <c r="AM27" s="221"/>
      <c r="AN27" s="221"/>
      <c r="AO27" s="221"/>
      <c r="AP27" s="221"/>
      <c r="AQ27" s="182"/>
      <c r="AR27" s="182"/>
      <c r="AS27" s="182"/>
      <c r="AT27" s="182"/>
      <c r="AU27" s="221" t="str">
        <f t="shared" si="88"/>
        <v/>
      </c>
      <c r="AV27" s="221" t="str">
        <f t="shared" si="89"/>
        <v/>
      </c>
      <c r="AW27" s="221"/>
      <c r="AX27" s="221"/>
      <c r="AY27" s="221"/>
      <c r="AZ27" s="221"/>
      <c r="BA27" s="221"/>
      <c r="BB27" s="221"/>
      <c r="BC27" s="221"/>
      <c r="BD27" s="221"/>
      <c r="BE27" s="221"/>
      <c r="BF27" s="468">
        <f t="shared" si="90"/>
        <v>0</v>
      </c>
      <c r="BG27" s="315">
        <f t="shared" si="91"/>
        <v>0</v>
      </c>
      <c r="BH27" s="315" t="str">
        <f t="shared" si="92"/>
        <v/>
      </c>
      <c r="BI27" s="182"/>
      <c r="BJ27" s="182"/>
      <c r="BK27" s="182"/>
      <c r="BL27" s="221"/>
      <c r="BM27" s="221"/>
      <c r="BN27" s="221"/>
      <c r="BO27" s="221"/>
      <c r="BP27" s="221"/>
      <c r="BQ27" s="221"/>
      <c r="BR27" s="221"/>
      <c r="BS27" s="221"/>
      <c r="BT27" s="221"/>
      <c r="BU27" s="182"/>
      <c r="BV27" s="182"/>
      <c r="BW27" s="182"/>
      <c r="BX27" s="182"/>
      <c r="BY27" s="221" t="str">
        <f t="shared" si="93"/>
        <v/>
      </c>
      <c r="BZ27" s="221" t="str">
        <f t="shared" si="94"/>
        <v/>
      </c>
      <c r="CA27" s="221"/>
      <c r="CB27" s="221"/>
      <c r="CC27" s="221"/>
      <c r="CD27" s="221"/>
      <c r="CE27" s="221"/>
      <c r="CF27" s="221"/>
      <c r="CG27" s="221"/>
      <c r="CH27" s="221"/>
      <c r="CI27" s="221"/>
      <c r="CJ27" s="468">
        <f t="shared" si="95"/>
        <v>0</v>
      </c>
      <c r="CK27" s="315">
        <f t="shared" si="96"/>
        <v>0</v>
      </c>
      <c r="CL27" s="315" t="str">
        <f t="shared" si="97"/>
        <v/>
      </c>
      <c r="CM27" s="182"/>
      <c r="CN27" s="182"/>
      <c r="CO27" s="182"/>
      <c r="CP27" s="221"/>
      <c r="CQ27" s="221"/>
      <c r="CR27" s="221"/>
      <c r="CS27" s="221"/>
      <c r="CT27" s="221"/>
      <c r="CU27" s="221"/>
      <c r="CV27" s="221"/>
      <c r="CW27" s="221"/>
      <c r="CX27" s="221"/>
      <c r="CY27" s="221"/>
      <c r="CZ27" s="182"/>
      <c r="DA27" s="182"/>
      <c r="DB27" s="182"/>
      <c r="DC27" s="182"/>
      <c r="DD27" s="221" t="str">
        <f t="shared" si="72"/>
        <v/>
      </c>
      <c r="DE27" s="221" t="str">
        <f t="shared" si="73"/>
        <v/>
      </c>
      <c r="DF27" s="221"/>
      <c r="DG27" s="221"/>
      <c r="DH27" s="221"/>
      <c r="DI27" s="221"/>
      <c r="DJ27" s="221"/>
      <c r="DK27" s="221"/>
      <c r="DL27" s="221"/>
      <c r="DM27" s="221"/>
      <c r="DN27" s="221"/>
      <c r="DO27" s="469" t="str">
        <f t="shared" si="98"/>
        <v/>
      </c>
      <c r="DP27" s="315">
        <f t="shared" si="99"/>
        <v>0</v>
      </c>
      <c r="DQ27" s="315" t="str">
        <f t="shared" si="100"/>
        <v/>
      </c>
      <c r="DR27" s="182"/>
      <c r="DS27" s="182"/>
      <c r="DT27" s="182"/>
      <c r="DU27" s="221"/>
      <c r="DV27" s="221"/>
      <c r="DW27" s="221"/>
      <c r="DX27" s="221"/>
      <c r="DY27" s="221"/>
      <c r="DZ27" s="221"/>
      <c r="EA27" s="221"/>
      <c r="EB27" s="221"/>
      <c r="EC27" s="221"/>
      <c r="ED27" s="182"/>
      <c r="EE27" s="182"/>
      <c r="EF27" s="182"/>
      <c r="EG27" s="182"/>
      <c r="EH27" s="221" t="str">
        <f t="shared" si="101"/>
        <v/>
      </c>
      <c r="EI27" s="221" t="str">
        <f t="shared" si="102"/>
        <v/>
      </c>
      <c r="EJ27" s="221"/>
      <c r="EK27" s="221"/>
      <c r="EL27" s="221"/>
      <c r="EM27" s="221"/>
      <c r="EN27" s="221"/>
      <c r="EO27" s="221"/>
      <c r="EP27" s="221"/>
      <c r="EQ27" s="221"/>
      <c r="ER27" s="221"/>
      <c r="ES27" s="221"/>
      <c r="ET27" s="221"/>
      <c r="EU27" s="315">
        <f t="shared" si="103"/>
        <v>0</v>
      </c>
      <c r="EV27" s="315" t="str">
        <f t="shared" si="104"/>
        <v/>
      </c>
      <c r="EW27" s="182"/>
      <c r="EX27" s="182"/>
      <c r="EY27" s="182"/>
      <c r="EZ27" s="221"/>
      <c r="FA27" s="221"/>
      <c r="FB27" s="221"/>
      <c r="FC27" s="221"/>
      <c r="FD27" s="221"/>
      <c r="FE27" s="221"/>
      <c r="FF27" s="221"/>
      <c r="FG27" s="221"/>
      <c r="FH27" s="221"/>
      <c r="FI27" s="182"/>
      <c r="FJ27" s="182"/>
      <c r="FK27" s="182"/>
      <c r="FL27" s="182"/>
      <c r="FM27" s="221" t="str">
        <f t="shared" si="105"/>
        <v/>
      </c>
      <c r="FN27" s="221" t="str">
        <f t="shared" si="106"/>
        <v/>
      </c>
      <c r="FO27" s="221"/>
      <c r="FP27" s="221"/>
      <c r="FQ27" s="221"/>
      <c r="FR27" s="221"/>
      <c r="FS27" s="221"/>
      <c r="FT27" s="221"/>
      <c r="FU27" s="221"/>
      <c r="FV27" s="221"/>
      <c r="FW27" s="221"/>
      <c r="FX27" s="221"/>
      <c r="FY27" s="221"/>
      <c r="FZ27" s="408"/>
      <c r="GA27" s="315">
        <f t="shared" si="107"/>
        <v>0</v>
      </c>
      <c r="GB27" s="315" t="str">
        <f t="shared" si="108"/>
        <v/>
      </c>
      <c r="GC27" s="302" t="s">
        <v>160</v>
      </c>
      <c r="GG27" s="460"/>
      <c r="GH27" s="460"/>
      <c r="GU27" s="469"/>
      <c r="GV27" s="470" t="str">
        <f t="shared" si="109"/>
        <v/>
      </c>
      <c r="GW27" s="302">
        <f t="shared" si="110"/>
        <v>0</v>
      </c>
      <c r="HA27" s="654"/>
      <c r="HD27" s="379"/>
      <c r="HE27" s="380"/>
      <c r="HH27" s="383"/>
      <c r="HI27" s="410"/>
      <c r="HJ27" s="302" t="str">
        <f t="shared" si="85"/>
        <v/>
      </c>
      <c r="HO27" s="302" t="str">
        <f t="shared" si="34"/>
        <v/>
      </c>
      <c r="HP27" s="302" t="str">
        <f t="shared" si="35"/>
        <v/>
      </c>
      <c r="HQ27" s="302" t="str">
        <f t="shared" si="36"/>
        <v/>
      </c>
      <c r="IT27" s="410"/>
      <c r="IU27" s="410"/>
      <c r="IV27" s="635"/>
    </row>
    <row r="28" spans="1:256" s="302" customFormat="1" ht="12.75" hidden="1" customHeight="1">
      <c r="A28" s="397" t="str">
        <f t="shared" si="1"/>
        <v/>
      </c>
      <c r="B28" s="462" t="str">
        <f t="shared" si="61"/>
        <v/>
      </c>
      <c r="C28" s="426"/>
      <c r="D28" s="575"/>
      <c r="E28" s="463"/>
      <c r="F28" s="464"/>
      <c r="G28" s="465"/>
      <c r="H28" s="465"/>
      <c r="I28" s="466"/>
      <c r="J28" s="463"/>
      <c r="K28" s="465"/>
      <c r="L28" s="465"/>
      <c r="M28" s="466"/>
      <c r="N28" s="573"/>
      <c r="O28" s="467"/>
      <c r="P28" s="518"/>
      <c r="Q28" s="381"/>
      <c r="R28" s="182"/>
      <c r="S28" s="182"/>
      <c r="T28" s="182"/>
      <c r="U28" s="182"/>
      <c r="V28" s="182"/>
      <c r="W28" s="182"/>
      <c r="X28" s="182"/>
      <c r="Y28" s="182"/>
      <c r="Z28" s="182"/>
      <c r="AA28" s="384"/>
      <c r="AB28" s="182" t="str">
        <f t="shared" si="86"/>
        <v/>
      </c>
      <c r="AC28" s="315">
        <f t="shared" si="87"/>
        <v>0</v>
      </c>
      <c r="AD28" s="315" t="str">
        <f t="shared" si="63"/>
        <v/>
      </c>
      <c r="AE28" s="182"/>
      <c r="AF28" s="182"/>
      <c r="AG28" s="182"/>
      <c r="AH28" s="221"/>
      <c r="AI28" s="221"/>
      <c r="AJ28" s="221"/>
      <c r="AK28" s="221"/>
      <c r="AL28" s="221"/>
      <c r="AM28" s="221"/>
      <c r="AN28" s="221"/>
      <c r="AO28" s="221"/>
      <c r="AP28" s="221"/>
      <c r="AQ28" s="182"/>
      <c r="AR28" s="182"/>
      <c r="AS28" s="182"/>
      <c r="AT28" s="182"/>
      <c r="AU28" s="221" t="str">
        <f t="shared" si="88"/>
        <v/>
      </c>
      <c r="AV28" s="221" t="str">
        <f t="shared" si="89"/>
        <v/>
      </c>
      <c r="AW28" s="221"/>
      <c r="AX28" s="221"/>
      <c r="AY28" s="221"/>
      <c r="AZ28" s="221"/>
      <c r="BA28" s="221"/>
      <c r="BB28" s="221"/>
      <c r="BC28" s="221"/>
      <c r="BD28" s="221"/>
      <c r="BE28" s="221"/>
      <c r="BF28" s="469">
        <f t="shared" si="90"/>
        <v>0</v>
      </c>
      <c r="BG28" s="315">
        <f t="shared" si="91"/>
        <v>0</v>
      </c>
      <c r="BH28" s="315" t="str">
        <f t="shared" si="92"/>
        <v/>
      </c>
      <c r="BI28" s="182"/>
      <c r="BJ28" s="182"/>
      <c r="BK28" s="182"/>
      <c r="BL28" s="221"/>
      <c r="BM28" s="221"/>
      <c r="BN28" s="221"/>
      <c r="BO28" s="221"/>
      <c r="BP28" s="221"/>
      <c r="BQ28" s="221"/>
      <c r="BR28" s="221"/>
      <c r="BS28" s="221"/>
      <c r="BT28" s="221"/>
      <c r="BU28" s="182"/>
      <c r="BV28" s="182"/>
      <c r="BW28" s="182"/>
      <c r="BX28" s="182"/>
      <c r="BY28" s="221" t="str">
        <f t="shared" si="93"/>
        <v/>
      </c>
      <c r="BZ28" s="221" t="str">
        <f t="shared" si="94"/>
        <v/>
      </c>
      <c r="CA28" s="221"/>
      <c r="CB28" s="221"/>
      <c r="CC28" s="221"/>
      <c r="CD28" s="221"/>
      <c r="CE28" s="221"/>
      <c r="CF28" s="221"/>
      <c r="CG28" s="221"/>
      <c r="CH28" s="221"/>
      <c r="CI28" s="221"/>
      <c r="CJ28" s="469">
        <f t="shared" si="95"/>
        <v>0</v>
      </c>
      <c r="CK28" s="315">
        <f t="shared" si="96"/>
        <v>0</v>
      </c>
      <c r="CL28" s="315" t="str">
        <f t="shared" si="97"/>
        <v/>
      </c>
      <c r="CM28" s="182"/>
      <c r="CN28" s="182"/>
      <c r="CO28" s="182"/>
      <c r="CP28" s="221"/>
      <c r="CQ28" s="221"/>
      <c r="CR28" s="221"/>
      <c r="CS28" s="221"/>
      <c r="CT28" s="221"/>
      <c r="CU28" s="221"/>
      <c r="CV28" s="221"/>
      <c r="CW28" s="221"/>
      <c r="CX28" s="221"/>
      <c r="CY28" s="221"/>
      <c r="CZ28" s="182"/>
      <c r="DA28" s="182"/>
      <c r="DB28" s="182"/>
      <c r="DC28" s="182"/>
      <c r="DD28" s="221" t="str">
        <f t="shared" si="72"/>
        <v/>
      </c>
      <c r="DE28" s="221" t="str">
        <f t="shared" si="73"/>
        <v/>
      </c>
      <c r="DF28" s="221"/>
      <c r="DG28" s="221"/>
      <c r="DH28" s="221"/>
      <c r="DI28" s="221"/>
      <c r="DJ28" s="221"/>
      <c r="DK28" s="221"/>
      <c r="DL28" s="221"/>
      <c r="DM28" s="221"/>
      <c r="DN28" s="221"/>
      <c r="DO28" s="469" t="str">
        <f t="shared" si="98"/>
        <v/>
      </c>
      <c r="DP28" s="315">
        <f t="shared" si="99"/>
        <v>0</v>
      </c>
      <c r="DQ28" s="315" t="str">
        <f t="shared" si="100"/>
        <v/>
      </c>
      <c r="DR28" s="182"/>
      <c r="DS28" s="182"/>
      <c r="DT28" s="182"/>
      <c r="DU28" s="221"/>
      <c r="DV28" s="221"/>
      <c r="DW28" s="221"/>
      <c r="DX28" s="221"/>
      <c r="DY28" s="221"/>
      <c r="DZ28" s="221"/>
      <c r="EA28" s="221"/>
      <c r="EB28" s="221"/>
      <c r="EC28" s="221"/>
      <c r="ED28" s="182"/>
      <c r="EE28" s="182"/>
      <c r="EF28" s="182"/>
      <c r="EG28" s="182"/>
      <c r="EH28" s="221" t="str">
        <f t="shared" si="101"/>
        <v/>
      </c>
      <c r="EI28" s="221" t="str">
        <f t="shared" si="102"/>
        <v/>
      </c>
      <c r="EJ28" s="221"/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  <c r="EU28" s="315">
        <f t="shared" si="103"/>
        <v>0</v>
      </c>
      <c r="EV28" s="315" t="str">
        <f t="shared" si="104"/>
        <v/>
      </c>
      <c r="EW28" s="182"/>
      <c r="EX28" s="182"/>
      <c r="EY28" s="182"/>
      <c r="EZ28" s="221"/>
      <c r="FA28" s="221"/>
      <c r="FB28" s="221"/>
      <c r="FC28" s="221"/>
      <c r="FD28" s="221"/>
      <c r="FE28" s="221"/>
      <c r="FF28" s="221"/>
      <c r="FG28" s="221"/>
      <c r="FH28" s="221"/>
      <c r="FI28" s="182"/>
      <c r="FJ28" s="182"/>
      <c r="FK28" s="182"/>
      <c r="FL28" s="182"/>
      <c r="FM28" s="221" t="str">
        <f t="shared" si="105"/>
        <v/>
      </c>
      <c r="FN28" s="221" t="str">
        <f t="shared" si="106"/>
        <v/>
      </c>
      <c r="FO28" s="221"/>
      <c r="FP28" s="221"/>
      <c r="FQ28" s="221"/>
      <c r="FR28" s="221"/>
      <c r="FS28" s="221"/>
      <c r="FT28" s="221"/>
      <c r="FU28" s="221"/>
      <c r="FV28" s="221"/>
      <c r="FW28" s="221"/>
      <c r="FX28" s="221"/>
      <c r="FY28" s="221"/>
      <c r="FZ28" s="408"/>
      <c r="GA28" s="315">
        <f t="shared" si="107"/>
        <v>0</v>
      </c>
      <c r="GB28" s="315" t="str">
        <f t="shared" si="108"/>
        <v/>
      </c>
      <c r="GC28" s="182" t="s">
        <v>160</v>
      </c>
      <c r="GD28" s="182"/>
      <c r="GE28" s="182"/>
      <c r="GG28" s="460"/>
      <c r="GH28" s="460"/>
      <c r="GU28" s="469"/>
      <c r="GV28" s="470" t="str">
        <f t="shared" si="109"/>
        <v/>
      </c>
      <c r="GW28" s="302">
        <f t="shared" si="110"/>
        <v>0</v>
      </c>
      <c r="HA28" s="654"/>
      <c r="HD28" s="379"/>
      <c r="HE28" s="380"/>
      <c r="HH28" s="385"/>
      <c r="HI28" s="411"/>
      <c r="HJ28" s="461" t="str">
        <f t="shared" si="85"/>
        <v/>
      </c>
      <c r="HO28" s="302" t="str">
        <f t="shared" si="34"/>
        <v/>
      </c>
      <c r="HP28" s="302" t="str">
        <f t="shared" si="35"/>
        <v/>
      </c>
      <c r="HQ28" s="302" t="str">
        <f t="shared" si="36"/>
        <v/>
      </c>
      <c r="IT28" s="411"/>
      <c r="IU28" s="411"/>
      <c r="IV28" s="462"/>
    </row>
    <row r="29" spans="1:256" s="302" customFormat="1" ht="12.75" hidden="1" customHeight="1">
      <c r="A29" s="397" t="str">
        <f t="shared" si="1"/>
        <v/>
      </c>
      <c r="B29" s="462" t="str">
        <f t="shared" si="61"/>
        <v/>
      </c>
      <c r="C29" s="426"/>
      <c r="D29" s="575"/>
      <c r="E29" s="463"/>
      <c r="F29" s="464"/>
      <c r="G29" s="465"/>
      <c r="H29" s="465"/>
      <c r="I29" s="466"/>
      <c r="J29" s="463"/>
      <c r="K29" s="465"/>
      <c r="L29" s="465"/>
      <c r="M29" s="466"/>
      <c r="N29" s="573"/>
      <c r="O29" s="467"/>
      <c r="P29" s="518"/>
      <c r="Q29" s="381"/>
      <c r="R29" s="182"/>
      <c r="S29" s="182"/>
      <c r="T29" s="182"/>
      <c r="U29" s="182"/>
      <c r="V29" s="182"/>
      <c r="W29" s="182"/>
      <c r="X29" s="182"/>
      <c r="Y29" s="182"/>
      <c r="Z29" s="182"/>
      <c r="AA29" s="382"/>
      <c r="AB29" s="182" t="str">
        <f t="shared" si="86"/>
        <v/>
      </c>
      <c r="AC29" s="315">
        <f t="shared" si="87"/>
        <v>0</v>
      </c>
      <c r="AD29" s="315" t="str">
        <f t="shared" si="63"/>
        <v/>
      </c>
      <c r="AE29" s="182"/>
      <c r="AF29" s="182"/>
      <c r="AG29" s="182"/>
      <c r="AH29" s="221"/>
      <c r="AI29" s="221"/>
      <c r="AJ29" s="221"/>
      <c r="AK29" s="221"/>
      <c r="AL29" s="221"/>
      <c r="AM29" s="221"/>
      <c r="AN29" s="221"/>
      <c r="AO29" s="221"/>
      <c r="AP29" s="221"/>
      <c r="AQ29" s="182"/>
      <c r="AR29" s="182"/>
      <c r="AS29" s="182"/>
      <c r="AT29" s="182"/>
      <c r="AU29" s="221" t="str">
        <f t="shared" si="88"/>
        <v/>
      </c>
      <c r="AV29" s="221" t="str">
        <f t="shared" si="89"/>
        <v/>
      </c>
      <c r="AW29" s="221"/>
      <c r="AX29" s="221"/>
      <c r="AY29" s="221"/>
      <c r="AZ29" s="221"/>
      <c r="BA29" s="221"/>
      <c r="BB29" s="221"/>
      <c r="BC29" s="221"/>
      <c r="BD29" s="221"/>
      <c r="BE29" s="221"/>
      <c r="BF29" s="468">
        <f t="shared" si="90"/>
        <v>0</v>
      </c>
      <c r="BG29" s="315">
        <f t="shared" si="91"/>
        <v>0</v>
      </c>
      <c r="BH29" s="315" t="str">
        <f t="shared" si="92"/>
        <v/>
      </c>
      <c r="BI29" s="182"/>
      <c r="BJ29" s="182"/>
      <c r="BK29" s="182"/>
      <c r="BL29" s="221"/>
      <c r="BM29" s="221"/>
      <c r="BN29" s="221"/>
      <c r="BO29" s="221"/>
      <c r="BP29" s="221"/>
      <c r="BQ29" s="221"/>
      <c r="BR29" s="221"/>
      <c r="BS29" s="221"/>
      <c r="BT29" s="221"/>
      <c r="BU29" s="182"/>
      <c r="BV29" s="182"/>
      <c r="BW29" s="182"/>
      <c r="BX29" s="182"/>
      <c r="BY29" s="221" t="str">
        <f t="shared" si="93"/>
        <v/>
      </c>
      <c r="BZ29" s="221" t="str">
        <f t="shared" si="94"/>
        <v/>
      </c>
      <c r="CA29" s="221"/>
      <c r="CB29" s="221"/>
      <c r="CC29" s="221"/>
      <c r="CD29" s="221"/>
      <c r="CE29" s="221"/>
      <c r="CF29" s="221"/>
      <c r="CG29" s="221"/>
      <c r="CH29" s="221"/>
      <c r="CI29" s="221"/>
      <c r="CJ29" s="468">
        <f t="shared" si="95"/>
        <v>0</v>
      </c>
      <c r="CK29" s="315">
        <f t="shared" si="96"/>
        <v>0</v>
      </c>
      <c r="CL29" s="315" t="str">
        <f t="shared" si="97"/>
        <v/>
      </c>
      <c r="CM29" s="182"/>
      <c r="CN29" s="182"/>
      <c r="CO29" s="182"/>
      <c r="CP29" s="221"/>
      <c r="CQ29" s="221"/>
      <c r="CR29" s="221"/>
      <c r="CS29" s="221"/>
      <c r="CT29" s="221"/>
      <c r="CU29" s="221"/>
      <c r="CV29" s="221"/>
      <c r="CW29" s="221"/>
      <c r="CX29" s="221"/>
      <c r="CY29" s="221"/>
      <c r="CZ29" s="182"/>
      <c r="DA29" s="182"/>
      <c r="DB29" s="182"/>
      <c r="DC29" s="182"/>
      <c r="DD29" s="221" t="str">
        <f t="shared" si="72"/>
        <v/>
      </c>
      <c r="DE29" s="221" t="str">
        <f t="shared" si="73"/>
        <v/>
      </c>
      <c r="DF29" s="221"/>
      <c r="DG29" s="221"/>
      <c r="DH29" s="221"/>
      <c r="DI29" s="221"/>
      <c r="DJ29" s="221"/>
      <c r="DK29" s="221"/>
      <c r="DL29" s="221"/>
      <c r="DM29" s="221"/>
      <c r="DN29" s="221"/>
      <c r="DO29" s="469" t="str">
        <f t="shared" si="98"/>
        <v/>
      </c>
      <c r="DP29" s="315">
        <f t="shared" si="99"/>
        <v>0</v>
      </c>
      <c r="DQ29" s="315" t="str">
        <f t="shared" si="100"/>
        <v/>
      </c>
      <c r="DR29" s="182"/>
      <c r="DS29" s="182"/>
      <c r="DT29" s="182"/>
      <c r="DU29" s="221"/>
      <c r="DV29" s="221"/>
      <c r="DW29" s="221"/>
      <c r="DX29" s="221"/>
      <c r="DY29" s="221"/>
      <c r="DZ29" s="221"/>
      <c r="EA29" s="221"/>
      <c r="EB29" s="221"/>
      <c r="EC29" s="221"/>
      <c r="ED29" s="182"/>
      <c r="EE29" s="182"/>
      <c r="EF29" s="182"/>
      <c r="EG29" s="182"/>
      <c r="EH29" s="221" t="str">
        <f t="shared" si="101"/>
        <v/>
      </c>
      <c r="EI29" s="221" t="str">
        <f t="shared" si="102"/>
        <v/>
      </c>
      <c r="EJ29" s="221"/>
      <c r="EK29" s="221"/>
      <c r="EL29" s="221"/>
      <c r="EM29" s="221"/>
      <c r="EN29" s="221"/>
      <c r="EO29" s="221"/>
      <c r="EP29" s="221"/>
      <c r="EQ29" s="221"/>
      <c r="ER29" s="221"/>
      <c r="ES29" s="221"/>
      <c r="ET29" s="221"/>
      <c r="EU29" s="315">
        <f t="shared" si="103"/>
        <v>0</v>
      </c>
      <c r="EV29" s="315" t="str">
        <f t="shared" si="104"/>
        <v/>
      </c>
      <c r="EW29" s="182"/>
      <c r="EX29" s="182"/>
      <c r="EY29" s="182"/>
      <c r="EZ29" s="221"/>
      <c r="FA29" s="221"/>
      <c r="FB29" s="221"/>
      <c r="FC29" s="221"/>
      <c r="FD29" s="221"/>
      <c r="FE29" s="221"/>
      <c r="FF29" s="221"/>
      <c r="FG29" s="221"/>
      <c r="FH29" s="221"/>
      <c r="FI29" s="182"/>
      <c r="FJ29" s="182"/>
      <c r="FK29" s="182"/>
      <c r="FL29" s="182"/>
      <c r="FM29" s="221" t="str">
        <f t="shared" si="105"/>
        <v/>
      </c>
      <c r="FN29" s="221" t="str">
        <f t="shared" si="106"/>
        <v/>
      </c>
      <c r="FO29" s="221"/>
      <c r="FP29" s="221"/>
      <c r="FQ29" s="221"/>
      <c r="FR29" s="221"/>
      <c r="FS29" s="221"/>
      <c r="FT29" s="221"/>
      <c r="FU29" s="221"/>
      <c r="FV29" s="221"/>
      <c r="FW29" s="221"/>
      <c r="FX29" s="221"/>
      <c r="FY29" s="221"/>
      <c r="FZ29" s="408"/>
      <c r="GA29" s="315">
        <f t="shared" si="107"/>
        <v>0</v>
      </c>
      <c r="GB29" s="315" t="str">
        <f t="shared" si="108"/>
        <v/>
      </c>
      <c r="GC29" s="182" t="s">
        <v>160</v>
      </c>
      <c r="GD29" s="182"/>
      <c r="GE29" s="182"/>
      <c r="GG29" s="460"/>
      <c r="GH29" s="460"/>
      <c r="GU29" s="469"/>
      <c r="GV29" s="470" t="str">
        <f t="shared" si="109"/>
        <v/>
      </c>
      <c r="GW29" s="302">
        <f t="shared" si="110"/>
        <v>0</v>
      </c>
      <c r="HA29" s="654"/>
      <c r="HD29" s="379"/>
      <c r="HE29" s="380"/>
      <c r="HH29" s="383"/>
      <c r="HI29" s="410"/>
      <c r="HJ29" s="302" t="str">
        <f t="shared" si="85"/>
        <v/>
      </c>
      <c r="HO29" s="302" t="str">
        <f t="shared" si="34"/>
        <v/>
      </c>
      <c r="HP29" s="302" t="str">
        <f t="shared" si="35"/>
        <v/>
      </c>
      <c r="HQ29" s="302" t="str">
        <f t="shared" si="36"/>
        <v/>
      </c>
      <c r="IT29" s="410"/>
      <c r="IU29" s="410"/>
      <c r="IV29" s="635"/>
    </row>
    <row r="30" spans="1:256" s="302" customFormat="1" ht="12.75" hidden="1" customHeight="1">
      <c r="A30" s="397" t="str">
        <f t="shared" si="1"/>
        <v/>
      </c>
      <c r="B30" s="462" t="str">
        <f t="shared" si="61"/>
        <v/>
      </c>
      <c r="C30" s="426"/>
      <c r="D30" s="575"/>
      <c r="E30" s="463"/>
      <c r="F30" s="464"/>
      <c r="G30" s="465"/>
      <c r="H30" s="465"/>
      <c r="I30" s="466"/>
      <c r="J30" s="463"/>
      <c r="K30" s="465"/>
      <c r="L30" s="465"/>
      <c r="M30" s="466"/>
      <c r="N30" s="573"/>
      <c r="O30" s="467"/>
      <c r="P30" s="518"/>
      <c r="Q30" s="381"/>
      <c r="R30" s="182"/>
      <c r="S30" s="182"/>
      <c r="T30" s="182"/>
      <c r="U30" s="182"/>
      <c r="V30" s="182"/>
      <c r="W30" s="182"/>
      <c r="X30" s="182"/>
      <c r="Y30" s="182"/>
      <c r="Z30" s="182"/>
      <c r="AA30" s="384"/>
      <c r="AB30" s="182" t="str">
        <f t="shared" si="86"/>
        <v/>
      </c>
      <c r="AC30" s="315">
        <f t="shared" si="87"/>
        <v>0</v>
      </c>
      <c r="AD30" s="315" t="str">
        <f t="shared" si="63"/>
        <v/>
      </c>
      <c r="AE30" s="182"/>
      <c r="AF30" s="182"/>
      <c r="AG30" s="182"/>
      <c r="AH30" s="221"/>
      <c r="AI30" s="221"/>
      <c r="AJ30" s="221"/>
      <c r="AK30" s="221"/>
      <c r="AL30" s="221"/>
      <c r="AM30" s="221"/>
      <c r="AN30" s="221"/>
      <c r="AO30" s="221"/>
      <c r="AP30" s="221"/>
      <c r="AQ30" s="182"/>
      <c r="AR30" s="182"/>
      <c r="AS30" s="182"/>
      <c r="AT30" s="224"/>
      <c r="AU30" s="221" t="str">
        <f t="shared" si="88"/>
        <v/>
      </c>
      <c r="AV30" s="221" t="str">
        <f t="shared" si="89"/>
        <v/>
      </c>
      <c r="AW30" s="221"/>
      <c r="AX30" s="221"/>
      <c r="AY30" s="221"/>
      <c r="AZ30" s="221"/>
      <c r="BA30" s="221"/>
      <c r="BB30" s="221"/>
      <c r="BC30" s="221"/>
      <c r="BD30" s="221"/>
      <c r="BE30" s="221"/>
      <c r="BF30" s="469">
        <f t="shared" si="90"/>
        <v>0</v>
      </c>
      <c r="BG30" s="315">
        <f t="shared" si="91"/>
        <v>0</v>
      </c>
      <c r="BH30" s="315" t="str">
        <f t="shared" si="92"/>
        <v/>
      </c>
      <c r="BI30" s="182"/>
      <c r="BJ30" s="182"/>
      <c r="BK30" s="182"/>
      <c r="BL30" s="221"/>
      <c r="BM30" s="221"/>
      <c r="BN30" s="221"/>
      <c r="BO30" s="221"/>
      <c r="BP30" s="221"/>
      <c r="BQ30" s="221"/>
      <c r="BR30" s="221"/>
      <c r="BS30" s="221"/>
      <c r="BT30" s="221"/>
      <c r="BU30" s="182"/>
      <c r="BV30" s="182"/>
      <c r="BW30" s="182"/>
      <c r="BX30" s="182"/>
      <c r="BY30" s="221" t="str">
        <f t="shared" si="93"/>
        <v/>
      </c>
      <c r="BZ30" s="221" t="str">
        <f t="shared" si="94"/>
        <v/>
      </c>
      <c r="CA30" s="221"/>
      <c r="CB30" s="221"/>
      <c r="CC30" s="221"/>
      <c r="CD30" s="221"/>
      <c r="CE30" s="221"/>
      <c r="CF30" s="221"/>
      <c r="CG30" s="221"/>
      <c r="CH30" s="221"/>
      <c r="CI30" s="221"/>
      <c r="CJ30" s="469">
        <f t="shared" si="95"/>
        <v>0</v>
      </c>
      <c r="CK30" s="315">
        <f t="shared" si="96"/>
        <v>0</v>
      </c>
      <c r="CL30" s="315" t="str">
        <f t="shared" si="97"/>
        <v/>
      </c>
      <c r="CM30" s="182"/>
      <c r="CN30" s="182"/>
      <c r="CO30" s="182"/>
      <c r="CP30" s="221"/>
      <c r="CQ30" s="221"/>
      <c r="CR30" s="221"/>
      <c r="CS30" s="221"/>
      <c r="CT30" s="221"/>
      <c r="CU30" s="221"/>
      <c r="CV30" s="221"/>
      <c r="CW30" s="221"/>
      <c r="CX30" s="221"/>
      <c r="CY30" s="221"/>
      <c r="CZ30" s="182"/>
      <c r="DA30" s="182"/>
      <c r="DB30" s="182"/>
      <c r="DC30" s="182"/>
      <c r="DD30" s="221" t="str">
        <f t="shared" si="72"/>
        <v/>
      </c>
      <c r="DE30" s="221" t="str">
        <f t="shared" si="73"/>
        <v/>
      </c>
      <c r="DF30" s="221"/>
      <c r="DG30" s="221"/>
      <c r="DH30" s="221"/>
      <c r="DI30" s="221"/>
      <c r="DJ30" s="221"/>
      <c r="DK30" s="221"/>
      <c r="DL30" s="221"/>
      <c r="DM30" s="221"/>
      <c r="DN30" s="221"/>
      <c r="DO30" s="469" t="str">
        <f t="shared" si="98"/>
        <v/>
      </c>
      <c r="DP30" s="315">
        <f t="shared" si="99"/>
        <v>0</v>
      </c>
      <c r="DQ30" s="315" t="str">
        <f t="shared" si="100"/>
        <v/>
      </c>
      <c r="DR30" s="182"/>
      <c r="DS30" s="182"/>
      <c r="DT30" s="182"/>
      <c r="DU30" s="221"/>
      <c r="DV30" s="221"/>
      <c r="DW30" s="221"/>
      <c r="DX30" s="221"/>
      <c r="DY30" s="221"/>
      <c r="DZ30" s="221"/>
      <c r="EA30" s="221"/>
      <c r="EB30" s="221"/>
      <c r="EC30" s="221"/>
      <c r="ED30" s="182"/>
      <c r="EE30" s="182"/>
      <c r="EF30" s="182"/>
      <c r="EG30" s="182"/>
      <c r="EH30" s="221" t="str">
        <f t="shared" si="101"/>
        <v/>
      </c>
      <c r="EI30" s="221" t="str">
        <f t="shared" si="102"/>
        <v/>
      </c>
      <c r="EJ30" s="221"/>
      <c r="EK30" s="221"/>
      <c r="EL30" s="221"/>
      <c r="EM30" s="221"/>
      <c r="EN30" s="221"/>
      <c r="EO30" s="221"/>
      <c r="EP30" s="221"/>
      <c r="EQ30" s="221"/>
      <c r="ER30" s="221"/>
      <c r="ES30" s="221"/>
      <c r="ET30" s="221"/>
      <c r="EU30" s="315">
        <f t="shared" si="103"/>
        <v>0</v>
      </c>
      <c r="EV30" s="315" t="str">
        <f t="shared" si="104"/>
        <v/>
      </c>
      <c r="EW30" s="182"/>
      <c r="EX30" s="182"/>
      <c r="EY30" s="182"/>
      <c r="EZ30" s="221"/>
      <c r="FA30" s="221"/>
      <c r="FB30" s="221"/>
      <c r="FC30" s="221"/>
      <c r="FD30" s="221"/>
      <c r="FE30" s="221"/>
      <c r="FF30" s="221"/>
      <c r="FG30" s="221"/>
      <c r="FH30" s="221"/>
      <c r="FI30" s="182"/>
      <c r="FJ30" s="182"/>
      <c r="FK30" s="182"/>
      <c r="FL30" s="182"/>
      <c r="FM30" s="221" t="str">
        <f t="shared" si="105"/>
        <v/>
      </c>
      <c r="FN30" s="221" t="str">
        <f t="shared" si="106"/>
        <v/>
      </c>
      <c r="FO30" s="221"/>
      <c r="FP30" s="221"/>
      <c r="FQ30" s="221"/>
      <c r="FR30" s="221"/>
      <c r="FS30" s="221"/>
      <c r="FT30" s="221"/>
      <c r="FU30" s="221"/>
      <c r="FV30" s="221"/>
      <c r="FW30" s="221"/>
      <c r="FX30" s="221"/>
      <c r="FY30" s="221"/>
      <c r="FZ30" s="408"/>
      <c r="GA30" s="315">
        <f t="shared" si="107"/>
        <v>0</v>
      </c>
      <c r="GB30" s="315" t="str">
        <f t="shared" si="108"/>
        <v/>
      </c>
      <c r="GC30" s="182" t="s">
        <v>160</v>
      </c>
      <c r="GD30" s="182"/>
      <c r="GE30" s="182"/>
      <c r="GG30" s="460"/>
      <c r="GH30" s="460"/>
      <c r="GU30" s="469"/>
      <c r="GV30" s="470" t="str">
        <f t="shared" si="109"/>
        <v/>
      </c>
      <c r="GW30" s="302">
        <f t="shared" si="110"/>
        <v>0</v>
      </c>
      <c r="HA30" s="654"/>
      <c r="HD30" s="379"/>
      <c r="HE30" s="380"/>
      <c r="HH30" s="385"/>
      <c r="HI30" s="411"/>
      <c r="HJ30" s="302" t="str">
        <f t="shared" si="85"/>
        <v/>
      </c>
      <c r="HO30" s="302" t="str">
        <f t="shared" si="34"/>
        <v/>
      </c>
      <c r="HP30" s="302" t="str">
        <f t="shared" si="35"/>
        <v/>
      </c>
      <c r="HQ30" s="302" t="str">
        <f t="shared" si="36"/>
        <v/>
      </c>
      <c r="IT30" s="411"/>
      <c r="IU30" s="411"/>
      <c r="IV30" s="635"/>
    </row>
    <row r="31" spans="1:256" s="302" customFormat="1" ht="12.75" hidden="1" customHeight="1">
      <c r="A31" s="397" t="str">
        <f t="shared" si="1"/>
        <v/>
      </c>
      <c r="B31" s="462" t="str">
        <f t="shared" si="61"/>
        <v/>
      </c>
      <c r="C31" s="426"/>
      <c r="D31" s="575"/>
      <c r="E31" s="463"/>
      <c r="F31" s="464"/>
      <c r="G31" s="465"/>
      <c r="H31" s="465"/>
      <c r="I31" s="466"/>
      <c r="J31" s="463"/>
      <c r="K31" s="465"/>
      <c r="L31" s="465"/>
      <c r="M31" s="466"/>
      <c r="N31" s="573"/>
      <c r="O31" s="467"/>
      <c r="P31" s="518"/>
      <c r="Q31" s="381"/>
      <c r="R31" s="182"/>
      <c r="S31" s="182"/>
      <c r="T31" s="182"/>
      <c r="U31" s="182"/>
      <c r="V31" s="182"/>
      <c r="W31" s="182"/>
      <c r="X31" s="182"/>
      <c r="Y31" s="182"/>
      <c r="Z31" s="182"/>
      <c r="AA31" s="382"/>
      <c r="AB31" s="182" t="str">
        <f t="shared" si="86"/>
        <v/>
      </c>
      <c r="AC31" s="315">
        <f t="shared" si="87"/>
        <v>0</v>
      </c>
      <c r="AD31" s="315" t="str">
        <f t="shared" si="63"/>
        <v/>
      </c>
      <c r="AE31" s="182"/>
      <c r="AF31" s="182"/>
      <c r="AG31" s="182"/>
      <c r="AH31" s="221"/>
      <c r="AI31" s="221"/>
      <c r="AJ31" s="221"/>
      <c r="AK31" s="221"/>
      <c r="AL31" s="221"/>
      <c r="AM31" s="221"/>
      <c r="AN31" s="221"/>
      <c r="AO31" s="221"/>
      <c r="AP31" s="221"/>
      <c r="AQ31" s="182"/>
      <c r="AR31" s="182"/>
      <c r="AS31" s="182"/>
      <c r="AT31" s="182"/>
      <c r="AU31" s="221" t="str">
        <f t="shared" si="88"/>
        <v/>
      </c>
      <c r="AV31" s="221" t="str">
        <f t="shared" si="89"/>
        <v/>
      </c>
      <c r="AW31" s="221"/>
      <c r="AX31" s="221"/>
      <c r="AY31" s="221"/>
      <c r="AZ31" s="221"/>
      <c r="BA31" s="221"/>
      <c r="BB31" s="221"/>
      <c r="BC31" s="221"/>
      <c r="BD31" s="221"/>
      <c r="BE31" s="221"/>
      <c r="BF31" s="468">
        <f t="shared" si="90"/>
        <v>0</v>
      </c>
      <c r="BG31" s="315">
        <f t="shared" si="91"/>
        <v>0</v>
      </c>
      <c r="BH31" s="315" t="str">
        <f t="shared" si="92"/>
        <v/>
      </c>
      <c r="BI31" s="182"/>
      <c r="BJ31" s="182"/>
      <c r="BK31" s="182"/>
      <c r="BL31" s="221"/>
      <c r="BM31" s="221"/>
      <c r="BN31" s="221"/>
      <c r="BO31" s="221"/>
      <c r="BP31" s="221"/>
      <c r="BQ31" s="221"/>
      <c r="BR31" s="221"/>
      <c r="BS31" s="221"/>
      <c r="BT31" s="221"/>
      <c r="BU31" s="182"/>
      <c r="BV31" s="182"/>
      <c r="BW31" s="182"/>
      <c r="BX31" s="182"/>
      <c r="BY31" s="221" t="str">
        <f t="shared" si="93"/>
        <v/>
      </c>
      <c r="BZ31" s="221" t="str">
        <f t="shared" si="94"/>
        <v/>
      </c>
      <c r="CA31" s="221"/>
      <c r="CB31" s="221"/>
      <c r="CC31" s="221"/>
      <c r="CD31" s="221"/>
      <c r="CE31" s="221"/>
      <c r="CF31" s="221"/>
      <c r="CG31" s="221"/>
      <c r="CH31" s="221"/>
      <c r="CI31" s="221"/>
      <c r="CJ31" s="468">
        <f t="shared" si="95"/>
        <v>0</v>
      </c>
      <c r="CK31" s="315">
        <f t="shared" si="96"/>
        <v>0</v>
      </c>
      <c r="CL31" s="315" t="str">
        <f t="shared" si="97"/>
        <v/>
      </c>
      <c r="CM31" s="182"/>
      <c r="CN31" s="182"/>
      <c r="CO31" s="182"/>
      <c r="CP31" s="221"/>
      <c r="CQ31" s="221"/>
      <c r="CR31" s="221"/>
      <c r="CS31" s="221"/>
      <c r="CT31" s="221"/>
      <c r="CU31" s="221"/>
      <c r="CV31" s="221"/>
      <c r="CW31" s="221"/>
      <c r="CX31" s="221"/>
      <c r="CY31" s="221"/>
      <c r="CZ31" s="182"/>
      <c r="DA31" s="182"/>
      <c r="DB31" s="182"/>
      <c r="DC31" s="182"/>
      <c r="DD31" s="221" t="str">
        <f t="shared" si="72"/>
        <v/>
      </c>
      <c r="DE31" s="221" t="str">
        <f t="shared" si="73"/>
        <v/>
      </c>
      <c r="DF31" s="221"/>
      <c r="DG31" s="221"/>
      <c r="DH31" s="221"/>
      <c r="DI31" s="221"/>
      <c r="DJ31" s="221"/>
      <c r="DK31" s="221"/>
      <c r="DL31" s="221"/>
      <c r="DM31" s="221"/>
      <c r="DN31" s="221"/>
      <c r="DO31" s="469" t="str">
        <f t="shared" si="98"/>
        <v/>
      </c>
      <c r="DP31" s="315">
        <f t="shared" si="99"/>
        <v>0</v>
      </c>
      <c r="DQ31" s="315" t="str">
        <f t="shared" si="100"/>
        <v/>
      </c>
      <c r="DR31" s="182"/>
      <c r="DS31" s="182"/>
      <c r="DT31" s="182"/>
      <c r="DU31" s="221"/>
      <c r="DV31" s="221"/>
      <c r="DW31" s="221"/>
      <c r="DX31" s="221"/>
      <c r="DY31" s="221"/>
      <c r="DZ31" s="221"/>
      <c r="EA31" s="221"/>
      <c r="EB31" s="221"/>
      <c r="EC31" s="221"/>
      <c r="ED31" s="182"/>
      <c r="EE31" s="182"/>
      <c r="EF31" s="182"/>
      <c r="EG31" s="182"/>
      <c r="EH31" s="221" t="str">
        <f t="shared" si="101"/>
        <v/>
      </c>
      <c r="EI31" s="221" t="str">
        <f t="shared" si="102"/>
        <v/>
      </c>
      <c r="EJ31" s="221"/>
      <c r="EK31" s="221"/>
      <c r="EL31" s="221"/>
      <c r="EM31" s="221"/>
      <c r="EN31" s="221"/>
      <c r="EO31" s="221"/>
      <c r="EP31" s="221"/>
      <c r="EQ31" s="221"/>
      <c r="ER31" s="221"/>
      <c r="ES31" s="221"/>
      <c r="ET31" s="221"/>
      <c r="EU31" s="315">
        <f t="shared" si="103"/>
        <v>0</v>
      </c>
      <c r="EV31" s="315" t="str">
        <f t="shared" si="104"/>
        <v/>
      </c>
      <c r="EW31" s="182"/>
      <c r="EX31" s="182"/>
      <c r="EY31" s="182"/>
      <c r="EZ31" s="221"/>
      <c r="FA31" s="221"/>
      <c r="FB31" s="221"/>
      <c r="FC31" s="221"/>
      <c r="FD31" s="221"/>
      <c r="FE31" s="221"/>
      <c r="FF31" s="221"/>
      <c r="FG31" s="221"/>
      <c r="FH31" s="221"/>
      <c r="FI31" s="182"/>
      <c r="FJ31" s="182"/>
      <c r="FK31" s="182"/>
      <c r="FL31" s="182"/>
      <c r="FM31" s="221" t="str">
        <f t="shared" si="105"/>
        <v/>
      </c>
      <c r="FN31" s="221" t="str">
        <f t="shared" si="106"/>
        <v/>
      </c>
      <c r="FO31" s="221"/>
      <c r="FP31" s="221"/>
      <c r="FQ31" s="221"/>
      <c r="FR31" s="221"/>
      <c r="FS31" s="221"/>
      <c r="FT31" s="221"/>
      <c r="FU31" s="221"/>
      <c r="FV31" s="221"/>
      <c r="FW31" s="221"/>
      <c r="FX31" s="221"/>
      <c r="FY31" s="221"/>
      <c r="FZ31" s="408"/>
      <c r="GA31" s="315">
        <f t="shared" si="107"/>
        <v>0</v>
      </c>
      <c r="GB31" s="315" t="str">
        <f t="shared" si="108"/>
        <v/>
      </c>
      <c r="GC31" s="302" t="s">
        <v>160</v>
      </c>
      <c r="GG31" s="460"/>
      <c r="GH31" s="460"/>
      <c r="GU31" s="469"/>
      <c r="GV31" s="470" t="str">
        <f t="shared" si="109"/>
        <v/>
      </c>
      <c r="GW31" s="302">
        <f t="shared" si="110"/>
        <v>0</v>
      </c>
      <c r="HA31" s="654"/>
      <c r="HD31" s="379"/>
      <c r="HE31" s="380"/>
      <c r="HH31" s="383"/>
      <c r="HI31" s="410"/>
      <c r="HJ31" s="302" t="str">
        <f t="shared" si="85"/>
        <v/>
      </c>
      <c r="HO31" s="302" t="str">
        <f t="shared" si="34"/>
        <v/>
      </c>
      <c r="HP31" s="302" t="str">
        <f t="shared" si="35"/>
        <v/>
      </c>
      <c r="HQ31" s="302" t="str">
        <f t="shared" si="36"/>
        <v/>
      </c>
      <c r="IT31" s="410"/>
      <c r="IU31" s="410"/>
      <c r="IV31" s="635"/>
    </row>
    <row r="32" spans="1:256" s="302" customFormat="1" ht="12.75" hidden="1" customHeight="1">
      <c r="A32" s="397" t="str">
        <f t="shared" si="1"/>
        <v/>
      </c>
      <c r="B32" s="462" t="str">
        <f t="shared" si="61"/>
        <v/>
      </c>
      <c r="C32" s="426"/>
      <c r="D32" s="575"/>
      <c r="E32" s="463"/>
      <c r="F32" s="464"/>
      <c r="G32" s="465"/>
      <c r="H32" s="465"/>
      <c r="I32" s="466"/>
      <c r="J32" s="463"/>
      <c r="K32" s="465"/>
      <c r="L32" s="465"/>
      <c r="M32" s="466"/>
      <c r="N32" s="573"/>
      <c r="O32" s="467"/>
      <c r="P32" s="518"/>
      <c r="Q32" s="381"/>
      <c r="R32" s="182"/>
      <c r="S32" s="182"/>
      <c r="T32" s="182"/>
      <c r="U32" s="182"/>
      <c r="V32" s="182"/>
      <c r="W32" s="182"/>
      <c r="X32" s="182"/>
      <c r="Y32" s="182"/>
      <c r="Z32" s="182"/>
      <c r="AA32" s="384"/>
      <c r="AB32" s="182" t="str">
        <f t="shared" si="86"/>
        <v/>
      </c>
      <c r="AC32" s="315">
        <f t="shared" si="87"/>
        <v>0</v>
      </c>
      <c r="AD32" s="315" t="str">
        <f t="shared" si="63"/>
        <v/>
      </c>
      <c r="AE32" s="182"/>
      <c r="AF32" s="182"/>
      <c r="AG32" s="182"/>
      <c r="AH32" s="221"/>
      <c r="AI32" s="221"/>
      <c r="AJ32" s="221"/>
      <c r="AK32" s="221"/>
      <c r="AL32" s="221"/>
      <c r="AM32" s="221"/>
      <c r="AN32" s="221"/>
      <c r="AO32" s="221"/>
      <c r="AP32" s="221"/>
      <c r="AQ32" s="182"/>
      <c r="AR32" s="182"/>
      <c r="AS32" s="182"/>
      <c r="AT32" s="182"/>
      <c r="AU32" s="221" t="str">
        <f t="shared" si="88"/>
        <v/>
      </c>
      <c r="AV32" s="221" t="str">
        <f t="shared" si="89"/>
        <v/>
      </c>
      <c r="AW32" s="221"/>
      <c r="AX32" s="221"/>
      <c r="AY32" s="221"/>
      <c r="AZ32" s="221"/>
      <c r="BA32" s="221"/>
      <c r="BB32" s="221"/>
      <c r="BC32" s="221"/>
      <c r="BD32" s="221"/>
      <c r="BE32" s="221"/>
      <c r="BF32" s="469">
        <f t="shared" si="90"/>
        <v>0</v>
      </c>
      <c r="BG32" s="315">
        <f t="shared" si="91"/>
        <v>0</v>
      </c>
      <c r="BH32" s="315" t="str">
        <f t="shared" si="92"/>
        <v/>
      </c>
      <c r="BI32" s="182"/>
      <c r="BJ32" s="182"/>
      <c r="BK32" s="182"/>
      <c r="BL32" s="221"/>
      <c r="BM32" s="221"/>
      <c r="BN32" s="221"/>
      <c r="BO32" s="221"/>
      <c r="BP32" s="221"/>
      <c r="BQ32" s="221"/>
      <c r="BR32" s="221"/>
      <c r="BS32" s="221"/>
      <c r="BT32" s="221"/>
      <c r="BU32" s="182"/>
      <c r="BV32" s="182"/>
      <c r="BW32" s="182"/>
      <c r="BX32" s="182"/>
      <c r="BY32" s="221" t="str">
        <f t="shared" si="93"/>
        <v/>
      </c>
      <c r="BZ32" s="221" t="str">
        <f t="shared" si="94"/>
        <v/>
      </c>
      <c r="CA32" s="221"/>
      <c r="CB32" s="221"/>
      <c r="CC32" s="221"/>
      <c r="CD32" s="221"/>
      <c r="CE32" s="221"/>
      <c r="CF32" s="221"/>
      <c r="CG32" s="221"/>
      <c r="CH32" s="221"/>
      <c r="CI32" s="221"/>
      <c r="CJ32" s="469">
        <f t="shared" si="95"/>
        <v>0</v>
      </c>
      <c r="CK32" s="315">
        <f t="shared" si="96"/>
        <v>0</v>
      </c>
      <c r="CL32" s="315" t="str">
        <f t="shared" si="97"/>
        <v/>
      </c>
      <c r="CM32" s="182"/>
      <c r="CN32" s="182"/>
      <c r="CO32" s="182"/>
      <c r="CP32" s="221"/>
      <c r="CQ32" s="221"/>
      <c r="CR32" s="221"/>
      <c r="CS32" s="221"/>
      <c r="CT32" s="221"/>
      <c r="CU32" s="221"/>
      <c r="CV32" s="221"/>
      <c r="CW32" s="221"/>
      <c r="CX32" s="221"/>
      <c r="CY32" s="221"/>
      <c r="CZ32" s="182"/>
      <c r="DA32" s="182"/>
      <c r="DB32" s="182"/>
      <c r="DC32" s="182"/>
      <c r="DD32" s="221" t="str">
        <f t="shared" si="72"/>
        <v/>
      </c>
      <c r="DE32" s="221" t="str">
        <f t="shared" si="73"/>
        <v/>
      </c>
      <c r="DF32" s="221"/>
      <c r="DG32" s="221"/>
      <c r="DH32" s="221"/>
      <c r="DI32" s="221"/>
      <c r="DJ32" s="221"/>
      <c r="DK32" s="221"/>
      <c r="DL32" s="221"/>
      <c r="DM32" s="221"/>
      <c r="DN32" s="221"/>
      <c r="DO32" s="469" t="str">
        <f t="shared" si="98"/>
        <v/>
      </c>
      <c r="DP32" s="315">
        <f t="shared" si="99"/>
        <v>0</v>
      </c>
      <c r="DQ32" s="315" t="str">
        <f t="shared" si="100"/>
        <v/>
      </c>
      <c r="DR32" s="182"/>
      <c r="DS32" s="182"/>
      <c r="DT32" s="182"/>
      <c r="DU32" s="221"/>
      <c r="DV32" s="221"/>
      <c r="DW32" s="221"/>
      <c r="DX32" s="221"/>
      <c r="DY32" s="221"/>
      <c r="DZ32" s="221"/>
      <c r="EA32" s="221"/>
      <c r="EB32" s="221"/>
      <c r="EC32" s="221"/>
      <c r="ED32" s="182"/>
      <c r="EE32" s="182"/>
      <c r="EF32" s="182"/>
      <c r="EG32" s="182"/>
      <c r="EH32" s="221" t="str">
        <f t="shared" si="101"/>
        <v/>
      </c>
      <c r="EI32" s="221" t="str">
        <f t="shared" si="102"/>
        <v/>
      </c>
      <c r="EJ32" s="221"/>
      <c r="EK32" s="221"/>
      <c r="EL32" s="221"/>
      <c r="EM32" s="221"/>
      <c r="EN32" s="221"/>
      <c r="EO32" s="221"/>
      <c r="EP32" s="221"/>
      <c r="EQ32" s="221"/>
      <c r="ER32" s="221"/>
      <c r="ES32" s="221"/>
      <c r="ET32" s="221"/>
      <c r="EU32" s="315">
        <f t="shared" si="103"/>
        <v>0</v>
      </c>
      <c r="EV32" s="315" t="str">
        <f t="shared" si="104"/>
        <v/>
      </c>
      <c r="EW32" s="182"/>
      <c r="EX32" s="182"/>
      <c r="EY32" s="182"/>
      <c r="EZ32" s="221"/>
      <c r="FA32" s="221"/>
      <c r="FB32" s="221"/>
      <c r="FC32" s="221"/>
      <c r="FD32" s="221"/>
      <c r="FE32" s="221"/>
      <c r="FF32" s="221"/>
      <c r="FG32" s="221"/>
      <c r="FH32" s="221"/>
      <c r="FI32" s="182"/>
      <c r="FJ32" s="182"/>
      <c r="FK32" s="182"/>
      <c r="FL32" s="182"/>
      <c r="FM32" s="221" t="str">
        <f t="shared" si="105"/>
        <v/>
      </c>
      <c r="FN32" s="221" t="str">
        <f t="shared" si="106"/>
        <v/>
      </c>
      <c r="FO32" s="221"/>
      <c r="FP32" s="221"/>
      <c r="FQ32" s="221"/>
      <c r="FR32" s="221"/>
      <c r="FS32" s="221"/>
      <c r="FT32" s="221"/>
      <c r="FU32" s="221"/>
      <c r="FV32" s="221"/>
      <c r="FW32" s="221"/>
      <c r="FX32" s="221"/>
      <c r="FY32" s="221"/>
      <c r="FZ32" s="408"/>
      <c r="GA32" s="315">
        <f t="shared" si="107"/>
        <v>0</v>
      </c>
      <c r="GB32" s="315" t="str">
        <f t="shared" si="108"/>
        <v/>
      </c>
      <c r="GC32" s="302" t="s">
        <v>160</v>
      </c>
      <c r="GG32" s="460"/>
      <c r="GH32" s="460"/>
      <c r="GU32" s="469"/>
      <c r="GV32" s="470" t="str">
        <f t="shared" si="109"/>
        <v/>
      </c>
      <c r="GW32" s="302">
        <f t="shared" si="110"/>
        <v>0</v>
      </c>
      <c r="HA32" s="654"/>
      <c r="HD32" s="379"/>
      <c r="HE32" s="380"/>
      <c r="HH32" s="385"/>
      <c r="HI32" s="411"/>
      <c r="HJ32" s="302" t="str">
        <f t="shared" si="85"/>
        <v/>
      </c>
      <c r="HO32" s="302" t="str">
        <f t="shared" si="34"/>
        <v/>
      </c>
      <c r="HP32" s="302" t="str">
        <f t="shared" si="35"/>
        <v/>
      </c>
      <c r="HQ32" s="302" t="str">
        <f t="shared" si="36"/>
        <v/>
      </c>
      <c r="IT32" s="411"/>
      <c r="IU32" s="411"/>
      <c r="IV32" s="635"/>
    </row>
    <row r="33" spans="1:256" s="302" customFormat="1" ht="12.75" hidden="1" customHeight="1">
      <c r="A33" s="397" t="str">
        <f t="shared" si="1"/>
        <v/>
      </c>
      <c r="B33" s="462" t="str">
        <f t="shared" si="61"/>
        <v/>
      </c>
      <c r="C33" s="426"/>
      <c r="D33" s="575"/>
      <c r="E33" s="463"/>
      <c r="F33" s="464"/>
      <c r="G33" s="465"/>
      <c r="H33" s="465"/>
      <c r="I33" s="466"/>
      <c r="J33" s="463"/>
      <c r="K33" s="465"/>
      <c r="L33" s="465"/>
      <c r="M33" s="466"/>
      <c r="N33" s="573"/>
      <c r="O33" s="467"/>
      <c r="P33" s="518"/>
      <c r="Q33" s="381"/>
      <c r="R33" s="182"/>
      <c r="S33" s="182"/>
      <c r="T33" s="182"/>
      <c r="U33" s="182"/>
      <c r="V33" s="182"/>
      <c r="W33" s="182"/>
      <c r="X33" s="182"/>
      <c r="Y33" s="182"/>
      <c r="Z33" s="182"/>
      <c r="AA33" s="382"/>
      <c r="AB33" s="182" t="str">
        <f t="shared" si="86"/>
        <v/>
      </c>
      <c r="AC33" s="315">
        <f t="shared" si="87"/>
        <v>0</v>
      </c>
      <c r="AD33" s="315" t="str">
        <f t="shared" si="63"/>
        <v/>
      </c>
      <c r="AE33" s="182"/>
      <c r="AF33" s="182"/>
      <c r="AG33" s="182"/>
      <c r="AH33" s="221"/>
      <c r="AI33" s="221"/>
      <c r="AJ33" s="221"/>
      <c r="AK33" s="221"/>
      <c r="AL33" s="221"/>
      <c r="AM33" s="221"/>
      <c r="AN33" s="221"/>
      <c r="AO33" s="221"/>
      <c r="AP33" s="221"/>
      <c r="AQ33" s="182"/>
      <c r="AR33" s="182"/>
      <c r="AS33" s="182"/>
      <c r="AT33" s="182"/>
      <c r="AU33" s="221" t="str">
        <f t="shared" si="88"/>
        <v/>
      </c>
      <c r="AV33" s="221" t="str">
        <f t="shared" si="89"/>
        <v/>
      </c>
      <c r="AW33" s="221"/>
      <c r="AX33" s="221"/>
      <c r="AY33" s="221"/>
      <c r="AZ33" s="221"/>
      <c r="BA33" s="221"/>
      <c r="BB33" s="221"/>
      <c r="BC33" s="221"/>
      <c r="BD33" s="221"/>
      <c r="BE33" s="221"/>
      <c r="BF33" s="468">
        <f t="shared" si="90"/>
        <v>0</v>
      </c>
      <c r="BG33" s="315">
        <f t="shared" si="91"/>
        <v>0</v>
      </c>
      <c r="BH33" s="315" t="str">
        <f t="shared" si="92"/>
        <v/>
      </c>
      <c r="BL33" s="380"/>
      <c r="BM33" s="380"/>
      <c r="BN33" s="380"/>
      <c r="BO33" s="380"/>
      <c r="BP33" s="380"/>
      <c r="BQ33" s="380"/>
      <c r="BR33" s="380"/>
      <c r="BS33" s="380"/>
      <c r="BT33" s="380"/>
      <c r="BY33" s="221" t="str">
        <f t="shared" si="93"/>
        <v/>
      </c>
      <c r="BZ33" s="221" t="str">
        <f t="shared" si="94"/>
        <v/>
      </c>
      <c r="CA33" s="221"/>
      <c r="CB33" s="221"/>
      <c r="CC33" s="221"/>
      <c r="CD33" s="221"/>
      <c r="CE33" s="221"/>
      <c r="CF33" s="221"/>
      <c r="CG33" s="221"/>
      <c r="CH33" s="221"/>
      <c r="CI33" s="221"/>
      <c r="CJ33" s="468">
        <f t="shared" si="95"/>
        <v>0</v>
      </c>
      <c r="CK33" s="315">
        <f t="shared" si="96"/>
        <v>0</v>
      </c>
      <c r="CL33" s="315" t="str">
        <f t="shared" si="97"/>
        <v/>
      </c>
      <c r="CM33" s="182"/>
      <c r="CN33" s="182"/>
      <c r="CO33" s="182"/>
      <c r="CP33" s="221"/>
      <c r="CQ33" s="221"/>
      <c r="CR33" s="221"/>
      <c r="CS33" s="221"/>
      <c r="CT33" s="221"/>
      <c r="CU33" s="221"/>
      <c r="CV33" s="221"/>
      <c r="CW33" s="221"/>
      <c r="CX33" s="221"/>
      <c r="CY33" s="221"/>
      <c r="CZ33" s="182"/>
      <c r="DA33" s="182"/>
      <c r="DB33" s="182"/>
      <c r="DC33" s="182"/>
      <c r="DD33" s="221" t="str">
        <f t="shared" si="72"/>
        <v/>
      </c>
      <c r="DE33" s="221" t="str">
        <f t="shared" si="73"/>
        <v/>
      </c>
      <c r="DF33" s="221"/>
      <c r="DG33" s="221"/>
      <c r="DH33" s="221"/>
      <c r="DI33" s="221"/>
      <c r="DJ33" s="221"/>
      <c r="DK33" s="221"/>
      <c r="DL33" s="221"/>
      <c r="DM33" s="221"/>
      <c r="DN33" s="221"/>
      <c r="DO33" s="469" t="str">
        <f t="shared" si="98"/>
        <v/>
      </c>
      <c r="DP33" s="315">
        <f t="shared" si="99"/>
        <v>0</v>
      </c>
      <c r="DQ33" s="315" t="str">
        <f t="shared" si="100"/>
        <v/>
      </c>
      <c r="DR33" s="182"/>
      <c r="DS33" s="182"/>
      <c r="DT33" s="182"/>
      <c r="DU33" s="221"/>
      <c r="DV33" s="221"/>
      <c r="DW33" s="221"/>
      <c r="DX33" s="221"/>
      <c r="DY33" s="221"/>
      <c r="DZ33" s="221"/>
      <c r="EA33" s="221"/>
      <c r="EB33" s="221"/>
      <c r="EC33" s="221"/>
      <c r="ED33" s="182"/>
      <c r="EE33" s="182"/>
      <c r="EF33" s="182"/>
      <c r="EG33" s="182"/>
      <c r="EH33" s="221" t="str">
        <f t="shared" si="101"/>
        <v/>
      </c>
      <c r="EI33" s="221" t="str">
        <f t="shared" si="102"/>
        <v/>
      </c>
      <c r="EJ33" s="221"/>
      <c r="EK33" s="221"/>
      <c r="EL33" s="221"/>
      <c r="EM33" s="221"/>
      <c r="EN33" s="221"/>
      <c r="EO33" s="221"/>
      <c r="EP33" s="221"/>
      <c r="EQ33" s="221"/>
      <c r="ER33" s="221"/>
      <c r="ES33" s="221"/>
      <c r="ET33" s="221"/>
      <c r="EU33" s="315">
        <f t="shared" si="103"/>
        <v>0</v>
      </c>
      <c r="EV33" s="315" t="str">
        <f t="shared" si="104"/>
        <v/>
      </c>
      <c r="EW33" s="182"/>
      <c r="EX33" s="182"/>
      <c r="EY33" s="182"/>
      <c r="EZ33" s="221"/>
      <c r="FA33" s="221"/>
      <c r="FB33" s="221"/>
      <c r="FC33" s="221"/>
      <c r="FD33" s="221"/>
      <c r="FE33" s="221"/>
      <c r="FF33" s="221"/>
      <c r="FG33" s="221"/>
      <c r="FH33" s="221"/>
      <c r="FI33" s="182"/>
      <c r="FJ33" s="182"/>
      <c r="FK33" s="182"/>
      <c r="FL33" s="182"/>
      <c r="FM33" s="221" t="str">
        <f t="shared" si="105"/>
        <v/>
      </c>
      <c r="FN33" s="221" t="str">
        <f t="shared" si="106"/>
        <v/>
      </c>
      <c r="FO33" s="221"/>
      <c r="FP33" s="221"/>
      <c r="FQ33" s="221"/>
      <c r="FR33" s="221"/>
      <c r="FS33" s="221"/>
      <c r="FT33" s="221"/>
      <c r="FU33" s="221"/>
      <c r="FV33" s="221"/>
      <c r="FW33" s="221"/>
      <c r="FX33" s="221"/>
      <c r="FY33" s="221"/>
      <c r="FZ33" s="408"/>
      <c r="GA33" s="315">
        <f t="shared" si="107"/>
        <v>0</v>
      </c>
      <c r="GB33" s="315" t="str">
        <f t="shared" si="108"/>
        <v/>
      </c>
      <c r="GC33" s="182" t="s">
        <v>160</v>
      </c>
      <c r="GD33" s="182"/>
      <c r="GE33" s="182"/>
      <c r="GG33" s="460"/>
      <c r="GH33" s="460"/>
      <c r="GU33" s="469"/>
      <c r="GV33" s="470" t="str">
        <f t="shared" si="109"/>
        <v/>
      </c>
      <c r="GW33" s="302">
        <f t="shared" si="110"/>
        <v>0</v>
      </c>
      <c r="HA33" s="654"/>
      <c r="HD33" s="379"/>
      <c r="HE33" s="380"/>
      <c r="HH33" s="383"/>
      <c r="HI33" s="410"/>
      <c r="HJ33" s="302" t="str">
        <f t="shared" si="85"/>
        <v/>
      </c>
      <c r="HO33" s="302" t="str">
        <f t="shared" si="34"/>
        <v/>
      </c>
      <c r="HP33" s="302" t="str">
        <f t="shared" si="35"/>
        <v/>
      </c>
      <c r="HQ33" s="302" t="str">
        <f t="shared" si="36"/>
        <v/>
      </c>
      <c r="IT33" s="410"/>
      <c r="IU33" s="410"/>
      <c r="IV33" s="635"/>
    </row>
    <row r="34" spans="1:256" s="302" customFormat="1" ht="12.75" hidden="1" customHeight="1">
      <c r="A34" s="397" t="str">
        <f t="shared" si="1"/>
        <v/>
      </c>
      <c r="B34" s="462" t="str">
        <f t="shared" si="61"/>
        <v/>
      </c>
      <c r="C34" s="426"/>
      <c r="D34" s="575"/>
      <c r="E34" s="463"/>
      <c r="F34" s="464"/>
      <c r="G34" s="465"/>
      <c r="H34" s="465"/>
      <c r="I34" s="466"/>
      <c r="J34" s="463"/>
      <c r="K34" s="465"/>
      <c r="L34" s="465"/>
      <c r="M34" s="466"/>
      <c r="N34" s="573"/>
      <c r="O34" s="467"/>
      <c r="P34" s="518"/>
      <c r="Q34" s="381"/>
      <c r="R34" s="182"/>
      <c r="S34" s="182"/>
      <c r="T34" s="182"/>
      <c r="U34" s="182"/>
      <c r="V34" s="182"/>
      <c r="W34" s="182"/>
      <c r="X34" s="182"/>
      <c r="Y34" s="182"/>
      <c r="Z34" s="182"/>
      <c r="AA34" s="382"/>
      <c r="AB34" s="182" t="str">
        <f t="shared" si="86"/>
        <v/>
      </c>
      <c r="AC34" s="315">
        <f t="shared" si="87"/>
        <v>0</v>
      </c>
      <c r="AD34" s="315" t="str">
        <f t="shared" si="63"/>
        <v/>
      </c>
      <c r="AE34" s="182"/>
      <c r="AF34" s="182"/>
      <c r="AG34" s="182"/>
      <c r="AH34" s="221"/>
      <c r="AI34" s="221"/>
      <c r="AJ34" s="221"/>
      <c r="AK34" s="221"/>
      <c r="AL34" s="221"/>
      <c r="AM34" s="221"/>
      <c r="AN34" s="221"/>
      <c r="AO34" s="221"/>
      <c r="AP34" s="221"/>
      <c r="AQ34" s="182"/>
      <c r="AR34" s="182"/>
      <c r="AS34" s="182"/>
      <c r="AT34" s="182"/>
      <c r="AU34" s="221" t="str">
        <f t="shared" si="88"/>
        <v/>
      </c>
      <c r="AV34" s="221" t="str">
        <f t="shared" si="89"/>
        <v/>
      </c>
      <c r="AW34" s="221"/>
      <c r="AX34" s="221"/>
      <c r="AY34" s="221"/>
      <c r="AZ34" s="221"/>
      <c r="BA34" s="221"/>
      <c r="BB34" s="221"/>
      <c r="BC34" s="221"/>
      <c r="BD34" s="221"/>
      <c r="BE34" s="221"/>
      <c r="BF34" s="468">
        <f t="shared" si="90"/>
        <v>0</v>
      </c>
      <c r="BG34" s="315">
        <f t="shared" si="91"/>
        <v>0</v>
      </c>
      <c r="BH34" s="315" t="str">
        <f t="shared" si="92"/>
        <v/>
      </c>
      <c r="BI34" s="182"/>
      <c r="BJ34" s="182"/>
      <c r="BK34" s="182"/>
      <c r="BL34" s="221"/>
      <c r="BM34" s="221"/>
      <c r="BN34" s="221"/>
      <c r="BO34" s="221"/>
      <c r="BP34" s="221"/>
      <c r="BQ34" s="221"/>
      <c r="BR34" s="221"/>
      <c r="BS34" s="221"/>
      <c r="BT34" s="221"/>
      <c r="BU34" s="182"/>
      <c r="BV34" s="182"/>
      <c r="BW34" s="182"/>
      <c r="BX34" s="182"/>
      <c r="BY34" s="221" t="str">
        <f t="shared" si="93"/>
        <v/>
      </c>
      <c r="BZ34" s="221" t="str">
        <f t="shared" si="94"/>
        <v/>
      </c>
      <c r="CA34" s="221"/>
      <c r="CB34" s="221"/>
      <c r="CC34" s="221"/>
      <c r="CD34" s="221"/>
      <c r="CE34" s="221"/>
      <c r="CF34" s="221"/>
      <c r="CG34" s="221"/>
      <c r="CH34" s="221"/>
      <c r="CI34" s="221"/>
      <c r="CJ34" s="468">
        <f t="shared" si="95"/>
        <v>0</v>
      </c>
      <c r="CK34" s="315">
        <f t="shared" si="96"/>
        <v>0</v>
      </c>
      <c r="CL34" s="315" t="str">
        <f t="shared" si="97"/>
        <v/>
      </c>
      <c r="CM34" s="182"/>
      <c r="CN34" s="182"/>
      <c r="CO34" s="182"/>
      <c r="CP34" s="221"/>
      <c r="CQ34" s="221"/>
      <c r="CR34" s="221"/>
      <c r="CS34" s="221"/>
      <c r="CT34" s="221"/>
      <c r="CU34" s="221"/>
      <c r="CV34" s="221"/>
      <c r="CW34" s="221"/>
      <c r="CX34" s="221"/>
      <c r="CY34" s="221"/>
      <c r="CZ34" s="182"/>
      <c r="DA34" s="182"/>
      <c r="DB34" s="182"/>
      <c r="DC34" s="182"/>
      <c r="DD34" s="221" t="str">
        <f t="shared" si="72"/>
        <v/>
      </c>
      <c r="DE34" s="221" t="str">
        <f t="shared" si="73"/>
        <v/>
      </c>
      <c r="DF34" s="221"/>
      <c r="DG34" s="221"/>
      <c r="DH34" s="221"/>
      <c r="DI34" s="221"/>
      <c r="DJ34" s="221"/>
      <c r="DK34" s="221"/>
      <c r="DL34" s="221"/>
      <c r="DM34" s="221"/>
      <c r="DN34" s="221"/>
      <c r="DO34" s="469" t="str">
        <f t="shared" si="98"/>
        <v/>
      </c>
      <c r="DP34" s="315">
        <f t="shared" si="99"/>
        <v>0</v>
      </c>
      <c r="DQ34" s="315" t="str">
        <f t="shared" si="100"/>
        <v/>
      </c>
      <c r="DR34" s="182"/>
      <c r="DS34" s="182"/>
      <c r="DT34" s="182"/>
      <c r="DU34" s="221"/>
      <c r="DV34" s="221"/>
      <c r="DW34" s="221"/>
      <c r="DX34" s="221"/>
      <c r="DY34" s="221"/>
      <c r="DZ34" s="221"/>
      <c r="EA34" s="221"/>
      <c r="EB34" s="221"/>
      <c r="EC34" s="221"/>
      <c r="ED34" s="182"/>
      <c r="EE34" s="182"/>
      <c r="EF34" s="182"/>
      <c r="EG34" s="182"/>
      <c r="EH34" s="221" t="str">
        <f t="shared" si="101"/>
        <v/>
      </c>
      <c r="EI34" s="221" t="str">
        <f t="shared" si="102"/>
        <v/>
      </c>
      <c r="EJ34" s="221"/>
      <c r="EK34" s="221"/>
      <c r="EL34" s="221"/>
      <c r="EM34" s="221"/>
      <c r="EN34" s="221"/>
      <c r="EO34" s="221"/>
      <c r="EP34" s="221"/>
      <c r="EQ34" s="221"/>
      <c r="ER34" s="221"/>
      <c r="ES34" s="221"/>
      <c r="ET34" s="221"/>
      <c r="EU34" s="315">
        <f t="shared" si="103"/>
        <v>0</v>
      </c>
      <c r="EV34" s="315" t="str">
        <f t="shared" si="104"/>
        <v/>
      </c>
      <c r="EW34" s="182"/>
      <c r="EX34" s="182"/>
      <c r="EY34" s="182"/>
      <c r="EZ34" s="221"/>
      <c r="FA34" s="221"/>
      <c r="FB34" s="221"/>
      <c r="FC34" s="221"/>
      <c r="FD34" s="221"/>
      <c r="FE34" s="221"/>
      <c r="FF34" s="221"/>
      <c r="FG34" s="221"/>
      <c r="FH34" s="221"/>
      <c r="FI34" s="182"/>
      <c r="FJ34" s="182"/>
      <c r="FK34" s="182"/>
      <c r="FL34" s="182"/>
      <c r="FM34" s="221" t="str">
        <f t="shared" si="105"/>
        <v/>
      </c>
      <c r="FN34" s="221" t="str">
        <f t="shared" si="106"/>
        <v/>
      </c>
      <c r="FO34" s="221"/>
      <c r="FP34" s="221"/>
      <c r="FQ34" s="221"/>
      <c r="FR34" s="221"/>
      <c r="FS34" s="221"/>
      <c r="FT34" s="221"/>
      <c r="FU34" s="221"/>
      <c r="FV34" s="221"/>
      <c r="FW34" s="221"/>
      <c r="FX34" s="221"/>
      <c r="FY34" s="221"/>
      <c r="FZ34" s="408"/>
      <c r="GA34" s="315">
        <f t="shared" si="107"/>
        <v>0</v>
      </c>
      <c r="GB34" s="315" t="str">
        <f t="shared" si="108"/>
        <v/>
      </c>
      <c r="GC34" s="182" t="s">
        <v>160</v>
      </c>
      <c r="GD34" s="182"/>
      <c r="GE34" s="182"/>
      <c r="GG34" s="460"/>
      <c r="GH34" s="460"/>
      <c r="GU34" s="469"/>
      <c r="GV34" s="470" t="str">
        <f t="shared" si="109"/>
        <v/>
      </c>
      <c r="GW34" s="302">
        <f t="shared" si="110"/>
        <v>0</v>
      </c>
      <c r="HA34" s="654"/>
      <c r="HD34" s="379"/>
      <c r="HE34" s="380"/>
      <c r="HH34" s="383"/>
      <c r="HI34" s="410"/>
      <c r="HJ34" s="302" t="str">
        <f t="shared" si="85"/>
        <v/>
      </c>
      <c r="HO34" s="302" t="str">
        <f t="shared" si="34"/>
        <v/>
      </c>
      <c r="HP34" s="302" t="str">
        <f t="shared" si="35"/>
        <v/>
      </c>
      <c r="HQ34" s="302" t="str">
        <f t="shared" si="36"/>
        <v/>
      </c>
      <c r="IT34" s="410"/>
      <c r="IU34" s="410"/>
      <c r="IV34" s="635"/>
    </row>
    <row r="35" spans="1:256" s="302" customFormat="1" ht="12.75" hidden="1" customHeight="1">
      <c r="A35" s="397" t="str">
        <f t="shared" si="1"/>
        <v/>
      </c>
      <c r="B35" s="462" t="str">
        <f t="shared" si="61"/>
        <v/>
      </c>
      <c r="C35" s="426"/>
      <c r="D35" s="575"/>
      <c r="E35" s="463"/>
      <c r="F35" s="464"/>
      <c r="G35" s="465"/>
      <c r="H35" s="465"/>
      <c r="I35" s="466"/>
      <c r="J35" s="463"/>
      <c r="K35" s="465"/>
      <c r="L35" s="465"/>
      <c r="M35" s="466"/>
      <c r="N35" s="573"/>
      <c r="O35" s="467"/>
      <c r="P35" s="518"/>
      <c r="Q35" s="381"/>
      <c r="R35" s="182"/>
      <c r="S35" s="182"/>
      <c r="T35" s="182"/>
      <c r="U35" s="182"/>
      <c r="V35" s="182"/>
      <c r="W35" s="182"/>
      <c r="X35" s="182"/>
      <c r="Y35" s="182"/>
      <c r="Z35" s="182"/>
      <c r="AA35" s="382"/>
      <c r="AB35" s="182" t="str">
        <f t="shared" si="86"/>
        <v/>
      </c>
      <c r="AC35" s="315">
        <f t="shared" si="87"/>
        <v>0</v>
      </c>
      <c r="AD35" s="315" t="str">
        <f t="shared" si="63"/>
        <v/>
      </c>
      <c r="AE35" s="182"/>
      <c r="AF35" s="182"/>
      <c r="AG35" s="182"/>
      <c r="AH35" s="221"/>
      <c r="AI35" s="221"/>
      <c r="AJ35" s="221"/>
      <c r="AK35" s="221"/>
      <c r="AL35" s="221"/>
      <c r="AM35" s="221"/>
      <c r="AN35" s="221"/>
      <c r="AO35" s="221"/>
      <c r="AP35" s="221"/>
      <c r="AQ35" s="182"/>
      <c r="AR35" s="182"/>
      <c r="AS35" s="182"/>
      <c r="AT35" s="182"/>
      <c r="AU35" s="221" t="str">
        <f t="shared" si="88"/>
        <v/>
      </c>
      <c r="AV35" s="221" t="str">
        <f t="shared" si="89"/>
        <v/>
      </c>
      <c r="AW35" s="221"/>
      <c r="AX35" s="221"/>
      <c r="AY35" s="221"/>
      <c r="AZ35" s="221"/>
      <c r="BA35" s="221"/>
      <c r="BB35" s="221"/>
      <c r="BC35" s="221"/>
      <c r="BD35" s="221"/>
      <c r="BE35" s="221"/>
      <c r="BF35" s="468">
        <f t="shared" si="90"/>
        <v>0</v>
      </c>
      <c r="BG35" s="315">
        <f t="shared" si="91"/>
        <v>0</v>
      </c>
      <c r="BH35" s="315" t="str">
        <f t="shared" si="92"/>
        <v/>
      </c>
      <c r="BI35" s="182"/>
      <c r="BJ35" s="182"/>
      <c r="BK35" s="182"/>
      <c r="BL35" s="221"/>
      <c r="BM35" s="221"/>
      <c r="BN35" s="221"/>
      <c r="BO35" s="221"/>
      <c r="BP35" s="221"/>
      <c r="BQ35" s="221"/>
      <c r="BR35" s="221"/>
      <c r="BS35" s="221"/>
      <c r="BT35" s="221"/>
      <c r="BU35" s="182"/>
      <c r="BV35" s="182"/>
      <c r="BW35" s="182"/>
      <c r="BX35" s="182"/>
      <c r="BY35" s="221" t="str">
        <f t="shared" si="93"/>
        <v/>
      </c>
      <c r="BZ35" s="221" t="str">
        <f t="shared" si="94"/>
        <v/>
      </c>
      <c r="CA35" s="221"/>
      <c r="CB35" s="221"/>
      <c r="CC35" s="221"/>
      <c r="CD35" s="221"/>
      <c r="CE35" s="221"/>
      <c r="CF35" s="221"/>
      <c r="CG35" s="221"/>
      <c r="CH35" s="221"/>
      <c r="CI35" s="221"/>
      <c r="CJ35" s="468">
        <f t="shared" si="95"/>
        <v>0</v>
      </c>
      <c r="CK35" s="315">
        <f t="shared" si="96"/>
        <v>0</v>
      </c>
      <c r="CL35" s="315" t="str">
        <f t="shared" si="97"/>
        <v/>
      </c>
      <c r="CM35" s="182"/>
      <c r="CN35" s="182"/>
      <c r="CO35" s="182"/>
      <c r="CP35" s="221"/>
      <c r="CQ35" s="221"/>
      <c r="CR35" s="221"/>
      <c r="CS35" s="221"/>
      <c r="CT35" s="221"/>
      <c r="CU35" s="221"/>
      <c r="CV35" s="221"/>
      <c r="CW35" s="221"/>
      <c r="CX35" s="221"/>
      <c r="CY35" s="221"/>
      <c r="CZ35" s="182"/>
      <c r="DA35" s="182"/>
      <c r="DB35" s="182"/>
      <c r="DC35" s="182"/>
      <c r="DD35" s="221" t="str">
        <f t="shared" si="72"/>
        <v/>
      </c>
      <c r="DE35" s="221" t="str">
        <f t="shared" si="73"/>
        <v/>
      </c>
      <c r="DF35" s="221"/>
      <c r="DG35" s="221"/>
      <c r="DH35" s="221"/>
      <c r="DI35" s="221"/>
      <c r="DJ35" s="221"/>
      <c r="DK35" s="221"/>
      <c r="DL35" s="221"/>
      <c r="DM35" s="221"/>
      <c r="DN35" s="221"/>
      <c r="DO35" s="469" t="str">
        <f t="shared" si="98"/>
        <v/>
      </c>
      <c r="DP35" s="315">
        <f t="shared" si="99"/>
        <v>0</v>
      </c>
      <c r="DQ35" s="315" t="str">
        <f t="shared" si="100"/>
        <v/>
      </c>
      <c r="DR35" s="182"/>
      <c r="DS35" s="182"/>
      <c r="DT35" s="182"/>
      <c r="DU35" s="221"/>
      <c r="DV35" s="221"/>
      <c r="DW35" s="221"/>
      <c r="DX35" s="221"/>
      <c r="DY35" s="221"/>
      <c r="DZ35" s="221"/>
      <c r="EA35" s="221"/>
      <c r="EB35" s="221"/>
      <c r="EC35" s="221"/>
      <c r="ED35" s="182"/>
      <c r="EE35" s="182"/>
      <c r="EF35" s="182"/>
      <c r="EG35" s="182"/>
      <c r="EH35" s="221" t="str">
        <f t="shared" si="101"/>
        <v/>
      </c>
      <c r="EI35" s="221" t="str">
        <f t="shared" si="102"/>
        <v/>
      </c>
      <c r="EJ35" s="221"/>
      <c r="EK35" s="221"/>
      <c r="EL35" s="221"/>
      <c r="EM35" s="221"/>
      <c r="EN35" s="221"/>
      <c r="EO35" s="221"/>
      <c r="EP35" s="221"/>
      <c r="EQ35" s="221"/>
      <c r="ER35" s="221"/>
      <c r="ES35" s="221"/>
      <c r="ET35" s="221"/>
      <c r="EU35" s="315">
        <f t="shared" si="103"/>
        <v>0</v>
      </c>
      <c r="EV35" s="315" t="str">
        <f t="shared" si="104"/>
        <v/>
      </c>
      <c r="EW35" s="182"/>
      <c r="EX35" s="182"/>
      <c r="EY35" s="182"/>
      <c r="EZ35" s="221"/>
      <c r="FA35" s="221"/>
      <c r="FB35" s="221"/>
      <c r="FC35" s="221"/>
      <c r="FD35" s="221"/>
      <c r="FE35" s="221"/>
      <c r="FF35" s="221"/>
      <c r="FG35" s="221"/>
      <c r="FH35" s="221"/>
      <c r="FI35" s="182"/>
      <c r="FJ35" s="182"/>
      <c r="FK35" s="182"/>
      <c r="FL35" s="182"/>
      <c r="FM35" s="221" t="str">
        <f t="shared" si="105"/>
        <v/>
      </c>
      <c r="FN35" s="221" t="str">
        <f t="shared" si="106"/>
        <v/>
      </c>
      <c r="FO35" s="221"/>
      <c r="FP35" s="221"/>
      <c r="FQ35" s="221"/>
      <c r="FR35" s="221"/>
      <c r="FS35" s="221"/>
      <c r="FT35" s="221"/>
      <c r="FU35" s="221"/>
      <c r="FV35" s="221"/>
      <c r="FW35" s="221"/>
      <c r="FX35" s="221"/>
      <c r="FY35" s="221"/>
      <c r="FZ35" s="408"/>
      <c r="GA35" s="315">
        <f t="shared" si="107"/>
        <v>0</v>
      </c>
      <c r="GB35" s="315" t="str">
        <f t="shared" si="108"/>
        <v/>
      </c>
      <c r="GC35" s="182" t="s">
        <v>160</v>
      </c>
      <c r="GD35" s="182"/>
      <c r="GE35" s="182"/>
      <c r="GG35" s="460"/>
      <c r="GH35" s="460"/>
      <c r="GU35" s="469"/>
      <c r="GV35" s="470" t="str">
        <f t="shared" si="109"/>
        <v/>
      </c>
      <c r="GW35" s="302">
        <f t="shared" si="110"/>
        <v>0</v>
      </c>
      <c r="HA35" s="654"/>
      <c r="HD35" s="379"/>
      <c r="HE35" s="380"/>
      <c r="HH35" s="383"/>
      <c r="HI35" s="410"/>
      <c r="HJ35" s="302" t="str">
        <f t="shared" si="85"/>
        <v/>
      </c>
      <c r="HO35" s="302" t="str">
        <f t="shared" si="34"/>
        <v/>
      </c>
      <c r="HP35" s="302" t="str">
        <f t="shared" si="35"/>
        <v/>
      </c>
      <c r="HQ35" s="302" t="str">
        <f t="shared" si="36"/>
        <v/>
      </c>
      <c r="IT35" s="410"/>
      <c r="IU35" s="410"/>
      <c r="IV35" s="635"/>
    </row>
    <row r="36" spans="1:256" s="302" customFormat="1" ht="12.75" hidden="1" customHeight="1">
      <c r="A36" s="397" t="str">
        <f t="shared" si="1"/>
        <v/>
      </c>
      <c r="B36" s="462" t="str">
        <f t="shared" si="61"/>
        <v/>
      </c>
      <c r="C36" s="426"/>
      <c r="D36" s="575"/>
      <c r="E36" s="463"/>
      <c r="F36" s="464"/>
      <c r="G36" s="465"/>
      <c r="H36" s="465"/>
      <c r="I36" s="466"/>
      <c r="J36" s="463"/>
      <c r="K36" s="465"/>
      <c r="L36" s="465"/>
      <c r="M36" s="466"/>
      <c r="N36" s="573"/>
      <c r="O36" s="467"/>
      <c r="P36" s="518"/>
      <c r="Q36" s="381"/>
      <c r="R36" s="182"/>
      <c r="S36" s="182"/>
      <c r="T36" s="182"/>
      <c r="U36" s="182"/>
      <c r="V36" s="182"/>
      <c r="W36" s="182"/>
      <c r="X36" s="182"/>
      <c r="Y36" s="182"/>
      <c r="Z36" s="182"/>
      <c r="AA36" s="384"/>
      <c r="AB36" s="182" t="str">
        <f t="shared" si="86"/>
        <v/>
      </c>
      <c r="AC36" s="315">
        <f t="shared" si="87"/>
        <v>0</v>
      </c>
      <c r="AD36" s="315" t="str">
        <f t="shared" si="63"/>
        <v/>
      </c>
      <c r="AE36" s="182"/>
      <c r="AF36" s="182"/>
      <c r="AG36" s="182"/>
      <c r="AH36" s="221"/>
      <c r="AI36" s="221"/>
      <c r="AJ36" s="221"/>
      <c r="AK36" s="221"/>
      <c r="AL36" s="221"/>
      <c r="AM36" s="221"/>
      <c r="AN36" s="221"/>
      <c r="AO36" s="221"/>
      <c r="AP36" s="221"/>
      <c r="AQ36" s="182"/>
      <c r="AR36" s="182"/>
      <c r="AS36" s="182"/>
      <c r="AT36" s="182"/>
      <c r="AU36" s="221" t="str">
        <f t="shared" si="88"/>
        <v/>
      </c>
      <c r="AV36" s="221" t="str">
        <f t="shared" si="89"/>
        <v/>
      </c>
      <c r="AW36" s="221"/>
      <c r="AX36" s="221"/>
      <c r="AY36" s="221"/>
      <c r="AZ36" s="221"/>
      <c r="BA36" s="221"/>
      <c r="BB36" s="221"/>
      <c r="BC36" s="221"/>
      <c r="BD36" s="221"/>
      <c r="BE36" s="221"/>
      <c r="BF36" s="469">
        <f t="shared" si="90"/>
        <v>0</v>
      </c>
      <c r="BG36" s="315">
        <f t="shared" si="91"/>
        <v>0</v>
      </c>
      <c r="BH36" s="315" t="str">
        <f t="shared" si="92"/>
        <v/>
      </c>
      <c r="BI36" s="182"/>
      <c r="BJ36" s="182"/>
      <c r="BK36" s="182"/>
      <c r="BL36" s="221"/>
      <c r="BM36" s="221"/>
      <c r="BN36" s="221"/>
      <c r="BO36" s="221"/>
      <c r="BP36" s="221"/>
      <c r="BQ36" s="221"/>
      <c r="BR36" s="221"/>
      <c r="BS36" s="221"/>
      <c r="BT36" s="221"/>
      <c r="BU36" s="182"/>
      <c r="BV36" s="182"/>
      <c r="BW36" s="182"/>
      <c r="BX36" s="182"/>
      <c r="BY36" s="221" t="str">
        <f t="shared" si="93"/>
        <v/>
      </c>
      <c r="BZ36" s="221" t="str">
        <f t="shared" si="94"/>
        <v/>
      </c>
      <c r="CA36" s="221"/>
      <c r="CB36" s="221"/>
      <c r="CC36" s="221"/>
      <c r="CD36" s="221"/>
      <c r="CE36" s="221"/>
      <c r="CF36" s="221"/>
      <c r="CG36" s="221"/>
      <c r="CH36" s="221"/>
      <c r="CI36" s="221"/>
      <c r="CJ36" s="469">
        <f t="shared" si="95"/>
        <v>0</v>
      </c>
      <c r="CK36" s="315">
        <f t="shared" si="96"/>
        <v>0</v>
      </c>
      <c r="CL36" s="315" t="str">
        <f t="shared" si="97"/>
        <v/>
      </c>
      <c r="CM36" s="182"/>
      <c r="CN36" s="182"/>
      <c r="CO36" s="182"/>
      <c r="CP36" s="221"/>
      <c r="CQ36" s="221"/>
      <c r="CR36" s="221"/>
      <c r="CS36" s="221"/>
      <c r="CT36" s="221"/>
      <c r="CU36" s="221"/>
      <c r="CV36" s="221"/>
      <c r="CW36" s="221"/>
      <c r="CX36" s="221"/>
      <c r="CY36" s="221"/>
      <c r="CZ36" s="182"/>
      <c r="DA36" s="182"/>
      <c r="DB36" s="182"/>
      <c r="DC36" s="182"/>
      <c r="DD36" s="221" t="str">
        <f t="shared" si="72"/>
        <v/>
      </c>
      <c r="DE36" s="221" t="str">
        <f t="shared" si="73"/>
        <v/>
      </c>
      <c r="DF36" s="221"/>
      <c r="DG36" s="221"/>
      <c r="DH36" s="221"/>
      <c r="DI36" s="221"/>
      <c r="DJ36" s="221"/>
      <c r="DK36" s="221"/>
      <c r="DL36" s="221"/>
      <c r="DM36" s="221"/>
      <c r="DN36" s="221"/>
      <c r="DO36" s="469" t="str">
        <f t="shared" si="98"/>
        <v/>
      </c>
      <c r="DP36" s="315">
        <f t="shared" si="99"/>
        <v>0</v>
      </c>
      <c r="DQ36" s="315" t="str">
        <f t="shared" si="100"/>
        <v/>
      </c>
      <c r="DR36" s="182"/>
      <c r="DS36" s="182"/>
      <c r="DT36" s="182"/>
      <c r="DU36" s="221"/>
      <c r="DV36" s="221"/>
      <c r="DW36" s="221"/>
      <c r="DX36" s="221"/>
      <c r="DY36" s="221"/>
      <c r="DZ36" s="221"/>
      <c r="EA36" s="221"/>
      <c r="EB36" s="221"/>
      <c r="EC36" s="221"/>
      <c r="ED36" s="182"/>
      <c r="EE36" s="182"/>
      <c r="EF36" s="182"/>
      <c r="EG36" s="182"/>
      <c r="EH36" s="221" t="str">
        <f t="shared" si="101"/>
        <v/>
      </c>
      <c r="EI36" s="221" t="str">
        <f t="shared" si="102"/>
        <v/>
      </c>
      <c r="EJ36" s="221"/>
      <c r="EK36" s="221"/>
      <c r="EL36" s="221"/>
      <c r="EM36" s="221"/>
      <c r="EN36" s="221"/>
      <c r="EO36" s="221"/>
      <c r="EP36" s="221"/>
      <c r="EQ36" s="221"/>
      <c r="ER36" s="221"/>
      <c r="ES36" s="221"/>
      <c r="ET36" s="221"/>
      <c r="EU36" s="315">
        <f t="shared" si="103"/>
        <v>0</v>
      </c>
      <c r="EV36" s="315" t="str">
        <f t="shared" si="104"/>
        <v/>
      </c>
      <c r="EW36" s="182"/>
      <c r="EX36" s="182"/>
      <c r="EY36" s="182"/>
      <c r="EZ36" s="221"/>
      <c r="FA36" s="221"/>
      <c r="FB36" s="221"/>
      <c r="FC36" s="221"/>
      <c r="FD36" s="221"/>
      <c r="FE36" s="221"/>
      <c r="FF36" s="221"/>
      <c r="FG36" s="221"/>
      <c r="FH36" s="221"/>
      <c r="FI36" s="182"/>
      <c r="FJ36" s="182"/>
      <c r="FK36" s="182"/>
      <c r="FL36" s="182"/>
      <c r="FM36" s="221" t="str">
        <f t="shared" si="105"/>
        <v/>
      </c>
      <c r="FN36" s="221" t="str">
        <f t="shared" si="106"/>
        <v/>
      </c>
      <c r="FO36" s="221"/>
      <c r="FP36" s="221"/>
      <c r="FQ36" s="221"/>
      <c r="FR36" s="221"/>
      <c r="FS36" s="221"/>
      <c r="FT36" s="221"/>
      <c r="FU36" s="221"/>
      <c r="FV36" s="221"/>
      <c r="FW36" s="221"/>
      <c r="FX36" s="221"/>
      <c r="FY36" s="221"/>
      <c r="FZ36" s="408"/>
      <c r="GA36" s="315">
        <f t="shared" si="107"/>
        <v>0</v>
      </c>
      <c r="GB36" s="315" t="str">
        <f t="shared" si="108"/>
        <v/>
      </c>
      <c r="GC36" s="182" t="s">
        <v>160</v>
      </c>
      <c r="GD36" s="182"/>
      <c r="GE36" s="182"/>
      <c r="GG36" s="460"/>
      <c r="GH36" s="460"/>
      <c r="GU36" s="469"/>
      <c r="GV36" s="470" t="str">
        <f t="shared" si="109"/>
        <v/>
      </c>
      <c r="GW36" s="302">
        <f t="shared" si="110"/>
        <v>0</v>
      </c>
      <c r="HA36" s="654"/>
      <c r="HD36" s="379"/>
      <c r="HE36" s="380"/>
      <c r="HH36" s="385"/>
      <c r="HI36" s="411"/>
      <c r="HJ36" s="302" t="str">
        <f t="shared" si="85"/>
        <v/>
      </c>
      <c r="HO36" s="302" t="str">
        <f t="shared" si="34"/>
        <v/>
      </c>
      <c r="HP36" s="302" t="str">
        <f t="shared" si="35"/>
        <v/>
      </c>
      <c r="HQ36" s="302" t="str">
        <f t="shared" si="36"/>
        <v/>
      </c>
      <c r="IT36" s="411"/>
      <c r="IU36" s="411"/>
      <c r="IV36" s="635"/>
    </row>
    <row r="37" spans="1:256" s="302" customFormat="1" ht="12.75" hidden="1" customHeight="1">
      <c r="A37" s="397" t="str">
        <f t="shared" si="1"/>
        <v/>
      </c>
      <c r="B37" s="462" t="str">
        <f t="shared" si="61"/>
        <v/>
      </c>
      <c r="C37" s="426"/>
      <c r="D37" s="575"/>
      <c r="E37" s="463"/>
      <c r="F37" s="464"/>
      <c r="G37" s="465"/>
      <c r="H37" s="465"/>
      <c r="I37" s="466"/>
      <c r="J37" s="463"/>
      <c r="K37" s="465"/>
      <c r="L37" s="465"/>
      <c r="M37" s="466"/>
      <c r="N37" s="573"/>
      <c r="O37" s="467"/>
      <c r="P37" s="518"/>
      <c r="Q37" s="381"/>
      <c r="R37" s="182"/>
      <c r="S37" s="182"/>
      <c r="T37" s="182"/>
      <c r="U37" s="182"/>
      <c r="V37" s="182"/>
      <c r="W37" s="182"/>
      <c r="X37" s="182"/>
      <c r="Y37" s="182"/>
      <c r="Z37" s="182"/>
      <c r="AA37" s="382"/>
      <c r="AB37" s="182" t="str">
        <f t="shared" si="86"/>
        <v/>
      </c>
      <c r="AC37" s="315">
        <f t="shared" si="87"/>
        <v>0</v>
      </c>
      <c r="AD37" s="315" t="str">
        <f t="shared" si="63"/>
        <v/>
      </c>
      <c r="AE37" s="182"/>
      <c r="AF37" s="182"/>
      <c r="AG37" s="182"/>
      <c r="AH37" s="221"/>
      <c r="AI37" s="221"/>
      <c r="AJ37" s="221"/>
      <c r="AK37" s="221"/>
      <c r="AL37" s="221"/>
      <c r="AM37" s="221"/>
      <c r="AN37" s="221"/>
      <c r="AO37" s="221"/>
      <c r="AP37" s="221"/>
      <c r="AQ37" s="182"/>
      <c r="AR37" s="182"/>
      <c r="AS37" s="182"/>
      <c r="AT37" s="224"/>
      <c r="AU37" s="221" t="str">
        <f t="shared" si="88"/>
        <v/>
      </c>
      <c r="AV37" s="221" t="str">
        <f t="shared" si="89"/>
        <v/>
      </c>
      <c r="AW37" s="221"/>
      <c r="AX37" s="221"/>
      <c r="AY37" s="221"/>
      <c r="AZ37" s="221"/>
      <c r="BA37" s="221"/>
      <c r="BB37" s="221"/>
      <c r="BC37" s="221"/>
      <c r="BD37" s="221"/>
      <c r="BE37" s="221"/>
      <c r="BF37" s="468">
        <f t="shared" si="90"/>
        <v>0</v>
      </c>
      <c r="BG37" s="315">
        <f t="shared" si="91"/>
        <v>0</v>
      </c>
      <c r="BH37" s="315" t="str">
        <f t="shared" si="92"/>
        <v/>
      </c>
      <c r="BI37" s="182"/>
      <c r="BJ37" s="182"/>
      <c r="BK37" s="182"/>
      <c r="BL37" s="221"/>
      <c r="BM37" s="221"/>
      <c r="BN37" s="221"/>
      <c r="BO37" s="221"/>
      <c r="BP37" s="221"/>
      <c r="BQ37" s="221"/>
      <c r="BR37" s="221"/>
      <c r="BS37" s="221"/>
      <c r="BT37" s="221"/>
      <c r="BU37" s="182"/>
      <c r="BV37" s="182"/>
      <c r="BW37" s="182"/>
      <c r="BX37" s="182"/>
      <c r="BY37" s="221" t="str">
        <f t="shared" si="93"/>
        <v/>
      </c>
      <c r="BZ37" s="221" t="str">
        <f t="shared" si="94"/>
        <v/>
      </c>
      <c r="CA37" s="221"/>
      <c r="CB37" s="221"/>
      <c r="CC37" s="221"/>
      <c r="CD37" s="221"/>
      <c r="CE37" s="221"/>
      <c r="CF37" s="221"/>
      <c r="CG37" s="221"/>
      <c r="CH37" s="221"/>
      <c r="CI37" s="221"/>
      <c r="CJ37" s="468">
        <f t="shared" si="95"/>
        <v>0</v>
      </c>
      <c r="CK37" s="315">
        <f t="shared" si="96"/>
        <v>0</v>
      </c>
      <c r="CL37" s="315" t="str">
        <f t="shared" si="97"/>
        <v/>
      </c>
      <c r="CM37" s="182"/>
      <c r="CN37" s="182"/>
      <c r="CO37" s="182"/>
      <c r="CP37" s="221"/>
      <c r="CQ37" s="221"/>
      <c r="CR37" s="221"/>
      <c r="CS37" s="221"/>
      <c r="CT37" s="221"/>
      <c r="CU37" s="221"/>
      <c r="CV37" s="221"/>
      <c r="CW37" s="221"/>
      <c r="CX37" s="221"/>
      <c r="CY37" s="221"/>
      <c r="CZ37" s="182"/>
      <c r="DA37" s="182"/>
      <c r="DB37" s="182"/>
      <c r="DC37" s="182"/>
      <c r="DD37" s="221" t="str">
        <f t="shared" si="72"/>
        <v/>
      </c>
      <c r="DE37" s="221" t="str">
        <f t="shared" si="73"/>
        <v/>
      </c>
      <c r="DF37" s="221"/>
      <c r="DG37" s="221"/>
      <c r="DH37" s="221"/>
      <c r="DI37" s="221"/>
      <c r="DJ37" s="221"/>
      <c r="DK37" s="221"/>
      <c r="DL37" s="221"/>
      <c r="DM37" s="221"/>
      <c r="DN37" s="221"/>
      <c r="DO37" s="469" t="str">
        <f t="shared" si="98"/>
        <v/>
      </c>
      <c r="DP37" s="315">
        <f t="shared" si="99"/>
        <v>0</v>
      </c>
      <c r="DQ37" s="315" t="str">
        <f t="shared" si="100"/>
        <v/>
      </c>
      <c r="DR37" s="182"/>
      <c r="DS37" s="182"/>
      <c r="DT37" s="182"/>
      <c r="DU37" s="221"/>
      <c r="DV37" s="221"/>
      <c r="DW37" s="221"/>
      <c r="DX37" s="221"/>
      <c r="DY37" s="221"/>
      <c r="DZ37" s="221"/>
      <c r="EA37" s="221"/>
      <c r="EB37" s="221"/>
      <c r="EC37" s="221"/>
      <c r="ED37" s="182"/>
      <c r="EE37" s="182"/>
      <c r="EF37" s="182"/>
      <c r="EG37" s="182"/>
      <c r="EH37" s="221" t="str">
        <f t="shared" si="101"/>
        <v/>
      </c>
      <c r="EI37" s="221" t="str">
        <f t="shared" si="102"/>
        <v/>
      </c>
      <c r="EJ37" s="221"/>
      <c r="EK37" s="221"/>
      <c r="EL37" s="221"/>
      <c r="EM37" s="221"/>
      <c r="EN37" s="221"/>
      <c r="EO37" s="221"/>
      <c r="EP37" s="221"/>
      <c r="EQ37" s="221"/>
      <c r="ER37" s="221"/>
      <c r="ES37" s="221"/>
      <c r="ET37" s="221"/>
      <c r="EU37" s="315">
        <f t="shared" si="103"/>
        <v>0</v>
      </c>
      <c r="EV37" s="315" t="str">
        <f t="shared" si="104"/>
        <v/>
      </c>
      <c r="EW37" s="182"/>
      <c r="EX37" s="182"/>
      <c r="EY37" s="182"/>
      <c r="EZ37" s="221"/>
      <c r="FA37" s="221"/>
      <c r="FB37" s="221"/>
      <c r="FC37" s="221"/>
      <c r="FD37" s="221"/>
      <c r="FE37" s="221"/>
      <c r="FF37" s="221"/>
      <c r="FG37" s="221"/>
      <c r="FH37" s="221"/>
      <c r="FI37" s="182"/>
      <c r="FJ37" s="182"/>
      <c r="FK37" s="182"/>
      <c r="FL37" s="182"/>
      <c r="FM37" s="221" t="str">
        <f t="shared" si="105"/>
        <v/>
      </c>
      <c r="FN37" s="221" t="str">
        <f t="shared" si="106"/>
        <v/>
      </c>
      <c r="FO37" s="221"/>
      <c r="FP37" s="221"/>
      <c r="FQ37" s="221"/>
      <c r="FR37" s="221"/>
      <c r="FS37" s="221"/>
      <c r="FT37" s="221"/>
      <c r="FU37" s="221"/>
      <c r="FV37" s="221"/>
      <c r="FW37" s="221"/>
      <c r="FX37" s="221"/>
      <c r="FY37" s="221"/>
      <c r="FZ37" s="408"/>
      <c r="GA37" s="315">
        <f t="shared" si="107"/>
        <v>0</v>
      </c>
      <c r="GB37" s="315" t="str">
        <f t="shared" si="108"/>
        <v/>
      </c>
      <c r="GC37" s="224" t="s">
        <v>160</v>
      </c>
      <c r="GD37" s="224"/>
      <c r="GE37" s="224"/>
      <c r="GG37" s="460"/>
      <c r="GH37" s="460"/>
      <c r="GU37" s="469"/>
      <c r="GV37" s="470" t="str">
        <f t="shared" si="109"/>
        <v/>
      </c>
      <c r="GW37" s="302">
        <f t="shared" si="110"/>
        <v>0</v>
      </c>
      <c r="HA37" s="654"/>
      <c r="HD37" s="379"/>
      <c r="HE37" s="380"/>
      <c r="HH37" s="383"/>
      <c r="HI37" s="410"/>
      <c r="HJ37" s="302" t="str">
        <f t="shared" si="85"/>
        <v/>
      </c>
      <c r="HO37" s="302" t="str">
        <f t="shared" si="34"/>
        <v/>
      </c>
      <c r="HP37" s="302" t="str">
        <f t="shared" si="35"/>
        <v/>
      </c>
      <c r="HQ37" s="302" t="str">
        <f t="shared" si="36"/>
        <v/>
      </c>
      <c r="IT37" s="410"/>
      <c r="IU37" s="410"/>
      <c r="IV37" s="635"/>
    </row>
    <row r="38" spans="1:256" s="302" customFormat="1" ht="12.75" hidden="1" customHeight="1">
      <c r="A38" s="397" t="str">
        <f t="shared" si="1"/>
        <v/>
      </c>
      <c r="B38" s="462" t="str">
        <f t="shared" si="61"/>
        <v/>
      </c>
      <c r="C38" s="426"/>
      <c r="D38" s="575"/>
      <c r="E38" s="463"/>
      <c r="F38" s="464"/>
      <c r="G38" s="465"/>
      <c r="H38" s="465"/>
      <c r="I38" s="466"/>
      <c r="J38" s="463"/>
      <c r="K38" s="465"/>
      <c r="L38" s="465"/>
      <c r="M38" s="466"/>
      <c r="N38" s="573"/>
      <c r="O38" s="467"/>
      <c r="P38" s="518"/>
      <c r="Q38" s="381"/>
      <c r="R38" s="182"/>
      <c r="S38" s="182"/>
      <c r="T38" s="182"/>
      <c r="U38" s="182"/>
      <c r="V38" s="182"/>
      <c r="W38" s="182"/>
      <c r="X38" s="182"/>
      <c r="Y38" s="182"/>
      <c r="Z38" s="182"/>
      <c r="AA38" s="384"/>
      <c r="AB38" s="182" t="str">
        <f t="shared" si="86"/>
        <v/>
      </c>
      <c r="AC38" s="315">
        <f t="shared" si="87"/>
        <v>0</v>
      </c>
      <c r="AD38" s="315" t="str">
        <f t="shared" si="63"/>
        <v/>
      </c>
      <c r="AE38" s="182"/>
      <c r="AF38" s="182"/>
      <c r="AG38" s="182"/>
      <c r="AH38" s="221"/>
      <c r="AI38" s="221"/>
      <c r="AJ38" s="221"/>
      <c r="AK38" s="221"/>
      <c r="AL38" s="221"/>
      <c r="AM38" s="221"/>
      <c r="AN38" s="221"/>
      <c r="AO38" s="221"/>
      <c r="AP38" s="221"/>
      <c r="AQ38" s="182"/>
      <c r="AR38" s="182"/>
      <c r="AS38" s="182"/>
      <c r="AT38" s="182"/>
      <c r="AU38" s="221" t="str">
        <f t="shared" si="88"/>
        <v/>
      </c>
      <c r="AV38" s="221" t="str">
        <f t="shared" si="89"/>
        <v/>
      </c>
      <c r="AW38" s="221"/>
      <c r="AX38" s="221"/>
      <c r="AY38" s="221"/>
      <c r="AZ38" s="221"/>
      <c r="BA38" s="221"/>
      <c r="BB38" s="221"/>
      <c r="BC38" s="221"/>
      <c r="BD38" s="221"/>
      <c r="BE38" s="221"/>
      <c r="BF38" s="469">
        <f t="shared" si="90"/>
        <v>0</v>
      </c>
      <c r="BG38" s="315">
        <f t="shared" si="91"/>
        <v>0</v>
      </c>
      <c r="BH38" s="315" t="str">
        <f t="shared" si="92"/>
        <v/>
      </c>
      <c r="BI38" s="182"/>
      <c r="BJ38" s="182"/>
      <c r="BK38" s="182"/>
      <c r="BL38" s="221"/>
      <c r="BM38" s="221"/>
      <c r="BN38" s="221"/>
      <c r="BO38" s="221"/>
      <c r="BP38" s="221"/>
      <c r="BQ38" s="221"/>
      <c r="BR38" s="221"/>
      <c r="BS38" s="221"/>
      <c r="BT38" s="221"/>
      <c r="BU38" s="182"/>
      <c r="BV38" s="182"/>
      <c r="BW38" s="182"/>
      <c r="BX38" s="182"/>
      <c r="BY38" s="221" t="str">
        <f t="shared" si="93"/>
        <v/>
      </c>
      <c r="BZ38" s="221" t="str">
        <f t="shared" si="94"/>
        <v/>
      </c>
      <c r="CA38" s="221"/>
      <c r="CB38" s="221"/>
      <c r="CC38" s="221"/>
      <c r="CD38" s="221"/>
      <c r="CE38" s="221"/>
      <c r="CF38" s="221"/>
      <c r="CG38" s="221"/>
      <c r="CH38" s="221"/>
      <c r="CI38" s="221"/>
      <c r="CJ38" s="469">
        <f t="shared" si="95"/>
        <v>0</v>
      </c>
      <c r="CK38" s="315">
        <f t="shared" si="96"/>
        <v>0</v>
      </c>
      <c r="CL38" s="315" t="str">
        <f t="shared" si="97"/>
        <v/>
      </c>
      <c r="CM38" s="182"/>
      <c r="CN38" s="182"/>
      <c r="CO38" s="182"/>
      <c r="CP38" s="221"/>
      <c r="CQ38" s="221"/>
      <c r="CR38" s="221"/>
      <c r="CS38" s="221"/>
      <c r="CT38" s="221"/>
      <c r="CU38" s="221"/>
      <c r="CV38" s="221"/>
      <c r="CW38" s="221"/>
      <c r="CX38" s="221"/>
      <c r="CY38" s="221"/>
      <c r="CZ38" s="182"/>
      <c r="DA38" s="182"/>
      <c r="DB38" s="182"/>
      <c r="DC38" s="182"/>
      <c r="DD38" s="221" t="str">
        <f t="shared" si="72"/>
        <v/>
      </c>
      <c r="DE38" s="221" t="str">
        <f t="shared" si="73"/>
        <v/>
      </c>
      <c r="DF38" s="221"/>
      <c r="DG38" s="221"/>
      <c r="DH38" s="221"/>
      <c r="DI38" s="221"/>
      <c r="DJ38" s="221"/>
      <c r="DK38" s="221"/>
      <c r="DL38" s="221"/>
      <c r="DM38" s="221"/>
      <c r="DN38" s="221"/>
      <c r="DO38" s="469" t="str">
        <f t="shared" si="98"/>
        <v/>
      </c>
      <c r="DP38" s="315">
        <f t="shared" si="99"/>
        <v>0</v>
      </c>
      <c r="DQ38" s="315" t="str">
        <f t="shared" si="100"/>
        <v/>
      </c>
      <c r="DR38" s="182"/>
      <c r="DS38" s="182"/>
      <c r="DT38" s="182"/>
      <c r="DU38" s="221"/>
      <c r="DV38" s="221"/>
      <c r="DW38" s="221"/>
      <c r="DX38" s="221"/>
      <c r="DY38" s="221"/>
      <c r="DZ38" s="221"/>
      <c r="EA38" s="221"/>
      <c r="EB38" s="221"/>
      <c r="EC38" s="221"/>
      <c r="ED38" s="182"/>
      <c r="EE38" s="182"/>
      <c r="EF38" s="182"/>
      <c r="EG38" s="182"/>
      <c r="EH38" s="221" t="str">
        <f t="shared" si="101"/>
        <v/>
      </c>
      <c r="EI38" s="221" t="str">
        <f t="shared" si="102"/>
        <v/>
      </c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  <c r="EU38" s="315">
        <f t="shared" si="103"/>
        <v>0</v>
      </c>
      <c r="EV38" s="315" t="str">
        <f t="shared" si="104"/>
        <v/>
      </c>
      <c r="EW38" s="182"/>
      <c r="EX38" s="182"/>
      <c r="EY38" s="182"/>
      <c r="EZ38" s="221"/>
      <c r="FA38" s="221"/>
      <c r="FB38" s="221"/>
      <c r="FC38" s="221"/>
      <c r="FD38" s="221"/>
      <c r="FE38" s="221"/>
      <c r="FF38" s="221"/>
      <c r="FG38" s="221"/>
      <c r="FH38" s="221"/>
      <c r="FI38" s="182"/>
      <c r="FJ38" s="182"/>
      <c r="FK38" s="182"/>
      <c r="FL38" s="182"/>
      <c r="FM38" s="221" t="str">
        <f t="shared" si="105"/>
        <v/>
      </c>
      <c r="FN38" s="221" t="str">
        <f t="shared" si="106"/>
        <v/>
      </c>
      <c r="FO38" s="221"/>
      <c r="FP38" s="221"/>
      <c r="FQ38" s="221"/>
      <c r="FR38" s="221"/>
      <c r="FS38" s="221"/>
      <c r="FT38" s="221"/>
      <c r="FU38" s="221"/>
      <c r="FV38" s="221"/>
      <c r="FW38" s="221"/>
      <c r="FX38" s="221"/>
      <c r="FY38" s="221"/>
      <c r="FZ38" s="408"/>
      <c r="GA38" s="315">
        <f t="shared" si="107"/>
        <v>0</v>
      </c>
      <c r="GB38" s="315" t="str">
        <f t="shared" si="108"/>
        <v/>
      </c>
      <c r="GC38" s="182" t="s">
        <v>160</v>
      </c>
      <c r="GD38" s="182"/>
      <c r="GE38" s="182"/>
      <c r="GG38" s="460"/>
      <c r="GH38" s="460"/>
      <c r="GU38" s="469"/>
      <c r="GV38" s="470" t="str">
        <f t="shared" si="109"/>
        <v/>
      </c>
      <c r="GW38" s="302">
        <f t="shared" si="110"/>
        <v>0</v>
      </c>
      <c r="HA38" s="654"/>
      <c r="HD38" s="379"/>
      <c r="HE38" s="380"/>
      <c r="HH38" s="385"/>
      <c r="HI38" s="411"/>
      <c r="HJ38" s="302" t="str">
        <f t="shared" si="85"/>
        <v/>
      </c>
      <c r="HO38" s="302" t="str">
        <f t="shared" si="34"/>
        <v/>
      </c>
      <c r="HP38" s="302" t="str">
        <f t="shared" si="35"/>
        <v/>
      </c>
      <c r="HQ38" s="302" t="str">
        <f t="shared" si="36"/>
        <v/>
      </c>
      <c r="IT38" s="411"/>
      <c r="IU38" s="411"/>
      <c r="IV38" s="635"/>
    </row>
    <row r="39" spans="1:256" s="302" customFormat="1" ht="12.75" hidden="1" customHeight="1">
      <c r="A39" s="397" t="str">
        <f t="shared" si="1"/>
        <v/>
      </c>
      <c r="B39" s="462" t="str">
        <f t="shared" si="61"/>
        <v/>
      </c>
      <c r="C39" s="426"/>
      <c r="D39" s="575"/>
      <c r="E39" s="463"/>
      <c r="F39" s="464"/>
      <c r="G39" s="465"/>
      <c r="H39" s="465"/>
      <c r="I39" s="466"/>
      <c r="J39" s="463"/>
      <c r="K39" s="465"/>
      <c r="L39" s="465"/>
      <c r="M39" s="466"/>
      <c r="N39" s="573"/>
      <c r="O39" s="467"/>
      <c r="P39" s="518"/>
      <c r="Q39" s="381"/>
      <c r="R39" s="182"/>
      <c r="S39" s="182"/>
      <c r="T39" s="182"/>
      <c r="U39" s="182"/>
      <c r="V39" s="182"/>
      <c r="W39" s="182"/>
      <c r="X39" s="182"/>
      <c r="Y39" s="182"/>
      <c r="Z39" s="182"/>
      <c r="AA39" s="382"/>
      <c r="AB39" s="182" t="str">
        <f t="shared" si="86"/>
        <v/>
      </c>
      <c r="AC39" s="315">
        <f t="shared" si="87"/>
        <v>0</v>
      </c>
      <c r="AD39" s="315" t="str">
        <f t="shared" si="63"/>
        <v/>
      </c>
      <c r="AE39" s="182"/>
      <c r="AF39" s="182"/>
      <c r="AG39" s="182"/>
      <c r="AH39" s="221"/>
      <c r="AI39" s="221"/>
      <c r="AJ39" s="221"/>
      <c r="AK39" s="221"/>
      <c r="AL39" s="221"/>
      <c r="AM39" s="221"/>
      <c r="AN39" s="221"/>
      <c r="AO39" s="221"/>
      <c r="AP39" s="221"/>
      <c r="AQ39" s="182"/>
      <c r="AR39" s="182"/>
      <c r="AS39" s="182"/>
      <c r="AT39" s="182"/>
      <c r="AU39" s="221" t="str">
        <f t="shared" si="88"/>
        <v/>
      </c>
      <c r="AV39" s="221" t="str">
        <f t="shared" si="89"/>
        <v/>
      </c>
      <c r="AW39" s="221"/>
      <c r="AX39" s="221"/>
      <c r="AY39" s="221"/>
      <c r="AZ39" s="221"/>
      <c r="BA39" s="221"/>
      <c r="BB39" s="221"/>
      <c r="BC39" s="221"/>
      <c r="BD39" s="221"/>
      <c r="BE39" s="221"/>
      <c r="BF39" s="468">
        <f t="shared" si="90"/>
        <v>0</v>
      </c>
      <c r="BG39" s="315">
        <f t="shared" si="91"/>
        <v>0</v>
      </c>
      <c r="BH39" s="315" t="str">
        <f t="shared" si="92"/>
        <v/>
      </c>
      <c r="BI39" s="182"/>
      <c r="BJ39" s="182"/>
      <c r="BK39" s="182"/>
      <c r="BL39" s="221"/>
      <c r="BM39" s="221"/>
      <c r="BN39" s="221"/>
      <c r="BO39" s="221"/>
      <c r="BP39" s="221"/>
      <c r="BQ39" s="221"/>
      <c r="BR39" s="221"/>
      <c r="BS39" s="221"/>
      <c r="BT39" s="221"/>
      <c r="BU39" s="182"/>
      <c r="BV39" s="182"/>
      <c r="BW39" s="182"/>
      <c r="BX39" s="182"/>
      <c r="BY39" s="221" t="str">
        <f t="shared" si="93"/>
        <v/>
      </c>
      <c r="BZ39" s="221" t="str">
        <f t="shared" si="94"/>
        <v/>
      </c>
      <c r="CA39" s="221"/>
      <c r="CB39" s="221"/>
      <c r="CC39" s="221"/>
      <c r="CD39" s="221"/>
      <c r="CE39" s="221"/>
      <c r="CF39" s="221"/>
      <c r="CG39" s="221"/>
      <c r="CH39" s="221"/>
      <c r="CI39" s="221"/>
      <c r="CJ39" s="468">
        <f t="shared" si="95"/>
        <v>0</v>
      </c>
      <c r="CK39" s="315">
        <f t="shared" si="96"/>
        <v>0</v>
      </c>
      <c r="CL39" s="315" t="str">
        <f t="shared" si="97"/>
        <v/>
      </c>
      <c r="CM39" s="182"/>
      <c r="CN39" s="182"/>
      <c r="CO39" s="182"/>
      <c r="CP39" s="221"/>
      <c r="CQ39" s="221"/>
      <c r="CR39" s="221"/>
      <c r="CS39" s="221"/>
      <c r="CT39" s="221"/>
      <c r="CU39" s="221"/>
      <c r="CV39" s="221"/>
      <c r="CW39" s="221"/>
      <c r="CX39" s="221"/>
      <c r="CY39" s="221"/>
      <c r="CZ39" s="182"/>
      <c r="DA39" s="182"/>
      <c r="DB39" s="182"/>
      <c r="DC39" s="182"/>
      <c r="DD39" s="221" t="str">
        <f t="shared" si="72"/>
        <v/>
      </c>
      <c r="DE39" s="221" t="str">
        <f t="shared" si="73"/>
        <v/>
      </c>
      <c r="DF39" s="221"/>
      <c r="DG39" s="221"/>
      <c r="DH39" s="221"/>
      <c r="DI39" s="221"/>
      <c r="DJ39" s="221"/>
      <c r="DK39" s="221"/>
      <c r="DL39" s="221"/>
      <c r="DM39" s="221"/>
      <c r="DN39" s="221"/>
      <c r="DO39" s="469" t="str">
        <f t="shared" si="98"/>
        <v/>
      </c>
      <c r="DP39" s="315">
        <f t="shared" si="99"/>
        <v>0</v>
      </c>
      <c r="DQ39" s="315" t="str">
        <f t="shared" si="100"/>
        <v/>
      </c>
      <c r="DR39" s="182"/>
      <c r="DS39" s="182"/>
      <c r="DT39" s="182"/>
      <c r="DU39" s="221"/>
      <c r="DV39" s="221"/>
      <c r="DW39" s="221"/>
      <c r="DX39" s="221"/>
      <c r="DY39" s="221"/>
      <c r="DZ39" s="221"/>
      <c r="EA39" s="221"/>
      <c r="EB39" s="221"/>
      <c r="EC39" s="221"/>
      <c r="ED39" s="182"/>
      <c r="EE39" s="182"/>
      <c r="EF39" s="182"/>
      <c r="EG39" s="182"/>
      <c r="EH39" s="221" t="str">
        <f t="shared" si="101"/>
        <v/>
      </c>
      <c r="EI39" s="221" t="str">
        <f t="shared" si="102"/>
        <v/>
      </c>
      <c r="EJ39" s="221"/>
      <c r="EK39" s="221"/>
      <c r="EL39" s="221"/>
      <c r="EM39" s="221"/>
      <c r="EN39" s="221"/>
      <c r="EO39" s="221"/>
      <c r="EP39" s="221"/>
      <c r="EQ39" s="221"/>
      <c r="ER39" s="221"/>
      <c r="ES39" s="221"/>
      <c r="ET39" s="221"/>
      <c r="EU39" s="315">
        <f t="shared" si="103"/>
        <v>0</v>
      </c>
      <c r="EV39" s="315" t="str">
        <f t="shared" si="104"/>
        <v/>
      </c>
      <c r="EW39" s="182"/>
      <c r="EX39" s="182"/>
      <c r="EY39" s="182"/>
      <c r="EZ39" s="221"/>
      <c r="FA39" s="221"/>
      <c r="FB39" s="221"/>
      <c r="FC39" s="221"/>
      <c r="FD39" s="221"/>
      <c r="FE39" s="221"/>
      <c r="FF39" s="221"/>
      <c r="FG39" s="221"/>
      <c r="FH39" s="221"/>
      <c r="FI39" s="182"/>
      <c r="FJ39" s="182"/>
      <c r="FK39" s="182"/>
      <c r="FL39" s="182"/>
      <c r="FM39" s="221" t="str">
        <f t="shared" si="105"/>
        <v/>
      </c>
      <c r="FN39" s="221" t="str">
        <f t="shared" si="106"/>
        <v/>
      </c>
      <c r="FO39" s="221"/>
      <c r="FP39" s="221"/>
      <c r="FQ39" s="221"/>
      <c r="FR39" s="221"/>
      <c r="FS39" s="221"/>
      <c r="FT39" s="221"/>
      <c r="FU39" s="221"/>
      <c r="FV39" s="221"/>
      <c r="FW39" s="221"/>
      <c r="FX39" s="221"/>
      <c r="FY39" s="221"/>
      <c r="FZ39" s="408"/>
      <c r="GA39" s="315">
        <f t="shared" si="107"/>
        <v>0</v>
      </c>
      <c r="GB39" s="315" t="str">
        <f t="shared" si="108"/>
        <v/>
      </c>
      <c r="GC39" s="182" t="s">
        <v>160</v>
      </c>
      <c r="GD39" s="182"/>
      <c r="GE39" s="182"/>
      <c r="GG39" s="460"/>
      <c r="GH39" s="460"/>
      <c r="GU39" s="469"/>
      <c r="GV39" s="470" t="str">
        <f t="shared" si="109"/>
        <v/>
      </c>
      <c r="GW39" s="302">
        <f t="shared" si="110"/>
        <v>0</v>
      </c>
      <c r="HA39" s="654"/>
      <c r="HD39" s="379"/>
      <c r="HE39" s="380"/>
      <c r="HH39" s="383"/>
      <c r="HI39" s="410"/>
      <c r="HJ39" s="302" t="str">
        <f t="shared" si="85"/>
        <v/>
      </c>
      <c r="HO39" s="302" t="str">
        <f t="shared" si="34"/>
        <v/>
      </c>
      <c r="HP39" s="302" t="str">
        <f t="shared" si="35"/>
        <v/>
      </c>
      <c r="HQ39" s="302" t="str">
        <f t="shared" si="36"/>
        <v/>
      </c>
      <c r="IT39" s="410"/>
      <c r="IU39" s="410"/>
      <c r="IV39" s="635"/>
    </row>
    <row r="40" spans="1:256" s="302" customFormat="1" ht="12.75" hidden="1" customHeight="1">
      <c r="A40" s="397" t="str">
        <f t="shared" si="1"/>
        <v/>
      </c>
      <c r="B40" s="462" t="str">
        <f t="shared" si="61"/>
        <v/>
      </c>
      <c r="C40" s="426"/>
      <c r="D40" s="575"/>
      <c r="E40" s="463"/>
      <c r="F40" s="464"/>
      <c r="G40" s="465"/>
      <c r="H40" s="465"/>
      <c r="I40" s="466"/>
      <c r="J40" s="463"/>
      <c r="K40" s="465"/>
      <c r="L40" s="465"/>
      <c r="M40" s="466"/>
      <c r="N40" s="573"/>
      <c r="O40" s="467"/>
      <c r="P40" s="518"/>
      <c r="Q40" s="381"/>
      <c r="R40" s="182"/>
      <c r="S40" s="182"/>
      <c r="T40" s="182"/>
      <c r="U40" s="182"/>
      <c r="V40" s="182"/>
      <c r="W40" s="182"/>
      <c r="X40" s="182"/>
      <c r="Y40" s="182"/>
      <c r="Z40" s="182"/>
      <c r="AA40" s="384"/>
      <c r="AB40" s="182" t="str">
        <f t="shared" si="86"/>
        <v/>
      </c>
      <c r="AC40" s="315">
        <f t="shared" si="87"/>
        <v>0</v>
      </c>
      <c r="AD40" s="315" t="str">
        <f t="shared" si="63"/>
        <v/>
      </c>
      <c r="AE40" s="182"/>
      <c r="AF40" s="182"/>
      <c r="AG40" s="182"/>
      <c r="AH40" s="221"/>
      <c r="AI40" s="221"/>
      <c r="AJ40" s="221"/>
      <c r="AK40" s="221"/>
      <c r="AL40" s="221"/>
      <c r="AM40" s="221"/>
      <c r="AN40" s="221"/>
      <c r="AO40" s="221"/>
      <c r="AP40" s="221"/>
      <c r="AQ40" s="182"/>
      <c r="AR40" s="182"/>
      <c r="AS40" s="182"/>
      <c r="AT40" s="182"/>
      <c r="AU40" s="221" t="str">
        <f t="shared" si="88"/>
        <v/>
      </c>
      <c r="AV40" s="221" t="str">
        <f t="shared" si="89"/>
        <v/>
      </c>
      <c r="AW40" s="221"/>
      <c r="AX40" s="221"/>
      <c r="AY40" s="221"/>
      <c r="AZ40" s="221"/>
      <c r="BA40" s="221"/>
      <c r="BB40" s="221"/>
      <c r="BC40" s="221"/>
      <c r="BD40" s="221"/>
      <c r="BE40" s="221"/>
      <c r="BF40" s="469">
        <f t="shared" si="90"/>
        <v>0</v>
      </c>
      <c r="BG40" s="315">
        <f t="shared" si="91"/>
        <v>0</v>
      </c>
      <c r="BH40" s="315" t="str">
        <f t="shared" si="92"/>
        <v/>
      </c>
      <c r="BI40" s="182"/>
      <c r="BJ40" s="182"/>
      <c r="BK40" s="182"/>
      <c r="BL40" s="221"/>
      <c r="BM40" s="221"/>
      <c r="BN40" s="221"/>
      <c r="BO40" s="221"/>
      <c r="BP40" s="221"/>
      <c r="BQ40" s="221"/>
      <c r="BR40" s="221"/>
      <c r="BS40" s="221"/>
      <c r="BT40" s="221"/>
      <c r="BU40" s="182"/>
      <c r="BV40" s="182"/>
      <c r="BW40" s="182"/>
      <c r="BX40" s="182"/>
      <c r="BY40" s="221" t="str">
        <f t="shared" si="93"/>
        <v/>
      </c>
      <c r="BZ40" s="221" t="str">
        <f t="shared" si="94"/>
        <v/>
      </c>
      <c r="CA40" s="221"/>
      <c r="CB40" s="221"/>
      <c r="CC40" s="221"/>
      <c r="CD40" s="221"/>
      <c r="CE40" s="221"/>
      <c r="CF40" s="221"/>
      <c r="CG40" s="221"/>
      <c r="CH40" s="221"/>
      <c r="CI40" s="221"/>
      <c r="CJ40" s="469">
        <f t="shared" si="95"/>
        <v>0</v>
      </c>
      <c r="CK40" s="315">
        <f t="shared" si="96"/>
        <v>0</v>
      </c>
      <c r="CL40" s="315" t="str">
        <f t="shared" si="97"/>
        <v/>
      </c>
      <c r="CM40" s="182"/>
      <c r="CN40" s="182"/>
      <c r="CO40" s="182"/>
      <c r="CP40" s="221"/>
      <c r="CQ40" s="221"/>
      <c r="CR40" s="221"/>
      <c r="CS40" s="221"/>
      <c r="CT40" s="221"/>
      <c r="CU40" s="221"/>
      <c r="CV40" s="221"/>
      <c r="CW40" s="221"/>
      <c r="CX40" s="221"/>
      <c r="CY40" s="221"/>
      <c r="CZ40" s="182"/>
      <c r="DA40" s="182"/>
      <c r="DB40" s="182"/>
      <c r="DC40" s="182"/>
      <c r="DD40" s="221" t="str">
        <f t="shared" si="72"/>
        <v/>
      </c>
      <c r="DE40" s="221" t="str">
        <f t="shared" si="73"/>
        <v/>
      </c>
      <c r="DF40" s="221"/>
      <c r="DG40" s="221"/>
      <c r="DH40" s="221"/>
      <c r="DI40" s="221"/>
      <c r="DJ40" s="221"/>
      <c r="DK40" s="221"/>
      <c r="DL40" s="221"/>
      <c r="DM40" s="221"/>
      <c r="DN40" s="221"/>
      <c r="DO40" s="469" t="str">
        <f t="shared" si="98"/>
        <v/>
      </c>
      <c r="DP40" s="315">
        <f t="shared" si="99"/>
        <v>0</v>
      </c>
      <c r="DQ40" s="315" t="str">
        <f t="shared" si="100"/>
        <v/>
      </c>
      <c r="DR40" s="182"/>
      <c r="DS40" s="182"/>
      <c r="DT40" s="182"/>
      <c r="DU40" s="221"/>
      <c r="DV40" s="221"/>
      <c r="DW40" s="221"/>
      <c r="DX40" s="221"/>
      <c r="DY40" s="221"/>
      <c r="DZ40" s="221"/>
      <c r="EA40" s="221"/>
      <c r="EB40" s="221"/>
      <c r="EC40" s="221"/>
      <c r="ED40" s="182"/>
      <c r="EE40" s="182"/>
      <c r="EF40" s="182"/>
      <c r="EG40" s="182"/>
      <c r="EH40" s="221" t="str">
        <f t="shared" si="101"/>
        <v/>
      </c>
      <c r="EI40" s="221" t="str">
        <f t="shared" si="102"/>
        <v/>
      </c>
      <c r="EJ40" s="221"/>
      <c r="EK40" s="221"/>
      <c r="EL40" s="221"/>
      <c r="EM40" s="221"/>
      <c r="EN40" s="221"/>
      <c r="EO40" s="221"/>
      <c r="EP40" s="221"/>
      <c r="EQ40" s="221"/>
      <c r="ER40" s="221"/>
      <c r="ES40" s="221"/>
      <c r="ET40" s="221"/>
      <c r="EU40" s="315">
        <f t="shared" si="103"/>
        <v>0</v>
      </c>
      <c r="EV40" s="315" t="str">
        <f t="shared" si="104"/>
        <v/>
      </c>
      <c r="EW40" s="182"/>
      <c r="EX40" s="182"/>
      <c r="EY40" s="182"/>
      <c r="EZ40" s="221"/>
      <c r="FA40" s="221"/>
      <c r="FB40" s="221"/>
      <c r="FC40" s="221"/>
      <c r="FD40" s="221"/>
      <c r="FE40" s="221"/>
      <c r="FF40" s="221"/>
      <c r="FG40" s="221"/>
      <c r="FH40" s="221"/>
      <c r="FI40" s="182"/>
      <c r="FJ40" s="182"/>
      <c r="FK40" s="182"/>
      <c r="FL40" s="182"/>
      <c r="FM40" s="221" t="str">
        <f t="shared" si="105"/>
        <v/>
      </c>
      <c r="FN40" s="221" t="str">
        <f t="shared" si="106"/>
        <v/>
      </c>
      <c r="FO40" s="221"/>
      <c r="FP40" s="221"/>
      <c r="FQ40" s="221"/>
      <c r="FR40" s="221"/>
      <c r="FS40" s="221"/>
      <c r="FT40" s="221"/>
      <c r="FU40" s="221"/>
      <c r="FV40" s="221"/>
      <c r="FW40" s="221"/>
      <c r="FX40" s="221"/>
      <c r="FY40" s="221"/>
      <c r="FZ40" s="408"/>
      <c r="GA40" s="315">
        <f t="shared" si="107"/>
        <v>0</v>
      </c>
      <c r="GB40" s="315" t="str">
        <f t="shared" si="108"/>
        <v/>
      </c>
      <c r="GC40" s="182" t="s">
        <v>160</v>
      </c>
      <c r="GD40" s="182"/>
      <c r="GE40" s="182"/>
      <c r="GG40" s="460"/>
      <c r="GH40" s="460"/>
      <c r="GU40" s="469"/>
      <c r="GV40" s="470" t="str">
        <f t="shared" si="109"/>
        <v/>
      </c>
      <c r="GW40" s="302">
        <f t="shared" si="110"/>
        <v>0</v>
      </c>
      <c r="HA40" s="654"/>
      <c r="HD40" s="379"/>
      <c r="HE40" s="380"/>
      <c r="HH40" s="385"/>
      <c r="HI40" s="411"/>
      <c r="HJ40" s="302" t="str">
        <f t="shared" si="85"/>
        <v/>
      </c>
      <c r="HO40" s="302" t="str">
        <f t="shared" si="34"/>
        <v/>
      </c>
      <c r="HP40" s="302" t="str">
        <f t="shared" si="35"/>
        <v/>
      </c>
      <c r="HQ40" s="302" t="str">
        <f t="shared" si="36"/>
        <v/>
      </c>
      <c r="IT40" s="411"/>
      <c r="IU40" s="411"/>
      <c r="IV40" s="635"/>
    </row>
    <row r="41" spans="1:256" s="302" customFormat="1" ht="12.75" hidden="1" customHeight="1">
      <c r="A41" s="397" t="str">
        <f t="shared" si="1"/>
        <v/>
      </c>
      <c r="B41" s="462" t="str">
        <f t="shared" si="61"/>
        <v/>
      </c>
      <c r="C41" s="426"/>
      <c r="D41" s="575"/>
      <c r="E41" s="463"/>
      <c r="F41" s="464"/>
      <c r="G41" s="465"/>
      <c r="H41" s="465"/>
      <c r="I41" s="466"/>
      <c r="J41" s="463"/>
      <c r="K41" s="465"/>
      <c r="L41" s="465"/>
      <c r="M41" s="466"/>
      <c r="N41" s="573"/>
      <c r="O41" s="467"/>
      <c r="P41" s="518"/>
      <c r="Q41" s="381"/>
      <c r="R41" s="182"/>
      <c r="S41" s="182"/>
      <c r="T41" s="182"/>
      <c r="U41" s="182"/>
      <c r="V41" s="182"/>
      <c r="W41" s="182"/>
      <c r="X41" s="182"/>
      <c r="Y41" s="182"/>
      <c r="Z41" s="182"/>
      <c r="AA41" s="382"/>
      <c r="AB41" s="182" t="str">
        <f t="shared" si="86"/>
        <v/>
      </c>
      <c r="AC41" s="315">
        <f t="shared" si="87"/>
        <v>0</v>
      </c>
      <c r="AD41" s="315" t="str">
        <f t="shared" si="63"/>
        <v/>
      </c>
      <c r="AE41" s="182"/>
      <c r="AF41" s="182"/>
      <c r="AG41" s="182"/>
      <c r="AH41" s="221"/>
      <c r="AI41" s="221"/>
      <c r="AJ41" s="221"/>
      <c r="AK41" s="221"/>
      <c r="AL41" s="221"/>
      <c r="AM41" s="221"/>
      <c r="AN41" s="221"/>
      <c r="AO41" s="221"/>
      <c r="AP41" s="221"/>
      <c r="AQ41" s="182"/>
      <c r="AR41" s="182"/>
      <c r="AS41" s="182"/>
      <c r="AT41" s="182"/>
      <c r="AU41" s="221" t="str">
        <f t="shared" si="88"/>
        <v/>
      </c>
      <c r="AV41" s="221" t="str">
        <f t="shared" si="89"/>
        <v/>
      </c>
      <c r="AW41" s="221"/>
      <c r="AX41" s="221"/>
      <c r="AY41" s="221"/>
      <c r="AZ41" s="221"/>
      <c r="BA41" s="221"/>
      <c r="BB41" s="221"/>
      <c r="BC41" s="221"/>
      <c r="BD41" s="221"/>
      <c r="BE41" s="221"/>
      <c r="BF41" s="468">
        <f t="shared" si="90"/>
        <v>0</v>
      </c>
      <c r="BG41" s="315">
        <f t="shared" si="91"/>
        <v>0</v>
      </c>
      <c r="BH41" s="315" t="str">
        <f t="shared" si="92"/>
        <v/>
      </c>
      <c r="BI41" s="182"/>
      <c r="BJ41" s="182"/>
      <c r="BK41" s="182"/>
      <c r="BL41" s="221"/>
      <c r="BM41" s="221"/>
      <c r="BN41" s="221"/>
      <c r="BO41" s="221"/>
      <c r="BP41" s="221"/>
      <c r="BQ41" s="221"/>
      <c r="BR41" s="221"/>
      <c r="BS41" s="221"/>
      <c r="BT41" s="221"/>
      <c r="BU41" s="182"/>
      <c r="BV41" s="182"/>
      <c r="BW41" s="182"/>
      <c r="BX41" s="182"/>
      <c r="BY41" s="221" t="str">
        <f t="shared" si="93"/>
        <v/>
      </c>
      <c r="BZ41" s="221" t="str">
        <f t="shared" si="94"/>
        <v/>
      </c>
      <c r="CA41" s="221"/>
      <c r="CB41" s="221"/>
      <c r="CC41" s="221"/>
      <c r="CD41" s="221"/>
      <c r="CE41" s="221"/>
      <c r="CF41" s="221"/>
      <c r="CG41" s="221"/>
      <c r="CH41" s="221"/>
      <c r="CI41" s="221"/>
      <c r="CJ41" s="468">
        <f t="shared" si="95"/>
        <v>0</v>
      </c>
      <c r="CK41" s="315">
        <f t="shared" si="96"/>
        <v>0</v>
      </c>
      <c r="CL41" s="315" t="str">
        <f t="shared" si="97"/>
        <v/>
      </c>
      <c r="CM41" s="182"/>
      <c r="CN41" s="182"/>
      <c r="CO41" s="182"/>
      <c r="CP41" s="221"/>
      <c r="CQ41" s="221"/>
      <c r="CR41" s="221"/>
      <c r="CS41" s="221"/>
      <c r="CT41" s="221"/>
      <c r="CU41" s="221"/>
      <c r="CV41" s="221"/>
      <c r="CW41" s="221"/>
      <c r="CX41" s="221"/>
      <c r="CY41" s="221"/>
      <c r="CZ41" s="182"/>
      <c r="DA41" s="182"/>
      <c r="DB41" s="182"/>
      <c r="DC41" s="182"/>
      <c r="DD41" s="221" t="str">
        <f t="shared" si="72"/>
        <v/>
      </c>
      <c r="DE41" s="221" t="str">
        <f t="shared" si="73"/>
        <v/>
      </c>
      <c r="DF41" s="221"/>
      <c r="DG41" s="221"/>
      <c r="DH41" s="221"/>
      <c r="DI41" s="221"/>
      <c r="DJ41" s="221"/>
      <c r="DK41" s="221"/>
      <c r="DL41" s="221"/>
      <c r="DM41" s="221"/>
      <c r="DN41" s="221"/>
      <c r="DO41" s="469" t="str">
        <f t="shared" si="98"/>
        <v/>
      </c>
      <c r="DP41" s="315">
        <f t="shared" si="99"/>
        <v>0</v>
      </c>
      <c r="DQ41" s="315" t="str">
        <f t="shared" si="100"/>
        <v/>
      </c>
      <c r="DR41" s="182"/>
      <c r="DS41" s="182"/>
      <c r="DT41" s="182"/>
      <c r="DU41" s="221"/>
      <c r="DV41" s="221"/>
      <c r="DW41" s="221"/>
      <c r="DX41" s="221"/>
      <c r="DY41" s="221"/>
      <c r="DZ41" s="221"/>
      <c r="EA41" s="221"/>
      <c r="EB41" s="221"/>
      <c r="EC41" s="221"/>
      <c r="ED41" s="182"/>
      <c r="EE41" s="182"/>
      <c r="EF41" s="182"/>
      <c r="EG41" s="182"/>
      <c r="EH41" s="221" t="str">
        <f t="shared" si="101"/>
        <v/>
      </c>
      <c r="EI41" s="221" t="str">
        <f t="shared" si="102"/>
        <v/>
      </c>
      <c r="EJ41" s="221"/>
      <c r="EK41" s="221"/>
      <c r="EL41" s="221"/>
      <c r="EM41" s="221"/>
      <c r="EN41" s="221"/>
      <c r="EO41" s="221"/>
      <c r="EP41" s="221"/>
      <c r="EQ41" s="221"/>
      <c r="ER41" s="221"/>
      <c r="ES41" s="221"/>
      <c r="ET41" s="221"/>
      <c r="EU41" s="315">
        <f t="shared" si="103"/>
        <v>0</v>
      </c>
      <c r="EV41" s="315" t="str">
        <f t="shared" si="104"/>
        <v/>
      </c>
      <c r="EW41" s="182"/>
      <c r="EX41" s="182"/>
      <c r="EY41" s="182"/>
      <c r="EZ41" s="221"/>
      <c r="FA41" s="221"/>
      <c r="FB41" s="221"/>
      <c r="FC41" s="221"/>
      <c r="FD41" s="221"/>
      <c r="FE41" s="221"/>
      <c r="FF41" s="221"/>
      <c r="FG41" s="221"/>
      <c r="FH41" s="221"/>
      <c r="FI41" s="182"/>
      <c r="FJ41" s="182"/>
      <c r="FK41" s="182"/>
      <c r="FL41" s="182"/>
      <c r="FM41" s="221" t="str">
        <f t="shared" si="105"/>
        <v/>
      </c>
      <c r="FN41" s="221" t="str">
        <f t="shared" si="106"/>
        <v/>
      </c>
      <c r="FO41" s="221"/>
      <c r="FP41" s="221"/>
      <c r="FQ41" s="221"/>
      <c r="FR41" s="221"/>
      <c r="FS41" s="221"/>
      <c r="FT41" s="221"/>
      <c r="FU41" s="221"/>
      <c r="FV41" s="221"/>
      <c r="FW41" s="221"/>
      <c r="FX41" s="221"/>
      <c r="FY41" s="221"/>
      <c r="FZ41" s="408"/>
      <c r="GA41" s="315">
        <f t="shared" si="107"/>
        <v>0</v>
      </c>
      <c r="GB41" s="315" t="str">
        <f t="shared" si="108"/>
        <v/>
      </c>
      <c r="GC41" s="182" t="s">
        <v>160</v>
      </c>
      <c r="GD41" s="182"/>
      <c r="GE41" s="182"/>
      <c r="GG41" s="460"/>
      <c r="GH41" s="460"/>
      <c r="GU41" s="469"/>
      <c r="GV41" s="470" t="str">
        <f t="shared" si="109"/>
        <v/>
      </c>
      <c r="GW41" s="302">
        <f t="shared" si="110"/>
        <v>0</v>
      </c>
      <c r="HA41" s="654"/>
      <c r="HD41" s="379"/>
      <c r="HE41" s="380"/>
      <c r="HH41" s="383"/>
      <c r="HI41" s="410"/>
      <c r="HJ41" s="302" t="str">
        <f t="shared" si="85"/>
        <v/>
      </c>
      <c r="HO41" s="302" t="str">
        <f t="shared" si="34"/>
        <v/>
      </c>
      <c r="HP41" s="302" t="str">
        <f t="shared" si="35"/>
        <v/>
      </c>
      <c r="HQ41" s="302" t="str">
        <f t="shared" si="36"/>
        <v/>
      </c>
      <c r="IT41" s="410"/>
      <c r="IU41" s="410"/>
      <c r="IV41" s="635"/>
    </row>
    <row r="42" spans="1:256" s="302" customFormat="1" ht="12.75" hidden="1" customHeight="1">
      <c r="A42" s="397" t="str">
        <f t="shared" si="1"/>
        <v/>
      </c>
      <c r="B42" s="462" t="str">
        <f t="shared" si="61"/>
        <v/>
      </c>
      <c r="C42" s="426"/>
      <c r="D42" s="575"/>
      <c r="E42" s="463"/>
      <c r="F42" s="464"/>
      <c r="G42" s="465"/>
      <c r="H42" s="465"/>
      <c r="I42" s="466"/>
      <c r="J42" s="463"/>
      <c r="K42" s="465"/>
      <c r="L42" s="465"/>
      <c r="M42" s="466"/>
      <c r="N42" s="573"/>
      <c r="O42" s="467"/>
      <c r="P42" s="518"/>
      <c r="Q42" s="381"/>
      <c r="R42" s="182"/>
      <c r="S42" s="182"/>
      <c r="T42" s="182"/>
      <c r="U42" s="182"/>
      <c r="V42" s="182"/>
      <c r="W42" s="182"/>
      <c r="X42" s="182"/>
      <c r="Y42" s="182"/>
      <c r="Z42" s="182"/>
      <c r="AA42" s="384"/>
      <c r="AB42" s="182" t="str">
        <f t="shared" si="86"/>
        <v/>
      </c>
      <c r="AC42" s="315">
        <f t="shared" si="87"/>
        <v>0</v>
      </c>
      <c r="AD42" s="315" t="str">
        <f t="shared" si="63"/>
        <v/>
      </c>
      <c r="AE42" s="182"/>
      <c r="AF42" s="182"/>
      <c r="AG42" s="182"/>
      <c r="AH42" s="221"/>
      <c r="AI42" s="221"/>
      <c r="AJ42" s="221"/>
      <c r="AK42" s="221"/>
      <c r="AL42" s="221"/>
      <c r="AM42" s="221"/>
      <c r="AN42" s="221"/>
      <c r="AO42" s="221"/>
      <c r="AP42" s="221"/>
      <c r="AQ42" s="182"/>
      <c r="AR42" s="182"/>
      <c r="AS42" s="182"/>
      <c r="AT42" s="182"/>
      <c r="AU42" s="221" t="str">
        <f t="shared" si="88"/>
        <v/>
      </c>
      <c r="AV42" s="221" t="str">
        <f t="shared" si="89"/>
        <v/>
      </c>
      <c r="AW42" s="221"/>
      <c r="AX42" s="221"/>
      <c r="AY42" s="221"/>
      <c r="AZ42" s="221"/>
      <c r="BA42" s="221"/>
      <c r="BB42" s="221"/>
      <c r="BC42" s="221"/>
      <c r="BD42" s="221"/>
      <c r="BE42" s="221"/>
      <c r="BF42" s="469">
        <f t="shared" si="90"/>
        <v>0</v>
      </c>
      <c r="BG42" s="315">
        <f t="shared" si="91"/>
        <v>0</v>
      </c>
      <c r="BH42" s="315" t="str">
        <f t="shared" si="92"/>
        <v/>
      </c>
      <c r="BI42" s="182"/>
      <c r="BJ42" s="182"/>
      <c r="BK42" s="182"/>
      <c r="BL42" s="221"/>
      <c r="BM42" s="221"/>
      <c r="BN42" s="221"/>
      <c r="BO42" s="221"/>
      <c r="BP42" s="221"/>
      <c r="BQ42" s="221"/>
      <c r="BR42" s="221"/>
      <c r="BS42" s="221"/>
      <c r="BT42" s="221"/>
      <c r="BU42" s="182"/>
      <c r="BV42" s="182"/>
      <c r="BW42" s="182"/>
      <c r="BX42" s="182"/>
      <c r="BY42" s="221" t="str">
        <f t="shared" si="93"/>
        <v/>
      </c>
      <c r="BZ42" s="221" t="str">
        <f t="shared" si="94"/>
        <v/>
      </c>
      <c r="CA42" s="221"/>
      <c r="CB42" s="221"/>
      <c r="CC42" s="221"/>
      <c r="CD42" s="221"/>
      <c r="CE42" s="221"/>
      <c r="CF42" s="221"/>
      <c r="CG42" s="221"/>
      <c r="CH42" s="221"/>
      <c r="CI42" s="221"/>
      <c r="CJ42" s="469">
        <f t="shared" si="95"/>
        <v>0</v>
      </c>
      <c r="CK42" s="315">
        <f t="shared" si="96"/>
        <v>0</v>
      </c>
      <c r="CL42" s="315" t="str">
        <f t="shared" si="97"/>
        <v/>
      </c>
      <c r="CM42" s="182"/>
      <c r="CN42" s="182"/>
      <c r="CO42" s="182"/>
      <c r="CP42" s="221"/>
      <c r="CQ42" s="221"/>
      <c r="CR42" s="221"/>
      <c r="CS42" s="221"/>
      <c r="CT42" s="221"/>
      <c r="CU42" s="221"/>
      <c r="CV42" s="221"/>
      <c r="CW42" s="221"/>
      <c r="CX42" s="221"/>
      <c r="CY42" s="221"/>
      <c r="CZ42" s="182"/>
      <c r="DA42" s="182"/>
      <c r="DB42" s="182"/>
      <c r="DC42" s="182"/>
      <c r="DD42" s="221" t="str">
        <f t="shared" si="72"/>
        <v/>
      </c>
      <c r="DE42" s="221" t="str">
        <f t="shared" si="73"/>
        <v/>
      </c>
      <c r="DF42" s="221"/>
      <c r="DG42" s="221"/>
      <c r="DH42" s="221"/>
      <c r="DI42" s="221"/>
      <c r="DJ42" s="221"/>
      <c r="DK42" s="221"/>
      <c r="DL42" s="221"/>
      <c r="DM42" s="221"/>
      <c r="DN42" s="221"/>
      <c r="DO42" s="469" t="str">
        <f t="shared" si="98"/>
        <v/>
      </c>
      <c r="DP42" s="315">
        <f t="shared" si="99"/>
        <v>0</v>
      </c>
      <c r="DQ42" s="315" t="str">
        <f t="shared" si="100"/>
        <v/>
      </c>
      <c r="DR42" s="182"/>
      <c r="DS42" s="182"/>
      <c r="DT42" s="182"/>
      <c r="DU42" s="221"/>
      <c r="DV42" s="221"/>
      <c r="DW42" s="221"/>
      <c r="DX42" s="221"/>
      <c r="DY42" s="221"/>
      <c r="DZ42" s="221"/>
      <c r="EA42" s="221"/>
      <c r="EB42" s="221"/>
      <c r="EC42" s="221"/>
      <c r="ED42" s="182"/>
      <c r="EE42" s="182"/>
      <c r="EF42" s="182"/>
      <c r="EG42" s="182"/>
      <c r="EH42" s="221" t="str">
        <f t="shared" si="101"/>
        <v/>
      </c>
      <c r="EI42" s="221" t="str">
        <f t="shared" si="102"/>
        <v/>
      </c>
      <c r="EJ42" s="221"/>
      <c r="EK42" s="221"/>
      <c r="EL42" s="221"/>
      <c r="EM42" s="221"/>
      <c r="EN42" s="221"/>
      <c r="EO42" s="221"/>
      <c r="EP42" s="221"/>
      <c r="EQ42" s="221"/>
      <c r="ER42" s="221"/>
      <c r="ES42" s="221"/>
      <c r="ET42" s="221"/>
      <c r="EU42" s="315">
        <f t="shared" si="103"/>
        <v>0</v>
      </c>
      <c r="EV42" s="315" t="str">
        <f t="shared" si="104"/>
        <v/>
      </c>
      <c r="EW42" s="182"/>
      <c r="EX42" s="182"/>
      <c r="EY42" s="182"/>
      <c r="EZ42" s="221"/>
      <c r="FA42" s="221"/>
      <c r="FB42" s="221"/>
      <c r="FC42" s="221"/>
      <c r="FD42" s="221"/>
      <c r="FE42" s="221"/>
      <c r="FF42" s="221"/>
      <c r="FG42" s="221"/>
      <c r="FH42" s="221"/>
      <c r="FI42" s="182"/>
      <c r="FJ42" s="182"/>
      <c r="FK42" s="182"/>
      <c r="FL42" s="182"/>
      <c r="FM42" s="221" t="str">
        <f t="shared" si="105"/>
        <v/>
      </c>
      <c r="FN42" s="221" t="str">
        <f t="shared" si="106"/>
        <v/>
      </c>
      <c r="FO42" s="221"/>
      <c r="FP42" s="221"/>
      <c r="FQ42" s="221"/>
      <c r="FR42" s="221"/>
      <c r="FS42" s="221"/>
      <c r="FT42" s="221"/>
      <c r="FU42" s="221"/>
      <c r="FV42" s="221"/>
      <c r="FW42" s="221"/>
      <c r="FX42" s="221"/>
      <c r="FY42" s="221"/>
      <c r="FZ42" s="408"/>
      <c r="GA42" s="315">
        <f t="shared" si="107"/>
        <v>0</v>
      </c>
      <c r="GB42" s="315" t="str">
        <f t="shared" si="108"/>
        <v/>
      </c>
      <c r="GC42" s="182" t="s">
        <v>160</v>
      </c>
      <c r="GD42" s="182"/>
      <c r="GE42" s="182"/>
      <c r="GG42" s="460"/>
      <c r="GH42" s="460"/>
      <c r="GU42" s="469"/>
      <c r="GV42" s="470" t="str">
        <f t="shared" si="109"/>
        <v/>
      </c>
      <c r="GW42" s="302">
        <f t="shared" si="110"/>
        <v>0</v>
      </c>
      <c r="HA42" s="654"/>
      <c r="HD42" s="379"/>
      <c r="HE42" s="380"/>
      <c r="HH42" s="385"/>
      <c r="HI42" s="411"/>
      <c r="HJ42" s="302" t="str">
        <f t="shared" si="85"/>
        <v/>
      </c>
      <c r="HO42" s="302" t="str">
        <f t="shared" si="34"/>
        <v/>
      </c>
      <c r="HP42" s="302" t="str">
        <f t="shared" si="35"/>
        <v/>
      </c>
      <c r="HQ42" s="302" t="str">
        <f t="shared" si="36"/>
        <v/>
      </c>
      <c r="IT42" s="411"/>
      <c r="IU42" s="411"/>
      <c r="IV42" s="635"/>
    </row>
    <row r="43" spans="1:256" s="302" customFormat="1" ht="12.75" hidden="1" customHeight="1">
      <c r="A43" s="397" t="str">
        <f t="shared" si="1"/>
        <v/>
      </c>
      <c r="B43" s="462" t="str">
        <f t="shared" si="61"/>
        <v/>
      </c>
      <c r="C43" s="426"/>
      <c r="D43" s="575"/>
      <c r="E43" s="463"/>
      <c r="F43" s="464"/>
      <c r="G43" s="465"/>
      <c r="H43" s="465"/>
      <c r="I43" s="466"/>
      <c r="J43" s="463"/>
      <c r="K43" s="465"/>
      <c r="L43" s="465"/>
      <c r="M43" s="466"/>
      <c r="N43" s="573"/>
      <c r="O43" s="467"/>
      <c r="P43" s="518"/>
      <c r="Q43" s="381"/>
      <c r="R43" s="182"/>
      <c r="S43" s="182"/>
      <c r="T43" s="182"/>
      <c r="U43" s="182"/>
      <c r="V43" s="182"/>
      <c r="W43" s="182"/>
      <c r="X43" s="182"/>
      <c r="Y43" s="182"/>
      <c r="Z43" s="182"/>
      <c r="AA43" s="382"/>
      <c r="AB43" s="182" t="str">
        <f t="shared" si="86"/>
        <v/>
      </c>
      <c r="AC43" s="315">
        <f t="shared" si="87"/>
        <v>0</v>
      </c>
      <c r="AD43" s="315" t="str">
        <f t="shared" si="63"/>
        <v/>
      </c>
      <c r="AE43" s="182"/>
      <c r="AF43" s="182"/>
      <c r="AG43" s="182"/>
      <c r="AH43" s="221"/>
      <c r="AI43" s="221"/>
      <c r="AJ43" s="221"/>
      <c r="AK43" s="221"/>
      <c r="AL43" s="221"/>
      <c r="AM43" s="221"/>
      <c r="AN43" s="221"/>
      <c r="AO43" s="221"/>
      <c r="AP43" s="221"/>
      <c r="AQ43" s="182"/>
      <c r="AR43" s="182"/>
      <c r="AS43" s="182"/>
      <c r="AT43" s="182"/>
      <c r="AU43" s="221" t="str">
        <f t="shared" si="88"/>
        <v/>
      </c>
      <c r="AV43" s="221" t="str">
        <f t="shared" si="89"/>
        <v/>
      </c>
      <c r="AW43" s="221"/>
      <c r="AX43" s="221"/>
      <c r="AY43" s="221"/>
      <c r="AZ43" s="221"/>
      <c r="BA43" s="221"/>
      <c r="BB43" s="221"/>
      <c r="BC43" s="221"/>
      <c r="BD43" s="221"/>
      <c r="BE43" s="221"/>
      <c r="BF43" s="468">
        <f t="shared" si="90"/>
        <v>0</v>
      </c>
      <c r="BG43" s="315">
        <f t="shared" si="91"/>
        <v>0</v>
      </c>
      <c r="BH43" s="315" t="str">
        <f t="shared" si="92"/>
        <v/>
      </c>
      <c r="BI43" s="182"/>
      <c r="BJ43" s="182"/>
      <c r="BK43" s="182"/>
      <c r="BL43" s="221"/>
      <c r="BM43" s="221"/>
      <c r="BN43" s="221"/>
      <c r="BO43" s="221"/>
      <c r="BP43" s="221"/>
      <c r="BQ43" s="221"/>
      <c r="BR43" s="221"/>
      <c r="BS43" s="221"/>
      <c r="BT43" s="221"/>
      <c r="BU43" s="182"/>
      <c r="BV43" s="182"/>
      <c r="BW43" s="182"/>
      <c r="BX43" s="182"/>
      <c r="BY43" s="221" t="str">
        <f t="shared" si="93"/>
        <v/>
      </c>
      <c r="BZ43" s="221" t="str">
        <f t="shared" si="94"/>
        <v/>
      </c>
      <c r="CA43" s="221"/>
      <c r="CB43" s="221"/>
      <c r="CC43" s="221"/>
      <c r="CD43" s="221"/>
      <c r="CE43" s="221"/>
      <c r="CF43" s="221"/>
      <c r="CG43" s="221"/>
      <c r="CH43" s="221"/>
      <c r="CI43" s="221"/>
      <c r="CJ43" s="468">
        <f t="shared" si="95"/>
        <v>0</v>
      </c>
      <c r="CK43" s="315">
        <f t="shared" si="96"/>
        <v>0</v>
      </c>
      <c r="CL43" s="315" t="str">
        <f t="shared" si="97"/>
        <v/>
      </c>
      <c r="CM43" s="182"/>
      <c r="CN43" s="182"/>
      <c r="CO43" s="182"/>
      <c r="CP43" s="221"/>
      <c r="CQ43" s="221"/>
      <c r="CR43" s="221"/>
      <c r="CS43" s="221"/>
      <c r="CT43" s="221"/>
      <c r="CU43" s="221"/>
      <c r="CV43" s="221"/>
      <c r="CW43" s="221"/>
      <c r="CX43" s="221"/>
      <c r="CY43" s="221"/>
      <c r="CZ43" s="182"/>
      <c r="DA43" s="182"/>
      <c r="DB43" s="182"/>
      <c r="DC43" s="182"/>
      <c r="DD43" s="221" t="str">
        <f t="shared" si="72"/>
        <v/>
      </c>
      <c r="DE43" s="221" t="str">
        <f t="shared" si="73"/>
        <v/>
      </c>
      <c r="DF43" s="221"/>
      <c r="DG43" s="221"/>
      <c r="DH43" s="221"/>
      <c r="DI43" s="221"/>
      <c r="DJ43" s="221"/>
      <c r="DK43" s="221"/>
      <c r="DL43" s="221"/>
      <c r="DM43" s="221"/>
      <c r="DN43" s="221"/>
      <c r="DO43" s="469" t="str">
        <f t="shared" si="98"/>
        <v/>
      </c>
      <c r="DP43" s="315">
        <f t="shared" si="99"/>
        <v>0</v>
      </c>
      <c r="DQ43" s="315" t="str">
        <f t="shared" si="100"/>
        <v/>
      </c>
      <c r="DR43" s="182"/>
      <c r="DS43" s="182"/>
      <c r="DT43" s="182"/>
      <c r="DU43" s="221"/>
      <c r="DV43" s="221"/>
      <c r="DW43" s="221"/>
      <c r="DX43" s="221"/>
      <c r="DY43" s="221"/>
      <c r="DZ43" s="221"/>
      <c r="EA43" s="221"/>
      <c r="EB43" s="221"/>
      <c r="EC43" s="221"/>
      <c r="ED43" s="182"/>
      <c r="EE43" s="182"/>
      <c r="EF43" s="182"/>
      <c r="EG43" s="182"/>
      <c r="EH43" s="221" t="str">
        <f t="shared" si="101"/>
        <v/>
      </c>
      <c r="EI43" s="221" t="str">
        <f t="shared" si="102"/>
        <v/>
      </c>
      <c r="EJ43" s="221"/>
      <c r="EK43" s="221"/>
      <c r="EL43" s="221"/>
      <c r="EM43" s="221"/>
      <c r="EN43" s="221"/>
      <c r="EO43" s="221"/>
      <c r="EP43" s="221"/>
      <c r="EQ43" s="221"/>
      <c r="ER43" s="221"/>
      <c r="ES43" s="221"/>
      <c r="ET43" s="221"/>
      <c r="EU43" s="315">
        <f t="shared" si="103"/>
        <v>0</v>
      </c>
      <c r="EV43" s="315" t="str">
        <f t="shared" si="104"/>
        <v/>
      </c>
      <c r="EW43" s="182"/>
      <c r="EX43" s="182"/>
      <c r="EY43" s="182"/>
      <c r="EZ43" s="221"/>
      <c r="FA43" s="221"/>
      <c r="FB43" s="221"/>
      <c r="FC43" s="221"/>
      <c r="FD43" s="221"/>
      <c r="FE43" s="221"/>
      <c r="FF43" s="221"/>
      <c r="FG43" s="221"/>
      <c r="FH43" s="221"/>
      <c r="FI43" s="182"/>
      <c r="FJ43" s="182"/>
      <c r="FK43" s="182"/>
      <c r="FL43" s="182"/>
      <c r="FM43" s="221" t="str">
        <f t="shared" si="105"/>
        <v/>
      </c>
      <c r="FN43" s="221" t="str">
        <f t="shared" si="106"/>
        <v/>
      </c>
      <c r="FO43" s="221"/>
      <c r="FP43" s="221"/>
      <c r="FQ43" s="221"/>
      <c r="FR43" s="221"/>
      <c r="FS43" s="221"/>
      <c r="FT43" s="221"/>
      <c r="FU43" s="221"/>
      <c r="FV43" s="221"/>
      <c r="FW43" s="221"/>
      <c r="FX43" s="221"/>
      <c r="FY43" s="221"/>
      <c r="FZ43" s="408"/>
      <c r="GA43" s="315">
        <f t="shared" si="107"/>
        <v>0</v>
      </c>
      <c r="GB43" s="315" t="str">
        <f t="shared" si="108"/>
        <v/>
      </c>
      <c r="GC43" s="182" t="s">
        <v>160</v>
      </c>
      <c r="GD43" s="182"/>
      <c r="GE43" s="182"/>
      <c r="GG43" s="460"/>
      <c r="GH43" s="460"/>
      <c r="GU43" s="469"/>
      <c r="GV43" s="470" t="str">
        <f t="shared" si="109"/>
        <v/>
      </c>
      <c r="GW43" s="302">
        <f t="shared" si="110"/>
        <v>0</v>
      </c>
      <c r="HA43" s="654"/>
      <c r="HD43" s="379"/>
      <c r="HE43" s="380"/>
      <c r="HH43" s="383"/>
      <c r="HI43" s="410"/>
      <c r="HJ43" s="302" t="str">
        <f t="shared" si="85"/>
        <v/>
      </c>
      <c r="HO43" s="302" t="str">
        <f t="shared" si="34"/>
        <v/>
      </c>
      <c r="HP43" s="302" t="str">
        <f t="shared" si="35"/>
        <v/>
      </c>
      <c r="HQ43" s="302" t="str">
        <f t="shared" si="36"/>
        <v/>
      </c>
      <c r="IT43" s="410"/>
      <c r="IU43" s="410"/>
      <c r="IV43" s="635"/>
    </row>
    <row r="44" spans="1:256" s="302" customFormat="1" ht="12.75" hidden="1" customHeight="1">
      <c r="A44" s="397" t="str">
        <f t="shared" si="1"/>
        <v/>
      </c>
      <c r="B44" s="462" t="str">
        <f t="shared" si="61"/>
        <v/>
      </c>
      <c r="C44" s="426"/>
      <c r="D44" s="575"/>
      <c r="E44" s="463"/>
      <c r="F44" s="464"/>
      <c r="G44" s="465"/>
      <c r="H44" s="465"/>
      <c r="I44" s="466"/>
      <c r="J44" s="463"/>
      <c r="K44" s="465"/>
      <c r="L44" s="465"/>
      <c r="M44" s="466"/>
      <c r="N44" s="573"/>
      <c r="O44" s="467"/>
      <c r="P44" s="518"/>
      <c r="Q44" s="381"/>
      <c r="R44" s="182"/>
      <c r="S44" s="182"/>
      <c r="T44" s="182"/>
      <c r="U44" s="182"/>
      <c r="V44" s="182"/>
      <c r="W44" s="182"/>
      <c r="X44" s="182"/>
      <c r="Y44" s="182"/>
      <c r="Z44" s="182"/>
      <c r="AA44" s="384"/>
      <c r="AB44" s="182" t="str">
        <f t="shared" si="86"/>
        <v/>
      </c>
      <c r="AC44" s="315">
        <f t="shared" si="87"/>
        <v>0</v>
      </c>
      <c r="AD44" s="315" t="str">
        <f t="shared" si="63"/>
        <v/>
      </c>
      <c r="AE44" s="182"/>
      <c r="AF44" s="182"/>
      <c r="AG44" s="182"/>
      <c r="AH44" s="221"/>
      <c r="AI44" s="221"/>
      <c r="AJ44" s="221"/>
      <c r="AK44" s="221"/>
      <c r="AL44" s="221"/>
      <c r="AM44" s="221"/>
      <c r="AN44" s="221"/>
      <c r="AO44" s="221"/>
      <c r="AP44" s="221"/>
      <c r="AQ44" s="182"/>
      <c r="AR44" s="182"/>
      <c r="AS44" s="182"/>
      <c r="AT44" s="182"/>
      <c r="AU44" s="221" t="str">
        <f t="shared" si="88"/>
        <v/>
      </c>
      <c r="AV44" s="221" t="str">
        <f t="shared" si="89"/>
        <v/>
      </c>
      <c r="AW44" s="221"/>
      <c r="AX44" s="221"/>
      <c r="AY44" s="221"/>
      <c r="AZ44" s="221"/>
      <c r="BA44" s="221"/>
      <c r="BB44" s="221"/>
      <c r="BC44" s="221"/>
      <c r="BD44" s="221"/>
      <c r="BE44" s="221"/>
      <c r="BF44" s="469">
        <f t="shared" si="90"/>
        <v>0</v>
      </c>
      <c r="BG44" s="315">
        <f t="shared" si="91"/>
        <v>0</v>
      </c>
      <c r="BH44" s="315" t="str">
        <f t="shared" si="92"/>
        <v/>
      </c>
      <c r="BI44" s="182"/>
      <c r="BJ44" s="182"/>
      <c r="BK44" s="182"/>
      <c r="BL44" s="221"/>
      <c r="BM44" s="221"/>
      <c r="BN44" s="221"/>
      <c r="BO44" s="221"/>
      <c r="BP44" s="221"/>
      <c r="BQ44" s="221"/>
      <c r="BR44" s="221"/>
      <c r="BS44" s="221"/>
      <c r="BT44" s="221"/>
      <c r="BU44" s="182"/>
      <c r="BV44" s="182"/>
      <c r="BW44" s="182"/>
      <c r="BX44" s="182"/>
      <c r="BY44" s="221" t="str">
        <f t="shared" si="93"/>
        <v/>
      </c>
      <c r="BZ44" s="221" t="str">
        <f t="shared" si="94"/>
        <v/>
      </c>
      <c r="CA44" s="221"/>
      <c r="CB44" s="221"/>
      <c r="CC44" s="221"/>
      <c r="CD44" s="221"/>
      <c r="CE44" s="221"/>
      <c r="CF44" s="221"/>
      <c r="CG44" s="221"/>
      <c r="CH44" s="221"/>
      <c r="CI44" s="221"/>
      <c r="CJ44" s="469">
        <f t="shared" si="95"/>
        <v>0</v>
      </c>
      <c r="CK44" s="315">
        <f t="shared" si="96"/>
        <v>0</v>
      </c>
      <c r="CL44" s="315" t="str">
        <f t="shared" si="97"/>
        <v/>
      </c>
      <c r="CM44" s="182"/>
      <c r="CN44" s="182"/>
      <c r="CO44" s="182"/>
      <c r="CP44" s="221"/>
      <c r="CQ44" s="221"/>
      <c r="CR44" s="221"/>
      <c r="CS44" s="221"/>
      <c r="CT44" s="221"/>
      <c r="CU44" s="221"/>
      <c r="CV44" s="221"/>
      <c r="CW44" s="221"/>
      <c r="CX44" s="221"/>
      <c r="CY44" s="221"/>
      <c r="CZ44" s="182"/>
      <c r="DA44" s="182"/>
      <c r="DB44" s="182"/>
      <c r="DC44" s="182"/>
      <c r="DD44" s="221" t="str">
        <f t="shared" si="72"/>
        <v/>
      </c>
      <c r="DE44" s="221" t="str">
        <f t="shared" si="73"/>
        <v/>
      </c>
      <c r="DF44" s="221"/>
      <c r="DG44" s="221"/>
      <c r="DH44" s="221"/>
      <c r="DI44" s="221"/>
      <c r="DJ44" s="221"/>
      <c r="DK44" s="221"/>
      <c r="DL44" s="221"/>
      <c r="DM44" s="221"/>
      <c r="DN44" s="221"/>
      <c r="DO44" s="469" t="str">
        <f t="shared" si="98"/>
        <v/>
      </c>
      <c r="DP44" s="315">
        <f t="shared" si="99"/>
        <v>0</v>
      </c>
      <c r="DQ44" s="315" t="str">
        <f t="shared" si="100"/>
        <v/>
      </c>
      <c r="DR44" s="182"/>
      <c r="DS44" s="182"/>
      <c r="DT44" s="182"/>
      <c r="DU44" s="221"/>
      <c r="DV44" s="221"/>
      <c r="DW44" s="221"/>
      <c r="DX44" s="221"/>
      <c r="DY44" s="221"/>
      <c r="DZ44" s="221"/>
      <c r="EA44" s="221"/>
      <c r="EB44" s="221"/>
      <c r="EC44" s="221"/>
      <c r="ED44" s="182"/>
      <c r="EE44" s="182"/>
      <c r="EF44" s="182"/>
      <c r="EG44" s="182"/>
      <c r="EH44" s="221" t="str">
        <f t="shared" si="101"/>
        <v/>
      </c>
      <c r="EI44" s="221" t="str">
        <f t="shared" si="102"/>
        <v/>
      </c>
      <c r="EJ44" s="221"/>
      <c r="EK44" s="221"/>
      <c r="EL44" s="221"/>
      <c r="EM44" s="221"/>
      <c r="EN44" s="221"/>
      <c r="EO44" s="221"/>
      <c r="EP44" s="221"/>
      <c r="EQ44" s="221"/>
      <c r="ER44" s="221"/>
      <c r="ES44" s="221"/>
      <c r="ET44" s="221"/>
      <c r="EU44" s="315">
        <f t="shared" si="103"/>
        <v>0</v>
      </c>
      <c r="EV44" s="315" t="str">
        <f t="shared" si="104"/>
        <v/>
      </c>
      <c r="EW44" s="182"/>
      <c r="EX44" s="182"/>
      <c r="EY44" s="182"/>
      <c r="EZ44" s="221"/>
      <c r="FA44" s="221"/>
      <c r="FB44" s="221"/>
      <c r="FC44" s="221"/>
      <c r="FD44" s="221"/>
      <c r="FE44" s="221"/>
      <c r="FF44" s="221"/>
      <c r="FG44" s="221"/>
      <c r="FH44" s="221"/>
      <c r="FI44" s="182"/>
      <c r="FJ44" s="182"/>
      <c r="FK44" s="182"/>
      <c r="FL44" s="182"/>
      <c r="FM44" s="221" t="str">
        <f t="shared" si="105"/>
        <v/>
      </c>
      <c r="FN44" s="221" t="str">
        <f t="shared" si="106"/>
        <v/>
      </c>
      <c r="FO44" s="221"/>
      <c r="FP44" s="221"/>
      <c r="FQ44" s="221"/>
      <c r="FR44" s="221"/>
      <c r="FS44" s="221"/>
      <c r="FT44" s="221"/>
      <c r="FU44" s="221"/>
      <c r="FV44" s="221"/>
      <c r="FW44" s="221"/>
      <c r="FX44" s="221"/>
      <c r="FY44" s="221"/>
      <c r="FZ44" s="408"/>
      <c r="GA44" s="315">
        <f t="shared" si="107"/>
        <v>0</v>
      </c>
      <c r="GB44" s="315" t="str">
        <f t="shared" si="108"/>
        <v/>
      </c>
      <c r="GC44" s="302" t="s">
        <v>160</v>
      </c>
      <c r="GG44" s="460"/>
      <c r="GH44" s="460"/>
      <c r="GU44" s="469"/>
      <c r="GV44" s="470" t="str">
        <f t="shared" si="109"/>
        <v/>
      </c>
      <c r="GW44" s="302">
        <f t="shared" si="110"/>
        <v>0</v>
      </c>
      <c r="HA44" s="654"/>
      <c r="HD44" s="379"/>
      <c r="HE44" s="380"/>
      <c r="HH44" s="385"/>
      <c r="HI44" s="411"/>
      <c r="HJ44" s="302" t="str">
        <f t="shared" si="85"/>
        <v/>
      </c>
      <c r="HO44" s="302" t="str">
        <f t="shared" si="34"/>
        <v/>
      </c>
      <c r="HP44" s="302" t="str">
        <f t="shared" si="35"/>
        <v/>
      </c>
      <c r="HQ44" s="302" t="str">
        <f t="shared" si="36"/>
        <v/>
      </c>
      <c r="IT44" s="411"/>
      <c r="IU44" s="411"/>
      <c r="IV44" s="635"/>
    </row>
    <row r="45" spans="1:256" s="302" customFormat="1" ht="12.75" hidden="1" customHeight="1">
      <c r="A45" s="397" t="str">
        <f t="shared" si="1"/>
        <v/>
      </c>
      <c r="B45" s="462" t="str">
        <f t="shared" si="61"/>
        <v/>
      </c>
      <c r="C45" s="426"/>
      <c r="D45" s="575"/>
      <c r="E45" s="463"/>
      <c r="F45" s="464"/>
      <c r="G45" s="465"/>
      <c r="H45" s="465"/>
      <c r="I45" s="466"/>
      <c r="J45" s="463"/>
      <c r="K45" s="465"/>
      <c r="L45" s="465"/>
      <c r="M45" s="466"/>
      <c r="N45" s="573"/>
      <c r="O45" s="467"/>
      <c r="P45" s="518"/>
      <c r="Q45" s="381"/>
      <c r="R45" s="182"/>
      <c r="S45" s="182"/>
      <c r="T45" s="182"/>
      <c r="U45" s="182"/>
      <c r="V45" s="182"/>
      <c r="W45" s="182"/>
      <c r="X45" s="182"/>
      <c r="Y45" s="182"/>
      <c r="Z45" s="182"/>
      <c r="AA45" s="382"/>
      <c r="AB45" s="182" t="str">
        <f t="shared" si="86"/>
        <v/>
      </c>
      <c r="AC45" s="315">
        <f t="shared" si="87"/>
        <v>0</v>
      </c>
      <c r="AD45" s="315" t="str">
        <f t="shared" si="63"/>
        <v/>
      </c>
      <c r="AE45" s="182"/>
      <c r="AF45" s="182"/>
      <c r="AG45" s="182"/>
      <c r="AH45" s="221"/>
      <c r="AI45" s="221"/>
      <c r="AJ45" s="221"/>
      <c r="AK45" s="221"/>
      <c r="AL45" s="221"/>
      <c r="AM45" s="221"/>
      <c r="AN45" s="221"/>
      <c r="AO45" s="221"/>
      <c r="AP45" s="221"/>
      <c r="AQ45" s="182"/>
      <c r="AR45" s="182"/>
      <c r="AS45" s="182"/>
      <c r="AT45" s="182"/>
      <c r="AU45" s="221" t="str">
        <f t="shared" si="88"/>
        <v/>
      </c>
      <c r="AV45" s="221" t="str">
        <f t="shared" si="89"/>
        <v/>
      </c>
      <c r="AW45" s="221"/>
      <c r="AX45" s="221"/>
      <c r="AY45" s="221"/>
      <c r="AZ45" s="221"/>
      <c r="BA45" s="221"/>
      <c r="BB45" s="221"/>
      <c r="BC45" s="221"/>
      <c r="BD45" s="221"/>
      <c r="BE45" s="221"/>
      <c r="BF45" s="468">
        <f t="shared" si="90"/>
        <v>0</v>
      </c>
      <c r="BG45" s="315">
        <f t="shared" si="91"/>
        <v>0</v>
      </c>
      <c r="BH45" s="315" t="str">
        <f t="shared" si="92"/>
        <v/>
      </c>
      <c r="BI45" s="182"/>
      <c r="BJ45" s="182"/>
      <c r="BK45" s="182"/>
      <c r="BL45" s="221"/>
      <c r="BM45" s="221"/>
      <c r="BN45" s="221"/>
      <c r="BO45" s="221"/>
      <c r="BP45" s="221"/>
      <c r="BQ45" s="221"/>
      <c r="BR45" s="221"/>
      <c r="BS45" s="221"/>
      <c r="BT45" s="221"/>
      <c r="BU45" s="182"/>
      <c r="BV45" s="182"/>
      <c r="BW45" s="182"/>
      <c r="BX45" s="182"/>
      <c r="BY45" s="221" t="str">
        <f t="shared" si="93"/>
        <v/>
      </c>
      <c r="BZ45" s="221" t="str">
        <f t="shared" si="94"/>
        <v/>
      </c>
      <c r="CA45" s="221"/>
      <c r="CB45" s="221"/>
      <c r="CC45" s="221"/>
      <c r="CD45" s="221"/>
      <c r="CE45" s="221"/>
      <c r="CF45" s="221"/>
      <c r="CG45" s="221"/>
      <c r="CH45" s="221"/>
      <c r="CI45" s="221"/>
      <c r="CJ45" s="468">
        <f t="shared" si="95"/>
        <v>0</v>
      </c>
      <c r="CK45" s="315">
        <f t="shared" si="96"/>
        <v>0</v>
      </c>
      <c r="CL45" s="315" t="str">
        <f t="shared" si="97"/>
        <v/>
      </c>
      <c r="CM45" s="182"/>
      <c r="CN45" s="182"/>
      <c r="CO45" s="182"/>
      <c r="CP45" s="221"/>
      <c r="CQ45" s="221"/>
      <c r="CR45" s="221"/>
      <c r="CS45" s="221"/>
      <c r="CT45" s="221"/>
      <c r="CU45" s="221"/>
      <c r="CV45" s="221"/>
      <c r="CW45" s="221"/>
      <c r="CX45" s="221"/>
      <c r="CY45" s="221"/>
      <c r="CZ45" s="182"/>
      <c r="DA45" s="182"/>
      <c r="DB45" s="182"/>
      <c r="DC45" s="182"/>
      <c r="DD45" s="221" t="str">
        <f t="shared" si="72"/>
        <v/>
      </c>
      <c r="DE45" s="221" t="str">
        <f t="shared" si="73"/>
        <v/>
      </c>
      <c r="DF45" s="221"/>
      <c r="DG45" s="221"/>
      <c r="DH45" s="221"/>
      <c r="DI45" s="221"/>
      <c r="DJ45" s="221"/>
      <c r="DK45" s="221"/>
      <c r="DL45" s="221"/>
      <c r="DM45" s="221"/>
      <c r="DN45" s="221"/>
      <c r="DO45" s="469" t="str">
        <f t="shared" si="98"/>
        <v/>
      </c>
      <c r="DP45" s="315">
        <f t="shared" si="99"/>
        <v>0</v>
      </c>
      <c r="DQ45" s="315" t="str">
        <f t="shared" si="100"/>
        <v/>
      </c>
      <c r="DR45" s="182"/>
      <c r="DS45" s="182"/>
      <c r="DT45" s="182"/>
      <c r="DU45" s="221"/>
      <c r="DV45" s="221"/>
      <c r="DW45" s="221"/>
      <c r="DX45" s="221"/>
      <c r="DY45" s="221"/>
      <c r="DZ45" s="221"/>
      <c r="EA45" s="221"/>
      <c r="EB45" s="221"/>
      <c r="EC45" s="221"/>
      <c r="ED45" s="182"/>
      <c r="EE45" s="182"/>
      <c r="EF45" s="182"/>
      <c r="EG45" s="182"/>
      <c r="EH45" s="221" t="str">
        <f t="shared" si="101"/>
        <v/>
      </c>
      <c r="EI45" s="221" t="str">
        <f t="shared" si="102"/>
        <v/>
      </c>
      <c r="EJ45" s="221"/>
      <c r="EK45" s="221"/>
      <c r="EL45" s="221"/>
      <c r="EM45" s="221"/>
      <c r="EN45" s="221"/>
      <c r="EO45" s="221"/>
      <c r="EP45" s="221"/>
      <c r="EQ45" s="221"/>
      <c r="ER45" s="221"/>
      <c r="ES45" s="221"/>
      <c r="ET45" s="221"/>
      <c r="EU45" s="315">
        <f t="shared" si="103"/>
        <v>0</v>
      </c>
      <c r="EV45" s="315" t="str">
        <f t="shared" si="104"/>
        <v/>
      </c>
      <c r="EW45" s="182"/>
      <c r="EX45" s="182"/>
      <c r="EY45" s="182"/>
      <c r="EZ45" s="221"/>
      <c r="FA45" s="221"/>
      <c r="FB45" s="221"/>
      <c r="FC45" s="221"/>
      <c r="FD45" s="221"/>
      <c r="FE45" s="221"/>
      <c r="FF45" s="221"/>
      <c r="FG45" s="221"/>
      <c r="FH45" s="221"/>
      <c r="FI45" s="182"/>
      <c r="FJ45" s="182"/>
      <c r="FK45" s="182"/>
      <c r="FL45" s="182"/>
      <c r="FM45" s="221" t="str">
        <f t="shared" si="105"/>
        <v/>
      </c>
      <c r="FN45" s="221" t="str">
        <f t="shared" si="106"/>
        <v/>
      </c>
      <c r="FO45" s="221"/>
      <c r="FP45" s="221"/>
      <c r="FQ45" s="221"/>
      <c r="FR45" s="221"/>
      <c r="FS45" s="221"/>
      <c r="FT45" s="221"/>
      <c r="FU45" s="221"/>
      <c r="FV45" s="221"/>
      <c r="FW45" s="221"/>
      <c r="FX45" s="221"/>
      <c r="FY45" s="221"/>
      <c r="FZ45" s="408"/>
      <c r="GA45" s="315">
        <f t="shared" si="107"/>
        <v>0</v>
      </c>
      <c r="GB45" s="315" t="str">
        <f t="shared" si="108"/>
        <v/>
      </c>
      <c r="GC45" s="182" t="s">
        <v>160</v>
      </c>
      <c r="GD45" s="182"/>
      <c r="GE45" s="182"/>
      <c r="GG45" s="460"/>
      <c r="GH45" s="460"/>
      <c r="GU45" s="469"/>
      <c r="GV45" s="470" t="str">
        <f t="shared" si="109"/>
        <v/>
      </c>
      <c r="GW45" s="302">
        <f t="shared" si="110"/>
        <v>0</v>
      </c>
      <c r="HA45" s="654"/>
      <c r="HD45" s="379"/>
      <c r="HE45" s="380"/>
      <c r="HH45" s="383"/>
      <c r="HI45" s="410"/>
      <c r="HJ45" s="302" t="str">
        <f t="shared" si="85"/>
        <v/>
      </c>
      <c r="HN45" s="398"/>
      <c r="HO45" s="302" t="str">
        <f t="shared" si="34"/>
        <v/>
      </c>
      <c r="HP45" s="302" t="str">
        <f t="shared" si="35"/>
        <v/>
      </c>
      <c r="HQ45" s="302" t="str">
        <f t="shared" si="36"/>
        <v/>
      </c>
      <c r="IT45" s="410"/>
      <c r="IU45" s="410"/>
      <c r="IV45" s="635"/>
    </row>
    <row r="46" spans="1:256" s="302" customFormat="1" ht="12.75" hidden="1" customHeight="1">
      <c r="A46" s="397" t="str">
        <f t="shared" si="1"/>
        <v/>
      </c>
      <c r="B46" s="462" t="str">
        <f t="shared" si="61"/>
        <v/>
      </c>
      <c r="C46" s="426"/>
      <c r="D46" s="575"/>
      <c r="E46" s="463"/>
      <c r="F46" s="464"/>
      <c r="G46" s="465"/>
      <c r="H46" s="465"/>
      <c r="I46" s="466"/>
      <c r="J46" s="463"/>
      <c r="K46" s="465"/>
      <c r="L46" s="465"/>
      <c r="M46" s="466"/>
      <c r="N46" s="573"/>
      <c r="O46" s="467"/>
      <c r="P46" s="518"/>
      <c r="Q46" s="381"/>
      <c r="R46" s="182"/>
      <c r="S46" s="182"/>
      <c r="T46" s="182"/>
      <c r="U46" s="182"/>
      <c r="V46" s="182"/>
      <c r="W46" s="182"/>
      <c r="X46" s="182"/>
      <c r="Y46" s="182"/>
      <c r="Z46" s="182"/>
      <c r="AA46" s="384"/>
      <c r="AB46" s="182" t="str">
        <f t="shared" si="86"/>
        <v/>
      </c>
      <c r="AC46" s="315">
        <f t="shared" si="87"/>
        <v>0</v>
      </c>
      <c r="AD46" s="315" t="str">
        <f t="shared" si="63"/>
        <v/>
      </c>
      <c r="AE46" s="182"/>
      <c r="AF46" s="182"/>
      <c r="AG46" s="182"/>
      <c r="AH46" s="221"/>
      <c r="AI46" s="221"/>
      <c r="AJ46" s="221"/>
      <c r="AK46" s="221"/>
      <c r="AL46" s="221"/>
      <c r="AM46" s="221"/>
      <c r="AN46" s="221"/>
      <c r="AO46" s="221"/>
      <c r="AP46" s="221"/>
      <c r="AQ46" s="182"/>
      <c r="AR46" s="182"/>
      <c r="AS46" s="182"/>
      <c r="AT46" s="182"/>
      <c r="AU46" s="221" t="str">
        <f t="shared" si="88"/>
        <v/>
      </c>
      <c r="AV46" s="221" t="str">
        <f t="shared" si="89"/>
        <v/>
      </c>
      <c r="AW46" s="221"/>
      <c r="AX46" s="221"/>
      <c r="AY46" s="221"/>
      <c r="AZ46" s="221"/>
      <c r="BA46" s="221"/>
      <c r="BB46" s="221"/>
      <c r="BC46" s="221"/>
      <c r="BD46" s="221"/>
      <c r="BE46" s="221"/>
      <c r="BF46" s="469">
        <f t="shared" si="90"/>
        <v>0</v>
      </c>
      <c r="BG46" s="315">
        <f t="shared" si="91"/>
        <v>0</v>
      </c>
      <c r="BH46" s="315" t="str">
        <f t="shared" si="92"/>
        <v/>
      </c>
      <c r="BI46" s="182"/>
      <c r="BJ46" s="182"/>
      <c r="BK46" s="182"/>
      <c r="BL46" s="221"/>
      <c r="BM46" s="221"/>
      <c r="BN46" s="221"/>
      <c r="BO46" s="221"/>
      <c r="BP46" s="221"/>
      <c r="BQ46" s="221"/>
      <c r="BR46" s="221"/>
      <c r="BS46" s="221"/>
      <c r="BT46" s="221"/>
      <c r="BU46" s="182"/>
      <c r="BV46" s="182"/>
      <c r="BW46" s="182"/>
      <c r="BX46" s="182"/>
      <c r="BY46" s="221" t="str">
        <f t="shared" si="93"/>
        <v/>
      </c>
      <c r="BZ46" s="221" t="str">
        <f t="shared" si="94"/>
        <v/>
      </c>
      <c r="CA46" s="221"/>
      <c r="CB46" s="221"/>
      <c r="CC46" s="221"/>
      <c r="CD46" s="221"/>
      <c r="CE46" s="221"/>
      <c r="CF46" s="221"/>
      <c r="CG46" s="221"/>
      <c r="CH46" s="221"/>
      <c r="CI46" s="221"/>
      <c r="CJ46" s="469">
        <f t="shared" si="95"/>
        <v>0</v>
      </c>
      <c r="CK46" s="315">
        <f t="shared" si="96"/>
        <v>0</v>
      </c>
      <c r="CL46" s="315" t="str">
        <f t="shared" si="97"/>
        <v/>
      </c>
      <c r="CM46" s="182"/>
      <c r="CN46" s="182"/>
      <c r="CO46" s="182"/>
      <c r="CP46" s="221"/>
      <c r="CQ46" s="221"/>
      <c r="CR46" s="221"/>
      <c r="CS46" s="221"/>
      <c r="CT46" s="221"/>
      <c r="CU46" s="221"/>
      <c r="CV46" s="221"/>
      <c r="CW46" s="221"/>
      <c r="CX46" s="221"/>
      <c r="CY46" s="221"/>
      <c r="CZ46" s="182"/>
      <c r="DA46" s="182"/>
      <c r="DB46" s="182"/>
      <c r="DC46" s="182"/>
      <c r="DD46" s="221" t="str">
        <f t="shared" si="72"/>
        <v/>
      </c>
      <c r="DE46" s="221" t="str">
        <f t="shared" si="73"/>
        <v/>
      </c>
      <c r="DF46" s="221"/>
      <c r="DG46" s="221"/>
      <c r="DH46" s="221"/>
      <c r="DI46" s="221"/>
      <c r="DJ46" s="221"/>
      <c r="DK46" s="221"/>
      <c r="DL46" s="221"/>
      <c r="DM46" s="221"/>
      <c r="DN46" s="221"/>
      <c r="DO46" s="469" t="str">
        <f t="shared" si="98"/>
        <v/>
      </c>
      <c r="DP46" s="315">
        <f t="shared" si="99"/>
        <v>0</v>
      </c>
      <c r="DQ46" s="315" t="str">
        <f t="shared" si="100"/>
        <v/>
      </c>
      <c r="DR46" s="182"/>
      <c r="DS46" s="182"/>
      <c r="DT46" s="182"/>
      <c r="DU46" s="221"/>
      <c r="DV46" s="221"/>
      <c r="DW46" s="221"/>
      <c r="DX46" s="221"/>
      <c r="DY46" s="221"/>
      <c r="DZ46" s="221"/>
      <c r="EA46" s="221"/>
      <c r="EB46" s="221"/>
      <c r="EC46" s="221"/>
      <c r="ED46" s="182"/>
      <c r="EE46" s="182"/>
      <c r="EF46" s="182"/>
      <c r="EG46" s="182"/>
      <c r="EH46" s="221" t="str">
        <f t="shared" si="101"/>
        <v/>
      </c>
      <c r="EI46" s="221" t="str">
        <f t="shared" si="102"/>
        <v/>
      </c>
      <c r="EJ46" s="221"/>
      <c r="EK46" s="221"/>
      <c r="EL46" s="221"/>
      <c r="EM46" s="221"/>
      <c r="EN46" s="221"/>
      <c r="EO46" s="221"/>
      <c r="EP46" s="221"/>
      <c r="EQ46" s="221"/>
      <c r="ER46" s="221"/>
      <c r="ES46" s="221"/>
      <c r="ET46" s="221"/>
      <c r="EU46" s="315">
        <f t="shared" si="103"/>
        <v>0</v>
      </c>
      <c r="EV46" s="315" t="str">
        <f t="shared" si="104"/>
        <v/>
      </c>
      <c r="EW46" s="182"/>
      <c r="EX46" s="182"/>
      <c r="EY46" s="182"/>
      <c r="EZ46" s="221"/>
      <c r="FA46" s="221"/>
      <c r="FB46" s="221"/>
      <c r="FC46" s="221"/>
      <c r="FD46" s="221"/>
      <c r="FE46" s="221"/>
      <c r="FF46" s="221"/>
      <c r="FG46" s="221"/>
      <c r="FH46" s="221"/>
      <c r="FI46" s="182"/>
      <c r="FJ46" s="182"/>
      <c r="FK46" s="182"/>
      <c r="FL46" s="182"/>
      <c r="FM46" s="221" t="str">
        <f t="shared" si="105"/>
        <v/>
      </c>
      <c r="FN46" s="221" t="str">
        <f t="shared" si="106"/>
        <v/>
      </c>
      <c r="FO46" s="221"/>
      <c r="FP46" s="221"/>
      <c r="FQ46" s="221"/>
      <c r="FR46" s="221"/>
      <c r="FS46" s="221"/>
      <c r="FT46" s="221"/>
      <c r="FU46" s="221"/>
      <c r="FV46" s="221"/>
      <c r="FW46" s="221"/>
      <c r="FX46" s="221"/>
      <c r="FY46" s="221"/>
      <c r="FZ46" s="408"/>
      <c r="GA46" s="315">
        <f t="shared" si="107"/>
        <v>0</v>
      </c>
      <c r="GB46" s="315" t="str">
        <f t="shared" si="108"/>
        <v/>
      </c>
      <c r="GC46" s="182" t="s">
        <v>160</v>
      </c>
      <c r="GD46" s="182"/>
      <c r="GE46" s="182"/>
      <c r="GG46" s="460"/>
      <c r="GH46" s="460"/>
      <c r="GU46" s="469"/>
      <c r="GV46" s="470" t="str">
        <f t="shared" si="109"/>
        <v/>
      </c>
      <c r="GW46" s="302">
        <f t="shared" si="110"/>
        <v>0</v>
      </c>
      <c r="HA46" s="654"/>
      <c r="HD46" s="379"/>
      <c r="HE46" s="380"/>
      <c r="HH46" s="385"/>
      <c r="HI46" s="411"/>
      <c r="HJ46" s="302" t="str">
        <f t="shared" si="85"/>
        <v/>
      </c>
      <c r="HO46" s="302" t="str">
        <f t="shared" si="34"/>
        <v/>
      </c>
      <c r="HP46" s="302" t="str">
        <f t="shared" si="35"/>
        <v/>
      </c>
      <c r="HQ46" s="302" t="str">
        <f t="shared" si="36"/>
        <v/>
      </c>
      <c r="IT46" s="411"/>
      <c r="IU46" s="411"/>
      <c r="IV46" s="635"/>
    </row>
    <row r="47" spans="1:256" s="302" customFormat="1" ht="12.75" hidden="1" customHeight="1">
      <c r="A47" s="397" t="str">
        <f t="shared" si="1"/>
        <v/>
      </c>
      <c r="B47" s="462" t="str">
        <f t="shared" si="61"/>
        <v/>
      </c>
      <c r="C47" s="426"/>
      <c r="D47" s="575"/>
      <c r="E47" s="463"/>
      <c r="F47" s="464"/>
      <c r="G47" s="465"/>
      <c r="H47" s="465"/>
      <c r="I47" s="466"/>
      <c r="J47" s="463"/>
      <c r="K47" s="465"/>
      <c r="L47" s="465"/>
      <c r="M47" s="466"/>
      <c r="N47" s="573"/>
      <c r="O47" s="467"/>
      <c r="P47" s="518"/>
      <c r="Q47" s="381"/>
      <c r="R47" s="182"/>
      <c r="S47" s="182"/>
      <c r="T47" s="182"/>
      <c r="U47" s="182"/>
      <c r="V47" s="182"/>
      <c r="W47" s="182"/>
      <c r="X47" s="182"/>
      <c r="Y47" s="182"/>
      <c r="Z47" s="182"/>
      <c r="AA47" s="382"/>
      <c r="AB47" s="182" t="str">
        <f t="shared" si="86"/>
        <v/>
      </c>
      <c r="AC47" s="315">
        <f t="shared" si="87"/>
        <v>0</v>
      </c>
      <c r="AD47" s="315" t="str">
        <f t="shared" si="63"/>
        <v/>
      </c>
      <c r="AE47" s="182"/>
      <c r="AF47" s="182"/>
      <c r="AG47" s="182"/>
      <c r="AH47" s="221"/>
      <c r="AI47" s="221"/>
      <c r="AJ47" s="221"/>
      <c r="AK47" s="221"/>
      <c r="AL47" s="221"/>
      <c r="AM47" s="221"/>
      <c r="AN47" s="221"/>
      <c r="AO47" s="221"/>
      <c r="AP47" s="221"/>
      <c r="AQ47" s="182"/>
      <c r="AR47" s="182"/>
      <c r="AS47" s="182"/>
      <c r="AT47" s="182"/>
      <c r="AU47" s="221" t="str">
        <f t="shared" si="88"/>
        <v/>
      </c>
      <c r="AV47" s="221" t="str">
        <f t="shared" si="89"/>
        <v/>
      </c>
      <c r="AW47" s="221"/>
      <c r="AX47" s="221"/>
      <c r="AY47" s="221"/>
      <c r="AZ47" s="221"/>
      <c r="BA47" s="221"/>
      <c r="BB47" s="221"/>
      <c r="BC47" s="221"/>
      <c r="BD47" s="221"/>
      <c r="BE47" s="221"/>
      <c r="BF47" s="468">
        <f t="shared" si="90"/>
        <v>0</v>
      </c>
      <c r="BG47" s="315">
        <f t="shared" si="91"/>
        <v>0</v>
      </c>
      <c r="BH47" s="315" t="str">
        <f t="shared" si="92"/>
        <v/>
      </c>
      <c r="BI47" s="182"/>
      <c r="BJ47" s="182"/>
      <c r="BK47" s="182"/>
      <c r="BL47" s="221"/>
      <c r="BM47" s="221"/>
      <c r="BN47" s="221"/>
      <c r="BO47" s="221"/>
      <c r="BP47" s="221"/>
      <c r="BQ47" s="221"/>
      <c r="BR47" s="221"/>
      <c r="BS47" s="221"/>
      <c r="BT47" s="221"/>
      <c r="BU47" s="182"/>
      <c r="BV47" s="182"/>
      <c r="BW47" s="182"/>
      <c r="BX47" s="182"/>
      <c r="BY47" s="221" t="str">
        <f t="shared" si="93"/>
        <v/>
      </c>
      <c r="BZ47" s="221" t="str">
        <f t="shared" si="94"/>
        <v/>
      </c>
      <c r="CA47" s="221"/>
      <c r="CB47" s="221"/>
      <c r="CC47" s="221"/>
      <c r="CD47" s="221"/>
      <c r="CE47" s="221"/>
      <c r="CF47" s="221"/>
      <c r="CG47" s="221"/>
      <c r="CH47" s="221"/>
      <c r="CI47" s="221"/>
      <c r="CJ47" s="468">
        <f t="shared" si="95"/>
        <v>0</v>
      </c>
      <c r="CK47" s="315">
        <f t="shared" si="96"/>
        <v>0</v>
      </c>
      <c r="CL47" s="315" t="str">
        <f t="shared" si="97"/>
        <v/>
      </c>
      <c r="CM47" s="182"/>
      <c r="CN47" s="182"/>
      <c r="CO47" s="182"/>
      <c r="CP47" s="221"/>
      <c r="CQ47" s="221"/>
      <c r="CR47" s="221"/>
      <c r="CS47" s="221"/>
      <c r="CT47" s="221"/>
      <c r="CU47" s="221"/>
      <c r="CV47" s="221"/>
      <c r="CW47" s="221"/>
      <c r="CX47" s="221"/>
      <c r="CY47" s="221"/>
      <c r="CZ47" s="182"/>
      <c r="DA47" s="182"/>
      <c r="DB47" s="182"/>
      <c r="DC47" s="182"/>
      <c r="DD47" s="221" t="str">
        <f t="shared" si="72"/>
        <v/>
      </c>
      <c r="DE47" s="221" t="str">
        <f t="shared" si="73"/>
        <v/>
      </c>
      <c r="DF47" s="221"/>
      <c r="DG47" s="221"/>
      <c r="DH47" s="221"/>
      <c r="DI47" s="221"/>
      <c r="DJ47" s="221"/>
      <c r="DK47" s="221"/>
      <c r="DL47" s="221"/>
      <c r="DM47" s="221"/>
      <c r="DN47" s="221"/>
      <c r="DO47" s="469" t="str">
        <f t="shared" si="98"/>
        <v/>
      </c>
      <c r="DP47" s="315">
        <f t="shared" si="99"/>
        <v>0</v>
      </c>
      <c r="DQ47" s="315" t="str">
        <f t="shared" si="100"/>
        <v/>
      </c>
      <c r="DR47" s="182"/>
      <c r="DS47" s="182"/>
      <c r="DT47" s="182"/>
      <c r="DU47" s="221"/>
      <c r="DV47" s="221"/>
      <c r="DW47" s="221"/>
      <c r="DX47" s="221"/>
      <c r="DY47" s="221"/>
      <c r="DZ47" s="221"/>
      <c r="EA47" s="221"/>
      <c r="EB47" s="221"/>
      <c r="EC47" s="221"/>
      <c r="ED47" s="182"/>
      <c r="EE47" s="182"/>
      <c r="EF47" s="182"/>
      <c r="EG47" s="182"/>
      <c r="EH47" s="221" t="str">
        <f t="shared" si="101"/>
        <v/>
      </c>
      <c r="EI47" s="221" t="str">
        <f t="shared" si="102"/>
        <v/>
      </c>
      <c r="EJ47" s="221"/>
      <c r="EK47" s="221"/>
      <c r="EL47" s="221"/>
      <c r="EM47" s="221"/>
      <c r="EN47" s="221"/>
      <c r="EO47" s="221"/>
      <c r="EP47" s="221"/>
      <c r="EQ47" s="221"/>
      <c r="ER47" s="221"/>
      <c r="ES47" s="221"/>
      <c r="ET47" s="221"/>
      <c r="EU47" s="315">
        <f t="shared" si="103"/>
        <v>0</v>
      </c>
      <c r="EV47" s="315" t="str">
        <f t="shared" si="104"/>
        <v/>
      </c>
      <c r="EW47" s="182"/>
      <c r="EX47" s="182"/>
      <c r="EY47" s="182"/>
      <c r="EZ47" s="221"/>
      <c r="FA47" s="221"/>
      <c r="FB47" s="221"/>
      <c r="FC47" s="221"/>
      <c r="FD47" s="221"/>
      <c r="FE47" s="221"/>
      <c r="FF47" s="221"/>
      <c r="FG47" s="221"/>
      <c r="FH47" s="221"/>
      <c r="FI47" s="182"/>
      <c r="FJ47" s="182"/>
      <c r="FK47" s="182"/>
      <c r="FL47" s="182"/>
      <c r="FM47" s="221" t="str">
        <f t="shared" si="105"/>
        <v/>
      </c>
      <c r="FN47" s="221" t="str">
        <f t="shared" si="106"/>
        <v/>
      </c>
      <c r="FO47" s="221"/>
      <c r="FP47" s="221"/>
      <c r="FQ47" s="221"/>
      <c r="FR47" s="221"/>
      <c r="FS47" s="221"/>
      <c r="FT47" s="221"/>
      <c r="FU47" s="221"/>
      <c r="FV47" s="221"/>
      <c r="FW47" s="221"/>
      <c r="FX47" s="221"/>
      <c r="FY47" s="221"/>
      <c r="FZ47" s="408"/>
      <c r="GA47" s="315">
        <f t="shared" si="107"/>
        <v>0</v>
      </c>
      <c r="GB47" s="315" t="str">
        <f t="shared" si="108"/>
        <v/>
      </c>
      <c r="GC47" s="182" t="s">
        <v>160</v>
      </c>
      <c r="GD47" s="182"/>
      <c r="GE47" s="182"/>
      <c r="GG47" s="460"/>
      <c r="GH47" s="460"/>
      <c r="GU47" s="469"/>
      <c r="GV47" s="470" t="str">
        <f t="shared" si="109"/>
        <v/>
      </c>
      <c r="GW47" s="302">
        <f t="shared" si="110"/>
        <v>0</v>
      </c>
      <c r="HA47" s="654"/>
      <c r="HD47" s="379"/>
      <c r="HE47" s="380"/>
      <c r="HH47" s="383"/>
      <c r="HI47" s="410"/>
      <c r="HJ47" s="302" t="str">
        <f t="shared" si="85"/>
        <v/>
      </c>
      <c r="HO47" s="302" t="str">
        <f t="shared" si="34"/>
        <v/>
      </c>
      <c r="HP47" s="302" t="str">
        <f t="shared" si="35"/>
        <v/>
      </c>
      <c r="HQ47" s="302" t="str">
        <f t="shared" si="36"/>
        <v/>
      </c>
      <c r="IT47" s="410"/>
      <c r="IU47" s="410"/>
      <c r="IV47" s="635"/>
    </row>
    <row r="48" spans="1:256" s="302" customFormat="1" ht="12.75" hidden="1" customHeight="1">
      <c r="A48" s="397" t="str">
        <f t="shared" si="1"/>
        <v/>
      </c>
      <c r="B48" s="462" t="str">
        <f t="shared" si="61"/>
        <v/>
      </c>
      <c r="C48" s="426"/>
      <c r="D48" s="575"/>
      <c r="E48" s="463"/>
      <c r="F48" s="464"/>
      <c r="G48" s="465"/>
      <c r="H48" s="465"/>
      <c r="I48" s="466"/>
      <c r="J48" s="463"/>
      <c r="K48" s="465"/>
      <c r="L48" s="465"/>
      <c r="M48" s="466"/>
      <c r="N48" s="573"/>
      <c r="O48" s="467"/>
      <c r="P48" s="518"/>
      <c r="Q48" s="381"/>
      <c r="R48" s="182"/>
      <c r="S48" s="182"/>
      <c r="T48" s="182"/>
      <c r="U48" s="182"/>
      <c r="V48" s="182"/>
      <c r="W48" s="182"/>
      <c r="X48" s="182"/>
      <c r="Y48" s="182"/>
      <c r="Z48" s="182"/>
      <c r="AA48" s="384"/>
      <c r="AB48" s="182" t="str">
        <f t="shared" si="86"/>
        <v/>
      </c>
      <c r="AC48" s="315">
        <f t="shared" si="87"/>
        <v>0</v>
      </c>
      <c r="AD48" s="315" t="str">
        <f t="shared" si="63"/>
        <v/>
      </c>
      <c r="AE48" s="182"/>
      <c r="AF48" s="182"/>
      <c r="AG48" s="182"/>
      <c r="AH48" s="221"/>
      <c r="AI48" s="221"/>
      <c r="AJ48" s="221"/>
      <c r="AK48" s="221"/>
      <c r="AL48" s="221"/>
      <c r="AM48" s="221"/>
      <c r="AN48" s="221"/>
      <c r="AO48" s="221"/>
      <c r="AP48" s="221"/>
      <c r="AQ48" s="182"/>
      <c r="AR48" s="182"/>
      <c r="AS48" s="182"/>
      <c r="AT48" s="182"/>
      <c r="AU48" s="221" t="str">
        <f t="shared" si="88"/>
        <v/>
      </c>
      <c r="AV48" s="221" t="str">
        <f t="shared" si="89"/>
        <v/>
      </c>
      <c r="AW48" s="221"/>
      <c r="AX48" s="221"/>
      <c r="AY48" s="221"/>
      <c r="AZ48" s="221"/>
      <c r="BA48" s="221"/>
      <c r="BB48" s="221"/>
      <c r="BC48" s="221"/>
      <c r="BD48" s="221"/>
      <c r="BE48" s="221"/>
      <c r="BF48" s="469">
        <f t="shared" si="90"/>
        <v>0</v>
      </c>
      <c r="BG48" s="315">
        <f t="shared" si="91"/>
        <v>0</v>
      </c>
      <c r="BH48" s="315" t="str">
        <f t="shared" si="92"/>
        <v/>
      </c>
      <c r="BI48" s="182"/>
      <c r="BJ48" s="182"/>
      <c r="BK48" s="182"/>
      <c r="BL48" s="221"/>
      <c r="BM48" s="221"/>
      <c r="BN48" s="221"/>
      <c r="BO48" s="221"/>
      <c r="BP48" s="221"/>
      <c r="BQ48" s="221"/>
      <c r="BR48" s="221"/>
      <c r="BS48" s="221"/>
      <c r="BT48" s="221"/>
      <c r="BU48" s="182"/>
      <c r="BV48" s="182"/>
      <c r="BW48" s="182"/>
      <c r="BX48" s="182"/>
      <c r="BY48" s="221" t="str">
        <f t="shared" si="93"/>
        <v/>
      </c>
      <c r="BZ48" s="221" t="str">
        <f t="shared" si="94"/>
        <v/>
      </c>
      <c r="CA48" s="221"/>
      <c r="CB48" s="221"/>
      <c r="CC48" s="221"/>
      <c r="CD48" s="221"/>
      <c r="CE48" s="221"/>
      <c r="CF48" s="221"/>
      <c r="CG48" s="221"/>
      <c r="CH48" s="221"/>
      <c r="CI48" s="221"/>
      <c r="CJ48" s="469">
        <f t="shared" si="95"/>
        <v>0</v>
      </c>
      <c r="CK48" s="315">
        <f t="shared" si="96"/>
        <v>0</v>
      </c>
      <c r="CL48" s="315" t="str">
        <f t="shared" si="97"/>
        <v/>
      </c>
      <c r="CM48" s="182"/>
      <c r="CN48" s="182"/>
      <c r="CO48" s="182"/>
      <c r="CP48" s="221"/>
      <c r="CQ48" s="221"/>
      <c r="CR48" s="221"/>
      <c r="CS48" s="221"/>
      <c r="CT48" s="221"/>
      <c r="CU48" s="221"/>
      <c r="CV48" s="221"/>
      <c r="CW48" s="221"/>
      <c r="CX48" s="221"/>
      <c r="CY48" s="221"/>
      <c r="CZ48" s="182"/>
      <c r="DA48" s="182"/>
      <c r="DB48" s="182"/>
      <c r="DC48" s="182"/>
      <c r="DD48" s="221" t="str">
        <f t="shared" si="72"/>
        <v/>
      </c>
      <c r="DE48" s="221" t="str">
        <f t="shared" si="73"/>
        <v/>
      </c>
      <c r="DF48" s="221"/>
      <c r="DG48" s="221"/>
      <c r="DH48" s="221"/>
      <c r="DI48" s="221"/>
      <c r="DJ48" s="221"/>
      <c r="DK48" s="221"/>
      <c r="DL48" s="221"/>
      <c r="DM48" s="221"/>
      <c r="DN48" s="221"/>
      <c r="DO48" s="469" t="str">
        <f t="shared" si="98"/>
        <v/>
      </c>
      <c r="DP48" s="315">
        <f t="shared" si="99"/>
        <v>0</v>
      </c>
      <c r="DQ48" s="315" t="str">
        <f t="shared" si="100"/>
        <v/>
      </c>
      <c r="DR48" s="182"/>
      <c r="DS48" s="182"/>
      <c r="DT48" s="182"/>
      <c r="DU48" s="221"/>
      <c r="DV48" s="221"/>
      <c r="DW48" s="221"/>
      <c r="DX48" s="221"/>
      <c r="DY48" s="221"/>
      <c r="DZ48" s="221"/>
      <c r="EA48" s="221"/>
      <c r="EB48" s="221"/>
      <c r="EC48" s="221"/>
      <c r="ED48" s="182"/>
      <c r="EE48" s="182"/>
      <c r="EF48" s="182"/>
      <c r="EG48" s="182"/>
      <c r="EH48" s="221" t="str">
        <f t="shared" si="101"/>
        <v/>
      </c>
      <c r="EI48" s="221" t="str">
        <f t="shared" si="102"/>
        <v/>
      </c>
      <c r="EJ48" s="221"/>
      <c r="EK48" s="221"/>
      <c r="EL48" s="221"/>
      <c r="EM48" s="221"/>
      <c r="EN48" s="221"/>
      <c r="EO48" s="221"/>
      <c r="EP48" s="221"/>
      <c r="EQ48" s="221"/>
      <c r="ER48" s="221"/>
      <c r="ES48" s="221"/>
      <c r="ET48" s="221"/>
      <c r="EU48" s="315">
        <f t="shared" si="103"/>
        <v>0</v>
      </c>
      <c r="EV48" s="315" t="str">
        <f t="shared" si="104"/>
        <v/>
      </c>
      <c r="EW48" s="182"/>
      <c r="EX48" s="182"/>
      <c r="EY48" s="182"/>
      <c r="EZ48" s="221"/>
      <c r="FA48" s="221"/>
      <c r="FB48" s="221"/>
      <c r="FC48" s="221"/>
      <c r="FD48" s="221"/>
      <c r="FE48" s="221"/>
      <c r="FF48" s="221"/>
      <c r="FG48" s="221"/>
      <c r="FH48" s="221"/>
      <c r="FI48" s="182"/>
      <c r="FJ48" s="182"/>
      <c r="FK48" s="182"/>
      <c r="FL48" s="182"/>
      <c r="FM48" s="221" t="str">
        <f t="shared" si="105"/>
        <v/>
      </c>
      <c r="FN48" s="221" t="str">
        <f t="shared" si="106"/>
        <v/>
      </c>
      <c r="FO48" s="221"/>
      <c r="FP48" s="221"/>
      <c r="FQ48" s="221"/>
      <c r="FR48" s="221"/>
      <c r="FS48" s="221"/>
      <c r="FT48" s="221"/>
      <c r="FU48" s="221"/>
      <c r="FV48" s="221"/>
      <c r="FW48" s="221"/>
      <c r="FX48" s="221"/>
      <c r="FY48" s="221"/>
      <c r="FZ48" s="408"/>
      <c r="GA48" s="315">
        <f t="shared" si="107"/>
        <v>0</v>
      </c>
      <c r="GB48" s="315" t="str">
        <f t="shared" si="108"/>
        <v/>
      </c>
      <c r="GC48" s="182" t="s">
        <v>160</v>
      </c>
      <c r="GD48" s="182"/>
      <c r="GE48" s="182"/>
      <c r="GG48" s="460"/>
      <c r="GH48" s="460"/>
      <c r="GU48" s="469"/>
      <c r="GV48" s="470" t="str">
        <f t="shared" si="109"/>
        <v/>
      </c>
      <c r="GW48" s="302">
        <f t="shared" si="110"/>
        <v>0</v>
      </c>
      <c r="HA48" s="654"/>
      <c r="HD48" s="379"/>
      <c r="HE48" s="380"/>
      <c r="HH48" s="385"/>
      <c r="HI48" s="411"/>
      <c r="HJ48" s="302" t="str">
        <f t="shared" si="85"/>
        <v/>
      </c>
      <c r="HO48" s="302" t="str">
        <f t="shared" si="34"/>
        <v/>
      </c>
      <c r="HP48" s="302" t="str">
        <f t="shared" si="35"/>
        <v/>
      </c>
      <c r="HQ48" s="302" t="str">
        <f t="shared" si="36"/>
        <v/>
      </c>
      <c r="IT48" s="411"/>
      <c r="IU48" s="411"/>
      <c r="IV48" s="635"/>
    </row>
    <row r="49" spans="1:256" s="302" customFormat="1" ht="12.75" hidden="1" customHeight="1">
      <c r="A49" s="397" t="str">
        <f t="shared" si="1"/>
        <v/>
      </c>
      <c r="B49" s="462" t="str">
        <f t="shared" si="61"/>
        <v/>
      </c>
      <c r="C49" s="426"/>
      <c r="D49" s="575"/>
      <c r="E49" s="463"/>
      <c r="F49" s="464"/>
      <c r="G49" s="465"/>
      <c r="H49" s="465"/>
      <c r="I49" s="466"/>
      <c r="J49" s="463"/>
      <c r="K49" s="465"/>
      <c r="L49" s="465"/>
      <c r="M49" s="466"/>
      <c r="N49" s="573"/>
      <c r="O49" s="467"/>
      <c r="P49" s="518"/>
      <c r="Q49" s="381"/>
      <c r="R49" s="182"/>
      <c r="S49" s="182"/>
      <c r="T49" s="182"/>
      <c r="U49" s="182"/>
      <c r="V49" s="182"/>
      <c r="W49" s="182"/>
      <c r="X49" s="182"/>
      <c r="Y49" s="182"/>
      <c r="Z49" s="182"/>
      <c r="AA49" s="382"/>
      <c r="AB49" s="182" t="str">
        <f t="shared" si="86"/>
        <v/>
      </c>
      <c r="AC49" s="315">
        <f t="shared" si="87"/>
        <v>0</v>
      </c>
      <c r="AD49" s="315" t="str">
        <f t="shared" si="63"/>
        <v/>
      </c>
      <c r="AE49" s="182"/>
      <c r="AF49" s="182"/>
      <c r="AG49" s="182"/>
      <c r="AH49" s="221"/>
      <c r="AI49" s="221"/>
      <c r="AJ49" s="221"/>
      <c r="AK49" s="221"/>
      <c r="AL49" s="221"/>
      <c r="AM49" s="221"/>
      <c r="AN49" s="221"/>
      <c r="AO49" s="221"/>
      <c r="AP49" s="221"/>
      <c r="AQ49" s="182"/>
      <c r="AR49" s="182"/>
      <c r="AS49" s="182"/>
      <c r="AT49" s="182"/>
      <c r="AU49" s="221" t="str">
        <f t="shared" si="88"/>
        <v/>
      </c>
      <c r="AV49" s="221" t="str">
        <f t="shared" si="89"/>
        <v/>
      </c>
      <c r="AW49" s="221"/>
      <c r="AX49" s="221"/>
      <c r="AY49" s="221"/>
      <c r="AZ49" s="221"/>
      <c r="BA49" s="221"/>
      <c r="BB49" s="221"/>
      <c r="BC49" s="221"/>
      <c r="BD49" s="221"/>
      <c r="BE49" s="221"/>
      <c r="BF49" s="468">
        <f t="shared" si="90"/>
        <v>0</v>
      </c>
      <c r="BG49" s="315">
        <f t="shared" si="91"/>
        <v>0</v>
      </c>
      <c r="BH49" s="315" t="str">
        <f t="shared" si="92"/>
        <v/>
      </c>
      <c r="BI49" s="224"/>
      <c r="BJ49" s="224"/>
      <c r="BK49" s="224"/>
      <c r="BL49" s="492"/>
      <c r="BM49" s="492"/>
      <c r="BN49" s="492"/>
      <c r="BO49" s="492"/>
      <c r="BP49" s="492"/>
      <c r="BQ49" s="492"/>
      <c r="BR49" s="492"/>
      <c r="BS49" s="492"/>
      <c r="BT49" s="492"/>
      <c r="BU49" s="224"/>
      <c r="BV49" s="224"/>
      <c r="BW49" s="224"/>
      <c r="BX49" s="224"/>
      <c r="BY49" s="221" t="str">
        <f t="shared" si="93"/>
        <v/>
      </c>
      <c r="BZ49" s="221" t="str">
        <f t="shared" si="94"/>
        <v/>
      </c>
      <c r="CA49" s="221"/>
      <c r="CB49" s="221"/>
      <c r="CC49" s="221"/>
      <c r="CD49" s="221"/>
      <c r="CE49" s="221"/>
      <c r="CF49" s="221"/>
      <c r="CG49" s="221"/>
      <c r="CH49" s="221"/>
      <c r="CI49" s="221"/>
      <c r="CJ49" s="468">
        <f t="shared" si="95"/>
        <v>0</v>
      </c>
      <c r="CK49" s="315">
        <f t="shared" si="96"/>
        <v>0</v>
      </c>
      <c r="CL49" s="315" t="str">
        <f t="shared" si="97"/>
        <v/>
      </c>
      <c r="CM49" s="182"/>
      <c r="CN49" s="182"/>
      <c r="CO49" s="182"/>
      <c r="CP49" s="221"/>
      <c r="CQ49" s="221"/>
      <c r="CR49" s="221"/>
      <c r="CS49" s="221"/>
      <c r="CT49" s="221"/>
      <c r="CU49" s="221"/>
      <c r="CV49" s="221"/>
      <c r="CW49" s="221"/>
      <c r="CX49" s="221"/>
      <c r="CY49" s="221"/>
      <c r="CZ49" s="182"/>
      <c r="DA49" s="182"/>
      <c r="DB49" s="182"/>
      <c r="DC49" s="182"/>
      <c r="DD49" s="221" t="str">
        <f t="shared" si="72"/>
        <v/>
      </c>
      <c r="DE49" s="221" t="str">
        <f t="shared" si="73"/>
        <v/>
      </c>
      <c r="DF49" s="221"/>
      <c r="DG49" s="221"/>
      <c r="DH49" s="221"/>
      <c r="DI49" s="221"/>
      <c r="DJ49" s="221"/>
      <c r="DK49" s="221"/>
      <c r="DL49" s="221"/>
      <c r="DM49" s="221"/>
      <c r="DN49" s="221"/>
      <c r="DO49" s="469" t="str">
        <f t="shared" si="98"/>
        <v/>
      </c>
      <c r="DP49" s="315">
        <f t="shared" si="99"/>
        <v>0</v>
      </c>
      <c r="DQ49" s="315" t="str">
        <f t="shared" si="100"/>
        <v/>
      </c>
      <c r="DR49" s="182"/>
      <c r="DS49" s="182"/>
      <c r="DT49" s="182"/>
      <c r="DU49" s="221"/>
      <c r="DV49" s="221"/>
      <c r="DW49" s="221"/>
      <c r="DX49" s="221"/>
      <c r="DY49" s="221"/>
      <c r="DZ49" s="221"/>
      <c r="EA49" s="221"/>
      <c r="EB49" s="221"/>
      <c r="EC49" s="221"/>
      <c r="ED49" s="182"/>
      <c r="EE49" s="182"/>
      <c r="EF49" s="182"/>
      <c r="EG49" s="182"/>
      <c r="EH49" s="221" t="str">
        <f t="shared" si="101"/>
        <v/>
      </c>
      <c r="EI49" s="221" t="str">
        <f t="shared" si="102"/>
        <v/>
      </c>
      <c r="EJ49" s="221"/>
      <c r="EK49" s="221"/>
      <c r="EL49" s="221"/>
      <c r="EM49" s="221"/>
      <c r="EN49" s="221"/>
      <c r="EO49" s="221"/>
      <c r="EP49" s="221"/>
      <c r="EQ49" s="221"/>
      <c r="ER49" s="221"/>
      <c r="ES49" s="221"/>
      <c r="ET49" s="221"/>
      <c r="EU49" s="315">
        <f t="shared" si="103"/>
        <v>0</v>
      </c>
      <c r="EV49" s="315" t="str">
        <f t="shared" si="104"/>
        <v/>
      </c>
      <c r="EW49" s="182"/>
      <c r="EX49" s="182"/>
      <c r="EY49" s="182"/>
      <c r="EZ49" s="221"/>
      <c r="FA49" s="221"/>
      <c r="FB49" s="221"/>
      <c r="FC49" s="221"/>
      <c r="FD49" s="221"/>
      <c r="FE49" s="221"/>
      <c r="FF49" s="221"/>
      <c r="FG49" s="221"/>
      <c r="FH49" s="221"/>
      <c r="FI49" s="182"/>
      <c r="FJ49" s="182"/>
      <c r="FK49" s="182"/>
      <c r="FL49" s="182"/>
      <c r="FM49" s="221" t="str">
        <f t="shared" si="105"/>
        <v/>
      </c>
      <c r="FN49" s="221" t="str">
        <f t="shared" si="106"/>
        <v/>
      </c>
      <c r="FO49" s="221"/>
      <c r="FP49" s="221"/>
      <c r="FQ49" s="221"/>
      <c r="FR49" s="221"/>
      <c r="FS49" s="221"/>
      <c r="FT49" s="221"/>
      <c r="FU49" s="221"/>
      <c r="FV49" s="221"/>
      <c r="FW49" s="221"/>
      <c r="FX49" s="221"/>
      <c r="FY49" s="221"/>
      <c r="FZ49" s="408"/>
      <c r="GA49" s="315">
        <f t="shared" si="107"/>
        <v>0</v>
      </c>
      <c r="GB49" s="315" t="str">
        <f t="shared" si="108"/>
        <v/>
      </c>
      <c r="GC49" s="182" t="s">
        <v>160</v>
      </c>
      <c r="GD49" s="182"/>
      <c r="GE49" s="182"/>
      <c r="GG49" s="460"/>
      <c r="GH49" s="460"/>
      <c r="GU49" s="469"/>
      <c r="GV49" s="470" t="str">
        <f t="shared" si="109"/>
        <v/>
      </c>
      <c r="GW49" s="302">
        <f t="shared" si="110"/>
        <v>0</v>
      </c>
      <c r="HA49" s="654"/>
      <c r="HD49" s="379"/>
      <c r="HE49" s="380"/>
      <c r="HH49" s="383"/>
      <c r="HI49" s="410"/>
      <c r="HJ49" s="302" t="str">
        <f t="shared" si="85"/>
        <v/>
      </c>
      <c r="HN49" s="398"/>
      <c r="HO49" s="302" t="str">
        <f t="shared" si="34"/>
        <v/>
      </c>
      <c r="HP49" s="302" t="str">
        <f t="shared" si="35"/>
        <v/>
      </c>
      <c r="HQ49" s="302" t="str">
        <f t="shared" si="36"/>
        <v/>
      </c>
      <c r="IT49" s="410"/>
      <c r="IU49" s="410"/>
      <c r="IV49" s="635"/>
    </row>
    <row r="50" spans="1:256" s="302" customFormat="1" ht="12.75" hidden="1" customHeight="1">
      <c r="A50" s="397" t="str">
        <f t="shared" si="1"/>
        <v/>
      </c>
      <c r="B50" s="462" t="str">
        <f t="shared" si="61"/>
        <v/>
      </c>
      <c r="C50" s="426"/>
      <c r="D50" s="575"/>
      <c r="E50" s="463"/>
      <c r="F50" s="464"/>
      <c r="G50" s="465"/>
      <c r="H50" s="465"/>
      <c r="I50" s="466"/>
      <c r="J50" s="463"/>
      <c r="K50" s="465"/>
      <c r="L50" s="465"/>
      <c r="M50" s="466"/>
      <c r="N50" s="573"/>
      <c r="O50" s="467"/>
      <c r="P50" s="518"/>
      <c r="Q50" s="381"/>
      <c r="R50" s="182"/>
      <c r="S50" s="182"/>
      <c r="T50" s="182"/>
      <c r="U50" s="182"/>
      <c r="V50" s="182"/>
      <c r="W50" s="182"/>
      <c r="X50" s="182"/>
      <c r="Y50" s="182"/>
      <c r="Z50" s="182"/>
      <c r="AA50" s="384"/>
      <c r="AB50" s="182" t="str">
        <f t="shared" si="86"/>
        <v/>
      </c>
      <c r="AC50" s="315">
        <f t="shared" si="87"/>
        <v>0</v>
      </c>
      <c r="AD50" s="315" t="str">
        <f t="shared" si="63"/>
        <v/>
      </c>
      <c r="AE50" s="182"/>
      <c r="AF50" s="182"/>
      <c r="AG50" s="182"/>
      <c r="AH50" s="221"/>
      <c r="AI50" s="221"/>
      <c r="AJ50" s="221"/>
      <c r="AK50" s="221"/>
      <c r="AL50" s="221"/>
      <c r="AM50" s="221"/>
      <c r="AN50" s="221"/>
      <c r="AO50" s="221"/>
      <c r="AP50" s="221"/>
      <c r="AQ50" s="182"/>
      <c r="AR50" s="182"/>
      <c r="AS50" s="182"/>
      <c r="AT50" s="182"/>
      <c r="AU50" s="221" t="str">
        <f t="shared" si="88"/>
        <v/>
      </c>
      <c r="AV50" s="221" t="str">
        <f t="shared" si="89"/>
        <v/>
      </c>
      <c r="AW50" s="221"/>
      <c r="AX50" s="221"/>
      <c r="AY50" s="221"/>
      <c r="AZ50" s="221"/>
      <c r="BA50" s="221"/>
      <c r="BB50" s="221"/>
      <c r="BC50" s="221"/>
      <c r="BD50" s="221"/>
      <c r="BE50" s="221"/>
      <c r="BF50" s="469">
        <f t="shared" si="90"/>
        <v>0</v>
      </c>
      <c r="BG50" s="315">
        <f t="shared" si="91"/>
        <v>0</v>
      </c>
      <c r="BH50" s="315" t="str">
        <f t="shared" si="92"/>
        <v/>
      </c>
      <c r="BI50" s="182"/>
      <c r="BJ50" s="182"/>
      <c r="BK50" s="182"/>
      <c r="BL50" s="221"/>
      <c r="BM50" s="221"/>
      <c r="BN50" s="221"/>
      <c r="BO50" s="221"/>
      <c r="BP50" s="221"/>
      <c r="BQ50" s="221"/>
      <c r="BR50" s="221"/>
      <c r="BS50" s="221"/>
      <c r="BT50" s="221"/>
      <c r="BU50" s="182"/>
      <c r="BV50" s="182"/>
      <c r="BW50" s="182"/>
      <c r="BX50" s="182"/>
      <c r="BY50" s="221" t="str">
        <f t="shared" si="93"/>
        <v/>
      </c>
      <c r="BZ50" s="221" t="str">
        <f t="shared" si="94"/>
        <v/>
      </c>
      <c r="CA50" s="221"/>
      <c r="CB50" s="221"/>
      <c r="CC50" s="221"/>
      <c r="CD50" s="221"/>
      <c r="CE50" s="221"/>
      <c r="CF50" s="221"/>
      <c r="CG50" s="221"/>
      <c r="CH50" s="221"/>
      <c r="CI50" s="221"/>
      <c r="CJ50" s="469">
        <f t="shared" si="95"/>
        <v>0</v>
      </c>
      <c r="CK50" s="315">
        <f t="shared" si="96"/>
        <v>0</v>
      </c>
      <c r="CL50" s="315" t="str">
        <f t="shared" si="97"/>
        <v/>
      </c>
      <c r="CM50" s="182"/>
      <c r="CN50" s="182"/>
      <c r="CO50" s="182"/>
      <c r="CP50" s="221"/>
      <c r="CQ50" s="221"/>
      <c r="CR50" s="221"/>
      <c r="CS50" s="221"/>
      <c r="CT50" s="221"/>
      <c r="CU50" s="221"/>
      <c r="CV50" s="221"/>
      <c r="CW50" s="221"/>
      <c r="CX50" s="221"/>
      <c r="CY50" s="221"/>
      <c r="CZ50" s="182"/>
      <c r="DA50" s="182"/>
      <c r="DB50" s="182"/>
      <c r="DC50" s="182"/>
      <c r="DD50" s="221" t="str">
        <f t="shared" si="72"/>
        <v/>
      </c>
      <c r="DE50" s="221" t="str">
        <f t="shared" si="73"/>
        <v/>
      </c>
      <c r="DF50" s="221"/>
      <c r="DG50" s="221"/>
      <c r="DH50" s="221"/>
      <c r="DI50" s="221"/>
      <c r="DJ50" s="221"/>
      <c r="DK50" s="221"/>
      <c r="DL50" s="221"/>
      <c r="DM50" s="221"/>
      <c r="DN50" s="221"/>
      <c r="DO50" s="469" t="str">
        <f t="shared" si="98"/>
        <v/>
      </c>
      <c r="DP50" s="315">
        <f t="shared" si="99"/>
        <v>0</v>
      </c>
      <c r="DQ50" s="315" t="str">
        <f t="shared" si="100"/>
        <v/>
      </c>
      <c r="DR50" s="182"/>
      <c r="DS50" s="182"/>
      <c r="DT50" s="182"/>
      <c r="DU50" s="221"/>
      <c r="DV50" s="221"/>
      <c r="DW50" s="221"/>
      <c r="DX50" s="221"/>
      <c r="DY50" s="221"/>
      <c r="DZ50" s="221"/>
      <c r="EA50" s="221"/>
      <c r="EB50" s="221"/>
      <c r="EC50" s="221"/>
      <c r="ED50" s="182"/>
      <c r="EE50" s="182"/>
      <c r="EF50" s="182"/>
      <c r="EG50" s="182"/>
      <c r="EH50" s="221" t="str">
        <f t="shared" si="101"/>
        <v/>
      </c>
      <c r="EI50" s="221" t="str">
        <f t="shared" si="102"/>
        <v/>
      </c>
      <c r="EJ50" s="221"/>
      <c r="EK50" s="221"/>
      <c r="EL50" s="221"/>
      <c r="EM50" s="221"/>
      <c r="EN50" s="221"/>
      <c r="EO50" s="221"/>
      <c r="EP50" s="221"/>
      <c r="EQ50" s="221"/>
      <c r="ER50" s="221"/>
      <c r="ES50" s="221"/>
      <c r="ET50" s="221"/>
      <c r="EU50" s="315">
        <f t="shared" si="103"/>
        <v>0</v>
      </c>
      <c r="EV50" s="315" t="str">
        <f t="shared" si="104"/>
        <v/>
      </c>
      <c r="EW50" s="182"/>
      <c r="EX50" s="182"/>
      <c r="EY50" s="182"/>
      <c r="EZ50" s="221"/>
      <c r="FA50" s="221"/>
      <c r="FB50" s="221"/>
      <c r="FC50" s="221"/>
      <c r="FD50" s="221"/>
      <c r="FE50" s="221"/>
      <c r="FF50" s="221"/>
      <c r="FG50" s="221"/>
      <c r="FH50" s="221"/>
      <c r="FI50" s="182"/>
      <c r="FJ50" s="182"/>
      <c r="FK50" s="182"/>
      <c r="FL50" s="182"/>
      <c r="FM50" s="221" t="str">
        <f t="shared" si="105"/>
        <v/>
      </c>
      <c r="FN50" s="221" t="str">
        <f t="shared" si="106"/>
        <v/>
      </c>
      <c r="FO50" s="221"/>
      <c r="FP50" s="221"/>
      <c r="FQ50" s="221"/>
      <c r="FR50" s="221"/>
      <c r="FS50" s="221"/>
      <c r="FT50" s="221"/>
      <c r="FU50" s="221"/>
      <c r="FV50" s="221"/>
      <c r="FW50" s="221"/>
      <c r="FX50" s="221"/>
      <c r="FY50" s="221"/>
      <c r="FZ50" s="408"/>
      <c r="GA50" s="315">
        <f t="shared" si="107"/>
        <v>0</v>
      </c>
      <c r="GB50" s="315" t="str">
        <f t="shared" si="108"/>
        <v/>
      </c>
      <c r="GC50" s="182" t="s">
        <v>160</v>
      </c>
      <c r="GD50" s="182"/>
      <c r="GE50" s="182"/>
      <c r="GG50" s="460"/>
      <c r="GH50" s="460"/>
      <c r="GU50" s="469"/>
      <c r="GV50" s="470" t="str">
        <f t="shared" si="109"/>
        <v/>
      </c>
      <c r="GW50" s="302">
        <f t="shared" si="110"/>
        <v>0</v>
      </c>
      <c r="HA50" s="654"/>
      <c r="HD50" s="379"/>
      <c r="HE50" s="380"/>
      <c r="HH50" s="385"/>
      <c r="HI50" s="411"/>
      <c r="HJ50" s="302" t="str">
        <f t="shared" si="85"/>
        <v/>
      </c>
      <c r="HO50" s="302" t="str">
        <f t="shared" si="34"/>
        <v/>
      </c>
      <c r="HP50" s="302" t="str">
        <f t="shared" si="35"/>
        <v/>
      </c>
      <c r="HQ50" s="302" t="str">
        <f t="shared" si="36"/>
        <v/>
      </c>
      <c r="IT50" s="411"/>
      <c r="IU50" s="411"/>
      <c r="IV50" s="635"/>
    </row>
    <row r="51" spans="1:256" s="302" customFormat="1" ht="12.75" hidden="1" customHeight="1">
      <c r="A51" s="397" t="str">
        <f t="shared" si="1"/>
        <v/>
      </c>
      <c r="B51" s="462" t="str">
        <f t="shared" si="61"/>
        <v/>
      </c>
      <c r="C51" s="426"/>
      <c r="D51" s="575"/>
      <c r="E51" s="463"/>
      <c r="F51" s="464"/>
      <c r="G51" s="465"/>
      <c r="H51" s="465"/>
      <c r="I51" s="466"/>
      <c r="J51" s="463"/>
      <c r="K51" s="465"/>
      <c r="L51" s="465"/>
      <c r="M51" s="466"/>
      <c r="N51" s="573"/>
      <c r="O51" s="467"/>
      <c r="P51" s="518"/>
      <c r="Q51" s="381"/>
      <c r="R51" s="182"/>
      <c r="S51" s="182"/>
      <c r="T51" s="182"/>
      <c r="U51" s="182"/>
      <c r="V51" s="182"/>
      <c r="W51" s="182"/>
      <c r="X51" s="182"/>
      <c r="Y51" s="182"/>
      <c r="Z51" s="182"/>
      <c r="AA51" s="382"/>
      <c r="AB51" s="182" t="str">
        <f t="shared" si="86"/>
        <v/>
      </c>
      <c r="AC51" s="315">
        <f t="shared" si="87"/>
        <v>0</v>
      </c>
      <c r="AD51" s="315" t="str">
        <f t="shared" si="63"/>
        <v/>
      </c>
      <c r="AE51" s="182"/>
      <c r="AF51" s="182"/>
      <c r="AG51" s="182"/>
      <c r="AH51" s="221"/>
      <c r="AI51" s="221"/>
      <c r="AJ51" s="221"/>
      <c r="AK51" s="221"/>
      <c r="AL51" s="221"/>
      <c r="AM51" s="221"/>
      <c r="AN51" s="221"/>
      <c r="AO51" s="221"/>
      <c r="AP51" s="221"/>
      <c r="AQ51" s="182"/>
      <c r="AR51" s="182"/>
      <c r="AS51" s="182"/>
      <c r="AT51" s="224"/>
      <c r="AU51" s="221" t="str">
        <f t="shared" si="88"/>
        <v/>
      </c>
      <c r="AV51" s="221" t="str">
        <f t="shared" si="89"/>
        <v/>
      </c>
      <c r="AW51" s="221"/>
      <c r="AX51" s="221"/>
      <c r="AY51" s="221"/>
      <c r="AZ51" s="221"/>
      <c r="BA51" s="221"/>
      <c r="BB51" s="221"/>
      <c r="BC51" s="221"/>
      <c r="BD51" s="221"/>
      <c r="BE51" s="221"/>
      <c r="BF51" s="468">
        <f t="shared" si="90"/>
        <v>0</v>
      </c>
      <c r="BG51" s="315">
        <f t="shared" si="91"/>
        <v>0</v>
      </c>
      <c r="BH51" s="315" t="str">
        <f t="shared" si="92"/>
        <v/>
      </c>
      <c r="BI51" s="182"/>
      <c r="BJ51" s="182"/>
      <c r="BK51" s="182"/>
      <c r="BL51" s="221"/>
      <c r="BM51" s="221"/>
      <c r="BN51" s="221"/>
      <c r="BO51" s="221"/>
      <c r="BP51" s="221"/>
      <c r="BQ51" s="221"/>
      <c r="BR51" s="221"/>
      <c r="BS51" s="221"/>
      <c r="BT51" s="221"/>
      <c r="BU51" s="182"/>
      <c r="BV51" s="182"/>
      <c r="BW51" s="182"/>
      <c r="BX51" s="182"/>
      <c r="BY51" s="221" t="str">
        <f t="shared" si="93"/>
        <v/>
      </c>
      <c r="BZ51" s="221" t="str">
        <f t="shared" si="94"/>
        <v/>
      </c>
      <c r="CA51" s="221"/>
      <c r="CB51" s="221"/>
      <c r="CC51" s="221"/>
      <c r="CD51" s="221"/>
      <c r="CE51" s="221"/>
      <c r="CF51" s="221"/>
      <c r="CG51" s="221"/>
      <c r="CH51" s="221"/>
      <c r="CI51" s="221"/>
      <c r="CJ51" s="468">
        <f t="shared" si="95"/>
        <v>0</v>
      </c>
      <c r="CK51" s="315">
        <f t="shared" si="96"/>
        <v>0</v>
      </c>
      <c r="CL51" s="315" t="str">
        <f t="shared" si="97"/>
        <v/>
      </c>
      <c r="CM51" s="182"/>
      <c r="CN51" s="182"/>
      <c r="CO51" s="182"/>
      <c r="CP51" s="221"/>
      <c r="CQ51" s="221"/>
      <c r="CR51" s="221"/>
      <c r="CS51" s="221"/>
      <c r="CT51" s="221"/>
      <c r="CU51" s="221"/>
      <c r="CV51" s="221"/>
      <c r="CW51" s="221"/>
      <c r="CX51" s="221"/>
      <c r="CY51" s="221"/>
      <c r="CZ51" s="182"/>
      <c r="DA51" s="182"/>
      <c r="DB51" s="182"/>
      <c r="DC51" s="182"/>
      <c r="DD51" s="221" t="str">
        <f t="shared" si="72"/>
        <v/>
      </c>
      <c r="DE51" s="221" t="str">
        <f t="shared" si="73"/>
        <v/>
      </c>
      <c r="DF51" s="221"/>
      <c r="DG51" s="221"/>
      <c r="DH51" s="221"/>
      <c r="DI51" s="221"/>
      <c r="DJ51" s="221"/>
      <c r="DK51" s="221"/>
      <c r="DL51" s="221"/>
      <c r="DM51" s="221"/>
      <c r="DN51" s="221"/>
      <c r="DO51" s="469" t="str">
        <f t="shared" si="98"/>
        <v/>
      </c>
      <c r="DP51" s="315">
        <f t="shared" si="99"/>
        <v>0</v>
      </c>
      <c r="DQ51" s="315" t="str">
        <f t="shared" si="100"/>
        <v/>
      </c>
      <c r="DR51" s="182"/>
      <c r="DS51" s="182"/>
      <c r="DT51" s="182"/>
      <c r="DU51" s="221"/>
      <c r="DV51" s="221"/>
      <c r="DW51" s="221"/>
      <c r="DX51" s="221"/>
      <c r="DY51" s="221"/>
      <c r="DZ51" s="221"/>
      <c r="EA51" s="221"/>
      <c r="EB51" s="221"/>
      <c r="EC51" s="221"/>
      <c r="ED51" s="182"/>
      <c r="EE51" s="182"/>
      <c r="EF51" s="182"/>
      <c r="EG51" s="182"/>
      <c r="EH51" s="221" t="str">
        <f t="shared" si="101"/>
        <v/>
      </c>
      <c r="EI51" s="221" t="str">
        <f t="shared" si="102"/>
        <v/>
      </c>
      <c r="EJ51" s="221"/>
      <c r="EK51" s="221"/>
      <c r="EL51" s="221"/>
      <c r="EM51" s="221"/>
      <c r="EN51" s="221"/>
      <c r="EO51" s="221"/>
      <c r="EP51" s="221"/>
      <c r="EQ51" s="221"/>
      <c r="ER51" s="221"/>
      <c r="ES51" s="221"/>
      <c r="ET51" s="221"/>
      <c r="EU51" s="315">
        <f t="shared" si="103"/>
        <v>0</v>
      </c>
      <c r="EV51" s="315" t="str">
        <f t="shared" si="104"/>
        <v/>
      </c>
      <c r="EW51" s="182"/>
      <c r="EX51" s="182"/>
      <c r="EY51" s="182"/>
      <c r="EZ51" s="221"/>
      <c r="FA51" s="221"/>
      <c r="FB51" s="221"/>
      <c r="FC51" s="221"/>
      <c r="FD51" s="221"/>
      <c r="FE51" s="221"/>
      <c r="FF51" s="221"/>
      <c r="FG51" s="221"/>
      <c r="FH51" s="221"/>
      <c r="FI51" s="182"/>
      <c r="FJ51" s="182"/>
      <c r="FK51" s="182"/>
      <c r="FL51" s="182"/>
      <c r="FM51" s="221" t="str">
        <f t="shared" si="105"/>
        <v/>
      </c>
      <c r="FN51" s="221" t="str">
        <f t="shared" si="106"/>
        <v/>
      </c>
      <c r="FO51" s="221"/>
      <c r="FP51" s="221"/>
      <c r="FQ51" s="221"/>
      <c r="FR51" s="221"/>
      <c r="FS51" s="221"/>
      <c r="FT51" s="221"/>
      <c r="FU51" s="221"/>
      <c r="FV51" s="221"/>
      <c r="FW51" s="221"/>
      <c r="FX51" s="221"/>
      <c r="FY51" s="221"/>
      <c r="FZ51" s="408"/>
      <c r="GA51" s="315">
        <f t="shared" si="107"/>
        <v>0</v>
      </c>
      <c r="GB51" s="315" t="str">
        <f t="shared" si="108"/>
        <v/>
      </c>
      <c r="GC51" s="302" t="s">
        <v>160</v>
      </c>
      <c r="GG51" s="460"/>
      <c r="GH51" s="460"/>
      <c r="GU51" s="469"/>
      <c r="GV51" s="470" t="str">
        <f t="shared" si="109"/>
        <v/>
      </c>
      <c r="GW51" s="302">
        <f t="shared" si="110"/>
        <v>0</v>
      </c>
      <c r="HA51" s="654"/>
      <c r="HD51" s="379"/>
      <c r="HE51" s="380"/>
      <c r="HH51" s="383"/>
      <c r="HI51" s="410"/>
      <c r="HJ51" s="302" t="str">
        <f t="shared" si="85"/>
        <v/>
      </c>
      <c r="HO51" s="302" t="str">
        <f t="shared" si="34"/>
        <v/>
      </c>
      <c r="HP51" s="302" t="str">
        <f t="shared" si="35"/>
        <v/>
      </c>
      <c r="HQ51" s="302" t="str">
        <f t="shared" si="36"/>
        <v/>
      </c>
      <c r="IT51" s="410"/>
      <c r="IU51" s="410"/>
      <c r="IV51" s="635"/>
    </row>
    <row r="52" spans="1:256" s="302" customFormat="1" ht="12.75" hidden="1" customHeight="1">
      <c r="A52" s="397" t="str">
        <f t="shared" si="1"/>
        <v/>
      </c>
      <c r="B52" s="462" t="str">
        <f t="shared" si="61"/>
        <v/>
      </c>
      <c r="C52" s="426"/>
      <c r="D52" s="575"/>
      <c r="E52" s="463"/>
      <c r="F52" s="464"/>
      <c r="G52" s="465"/>
      <c r="H52" s="465"/>
      <c r="I52" s="466"/>
      <c r="J52" s="463"/>
      <c r="K52" s="465"/>
      <c r="L52" s="465"/>
      <c r="M52" s="466"/>
      <c r="N52" s="573"/>
      <c r="O52" s="467"/>
      <c r="P52" s="518"/>
      <c r="Q52" s="381"/>
      <c r="R52" s="182"/>
      <c r="S52" s="182"/>
      <c r="T52" s="182"/>
      <c r="U52" s="182"/>
      <c r="V52" s="182"/>
      <c r="W52" s="182"/>
      <c r="X52" s="182"/>
      <c r="Y52" s="182"/>
      <c r="Z52" s="182"/>
      <c r="AA52" s="384"/>
      <c r="AB52" s="182" t="str">
        <f t="shared" si="86"/>
        <v/>
      </c>
      <c r="AC52" s="315">
        <f t="shared" si="87"/>
        <v>0</v>
      </c>
      <c r="AD52" s="315" t="str">
        <f t="shared" si="63"/>
        <v/>
      </c>
      <c r="AE52" s="182"/>
      <c r="AF52" s="182"/>
      <c r="AG52" s="182"/>
      <c r="AH52" s="221"/>
      <c r="AI52" s="221"/>
      <c r="AJ52" s="221"/>
      <c r="AK52" s="221"/>
      <c r="AL52" s="221"/>
      <c r="AM52" s="221"/>
      <c r="AN52" s="221"/>
      <c r="AO52" s="221"/>
      <c r="AP52" s="221"/>
      <c r="AQ52" s="182"/>
      <c r="AR52" s="182"/>
      <c r="AS52" s="182"/>
      <c r="AT52" s="182"/>
      <c r="AU52" s="221" t="str">
        <f t="shared" si="88"/>
        <v/>
      </c>
      <c r="AV52" s="221" t="str">
        <f t="shared" si="89"/>
        <v/>
      </c>
      <c r="AW52" s="221"/>
      <c r="AX52" s="221"/>
      <c r="AY52" s="221"/>
      <c r="AZ52" s="221"/>
      <c r="BA52" s="221"/>
      <c r="BB52" s="221"/>
      <c r="BC52" s="221"/>
      <c r="BD52" s="221"/>
      <c r="BE52" s="221"/>
      <c r="BF52" s="469">
        <f t="shared" si="90"/>
        <v>0</v>
      </c>
      <c r="BG52" s="315">
        <f t="shared" si="91"/>
        <v>0</v>
      </c>
      <c r="BH52" s="315" t="str">
        <f t="shared" si="92"/>
        <v/>
      </c>
      <c r="BI52" s="182"/>
      <c r="BJ52" s="182"/>
      <c r="BK52" s="182"/>
      <c r="BL52" s="221"/>
      <c r="BM52" s="221"/>
      <c r="BN52" s="221"/>
      <c r="BO52" s="221"/>
      <c r="BP52" s="221"/>
      <c r="BQ52" s="221"/>
      <c r="BR52" s="221"/>
      <c r="BS52" s="221"/>
      <c r="BT52" s="221"/>
      <c r="BU52" s="182"/>
      <c r="BV52" s="182"/>
      <c r="BW52" s="182"/>
      <c r="BX52" s="182"/>
      <c r="BY52" s="221" t="str">
        <f t="shared" si="93"/>
        <v/>
      </c>
      <c r="BZ52" s="221" t="str">
        <f t="shared" si="94"/>
        <v/>
      </c>
      <c r="CA52" s="221"/>
      <c r="CB52" s="221"/>
      <c r="CC52" s="221"/>
      <c r="CD52" s="221"/>
      <c r="CE52" s="221"/>
      <c r="CF52" s="221"/>
      <c r="CG52" s="221"/>
      <c r="CH52" s="221"/>
      <c r="CI52" s="221"/>
      <c r="CJ52" s="469">
        <f t="shared" si="95"/>
        <v>0</v>
      </c>
      <c r="CK52" s="315">
        <f t="shared" si="96"/>
        <v>0</v>
      </c>
      <c r="CL52" s="315" t="str">
        <f t="shared" si="97"/>
        <v/>
      </c>
      <c r="CM52" s="182"/>
      <c r="CN52" s="182"/>
      <c r="CO52" s="182"/>
      <c r="CP52" s="221"/>
      <c r="CQ52" s="221"/>
      <c r="CR52" s="221"/>
      <c r="CS52" s="221"/>
      <c r="CT52" s="221"/>
      <c r="CU52" s="221"/>
      <c r="CV52" s="221"/>
      <c r="CW52" s="221"/>
      <c r="CX52" s="221"/>
      <c r="CY52" s="221"/>
      <c r="CZ52" s="182"/>
      <c r="DA52" s="182"/>
      <c r="DB52" s="182"/>
      <c r="DC52" s="182"/>
      <c r="DD52" s="221" t="str">
        <f t="shared" si="72"/>
        <v/>
      </c>
      <c r="DE52" s="221" t="str">
        <f t="shared" si="73"/>
        <v/>
      </c>
      <c r="DF52" s="221"/>
      <c r="DG52" s="221"/>
      <c r="DH52" s="221"/>
      <c r="DI52" s="221"/>
      <c r="DJ52" s="221"/>
      <c r="DK52" s="221"/>
      <c r="DL52" s="221"/>
      <c r="DM52" s="221"/>
      <c r="DN52" s="221"/>
      <c r="DO52" s="469" t="str">
        <f t="shared" si="98"/>
        <v/>
      </c>
      <c r="DP52" s="315">
        <f t="shared" si="99"/>
        <v>0</v>
      </c>
      <c r="DQ52" s="315" t="str">
        <f t="shared" si="100"/>
        <v/>
      </c>
      <c r="DR52" s="182"/>
      <c r="DS52" s="182"/>
      <c r="DT52" s="182"/>
      <c r="DU52" s="221"/>
      <c r="DV52" s="221"/>
      <c r="DW52" s="221"/>
      <c r="DX52" s="221"/>
      <c r="DY52" s="221"/>
      <c r="DZ52" s="221"/>
      <c r="EA52" s="221"/>
      <c r="EB52" s="221"/>
      <c r="EC52" s="221"/>
      <c r="ED52" s="182"/>
      <c r="EE52" s="182"/>
      <c r="EF52" s="182"/>
      <c r="EG52" s="182"/>
      <c r="EH52" s="221" t="str">
        <f t="shared" si="101"/>
        <v/>
      </c>
      <c r="EI52" s="221" t="str">
        <f t="shared" si="102"/>
        <v/>
      </c>
      <c r="EJ52" s="221"/>
      <c r="EK52" s="221"/>
      <c r="EL52" s="221"/>
      <c r="EM52" s="221"/>
      <c r="EN52" s="221"/>
      <c r="EO52" s="221"/>
      <c r="EP52" s="221"/>
      <c r="EQ52" s="221"/>
      <c r="ER52" s="221"/>
      <c r="ES52" s="221"/>
      <c r="ET52" s="221"/>
      <c r="EU52" s="315">
        <f t="shared" si="103"/>
        <v>0</v>
      </c>
      <c r="EV52" s="315" t="str">
        <f t="shared" si="104"/>
        <v/>
      </c>
      <c r="EW52" s="182"/>
      <c r="EX52" s="182"/>
      <c r="EY52" s="182"/>
      <c r="EZ52" s="221"/>
      <c r="FA52" s="221"/>
      <c r="FB52" s="221"/>
      <c r="FC52" s="221"/>
      <c r="FD52" s="221"/>
      <c r="FE52" s="221"/>
      <c r="FF52" s="221"/>
      <c r="FG52" s="221"/>
      <c r="FH52" s="221"/>
      <c r="FI52" s="182"/>
      <c r="FJ52" s="182"/>
      <c r="FK52" s="182"/>
      <c r="FL52" s="182"/>
      <c r="FM52" s="221" t="str">
        <f t="shared" si="105"/>
        <v/>
      </c>
      <c r="FN52" s="221" t="str">
        <f t="shared" si="106"/>
        <v/>
      </c>
      <c r="FO52" s="221"/>
      <c r="FP52" s="221"/>
      <c r="FQ52" s="221"/>
      <c r="FR52" s="221"/>
      <c r="FS52" s="221"/>
      <c r="FT52" s="221"/>
      <c r="FU52" s="221"/>
      <c r="FV52" s="221"/>
      <c r="FW52" s="221"/>
      <c r="FX52" s="221"/>
      <c r="FY52" s="221"/>
      <c r="FZ52" s="408"/>
      <c r="GA52" s="315">
        <f t="shared" si="107"/>
        <v>0</v>
      </c>
      <c r="GB52" s="315" t="str">
        <f t="shared" si="108"/>
        <v/>
      </c>
      <c r="GC52" s="302" t="s">
        <v>160</v>
      </c>
      <c r="GG52" s="460"/>
      <c r="GH52" s="460"/>
      <c r="GU52" s="469"/>
      <c r="GV52" s="470" t="str">
        <f t="shared" si="109"/>
        <v/>
      </c>
      <c r="GW52" s="302">
        <f t="shared" si="110"/>
        <v>0</v>
      </c>
      <c r="HA52" s="654"/>
      <c r="HD52" s="379"/>
      <c r="HE52" s="380"/>
      <c r="HH52" s="385"/>
      <c r="HI52" s="411"/>
      <c r="HJ52" s="302" t="str">
        <f t="shared" si="85"/>
        <v/>
      </c>
      <c r="HO52" s="302" t="str">
        <f t="shared" si="34"/>
        <v/>
      </c>
      <c r="HP52" s="302" t="str">
        <f t="shared" si="35"/>
        <v/>
      </c>
      <c r="HQ52" s="302" t="str">
        <f t="shared" si="36"/>
        <v/>
      </c>
      <c r="IT52" s="411"/>
      <c r="IU52" s="411"/>
      <c r="IV52" s="635"/>
    </row>
    <row r="53" spans="1:256" s="302" customFormat="1" ht="12.75" hidden="1" customHeight="1">
      <c r="A53" s="397" t="str">
        <f t="shared" si="1"/>
        <v/>
      </c>
      <c r="B53" s="462" t="str">
        <f t="shared" si="61"/>
        <v/>
      </c>
      <c r="C53" s="426"/>
      <c r="D53" s="575"/>
      <c r="E53" s="463"/>
      <c r="F53" s="464"/>
      <c r="G53" s="465"/>
      <c r="H53" s="465"/>
      <c r="I53" s="466"/>
      <c r="J53" s="463"/>
      <c r="K53" s="465"/>
      <c r="L53" s="465"/>
      <c r="M53" s="466"/>
      <c r="N53" s="573"/>
      <c r="O53" s="467"/>
      <c r="P53" s="518"/>
      <c r="Q53" s="381"/>
      <c r="R53" s="182"/>
      <c r="S53" s="182"/>
      <c r="T53" s="182"/>
      <c r="U53" s="182"/>
      <c r="V53" s="182"/>
      <c r="W53" s="182"/>
      <c r="X53" s="182"/>
      <c r="Y53" s="182"/>
      <c r="Z53" s="182"/>
      <c r="AA53" s="382"/>
      <c r="AB53" s="182" t="str">
        <f t="shared" si="86"/>
        <v/>
      </c>
      <c r="AC53" s="315">
        <f t="shared" si="87"/>
        <v>0</v>
      </c>
      <c r="AD53" s="315" t="str">
        <f t="shared" si="63"/>
        <v/>
      </c>
      <c r="AE53" s="182"/>
      <c r="AF53" s="182"/>
      <c r="AG53" s="182"/>
      <c r="AH53" s="221"/>
      <c r="AI53" s="221"/>
      <c r="AJ53" s="221"/>
      <c r="AK53" s="221"/>
      <c r="AL53" s="221"/>
      <c r="AM53" s="221"/>
      <c r="AN53" s="221"/>
      <c r="AO53" s="221"/>
      <c r="AP53" s="221"/>
      <c r="AQ53" s="182"/>
      <c r="AR53" s="182"/>
      <c r="AS53" s="182"/>
      <c r="AT53" s="224"/>
      <c r="AU53" s="221" t="str">
        <f t="shared" si="88"/>
        <v/>
      </c>
      <c r="AV53" s="221" t="str">
        <f t="shared" si="89"/>
        <v/>
      </c>
      <c r="AW53" s="221"/>
      <c r="AX53" s="221"/>
      <c r="AY53" s="221"/>
      <c r="AZ53" s="221"/>
      <c r="BA53" s="221"/>
      <c r="BB53" s="221"/>
      <c r="BC53" s="221"/>
      <c r="BD53" s="221"/>
      <c r="BE53" s="221"/>
      <c r="BF53" s="468">
        <f t="shared" si="90"/>
        <v>0</v>
      </c>
      <c r="BG53" s="315">
        <f t="shared" si="91"/>
        <v>0</v>
      </c>
      <c r="BH53" s="315" t="str">
        <f t="shared" si="92"/>
        <v/>
      </c>
      <c r="BI53" s="182"/>
      <c r="BJ53" s="182"/>
      <c r="BK53" s="182"/>
      <c r="BL53" s="221"/>
      <c r="BM53" s="221"/>
      <c r="BN53" s="221"/>
      <c r="BO53" s="221"/>
      <c r="BP53" s="221"/>
      <c r="BQ53" s="221"/>
      <c r="BR53" s="221"/>
      <c r="BS53" s="221"/>
      <c r="BT53" s="221"/>
      <c r="BU53" s="182"/>
      <c r="BV53" s="182"/>
      <c r="BW53" s="182"/>
      <c r="BX53" s="182"/>
      <c r="BY53" s="221" t="str">
        <f t="shared" si="93"/>
        <v/>
      </c>
      <c r="BZ53" s="221" t="str">
        <f t="shared" si="94"/>
        <v/>
      </c>
      <c r="CA53" s="221"/>
      <c r="CB53" s="221"/>
      <c r="CC53" s="221"/>
      <c r="CD53" s="221"/>
      <c r="CE53" s="221"/>
      <c r="CF53" s="221"/>
      <c r="CG53" s="221"/>
      <c r="CH53" s="221"/>
      <c r="CI53" s="221"/>
      <c r="CJ53" s="468">
        <f t="shared" si="95"/>
        <v>0</v>
      </c>
      <c r="CK53" s="315">
        <f t="shared" si="96"/>
        <v>0</v>
      </c>
      <c r="CL53" s="315" t="str">
        <f t="shared" si="97"/>
        <v/>
      </c>
      <c r="CM53" s="182"/>
      <c r="CN53" s="182"/>
      <c r="CO53" s="182"/>
      <c r="CP53" s="221"/>
      <c r="CQ53" s="221"/>
      <c r="CR53" s="221"/>
      <c r="CS53" s="221"/>
      <c r="CT53" s="221"/>
      <c r="CU53" s="221"/>
      <c r="CV53" s="221"/>
      <c r="CW53" s="221"/>
      <c r="CX53" s="221"/>
      <c r="CY53" s="221"/>
      <c r="CZ53" s="182"/>
      <c r="DA53" s="182"/>
      <c r="DB53" s="182"/>
      <c r="DC53" s="182"/>
      <c r="DD53" s="221" t="str">
        <f t="shared" si="72"/>
        <v/>
      </c>
      <c r="DE53" s="221" t="str">
        <f t="shared" si="73"/>
        <v/>
      </c>
      <c r="DF53" s="221"/>
      <c r="DG53" s="221"/>
      <c r="DH53" s="221"/>
      <c r="DI53" s="221"/>
      <c r="DJ53" s="221"/>
      <c r="DK53" s="221"/>
      <c r="DL53" s="221"/>
      <c r="DM53" s="221"/>
      <c r="DN53" s="221"/>
      <c r="DO53" s="469" t="str">
        <f t="shared" si="98"/>
        <v/>
      </c>
      <c r="DP53" s="315">
        <f t="shared" si="99"/>
        <v>0</v>
      </c>
      <c r="DQ53" s="315" t="str">
        <f t="shared" si="100"/>
        <v/>
      </c>
      <c r="DR53" s="182"/>
      <c r="DS53" s="182"/>
      <c r="DT53" s="182"/>
      <c r="DU53" s="221"/>
      <c r="DV53" s="221"/>
      <c r="DW53" s="221"/>
      <c r="DX53" s="221"/>
      <c r="DY53" s="221"/>
      <c r="DZ53" s="221"/>
      <c r="EA53" s="221"/>
      <c r="EB53" s="221"/>
      <c r="EC53" s="221"/>
      <c r="ED53" s="182"/>
      <c r="EE53" s="182"/>
      <c r="EF53" s="182"/>
      <c r="EG53" s="182"/>
      <c r="EH53" s="221" t="str">
        <f t="shared" si="101"/>
        <v/>
      </c>
      <c r="EI53" s="221" t="str">
        <f t="shared" si="102"/>
        <v/>
      </c>
      <c r="EJ53" s="221"/>
      <c r="EK53" s="221"/>
      <c r="EL53" s="221"/>
      <c r="EM53" s="221"/>
      <c r="EN53" s="221"/>
      <c r="EO53" s="221"/>
      <c r="EP53" s="221"/>
      <c r="EQ53" s="221"/>
      <c r="ER53" s="221"/>
      <c r="ES53" s="221"/>
      <c r="ET53" s="221"/>
      <c r="EU53" s="315">
        <f t="shared" si="103"/>
        <v>0</v>
      </c>
      <c r="EV53" s="315" t="str">
        <f t="shared" si="104"/>
        <v/>
      </c>
      <c r="EW53" s="182"/>
      <c r="EX53" s="182"/>
      <c r="EY53" s="182"/>
      <c r="EZ53" s="221"/>
      <c r="FA53" s="221"/>
      <c r="FB53" s="221"/>
      <c r="FC53" s="221"/>
      <c r="FD53" s="221"/>
      <c r="FE53" s="221"/>
      <c r="FF53" s="221"/>
      <c r="FG53" s="221"/>
      <c r="FH53" s="221"/>
      <c r="FI53" s="182"/>
      <c r="FJ53" s="182"/>
      <c r="FK53" s="182"/>
      <c r="FL53" s="182"/>
      <c r="FM53" s="221" t="str">
        <f t="shared" si="105"/>
        <v/>
      </c>
      <c r="FN53" s="221" t="str">
        <f t="shared" si="106"/>
        <v/>
      </c>
      <c r="FO53" s="221"/>
      <c r="FP53" s="221"/>
      <c r="FQ53" s="221"/>
      <c r="FR53" s="221"/>
      <c r="FS53" s="221"/>
      <c r="FT53" s="221"/>
      <c r="FU53" s="221"/>
      <c r="FV53" s="221"/>
      <c r="FW53" s="221"/>
      <c r="FX53" s="221"/>
      <c r="FY53" s="221"/>
      <c r="FZ53" s="408"/>
      <c r="GA53" s="315">
        <f t="shared" si="107"/>
        <v>0</v>
      </c>
      <c r="GB53" s="315" t="str">
        <f t="shared" si="108"/>
        <v/>
      </c>
      <c r="GC53" s="182" t="s">
        <v>160</v>
      </c>
      <c r="GD53" s="182"/>
      <c r="GE53" s="182"/>
      <c r="GG53" s="460"/>
      <c r="GH53" s="460"/>
      <c r="GU53" s="469"/>
      <c r="GV53" s="470" t="str">
        <f t="shared" si="109"/>
        <v/>
      </c>
      <c r="GW53" s="302">
        <f t="shared" si="110"/>
        <v>0</v>
      </c>
      <c r="HA53" s="654"/>
      <c r="HD53" s="379"/>
      <c r="HE53" s="380"/>
      <c r="HH53" s="383"/>
      <c r="HI53" s="410"/>
      <c r="HJ53" s="302" t="str">
        <f t="shared" si="85"/>
        <v/>
      </c>
      <c r="HO53" s="302" t="str">
        <f t="shared" si="34"/>
        <v/>
      </c>
      <c r="HP53" s="302" t="str">
        <f t="shared" si="35"/>
        <v/>
      </c>
      <c r="HQ53" s="302" t="str">
        <f t="shared" si="36"/>
        <v/>
      </c>
      <c r="IT53" s="410"/>
      <c r="IU53" s="410"/>
      <c r="IV53" s="635"/>
    </row>
    <row r="54" spans="1:256" s="302" customFormat="1" ht="12.75" hidden="1" customHeight="1">
      <c r="A54" s="397" t="str">
        <f t="shared" si="1"/>
        <v/>
      </c>
      <c r="B54" s="462" t="str">
        <f t="shared" si="61"/>
        <v/>
      </c>
      <c r="C54" s="426"/>
      <c r="D54" s="575"/>
      <c r="E54" s="463"/>
      <c r="F54" s="464"/>
      <c r="G54" s="465"/>
      <c r="H54" s="465"/>
      <c r="I54" s="466"/>
      <c r="J54" s="463"/>
      <c r="K54" s="465"/>
      <c r="L54" s="465"/>
      <c r="M54" s="466"/>
      <c r="N54" s="573"/>
      <c r="O54" s="467"/>
      <c r="P54" s="518"/>
      <c r="Q54" s="381"/>
      <c r="R54" s="182"/>
      <c r="S54" s="182"/>
      <c r="T54" s="182"/>
      <c r="U54" s="182"/>
      <c r="V54" s="182"/>
      <c r="W54" s="182"/>
      <c r="X54" s="182"/>
      <c r="Y54" s="182"/>
      <c r="Z54" s="182"/>
      <c r="AA54" s="382"/>
      <c r="AB54" s="182" t="str">
        <f t="shared" si="86"/>
        <v/>
      </c>
      <c r="AC54" s="315">
        <f t="shared" si="87"/>
        <v>0</v>
      </c>
      <c r="AD54" s="315" t="str">
        <f t="shared" si="63"/>
        <v/>
      </c>
      <c r="AE54" s="182"/>
      <c r="AF54" s="182"/>
      <c r="AG54" s="182"/>
      <c r="AH54" s="221"/>
      <c r="AI54" s="221"/>
      <c r="AJ54" s="221"/>
      <c r="AK54" s="221"/>
      <c r="AL54" s="221"/>
      <c r="AM54" s="221"/>
      <c r="AN54" s="221"/>
      <c r="AO54" s="221"/>
      <c r="AP54" s="221"/>
      <c r="AQ54" s="182"/>
      <c r="AR54" s="182"/>
      <c r="AS54" s="182"/>
      <c r="AT54" s="182"/>
      <c r="AU54" s="221" t="str">
        <f t="shared" si="88"/>
        <v/>
      </c>
      <c r="AV54" s="221" t="str">
        <f t="shared" si="89"/>
        <v/>
      </c>
      <c r="AW54" s="221"/>
      <c r="AX54" s="221"/>
      <c r="AY54" s="221"/>
      <c r="AZ54" s="221"/>
      <c r="BA54" s="221"/>
      <c r="BB54" s="221"/>
      <c r="BC54" s="221"/>
      <c r="BD54" s="221"/>
      <c r="BE54" s="221"/>
      <c r="BF54" s="468">
        <f t="shared" si="90"/>
        <v>0</v>
      </c>
      <c r="BG54" s="315">
        <f t="shared" si="91"/>
        <v>0</v>
      </c>
      <c r="BH54" s="315" t="str">
        <f t="shared" si="92"/>
        <v/>
      </c>
      <c r="BI54" s="182"/>
      <c r="BJ54" s="182"/>
      <c r="BK54" s="182"/>
      <c r="BL54" s="221"/>
      <c r="BM54" s="221"/>
      <c r="BN54" s="221"/>
      <c r="BO54" s="221"/>
      <c r="BP54" s="221"/>
      <c r="BQ54" s="221"/>
      <c r="BR54" s="221"/>
      <c r="BS54" s="221"/>
      <c r="BT54" s="221"/>
      <c r="BU54" s="182"/>
      <c r="BV54" s="182"/>
      <c r="BW54" s="182"/>
      <c r="BX54" s="182"/>
      <c r="BY54" s="221" t="str">
        <f t="shared" si="93"/>
        <v/>
      </c>
      <c r="BZ54" s="221" t="str">
        <f t="shared" si="94"/>
        <v/>
      </c>
      <c r="CA54" s="221"/>
      <c r="CB54" s="221"/>
      <c r="CC54" s="221"/>
      <c r="CD54" s="221"/>
      <c r="CE54" s="221"/>
      <c r="CF54" s="221"/>
      <c r="CG54" s="221"/>
      <c r="CH54" s="221"/>
      <c r="CI54" s="221"/>
      <c r="CJ54" s="468">
        <f t="shared" si="95"/>
        <v>0</v>
      </c>
      <c r="CK54" s="315">
        <f t="shared" si="96"/>
        <v>0</v>
      </c>
      <c r="CL54" s="315" t="str">
        <f t="shared" si="97"/>
        <v/>
      </c>
      <c r="CM54" s="182"/>
      <c r="CN54" s="182"/>
      <c r="CO54" s="182"/>
      <c r="CP54" s="221"/>
      <c r="CQ54" s="221"/>
      <c r="CR54" s="221"/>
      <c r="CS54" s="221"/>
      <c r="CT54" s="221"/>
      <c r="CU54" s="221"/>
      <c r="CV54" s="221"/>
      <c r="CW54" s="221"/>
      <c r="CX54" s="221"/>
      <c r="CY54" s="221"/>
      <c r="CZ54" s="182"/>
      <c r="DA54" s="182"/>
      <c r="DB54" s="182"/>
      <c r="DC54" s="182"/>
      <c r="DD54" s="221" t="str">
        <f t="shared" si="72"/>
        <v/>
      </c>
      <c r="DE54" s="221" t="str">
        <f t="shared" si="73"/>
        <v/>
      </c>
      <c r="DF54" s="221"/>
      <c r="DG54" s="221"/>
      <c r="DH54" s="221"/>
      <c r="DI54" s="221"/>
      <c r="DJ54" s="221"/>
      <c r="DK54" s="221"/>
      <c r="DL54" s="221"/>
      <c r="DM54" s="221"/>
      <c r="DN54" s="221"/>
      <c r="DO54" s="469" t="str">
        <f t="shared" si="98"/>
        <v/>
      </c>
      <c r="DP54" s="315">
        <f t="shared" si="99"/>
        <v>0</v>
      </c>
      <c r="DQ54" s="315" t="str">
        <f t="shared" si="100"/>
        <v/>
      </c>
      <c r="DR54" s="182"/>
      <c r="DS54" s="182"/>
      <c r="DT54" s="182"/>
      <c r="DU54" s="221"/>
      <c r="DV54" s="221"/>
      <c r="DW54" s="221"/>
      <c r="DX54" s="221"/>
      <c r="DY54" s="221"/>
      <c r="DZ54" s="221"/>
      <c r="EA54" s="221"/>
      <c r="EB54" s="221"/>
      <c r="EC54" s="221"/>
      <c r="ED54" s="182"/>
      <c r="EE54" s="182"/>
      <c r="EF54" s="182"/>
      <c r="EG54" s="182"/>
      <c r="EH54" s="221" t="str">
        <f t="shared" si="101"/>
        <v/>
      </c>
      <c r="EI54" s="221" t="str">
        <f t="shared" si="102"/>
        <v/>
      </c>
      <c r="EJ54" s="221"/>
      <c r="EK54" s="221"/>
      <c r="EL54" s="221"/>
      <c r="EM54" s="221"/>
      <c r="EN54" s="221"/>
      <c r="EO54" s="221"/>
      <c r="EP54" s="221"/>
      <c r="EQ54" s="221"/>
      <c r="ER54" s="221"/>
      <c r="ES54" s="221"/>
      <c r="ET54" s="221"/>
      <c r="EU54" s="315">
        <f t="shared" si="103"/>
        <v>0</v>
      </c>
      <c r="EV54" s="315" t="str">
        <f t="shared" si="104"/>
        <v/>
      </c>
      <c r="EW54" s="182"/>
      <c r="EX54" s="182"/>
      <c r="EY54" s="182"/>
      <c r="EZ54" s="221"/>
      <c r="FA54" s="221"/>
      <c r="FB54" s="221"/>
      <c r="FC54" s="221"/>
      <c r="FD54" s="221"/>
      <c r="FE54" s="221"/>
      <c r="FF54" s="221"/>
      <c r="FG54" s="221"/>
      <c r="FH54" s="221"/>
      <c r="FI54" s="182"/>
      <c r="FJ54" s="182"/>
      <c r="FK54" s="182"/>
      <c r="FL54" s="182"/>
      <c r="FM54" s="221" t="str">
        <f t="shared" si="105"/>
        <v/>
      </c>
      <c r="FN54" s="221" t="str">
        <f t="shared" si="106"/>
        <v/>
      </c>
      <c r="FO54" s="221"/>
      <c r="FP54" s="221"/>
      <c r="FQ54" s="221"/>
      <c r="FR54" s="221"/>
      <c r="FS54" s="221"/>
      <c r="FT54" s="221"/>
      <c r="FU54" s="221"/>
      <c r="FV54" s="221"/>
      <c r="FW54" s="221"/>
      <c r="FX54" s="221"/>
      <c r="FY54" s="221"/>
      <c r="FZ54" s="408"/>
      <c r="GA54" s="315">
        <f t="shared" si="107"/>
        <v>0</v>
      </c>
      <c r="GB54" s="315" t="str">
        <f t="shared" si="108"/>
        <v/>
      </c>
      <c r="GC54" s="182" t="s">
        <v>160</v>
      </c>
      <c r="GD54" s="182"/>
      <c r="GE54" s="182"/>
      <c r="GG54" s="460"/>
      <c r="GH54" s="460"/>
      <c r="GU54" s="469"/>
      <c r="GV54" s="470" t="str">
        <f t="shared" si="109"/>
        <v/>
      </c>
      <c r="GW54" s="302">
        <f t="shared" si="110"/>
        <v>0</v>
      </c>
      <c r="HA54" s="654"/>
      <c r="HD54" s="379"/>
      <c r="HE54" s="380"/>
      <c r="HH54" s="383"/>
      <c r="HI54" s="410"/>
      <c r="HJ54" s="302" t="str">
        <f t="shared" si="85"/>
        <v/>
      </c>
      <c r="HO54" s="302" t="str">
        <f t="shared" si="34"/>
        <v/>
      </c>
      <c r="HP54" s="302" t="str">
        <f t="shared" si="35"/>
        <v/>
      </c>
      <c r="HQ54" s="302" t="str">
        <f t="shared" si="36"/>
        <v/>
      </c>
      <c r="IT54" s="410"/>
      <c r="IU54" s="410"/>
      <c r="IV54" s="635"/>
    </row>
    <row r="55" spans="1:256" s="302" customFormat="1" ht="12.75" hidden="1" customHeight="1">
      <c r="A55" s="397" t="str">
        <f t="shared" si="1"/>
        <v/>
      </c>
      <c r="B55" s="462" t="str">
        <f t="shared" si="61"/>
        <v/>
      </c>
      <c r="C55" s="426"/>
      <c r="D55" s="575"/>
      <c r="E55" s="463"/>
      <c r="F55" s="464"/>
      <c r="G55" s="465"/>
      <c r="H55" s="465"/>
      <c r="I55" s="466"/>
      <c r="J55" s="463"/>
      <c r="K55" s="465"/>
      <c r="L55" s="465"/>
      <c r="M55" s="466"/>
      <c r="N55" s="573"/>
      <c r="O55" s="467"/>
      <c r="P55" s="518"/>
      <c r="Q55" s="381"/>
      <c r="R55" s="182"/>
      <c r="S55" s="182"/>
      <c r="T55" s="182"/>
      <c r="U55" s="182"/>
      <c r="V55" s="182"/>
      <c r="W55" s="182"/>
      <c r="X55" s="182"/>
      <c r="Y55" s="182"/>
      <c r="Z55" s="182"/>
      <c r="AA55" s="384"/>
      <c r="AB55" s="182" t="str">
        <f t="shared" si="86"/>
        <v/>
      </c>
      <c r="AC55" s="315">
        <f t="shared" si="87"/>
        <v>0</v>
      </c>
      <c r="AD55" s="315" t="str">
        <f t="shared" si="63"/>
        <v/>
      </c>
      <c r="AE55" s="182"/>
      <c r="AF55" s="182"/>
      <c r="AG55" s="182"/>
      <c r="AH55" s="221"/>
      <c r="AI55" s="221"/>
      <c r="AJ55" s="221"/>
      <c r="AK55" s="221"/>
      <c r="AL55" s="221"/>
      <c r="AM55" s="221"/>
      <c r="AN55" s="221"/>
      <c r="AO55" s="221"/>
      <c r="AP55" s="221"/>
      <c r="AQ55" s="182"/>
      <c r="AR55" s="182"/>
      <c r="AS55" s="182"/>
      <c r="AT55" s="224"/>
      <c r="AU55" s="221" t="str">
        <f t="shared" si="88"/>
        <v/>
      </c>
      <c r="AV55" s="221" t="str">
        <f t="shared" si="89"/>
        <v/>
      </c>
      <c r="AW55" s="221"/>
      <c r="AX55" s="221"/>
      <c r="AY55" s="221"/>
      <c r="AZ55" s="221"/>
      <c r="BA55" s="221"/>
      <c r="BB55" s="221"/>
      <c r="BC55" s="221"/>
      <c r="BD55" s="221"/>
      <c r="BE55" s="221"/>
      <c r="BF55" s="469">
        <f t="shared" si="90"/>
        <v>0</v>
      </c>
      <c r="BG55" s="315">
        <f t="shared" si="91"/>
        <v>0</v>
      </c>
      <c r="BH55" s="315" t="str">
        <f t="shared" si="92"/>
        <v/>
      </c>
      <c r="BI55" s="182"/>
      <c r="BJ55" s="182"/>
      <c r="BK55" s="182"/>
      <c r="BL55" s="221"/>
      <c r="BM55" s="221"/>
      <c r="BN55" s="221"/>
      <c r="BO55" s="221"/>
      <c r="BP55" s="221"/>
      <c r="BQ55" s="221"/>
      <c r="BR55" s="221"/>
      <c r="BS55" s="221"/>
      <c r="BT55" s="221"/>
      <c r="BU55" s="182"/>
      <c r="BV55" s="182"/>
      <c r="BW55" s="182"/>
      <c r="BX55" s="182"/>
      <c r="BY55" s="221" t="str">
        <f t="shared" si="93"/>
        <v/>
      </c>
      <c r="BZ55" s="221" t="str">
        <f t="shared" si="94"/>
        <v/>
      </c>
      <c r="CA55" s="221"/>
      <c r="CB55" s="221"/>
      <c r="CC55" s="221"/>
      <c r="CD55" s="221"/>
      <c r="CE55" s="221"/>
      <c r="CF55" s="221"/>
      <c r="CG55" s="221"/>
      <c r="CH55" s="221"/>
      <c r="CI55" s="221"/>
      <c r="CJ55" s="469">
        <f t="shared" si="95"/>
        <v>0</v>
      </c>
      <c r="CK55" s="315">
        <f t="shared" si="96"/>
        <v>0</v>
      </c>
      <c r="CL55" s="315" t="str">
        <f t="shared" si="97"/>
        <v/>
      </c>
      <c r="CM55" s="182"/>
      <c r="CN55" s="182"/>
      <c r="CO55" s="182"/>
      <c r="CP55" s="221"/>
      <c r="CQ55" s="221"/>
      <c r="CR55" s="221"/>
      <c r="CS55" s="221"/>
      <c r="CT55" s="221"/>
      <c r="CU55" s="221"/>
      <c r="CV55" s="221"/>
      <c r="CW55" s="221"/>
      <c r="CX55" s="221"/>
      <c r="CY55" s="221"/>
      <c r="CZ55" s="182"/>
      <c r="DA55" s="182"/>
      <c r="DB55" s="182"/>
      <c r="DC55" s="182"/>
      <c r="DD55" s="221" t="str">
        <f t="shared" si="72"/>
        <v/>
      </c>
      <c r="DE55" s="221" t="str">
        <f t="shared" si="73"/>
        <v/>
      </c>
      <c r="DF55" s="221"/>
      <c r="DG55" s="221"/>
      <c r="DH55" s="221"/>
      <c r="DI55" s="221"/>
      <c r="DJ55" s="221"/>
      <c r="DK55" s="221"/>
      <c r="DL55" s="221"/>
      <c r="DM55" s="221"/>
      <c r="DN55" s="221"/>
      <c r="DO55" s="469" t="str">
        <f t="shared" si="98"/>
        <v/>
      </c>
      <c r="DP55" s="315">
        <f t="shared" si="99"/>
        <v>0</v>
      </c>
      <c r="DQ55" s="315" t="str">
        <f t="shared" si="100"/>
        <v/>
      </c>
      <c r="DR55" s="182"/>
      <c r="DS55" s="182"/>
      <c r="DT55" s="182"/>
      <c r="DU55" s="221"/>
      <c r="DV55" s="221"/>
      <c r="DW55" s="221"/>
      <c r="DX55" s="221"/>
      <c r="DY55" s="221"/>
      <c r="DZ55" s="221"/>
      <c r="EA55" s="221"/>
      <c r="EB55" s="221"/>
      <c r="EC55" s="221"/>
      <c r="ED55" s="182"/>
      <c r="EE55" s="182"/>
      <c r="EF55" s="182"/>
      <c r="EG55" s="182"/>
      <c r="EH55" s="221" t="str">
        <f t="shared" si="101"/>
        <v/>
      </c>
      <c r="EI55" s="221" t="str">
        <f t="shared" si="102"/>
        <v/>
      </c>
      <c r="EJ55" s="221"/>
      <c r="EK55" s="221"/>
      <c r="EL55" s="221"/>
      <c r="EM55" s="221"/>
      <c r="EN55" s="221"/>
      <c r="EO55" s="221"/>
      <c r="EP55" s="221"/>
      <c r="EQ55" s="221"/>
      <c r="ER55" s="221"/>
      <c r="ES55" s="221"/>
      <c r="ET55" s="221"/>
      <c r="EU55" s="315">
        <f t="shared" si="103"/>
        <v>0</v>
      </c>
      <c r="EV55" s="315" t="str">
        <f t="shared" si="104"/>
        <v/>
      </c>
      <c r="EW55" s="182"/>
      <c r="EX55" s="182"/>
      <c r="EY55" s="182"/>
      <c r="EZ55" s="221"/>
      <c r="FA55" s="221"/>
      <c r="FB55" s="221"/>
      <c r="FC55" s="221"/>
      <c r="FD55" s="221"/>
      <c r="FE55" s="221"/>
      <c r="FF55" s="221"/>
      <c r="FG55" s="221"/>
      <c r="FH55" s="221"/>
      <c r="FI55" s="182"/>
      <c r="FJ55" s="182"/>
      <c r="FK55" s="182"/>
      <c r="FL55" s="182"/>
      <c r="FM55" s="221" t="str">
        <f t="shared" si="105"/>
        <v/>
      </c>
      <c r="FN55" s="221" t="str">
        <f t="shared" si="106"/>
        <v/>
      </c>
      <c r="FO55" s="221"/>
      <c r="FP55" s="221"/>
      <c r="FQ55" s="221"/>
      <c r="FR55" s="221"/>
      <c r="FS55" s="221"/>
      <c r="FT55" s="221"/>
      <c r="FU55" s="221"/>
      <c r="FV55" s="221"/>
      <c r="FW55" s="221"/>
      <c r="FX55" s="221"/>
      <c r="FY55" s="221"/>
      <c r="FZ55" s="408"/>
      <c r="GA55" s="315">
        <f t="shared" si="107"/>
        <v>0</v>
      </c>
      <c r="GB55" s="315" t="str">
        <f t="shared" si="108"/>
        <v/>
      </c>
      <c r="GC55" s="182" t="s">
        <v>160</v>
      </c>
      <c r="GD55" s="182"/>
      <c r="GE55" s="182"/>
      <c r="GG55" s="460"/>
      <c r="GH55" s="460"/>
      <c r="GU55" s="469"/>
      <c r="GV55" s="470" t="str">
        <f t="shared" si="109"/>
        <v/>
      </c>
      <c r="GW55" s="302">
        <f t="shared" si="110"/>
        <v>0</v>
      </c>
      <c r="HA55" s="654"/>
      <c r="HD55" s="379"/>
      <c r="HE55" s="380"/>
      <c r="HH55" s="385"/>
      <c r="HI55" s="411"/>
      <c r="HJ55" s="302" t="str">
        <f t="shared" si="85"/>
        <v/>
      </c>
      <c r="HO55" s="302" t="str">
        <f t="shared" si="34"/>
        <v/>
      </c>
      <c r="HP55" s="302" t="str">
        <f t="shared" si="35"/>
        <v/>
      </c>
      <c r="HQ55" s="302" t="str">
        <f t="shared" si="36"/>
        <v/>
      </c>
      <c r="IT55" s="411"/>
      <c r="IU55" s="411"/>
      <c r="IV55" s="635"/>
    </row>
    <row r="56" spans="1:256" s="302" customFormat="1" ht="12.75" hidden="1" customHeight="1">
      <c r="A56" s="397" t="str">
        <f t="shared" si="1"/>
        <v/>
      </c>
      <c r="B56" s="462" t="str">
        <f t="shared" si="61"/>
        <v/>
      </c>
      <c r="C56" s="426"/>
      <c r="D56" s="575"/>
      <c r="E56" s="463"/>
      <c r="F56" s="464"/>
      <c r="G56" s="465"/>
      <c r="H56" s="465"/>
      <c r="I56" s="466"/>
      <c r="J56" s="463"/>
      <c r="K56" s="465"/>
      <c r="L56" s="465"/>
      <c r="M56" s="466"/>
      <c r="N56" s="573"/>
      <c r="O56" s="467"/>
      <c r="P56" s="518"/>
      <c r="Q56" s="381"/>
      <c r="R56" s="182"/>
      <c r="S56" s="182"/>
      <c r="T56" s="182"/>
      <c r="U56" s="182"/>
      <c r="V56" s="182"/>
      <c r="W56" s="182"/>
      <c r="X56" s="182"/>
      <c r="Y56" s="182"/>
      <c r="Z56" s="182"/>
      <c r="AA56" s="384"/>
      <c r="AB56" s="182" t="str">
        <f t="shared" si="86"/>
        <v/>
      </c>
      <c r="AC56" s="315">
        <f t="shared" si="87"/>
        <v>0</v>
      </c>
      <c r="AD56" s="315" t="str">
        <f t="shared" si="63"/>
        <v/>
      </c>
      <c r="AE56" s="182"/>
      <c r="AF56" s="182"/>
      <c r="AG56" s="182"/>
      <c r="AH56" s="221"/>
      <c r="AI56" s="221"/>
      <c r="AJ56" s="221"/>
      <c r="AK56" s="221"/>
      <c r="AL56" s="221"/>
      <c r="AM56" s="221"/>
      <c r="AN56" s="221"/>
      <c r="AO56" s="221"/>
      <c r="AP56" s="221"/>
      <c r="AQ56" s="182"/>
      <c r="AR56" s="182"/>
      <c r="AS56" s="182"/>
      <c r="AT56" s="182"/>
      <c r="AU56" s="221" t="str">
        <f t="shared" si="88"/>
        <v/>
      </c>
      <c r="AV56" s="221" t="str">
        <f t="shared" si="89"/>
        <v/>
      </c>
      <c r="AW56" s="221"/>
      <c r="AX56" s="221"/>
      <c r="AY56" s="221"/>
      <c r="AZ56" s="221"/>
      <c r="BA56" s="221"/>
      <c r="BB56" s="221"/>
      <c r="BC56" s="221"/>
      <c r="BD56" s="221"/>
      <c r="BE56" s="221"/>
      <c r="BF56" s="469">
        <f t="shared" si="90"/>
        <v>0</v>
      </c>
      <c r="BG56" s="315">
        <f t="shared" si="91"/>
        <v>0</v>
      </c>
      <c r="BH56" s="315" t="str">
        <f t="shared" si="92"/>
        <v/>
      </c>
      <c r="BI56" s="182"/>
      <c r="BJ56" s="182"/>
      <c r="BK56" s="182"/>
      <c r="BL56" s="221"/>
      <c r="BM56" s="221"/>
      <c r="BN56" s="221"/>
      <c r="BO56" s="221"/>
      <c r="BP56" s="221"/>
      <c r="BQ56" s="221"/>
      <c r="BR56" s="221"/>
      <c r="BS56" s="221"/>
      <c r="BT56" s="221"/>
      <c r="BU56" s="182"/>
      <c r="BV56" s="182"/>
      <c r="BW56" s="182"/>
      <c r="BX56" s="182"/>
      <c r="BY56" s="221" t="str">
        <f t="shared" si="93"/>
        <v/>
      </c>
      <c r="BZ56" s="221" t="str">
        <f t="shared" si="94"/>
        <v/>
      </c>
      <c r="CA56" s="221"/>
      <c r="CB56" s="221"/>
      <c r="CC56" s="221"/>
      <c r="CD56" s="221"/>
      <c r="CE56" s="221"/>
      <c r="CF56" s="221"/>
      <c r="CG56" s="221"/>
      <c r="CH56" s="221"/>
      <c r="CI56" s="221"/>
      <c r="CJ56" s="469">
        <f t="shared" si="95"/>
        <v>0</v>
      </c>
      <c r="CK56" s="315">
        <f t="shared" si="96"/>
        <v>0</v>
      </c>
      <c r="CL56" s="315" t="str">
        <f t="shared" si="97"/>
        <v/>
      </c>
      <c r="CM56" s="182"/>
      <c r="CN56" s="182"/>
      <c r="CO56" s="182"/>
      <c r="CP56" s="221"/>
      <c r="CQ56" s="221"/>
      <c r="CR56" s="221"/>
      <c r="CS56" s="221"/>
      <c r="CT56" s="221"/>
      <c r="CU56" s="221"/>
      <c r="CV56" s="221"/>
      <c r="CW56" s="221"/>
      <c r="CX56" s="221"/>
      <c r="CY56" s="221"/>
      <c r="CZ56" s="182"/>
      <c r="DA56" s="182"/>
      <c r="DB56" s="182"/>
      <c r="DC56" s="182"/>
      <c r="DD56" s="221" t="str">
        <f t="shared" si="72"/>
        <v/>
      </c>
      <c r="DE56" s="221" t="str">
        <f t="shared" si="73"/>
        <v/>
      </c>
      <c r="DF56" s="221"/>
      <c r="DG56" s="221"/>
      <c r="DH56" s="221"/>
      <c r="DI56" s="221"/>
      <c r="DJ56" s="221"/>
      <c r="DK56" s="221"/>
      <c r="DL56" s="221"/>
      <c r="DM56" s="221"/>
      <c r="DN56" s="221"/>
      <c r="DO56" s="469" t="str">
        <f t="shared" si="98"/>
        <v/>
      </c>
      <c r="DP56" s="315">
        <f t="shared" si="99"/>
        <v>0</v>
      </c>
      <c r="DQ56" s="315" t="str">
        <f t="shared" si="100"/>
        <v/>
      </c>
      <c r="DR56" s="182"/>
      <c r="DS56" s="182"/>
      <c r="DT56" s="182"/>
      <c r="DU56" s="221"/>
      <c r="DV56" s="221"/>
      <c r="DW56" s="221"/>
      <c r="DX56" s="221"/>
      <c r="DY56" s="221"/>
      <c r="DZ56" s="221"/>
      <c r="EA56" s="221"/>
      <c r="EB56" s="221"/>
      <c r="EC56" s="221"/>
      <c r="ED56" s="182"/>
      <c r="EE56" s="182"/>
      <c r="EF56" s="182"/>
      <c r="EG56" s="182"/>
      <c r="EH56" s="221" t="str">
        <f t="shared" si="101"/>
        <v/>
      </c>
      <c r="EI56" s="221" t="str">
        <f t="shared" si="102"/>
        <v/>
      </c>
      <c r="EJ56" s="221"/>
      <c r="EK56" s="221"/>
      <c r="EL56" s="221"/>
      <c r="EM56" s="221"/>
      <c r="EN56" s="221"/>
      <c r="EO56" s="221"/>
      <c r="EP56" s="221"/>
      <c r="EQ56" s="221"/>
      <c r="ER56" s="221"/>
      <c r="ES56" s="221"/>
      <c r="ET56" s="221"/>
      <c r="EU56" s="315">
        <f t="shared" si="103"/>
        <v>0</v>
      </c>
      <c r="EV56" s="315" t="str">
        <f t="shared" si="104"/>
        <v/>
      </c>
      <c r="EW56" s="182"/>
      <c r="EX56" s="182"/>
      <c r="EY56" s="182"/>
      <c r="EZ56" s="221"/>
      <c r="FA56" s="221"/>
      <c r="FB56" s="221"/>
      <c r="FC56" s="221"/>
      <c r="FD56" s="221"/>
      <c r="FE56" s="221"/>
      <c r="FF56" s="221"/>
      <c r="FG56" s="221"/>
      <c r="FH56" s="221"/>
      <c r="FI56" s="182"/>
      <c r="FJ56" s="182"/>
      <c r="FK56" s="182"/>
      <c r="FL56" s="182"/>
      <c r="FM56" s="221" t="str">
        <f t="shared" si="105"/>
        <v/>
      </c>
      <c r="FN56" s="221" t="str">
        <f t="shared" si="106"/>
        <v/>
      </c>
      <c r="FO56" s="221"/>
      <c r="FP56" s="221"/>
      <c r="FQ56" s="221"/>
      <c r="FR56" s="221"/>
      <c r="FS56" s="221"/>
      <c r="FT56" s="221"/>
      <c r="FU56" s="221"/>
      <c r="FV56" s="221"/>
      <c r="FW56" s="221"/>
      <c r="FX56" s="221"/>
      <c r="FY56" s="221"/>
      <c r="FZ56" s="408"/>
      <c r="GA56" s="315">
        <f t="shared" si="107"/>
        <v>0</v>
      </c>
      <c r="GB56" s="315" t="str">
        <f t="shared" si="108"/>
        <v/>
      </c>
      <c r="GC56" s="182" t="s">
        <v>160</v>
      </c>
      <c r="GD56" s="182"/>
      <c r="GE56" s="182"/>
      <c r="GG56" s="460"/>
      <c r="GH56" s="460"/>
      <c r="GU56" s="469"/>
      <c r="GV56" s="470" t="str">
        <f t="shared" si="109"/>
        <v/>
      </c>
      <c r="GW56" s="302">
        <f t="shared" si="110"/>
        <v>0</v>
      </c>
      <c r="HA56" s="654"/>
      <c r="HD56" s="379"/>
      <c r="HE56" s="380"/>
      <c r="HH56" s="385"/>
      <c r="HI56" s="411"/>
      <c r="HJ56" s="302" t="str">
        <f t="shared" si="85"/>
        <v/>
      </c>
      <c r="HO56" s="302" t="str">
        <f t="shared" si="34"/>
        <v/>
      </c>
      <c r="HP56" s="302" t="str">
        <f t="shared" si="35"/>
        <v/>
      </c>
      <c r="HQ56" s="302" t="str">
        <f t="shared" si="36"/>
        <v/>
      </c>
      <c r="IT56" s="411"/>
      <c r="IU56" s="411"/>
      <c r="IV56" s="635"/>
    </row>
    <row r="57" spans="1:256" s="302" customFormat="1" ht="12.75" hidden="1" customHeight="1">
      <c r="A57" s="397" t="str">
        <f t="shared" si="1"/>
        <v/>
      </c>
      <c r="B57" s="462" t="str">
        <f t="shared" si="61"/>
        <v/>
      </c>
      <c r="C57" s="426"/>
      <c r="D57" s="575"/>
      <c r="E57" s="463"/>
      <c r="F57" s="464"/>
      <c r="G57" s="465"/>
      <c r="H57" s="465"/>
      <c r="I57" s="466"/>
      <c r="J57" s="463"/>
      <c r="K57" s="465"/>
      <c r="L57" s="465"/>
      <c r="M57" s="466"/>
      <c r="N57" s="573"/>
      <c r="O57" s="467"/>
      <c r="P57" s="518"/>
      <c r="Q57" s="381"/>
      <c r="R57" s="182"/>
      <c r="S57" s="182"/>
      <c r="T57" s="182"/>
      <c r="U57" s="182"/>
      <c r="V57" s="182"/>
      <c r="W57" s="182"/>
      <c r="X57" s="182"/>
      <c r="Y57" s="182"/>
      <c r="Z57" s="182"/>
      <c r="AA57" s="382"/>
      <c r="AB57" s="182" t="str">
        <f t="shared" si="86"/>
        <v/>
      </c>
      <c r="AC57" s="315">
        <f t="shared" si="87"/>
        <v>0</v>
      </c>
      <c r="AD57" s="315" t="str">
        <f t="shared" si="63"/>
        <v/>
      </c>
      <c r="AE57" s="182"/>
      <c r="AF57" s="182"/>
      <c r="AG57" s="182"/>
      <c r="AH57" s="221"/>
      <c r="AI57" s="221"/>
      <c r="AJ57" s="221"/>
      <c r="AK57" s="221"/>
      <c r="AL57" s="221"/>
      <c r="AM57" s="221"/>
      <c r="AN57" s="221"/>
      <c r="AO57" s="221"/>
      <c r="AP57" s="221"/>
      <c r="AQ57" s="182"/>
      <c r="AR57" s="182"/>
      <c r="AS57" s="182"/>
      <c r="AT57" s="182"/>
      <c r="AU57" s="221" t="str">
        <f t="shared" si="88"/>
        <v/>
      </c>
      <c r="AV57" s="221" t="str">
        <f t="shared" si="89"/>
        <v/>
      </c>
      <c r="AW57" s="221"/>
      <c r="AX57" s="221"/>
      <c r="AY57" s="221"/>
      <c r="AZ57" s="221"/>
      <c r="BA57" s="221"/>
      <c r="BB57" s="221"/>
      <c r="BC57" s="221"/>
      <c r="BD57" s="221"/>
      <c r="BE57" s="221"/>
      <c r="BF57" s="468">
        <f t="shared" si="90"/>
        <v>0</v>
      </c>
      <c r="BG57" s="315">
        <f t="shared" si="91"/>
        <v>0</v>
      </c>
      <c r="BH57" s="315" t="str">
        <f t="shared" si="92"/>
        <v/>
      </c>
      <c r="BI57" s="182"/>
      <c r="BJ57" s="182"/>
      <c r="BK57" s="182"/>
      <c r="BL57" s="221"/>
      <c r="BM57" s="221"/>
      <c r="BN57" s="221"/>
      <c r="BO57" s="221"/>
      <c r="BP57" s="221"/>
      <c r="BQ57" s="221"/>
      <c r="BR57" s="221"/>
      <c r="BS57" s="221"/>
      <c r="BT57" s="221"/>
      <c r="BU57" s="182"/>
      <c r="BV57" s="182"/>
      <c r="BW57" s="182"/>
      <c r="BX57" s="182"/>
      <c r="BY57" s="221" t="str">
        <f t="shared" si="93"/>
        <v/>
      </c>
      <c r="BZ57" s="221" t="str">
        <f t="shared" si="94"/>
        <v/>
      </c>
      <c r="CA57" s="221"/>
      <c r="CB57" s="221"/>
      <c r="CC57" s="221"/>
      <c r="CD57" s="221"/>
      <c r="CE57" s="221"/>
      <c r="CF57" s="221"/>
      <c r="CG57" s="221"/>
      <c r="CH57" s="221"/>
      <c r="CI57" s="221"/>
      <c r="CJ57" s="468">
        <f t="shared" si="95"/>
        <v>0</v>
      </c>
      <c r="CK57" s="315">
        <f t="shared" si="96"/>
        <v>0</v>
      </c>
      <c r="CL57" s="315" t="str">
        <f t="shared" si="97"/>
        <v/>
      </c>
      <c r="CM57" s="182"/>
      <c r="CN57" s="182"/>
      <c r="CO57" s="182"/>
      <c r="CP57" s="221"/>
      <c r="CQ57" s="221"/>
      <c r="CR57" s="221"/>
      <c r="CS57" s="221"/>
      <c r="CT57" s="221"/>
      <c r="CU57" s="221"/>
      <c r="CV57" s="221"/>
      <c r="CW57" s="221"/>
      <c r="CX57" s="221"/>
      <c r="CY57" s="221"/>
      <c r="CZ57" s="182"/>
      <c r="DA57" s="182"/>
      <c r="DB57" s="182"/>
      <c r="DC57" s="182"/>
      <c r="DD57" s="221" t="str">
        <f t="shared" si="72"/>
        <v/>
      </c>
      <c r="DE57" s="221" t="str">
        <f t="shared" si="73"/>
        <v/>
      </c>
      <c r="DF57" s="221"/>
      <c r="DG57" s="221"/>
      <c r="DH57" s="221"/>
      <c r="DI57" s="221"/>
      <c r="DJ57" s="221"/>
      <c r="DK57" s="221"/>
      <c r="DL57" s="221"/>
      <c r="DM57" s="221"/>
      <c r="DN57" s="221"/>
      <c r="DO57" s="469" t="str">
        <f t="shared" si="98"/>
        <v/>
      </c>
      <c r="DP57" s="315">
        <f t="shared" si="99"/>
        <v>0</v>
      </c>
      <c r="DQ57" s="315" t="str">
        <f t="shared" si="100"/>
        <v/>
      </c>
      <c r="DR57" s="182"/>
      <c r="DS57" s="182"/>
      <c r="DT57" s="182"/>
      <c r="DU57" s="221"/>
      <c r="DV57" s="221"/>
      <c r="DW57" s="221"/>
      <c r="DX57" s="221"/>
      <c r="DY57" s="221"/>
      <c r="DZ57" s="221"/>
      <c r="EA57" s="221"/>
      <c r="EB57" s="221"/>
      <c r="EC57" s="221"/>
      <c r="ED57" s="182"/>
      <c r="EE57" s="182"/>
      <c r="EF57" s="182"/>
      <c r="EG57" s="182"/>
      <c r="EH57" s="221" t="str">
        <f t="shared" si="101"/>
        <v/>
      </c>
      <c r="EI57" s="221" t="str">
        <f t="shared" si="102"/>
        <v/>
      </c>
      <c r="EJ57" s="221"/>
      <c r="EK57" s="221"/>
      <c r="EL57" s="221"/>
      <c r="EM57" s="221"/>
      <c r="EN57" s="221"/>
      <c r="EO57" s="221"/>
      <c r="EP57" s="221"/>
      <c r="EQ57" s="221"/>
      <c r="ER57" s="221"/>
      <c r="ES57" s="221"/>
      <c r="ET57" s="221"/>
      <c r="EU57" s="315">
        <f t="shared" si="103"/>
        <v>0</v>
      </c>
      <c r="EV57" s="315" t="str">
        <f t="shared" si="104"/>
        <v/>
      </c>
      <c r="EW57" s="182"/>
      <c r="EX57" s="182"/>
      <c r="EY57" s="182"/>
      <c r="EZ57" s="221"/>
      <c r="FA57" s="221"/>
      <c r="FB57" s="221"/>
      <c r="FC57" s="221"/>
      <c r="FD57" s="221"/>
      <c r="FE57" s="221"/>
      <c r="FF57" s="221"/>
      <c r="FG57" s="221"/>
      <c r="FH57" s="221"/>
      <c r="FI57" s="182"/>
      <c r="FJ57" s="182"/>
      <c r="FK57" s="182"/>
      <c r="FL57" s="182"/>
      <c r="FM57" s="221" t="str">
        <f t="shared" si="105"/>
        <v/>
      </c>
      <c r="FN57" s="221" t="str">
        <f t="shared" si="106"/>
        <v/>
      </c>
      <c r="FO57" s="221"/>
      <c r="FP57" s="221"/>
      <c r="FQ57" s="221"/>
      <c r="FR57" s="221"/>
      <c r="FS57" s="221"/>
      <c r="FT57" s="221"/>
      <c r="FU57" s="221"/>
      <c r="FV57" s="221"/>
      <c r="FW57" s="221"/>
      <c r="FX57" s="221"/>
      <c r="FY57" s="221"/>
      <c r="FZ57" s="408"/>
      <c r="GA57" s="315">
        <f t="shared" si="107"/>
        <v>0</v>
      </c>
      <c r="GB57" s="315" t="str">
        <f t="shared" si="108"/>
        <v/>
      </c>
      <c r="GC57" s="182" t="s">
        <v>160</v>
      </c>
      <c r="GD57" s="182"/>
      <c r="GE57" s="182"/>
      <c r="GG57" s="460"/>
      <c r="GH57" s="460"/>
      <c r="GU57" s="469"/>
      <c r="GV57" s="470" t="str">
        <f t="shared" si="109"/>
        <v/>
      </c>
      <c r="GW57" s="302">
        <f t="shared" si="110"/>
        <v>0</v>
      </c>
      <c r="HA57" s="654"/>
      <c r="HD57" s="379"/>
      <c r="HE57" s="380"/>
      <c r="HH57" s="383"/>
      <c r="HI57" s="410"/>
      <c r="HJ57" s="302" t="str">
        <f t="shared" si="85"/>
        <v/>
      </c>
      <c r="HO57" s="302" t="str">
        <f t="shared" si="34"/>
        <v/>
      </c>
      <c r="HP57" s="302" t="str">
        <f t="shared" si="35"/>
        <v/>
      </c>
      <c r="HQ57" s="302" t="str">
        <f t="shared" si="36"/>
        <v/>
      </c>
      <c r="IT57" s="410"/>
      <c r="IU57" s="410"/>
      <c r="IV57" s="635"/>
    </row>
    <row r="58" spans="1:256" s="302" customFormat="1" ht="12.75" hidden="1" customHeight="1">
      <c r="A58" s="397" t="str">
        <f t="shared" si="1"/>
        <v/>
      </c>
      <c r="B58" s="462" t="str">
        <f t="shared" si="61"/>
        <v/>
      </c>
      <c r="C58" s="426"/>
      <c r="D58" s="575"/>
      <c r="E58" s="463"/>
      <c r="F58" s="464"/>
      <c r="G58" s="465"/>
      <c r="H58" s="465"/>
      <c r="I58" s="466"/>
      <c r="J58" s="463"/>
      <c r="K58" s="465"/>
      <c r="L58" s="465"/>
      <c r="M58" s="466"/>
      <c r="N58" s="573"/>
      <c r="O58" s="467"/>
      <c r="P58" s="518"/>
      <c r="Q58" s="381"/>
      <c r="R58" s="182"/>
      <c r="S58" s="182"/>
      <c r="T58" s="182"/>
      <c r="U58" s="182"/>
      <c r="V58" s="182"/>
      <c r="W58" s="182"/>
      <c r="X58" s="182"/>
      <c r="Y58" s="182"/>
      <c r="Z58" s="182"/>
      <c r="AA58" s="384"/>
      <c r="AB58" s="182" t="str">
        <f t="shared" si="86"/>
        <v/>
      </c>
      <c r="AC58" s="315">
        <f t="shared" si="87"/>
        <v>0</v>
      </c>
      <c r="AD58" s="315" t="str">
        <f t="shared" si="63"/>
        <v/>
      </c>
      <c r="AE58" s="182"/>
      <c r="AF58" s="182"/>
      <c r="AG58" s="182"/>
      <c r="AH58" s="221"/>
      <c r="AI58" s="221"/>
      <c r="AJ58" s="221"/>
      <c r="AK58" s="221"/>
      <c r="AL58" s="221"/>
      <c r="AM58" s="221"/>
      <c r="AN58" s="221"/>
      <c r="AO58" s="221"/>
      <c r="AP58" s="221"/>
      <c r="AQ58" s="182"/>
      <c r="AR58" s="182"/>
      <c r="AS58" s="182"/>
      <c r="AT58" s="182"/>
      <c r="AU58" s="221" t="str">
        <f t="shared" si="88"/>
        <v/>
      </c>
      <c r="AV58" s="221" t="str">
        <f t="shared" si="89"/>
        <v/>
      </c>
      <c r="AW58" s="221"/>
      <c r="AX58" s="221"/>
      <c r="AY58" s="221"/>
      <c r="AZ58" s="221"/>
      <c r="BA58" s="221"/>
      <c r="BB58" s="221"/>
      <c r="BC58" s="221"/>
      <c r="BD58" s="221"/>
      <c r="BE58" s="221"/>
      <c r="BF58" s="469">
        <f t="shared" si="90"/>
        <v>0</v>
      </c>
      <c r="BG58" s="315">
        <f t="shared" si="91"/>
        <v>0</v>
      </c>
      <c r="BH58" s="315" t="str">
        <f t="shared" si="92"/>
        <v/>
      </c>
      <c r="BI58" s="182"/>
      <c r="BJ58" s="182"/>
      <c r="BK58" s="182"/>
      <c r="BL58" s="221"/>
      <c r="BM58" s="221"/>
      <c r="BN58" s="221"/>
      <c r="BO58" s="221"/>
      <c r="BP58" s="221"/>
      <c r="BQ58" s="221"/>
      <c r="BR58" s="221"/>
      <c r="BS58" s="221"/>
      <c r="BT58" s="221"/>
      <c r="BU58" s="182"/>
      <c r="BV58" s="182"/>
      <c r="BW58" s="182"/>
      <c r="BX58" s="182"/>
      <c r="BY58" s="221" t="str">
        <f t="shared" si="93"/>
        <v/>
      </c>
      <c r="BZ58" s="221" t="str">
        <f t="shared" si="94"/>
        <v/>
      </c>
      <c r="CA58" s="221"/>
      <c r="CB58" s="221"/>
      <c r="CC58" s="221"/>
      <c r="CD58" s="221"/>
      <c r="CE58" s="221"/>
      <c r="CF58" s="221"/>
      <c r="CG58" s="221"/>
      <c r="CH58" s="221"/>
      <c r="CI58" s="221"/>
      <c r="CJ58" s="469">
        <f t="shared" si="95"/>
        <v>0</v>
      </c>
      <c r="CK58" s="315">
        <f t="shared" si="96"/>
        <v>0</v>
      </c>
      <c r="CL58" s="315" t="str">
        <f t="shared" si="97"/>
        <v/>
      </c>
      <c r="CM58" s="182"/>
      <c r="CN58" s="182"/>
      <c r="CO58" s="182"/>
      <c r="CP58" s="221"/>
      <c r="CQ58" s="221"/>
      <c r="CR58" s="221"/>
      <c r="CS58" s="221"/>
      <c r="CT58" s="221"/>
      <c r="CU58" s="221"/>
      <c r="CV58" s="221"/>
      <c r="CW58" s="221"/>
      <c r="CX58" s="221"/>
      <c r="CY58" s="221"/>
      <c r="CZ58" s="182"/>
      <c r="DA58" s="182"/>
      <c r="DB58" s="182"/>
      <c r="DC58" s="182"/>
      <c r="DD58" s="221" t="str">
        <f t="shared" si="72"/>
        <v/>
      </c>
      <c r="DE58" s="221" t="str">
        <f t="shared" si="73"/>
        <v/>
      </c>
      <c r="DF58" s="221"/>
      <c r="DG58" s="221"/>
      <c r="DH58" s="221"/>
      <c r="DI58" s="221"/>
      <c r="DJ58" s="221"/>
      <c r="DK58" s="221"/>
      <c r="DL58" s="221"/>
      <c r="DM58" s="221"/>
      <c r="DN58" s="221"/>
      <c r="DO58" s="469" t="str">
        <f t="shared" si="98"/>
        <v/>
      </c>
      <c r="DP58" s="315">
        <f t="shared" si="99"/>
        <v>0</v>
      </c>
      <c r="DQ58" s="315" t="str">
        <f t="shared" si="100"/>
        <v/>
      </c>
      <c r="DR58" s="182"/>
      <c r="DS58" s="182"/>
      <c r="DT58" s="182"/>
      <c r="DU58" s="221"/>
      <c r="DV58" s="221"/>
      <c r="DW58" s="221"/>
      <c r="DX58" s="221"/>
      <c r="DY58" s="221"/>
      <c r="DZ58" s="221"/>
      <c r="EA58" s="221"/>
      <c r="EB58" s="221"/>
      <c r="EC58" s="221"/>
      <c r="ED58" s="182"/>
      <c r="EE58" s="182"/>
      <c r="EF58" s="182"/>
      <c r="EG58" s="182"/>
      <c r="EH58" s="221" t="str">
        <f t="shared" si="101"/>
        <v/>
      </c>
      <c r="EI58" s="221" t="str">
        <f t="shared" si="102"/>
        <v/>
      </c>
      <c r="EJ58" s="221"/>
      <c r="EK58" s="221"/>
      <c r="EL58" s="221"/>
      <c r="EM58" s="221"/>
      <c r="EN58" s="221"/>
      <c r="EO58" s="221"/>
      <c r="EP58" s="221"/>
      <c r="EQ58" s="221"/>
      <c r="ER58" s="221"/>
      <c r="ES58" s="221"/>
      <c r="ET58" s="221"/>
      <c r="EU58" s="315">
        <f t="shared" si="103"/>
        <v>0</v>
      </c>
      <c r="EV58" s="315" t="str">
        <f t="shared" si="104"/>
        <v/>
      </c>
      <c r="EW58" s="182"/>
      <c r="EX58" s="182"/>
      <c r="EY58" s="182"/>
      <c r="EZ58" s="221"/>
      <c r="FA58" s="221"/>
      <c r="FB58" s="221"/>
      <c r="FC58" s="221"/>
      <c r="FD58" s="221"/>
      <c r="FE58" s="221"/>
      <c r="FF58" s="221"/>
      <c r="FG58" s="221"/>
      <c r="FH58" s="221"/>
      <c r="FI58" s="182"/>
      <c r="FJ58" s="182"/>
      <c r="FK58" s="182"/>
      <c r="FL58" s="182"/>
      <c r="FM58" s="221" t="str">
        <f t="shared" si="105"/>
        <v/>
      </c>
      <c r="FN58" s="221" t="str">
        <f t="shared" si="106"/>
        <v/>
      </c>
      <c r="FO58" s="221"/>
      <c r="FP58" s="221"/>
      <c r="FQ58" s="221"/>
      <c r="FR58" s="221"/>
      <c r="FS58" s="221"/>
      <c r="FT58" s="221"/>
      <c r="FU58" s="221"/>
      <c r="FV58" s="221"/>
      <c r="FW58" s="221"/>
      <c r="FX58" s="221"/>
      <c r="FY58" s="221"/>
      <c r="FZ58" s="408"/>
      <c r="GA58" s="315">
        <f t="shared" si="107"/>
        <v>0</v>
      </c>
      <c r="GB58" s="315" t="str">
        <f t="shared" si="108"/>
        <v/>
      </c>
      <c r="GC58" s="182" t="s">
        <v>160</v>
      </c>
      <c r="GD58" s="182"/>
      <c r="GE58" s="182"/>
      <c r="GG58" s="460"/>
      <c r="GH58" s="460"/>
      <c r="GU58" s="469"/>
      <c r="GV58" s="470" t="str">
        <f t="shared" si="109"/>
        <v/>
      </c>
      <c r="GW58" s="302">
        <f t="shared" si="110"/>
        <v>0</v>
      </c>
      <c r="HA58" s="654"/>
      <c r="HD58" s="379"/>
      <c r="HE58" s="380"/>
      <c r="HH58" s="385"/>
      <c r="HI58" s="411"/>
      <c r="HJ58" s="302" t="str">
        <f t="shared" si="85"/>
        <v/>
      </c>
      <c r="HO58" s="302" t="str">
        <f t="shared" si="34"/>
        <v/>
      </c>
      <c r="HP58" s="302" t="str">
        <f t="shared" si="35"/>
        <v/>
      </c>
      <c r="HQ58" s="302" t="str">
        <f t="shared" si="36"/>
        <v/>
      </c>
      <c r="IT58" s="411"/>
      <c r="IU58" s="411"/>
      <c r="IV58" s="635"/>
    </row>
    <row r="59" spans="1:256" s="302" customFormat="1" ht="12.75" hidden="1" customHeight="1">
      <c r="A59" s="397" t="str">
        <f t="shared" si="1"/>
        <v/>
      </c>
      <c r="B59" s="462" t="str">
        <f t="shared" si="61"/>
        <v/>
      </c>
      <c r="C59" s="426"/>
      <c r="D59" s="575"/>
      <c r="E59" s="463"/>
      <c r="F59" s="464"/>
      <c r="G59" s="465"/>
      <c r="H59" s="465"/>
      <c r="I59" s="466"/>
      <c r="J59" s="463"/>
      <c r="K59" s="465"/>
      <c r="L59" s="465"/>
      <c r="M59" s="466"/>
      <c r="N59" s="573"/>
      <c r="O59" s="467"/>
      <c r="P59" s="518"/>
      <c r="Q59" s="381"/>
      <c r="R59" s="182"/>
      <c r="S59" s="182"/>
      <c r="T59" s="182"/>
      <c r="U59" s="182"/>
      <c r="V59" s="182"/>
      <c r="W59" s="182"/>
      <c r="X59" s="182"/>
      <c r="Y59" s="182"/>
      <c r="Z59" s="182"/>
      <c r="AA59" s="382"/>
      <c r="AB59" s="182" t="str">
        <f t="shared" si="86"/>
        <v/>
      </c>
      <c r="AC59" s="315">
        <f t="shared" si="87"/>
        <v>0</v>
      </c>
      <c r="AD59" s="315" t="str">
        <f t="shared" si="63"/>
        <v/>
      </c>
      <c r="AH59" s="380"/>
      <c r="AI59" s="380"/>
      <c r="AJ59" s="380"/>
      <c r="AK59" s="380"/>
      <c r="AL59" s="380"/>
      <c r="AM59" s="380"/>
      <c r="AN59" s="380"/>
      <c r="AO59" s="380"/>
      <c r="AP59" s="380"/>
      <c r="AU59" s="221" t="str">
        <f t="shared" si="88"/>
        <v/>
      </c>
      <c r="AV59" s="221" t="str">
        <f t="shared" si="89"/>
        <v/>
      </c>
      <c r="AW59" s="221"/>
      <c r="AX59" s="221"/>
      <c r="AY59" s="221"/>
      <c r="AZ59" s="221"/>
      <c r="BA59" s="221"/>
      <c r="BB59" s="221"/>
      <c r="BC59" s="221"/>
      <c r="BD59" s="221"/>
      <c r="BE59" s="221"/>
      <c r="BF59" s="468">
        <f t="shared" si="90"/>
        <v>0</v>
      </c>
      <c r="BG59" s="315">
        <f t="shared" si="91"/>
        <v>0</v>
      </c>
      <c r="BH59" s="315" t="str">
        <f t="shared" si="92"/>
        <v/>
      </c>
      <c r="BI59" s="182"/>
      <c r="BJ59" s="182"/>
      <c r="BK59" s="182"/>
      <c r="BL59" s="221"/>
      <c r="BM59" s="221"/>
      <c r="BN59" s="221"/>
      <c r="BO59" s="221"/>
      <c r="BP59" s="221"/>
      <c r="BQ59" s="221"/>
      <c r="BR59" s="221"/>
      <c r="BS59" s="221"/>
      <c r="BT59" s="221"/>
      <c r="BU59" s="182"/>
      <c r="BV59" s="182"/>
      <c r="BW59" s="182"/>
      <c r="BX59" s="182"/>
      <c r="BY59" s="221" t="str">
        <f t="shared" si="93"/>
        <v/>
      </c>
      <c r="BZ59" s="221" t="str">
        <f t="shared" si="94"/>
        <v/>
      </c>
      <c r="CA59" s="221"/>
      <c r="CB59" s="221"/>
      <c r="CC59" s="221"/>
      <c r="CD59" s="221"/>
      <c r="CE59" s="221"/>
      <c r="CF59" s="221"/>
      <c r="CG59" s="221"/>
      <c r="CH59" s="221"/>
      <c r="CI59" s="221"/>
      <c r="CJ59" s="468">
        <f t="shared" si="95"/>
        <v>0</v>
      </c>
      <c r="CK59" s="315">
        <f t="shared" si="96"/>
        <v>0</v>
      </c>
      <c r="CL59" s="315" t="str">
        <f t="shared" si="97"/>
        <v/>
      </c>
      <c r="CM59" s="182"/>
      <c r="CN59" s="182"/>
      <c r="CO59" s="182"/>
      <c r="CP59" s="221"/>
      <c r="CQ59" s="221"/>
      <c r="CR59" s="221"/>
      <c r="CS59" s="221"/>
      <c r="CT59" s="221"/>
      <c r="CU59" s="221"/>
      <c r="CV59" s="221"/>
      <c r="CW59" s="221"/>
      <c r="CX59" s="221"/>
      <c r="CY59" s="221"/>
      <c r="CZ59" s="182"/>
      <c r="DA59" s="182"/>
      <c r="DB59" s="182"/>
      <c r="DC59" s="182"/>
      <c r="DD59" s="221" t="str">
        <f t="shared" si="72"/>
        <v/>
      </c>
      <c r="DE59" s="221" t="str">
        <f t="shared" si="73"/>
        <v/>
      </c>
      <c r="DF59" s="221"/>
      <c r="DG59" s="221"/>
      <c r="DH59" s="221"/>
      <c r="DI59" s="221"/>
      <c r="DJ59" s="221"/>
      <c r="DK59" s="221"/>
      <c r="DL59" s="221"/>
      <c r="DM59" s="221"/>
      <c r="DN59" s="221"/>
      <c r="DO59" s="469" t="str">
        <f t="shared" si="98"/>
        <v/>
      </c>
      <c r="DP59" s="315">
        <f t="shared" si="99"/>
        <v>0</v>
      </c>
      <c r="DQ59" s="315" t="str">
        <f t="shared" si="100"/>
        <v/>
      </c>
      <c r="DR59" s="182"/>
      <c r="DS59" s="182"/>
      <c r="DT59" s="182"/>
      <c r="DU59" s="221"/>
      <c r="DV59" s="221"/>
      <c r="DW59" s="221"/>
      <c r="DX59" s="221"/>
      <c r="DY59" s="221"/>
      <c r="DZ59" s="221"/>
      <c r="EA59" s="221"/>
      <c r="EB59" s="221"/>
      <c r="EC59" s="221"/>
      <c r="ED59" s="182"/>
      <c r="EE59" s="182"/>
      <c r="EF59" s="182"/>
      <c r="EG59" s="182"/>
      <c r="EH59" s="221" t="str">
        <f t="shared" si="101"/>
        <v/>
      </c>
      <c r="EI59" s="221" t="str">
        <f t="shared" si="102"/>
        <v/>
      </c>
      <c r="EJ59" s="221"/>
      <c r="EK59" s="221"/>
      <c r="EL59" s="221"/>
      <c r="EM59" s="221"/>
      <c r="EN59" s="221"/>
      <c r="EO59" s="221"/>
      <c r="EP59" s="221"/>
      <c r="EQ59" s="221"/>
      <c r="ER59" s="221"/>
      <c r="ES59" s="221"/>
      <c r="ET59" s="221"/>
      <c r="EU59" s="315">
        <f t="shared" si="103"/>
        <v>0</v>
      </c>
      <c r="EV59" s="315" t="str">
        <f t="shared" si="104"/>
        <v/>
      </c>
      <c r="EW59" s="182"/>
      <c r="EX59" s="182"/>
      <c r="EY59" s="182"/>
      <c r="EZ59" s="221"/>
      <c r="FA59" s="221"/>
      <c r="FB59" s="221"/>
      <c r="FC59" s="221"/>
      <c r="FD59" s="221"/>
      <c r="FE59" s="221"/>
      <c r="FF59" s="221"/>
      <c r="FG59" s="221"/>
      <c r="FH59" s="221"/>
      <c r="FI59" s="182"/>
      <c r="FJ59" s="182"/>
      <c r="FK59" s="182"/>
      <c r="FL59" s="182"/>
      <c r="FM59" s="221" t="str">
        <f t="shared" si="105"/>
        <v/>
      </c>
      <c r="FN59" s="221" t="str">
        <f t="shared" si="106"/>
        <v/>
      </c>
      <c r="FO59" s="221"/>
      <c r="FP59" s="221"/>
      <c r="FQ59" s="221"/>
      <c r="FR59" s="221"/>
      <c r="FS59" s="221"/>
      <c r="FT59" s="221"/>
      <c r="FU59" s="221"/>
      <c r="FV59" s="221"/>
      <c r="FW59" s="221"/>
      <c r="FX59" s="221"/>
      <c r="FY59" s="221"/>
      <c r="FZ59" s="408"/>
      <c r="GA59" s="315">
        <f t="shared" si="107"/>
        <v>0</v>
      </c>
      <c r="GB59" s="315" t="str">
        <f t="shared" si="108"/>
        <v/>
      </c>
      <c r="GC59" s="182" t="s">
        <v>160</v>
      </c>
      <c r="GD59" s="182"/>
      <c r="GE59" s="182"/>
      <c r="GG59" s="460"/>
      <c r="GH59" s="460"/>
      <c r="GU59" s="469"/>
      <c r="GV59" s="470" t="str">
        <f t="shared" si="109"/>
        <v/>
      </c>
      <c r="GW59" s="302">
        <f t="shared" si="110"/>
        <v>0</v>
      </c>
      <c r="HA59" s="654"/>
      <c r="HD59" s="379"/>
      <c r="HE59" s="380"/>
      <c r="HH59" s="383"/>
      <c r="HI59" s="410"/>
      <c r="HJ59" s="302" t="str">
        <f t="shared" si="85"/>
        <v/>
      </c>
      <c r="HO59" s="302" t="str">
        <f t="shared" si="34"/>
        <v/>
      </c>
      <c r="HP59" s="302" t="str">
        <f t="shared" si="35"/>
        <v/>
      </c>
      <c r="HQ59" s="302" t="str">
        <f t="shared" si="36"/>
        <v/>
      </c>
      <c r="IT59" s="410"/>
      <c r="IU59" s="410"/>
      <c r="IV59" s="635"/>
    </row>
    <row r="60" spans="1:256" s="302" customFormat="1" ht="12.75" hidden="1" customHeight="1">
      <c r="A60" s="397" t="str">
        <f t="shared" si="1"/>
        <v/>
      </c>
      <c r="B60" s="462" t="str">
        <f t="shared" si="61"/>
        <v/>
      </c>
      <c r="C60" s="426"/>
      <c r="D60" s="575"/>
      <c r="E60" s="463"/>
      <c r="F60" s="464"/>
      <c r="G60" s="465"/>
      <c r="H60" s="465"/>
      <c r="I60" s="466"/>
      <c r="J60" s="463"/>
      <c r="K60" s="465"/>
      <c r="L60" s="465"/>
      <c r="M60" s="466"/>
      <c r="N60" s="573"/>
      <c r="O60" s="467"/>
      <c r="P60" s="518"/>
      <c r="Q60" s="381"/>
      <c r="R60" s="182"/>
      <c r="S60" s="182"/>
      <c r="T60" s="182"/>
      <c r="U60" s="182"/>
      <c r="V60" s="182"/>
      <c r="W60" s="182"/>
      <c r="X60" s="182"/>
      <c r="Y60" s="182"/>
      <c r="Z60" s="182"/>
      <c r="AA60" s="384"/>
      <c r="AB60" s="182" t="str">
        <f t="shared" si="86"/>
        <v/>
      </c>
      <c r="AC60" s="315">
        <f t="shared" si="87"/>
        <v>0</v>
      </c>
      <c r="AD60" s="315" t="str">
        <f t="shared" si="63"/>
        <v/>
      </c>
      <c r="AE60" s="182"/>
      <c r="AF60" s="182"/>
      <c r="AG60" s="182"/>
      <c r="AH60" s="221"/>
      <c r="AI60" s="221"/>
      <c r="AJ60" s="221"/>
      <c r="AK60" s="221"/>
      <c r="AL60" s="221"/>
      <c r="AM60" s="221"/>
      <c r="AN60" s="221"/>
      <c r="AO60" s="221"/>
      <c r="AP60" s="221"/>
      <c r="AQ60" s="182"/>
      <c r="AR60" s="182"/>
      <c r="AS60" s="182"/>
      <c r="AT60" s="182"/>
      <c r="AU60" s="221" t="str">
        <f t="shared" si="88"/>
        <v/>
      </c>
      <c r="AV60" s="221" t="str">
        <f t="shared" si="89"/>
        <v/>
      </c>
      <c r="AW60" s="221"/>
      <c r="AX60" s="221"/>
      <c r="AY60" s="221"/>
      <c r="AZ60" s="221"/>
      <c r="BA60" s="221"/>
      <c r="BB60" s="221"/>
      <c r="BC60" s="221"/>
      <c r="BD60" s="221"/>
      <c r="BE60" s="221"/>
      <c r="BF60" s="469">
        <f t="shared" si="90"/>
        <v>0</v>
      </c>
      <c r="BG60" s="315">
        <f t="shared" si="91"/>
        <v>0</v>
      </c>
      <c r="BH60" s="315" t="str">
        <f t="shared" si="92"/>
        <v/>
      </c>
      <c r="BI60" s="182"/>
      <c r="BJ60" s="182"/>
      <c r="BK60" s="182"/>
      <c r="BL60" s="221"/>
      <c r="BM60" s="221"/>
      <c r="BN60" s="221"/>
      <c r="BO60" s="221"/>
      <c r="BP60" s="221"/>
      <c r="BQ60" s="221"/>
      <c r="BR60" s="221"/>
      <c r="BS60" s="221"/>
      <c r="BT60" s="221"/>
      <c r="BU60" s="182"/>
      <c r="BV60" s="182"/>
      <c r="BW60" s="182"/>
      <c r="BX60" s="182"/>
      <c r="BY60" s="221" t="str">
        <f t="shared" si="93"/>
        <v/>
      </c>
      <c r="BZ60" s="221" t="str">
        <f t="shared" si="94"/>
        <v/>
      </c>
      <c r="CA60" s="221"/>
      <c r="CB60" s="221"/>
      <c r="CC60" s="221"/>
      <c r="CD60" s="221"/>
      <c r="CE60" s="221"/>
      <c r="CF60" s="221"/>
      <c r="CG60" s="221"/>
      <c r="CH60" s="221"/>
      <c r="CI60" s="221"/>
      <c r="CJ60" s="469">
        <f t="shared" si="95"/>
        <v>0</v>
      </c>
      <c r="CK60" s="315">
        <f t="shared" si="96"/>
        <v>0</v>
      </c>
      <c r="CL60" s="315" t="str">
        <f t="shared" si="97"/>
        <v/>
      </c>
      <c r="CM60" s="182"/>
      <c r="CN60" s="182"/>
      <c r="CO60" s="182"/>
      <c r="CP60" s="221"/>
      <c r="CQ60" s="221"/>
      <c r="CR60" s="221"/>
      <c r="CS60" s="221"/>
      <c r="CT60" s="221"/>
      <c r="CU60" s="221"/>
      <c r="CV60" s="221"/>
      <c r="CW60" s="221"/>
      <c r="CX60" s="221"/>
      <c r="CY60" s="221"/>
      <c r="CZ60" s="182"/>
      <c r="DA60" s="182"/>
      <c r="DB60" s="182"/>
      <c r="DC60" s="182"/>
      <c r="DD60" s="221" t="str">
        <f t="shared" si="72"/>
        <v/>
      </c>
      <c r="DE60" s="221" t="str">
        <f t="shared" si="73"/>
        <v/>
      </c>
      <c r="DF60" s="221"/>
      <c r="DG60" s="221"/>
      <c r="DH60" s="221"/>
      <c r="DI60" s="221"/>
      <c r="DJ60" s="221"/>
      <c r="DK60" s="221"/>
      <c r="DL60" s="221"/>
      <c r="DM60" s="221"/>
      <c r="DN60" s="221"/>
      <c r="DO60" s="469" t="str">
        <f t="shared" si="98"/>
        <v/>
      </c>
      <c r="DP60" s="315">
        <f t="shared" si="99"/>
        <v>0</v>
      </c>
      <c r="DQ60" s="315" t="str">
        <f t="shared" si="100"/>
        <v/>
      </c>
      <c r="DR60" s="182"/>
      <c r="DS60" s="182"/>
      <c r="DT60" s="182"/>
      <c r="DU60" s="221"/>
      <c r="DV60" s="221"/>
      <c r="DW60" s="221"/>
      <c r="DX60" s="221"/>
      <c r="DY60" s="221"/>
      <c r="DZ60" s="221"/>
      <c r="EA60" s="221"/>
      <c r="EB60" s="221"/>
      <c r="EC60" s="221"/>
      <c r="ED60" s="182"/>
      <c r="EE60" s="182"/>
      <c r="EF60" s="182"/>
      <c r="EG60" s="182"/>
      <c r="EH60" s="221" t="str">
        <f t="shared" si="101"/>
        <v/>
      </c>
      <c r="EI60" s="221" t="str">
        <f t="shared" si="102"/>
        <v/>
      </c>
      <c r="EJ60" s="221"/>
      <c r="EK60" s="221"/>
      <c r="EL60" s="221"/>
      <c r="EM60" s="221"/>
      <c r="EN60" s="221"/>
      <c r="EO60" s="221"/>
      <c r="EP60" s="221"/>
      <c r="EQ60" s="221"/>
      <c r="ER60" s="221"/>
      <c r="ES60" s="221"/>
      <c r="ET60" s="221"/>
      <c r="EU60" s="315">
        <f t="shared" si="103"/>
        <v>0</v>
      </c>
      <c r="EV60" s="315" t="str">
        <f t="shared" si="104"/>
        <v/>
      </c>
      <c r="EW60" s="182"/>
      <c r="EX60" s="182"/>
      <c r="EY60" s="182"/>
      <c r="EZ60" s="221"/>
      <c r="FA60" s="221"/>
      <c r="FB60" s="221"/>
      <c r="FC60" s="221"/>
      <c r="FD60" s="221"/>
      <c r="FE60" s="221"/>
      <c r="FF60" s="221"/>
      <c r="FG60" s="221"/>
      <c r="FH60" s="221"/>
      <c r="FI60" s="182"/>
      <c r="FJ60" s="182"/>
      <c r="FK60" s="182"/>
      <c r="FL60" s="182"/>
      <c r="FM60" s="221" t="str">
        <f t="shared" si="105"/>
        <v/>
      </c>
      <c r="FN60" s="221" t="str">
        <f t="shared" si="106"/>
        <v/>
      </c>
      <c r="FO60" s="221"/>
      <c r="FP60" s="221"/>
      <c r="FQ60" s="221"/>
      <c r="FR60" s="221"/>
      <c r="FS60" s="221"/>
      <c r="FT60" s="221"/>
      <c r="FU60" s="221"/>
      <c r="FV60" s="221"/>
      <c r="FW60" s="221"/>
      <c r="FX60" s="221"/>
      <c r="FY60" s="221"/>
      <c r="FZ60" s="408"/>
      <c r="GA60" s="315">
        <f t="shared" si="107"/>
        <v>0</v>
      </c>
      <c r="GB60" s="315" t="str">
        <f t="shared" si="108"/>
        <v/>
      </c>
      <c r="GC60" s="182" t="s">
        <v>160</v>
      </c>
      <c r="GD60" s="182"/>
      <c r="GE60" s="182"/>
      <c r="GG60" s="460"/>
      <c r="GH60" s="460"/>
      <c r="GU60" s="469"/>
      <c r="GV60" s="470" t="str">
        <f t="shared" si="109"/>
        <v/>
      </c>
      <c r="GW60" s="302">
        <f t="shared" si="110"/>
        <v>0</v>
      </c>
      <c r="HA60" s="654"/>
      <c r="HD60" s="379"/>
      <c r="HE60" s="380"/>
      <c r="HH60" s="385"/>
      <c r="HI60" s="411"/>
      <c r="HJ60" s="302" t="str">
        <f t="shared" si="85"/>
        <v/>
      </c>
      <c r="HO60" s="302" t="str">
        <f t="shared" si="34"/>
        <v/>
      </c>
      <c r="HP60" s="302" t="str">
        <f t="shared" si="35"/>
        <v/>
      </c>
      <c r="HQ60" s="302" t="str">
        <f t="shared" si="36"/>
        <v/>
      </c>
      <c r="IT60" s="411"/>
      <c r="IU60" s="411"/>
      <c r="IV60" s="635"/>
    </row>
    <row r="61" spans="1:256" s="302" customFormat="1" ht="12.75" hidden="1" customHeight="1">
      <c r="A61" s="397" t="str">
        <f t="shared" si="1"/>
        <v/>
      </c>
      <c r="B61" s="462" t="str">
        <f t="shared" si="61"/>
        <v/>
      </c>
      <c r="C61" s="426"/>
      <c r="D61" s="575"/>
      <c r="E61" s="463"/>
      <c r="F61" s="464"/>
      <c r="G61" s="465"/>
      <c r="H61" s="465"/>
      <c r="I61" s="466"/>
      <c r="J61" s="463"/>
      <c r="K61" s="465"/>
      <c r="L61" s="465"/>
      <c r="M61" s="466"/>
      <c r="N61" s="573"/>
      <c r="O61" s="467"/>
      <c r="P61" s="518"/>
      <c r="Q61" s="381"/>
      <c r="R61" s="182"/>
      <c r="S61" s="182"/>
      <c r="T61" s="182"/>
      <c r="U61" s="182"/>
      <c r="V61" s="182"/>
      <c r="W61" s="182"/>
      <c r="X61" s="182"/>
      <c r="Y61" s="182"/>
      <c r="Z61" s="182"/>
      <c r="AA61" s="382"/>
      <c r="AB61" s="182" t="str">
        <f t="shared" si="86"/>
        <v/>
      </c>
      <c r="AC61" s="315">
        <f t="shared" si="87"/>
        <v>0</v>
      </c>
      <c r="AD61" s="315" t="str">
        <f t="shared" si="63"/>
        <v/>
      </c>
      <c r="AE61" s="182"/>
      <c r="AF61" s="182"/>
      <c r="AG61" s="182"/>
      <c r="AH61" s="221"/>
      <c r="AI61" s="221"/>
      <c r="AJ61" s="221"/>
      <c r="AK61" s="221"/>
      <c r="AL61" s="221"/>
      <c r="AM61" s="221"/>
      <c r="AN61" s="221"/>
      <c r="AO61" s="221"/>
      <c r="AP61" s="221"/>
      <c r="AQ61" s="182"/>
      <c r="AR61" s="182"/>
      <c r="AS61" s="182"/>
      <c r="AT61" s="182"/>
      <c r="AU61" s="221" t="str">
        <f t="shared" si="88"/>
        <v/>
      </c>
      <c r="AV61" s="221" t="str">
        <f t="shared" si="89"/>
        <v/>
      </c>
      <c r="AW61" s="221"/>
      <c r="AX61" s="221"/>
      <c r="AY61" s="221"/>
      <c r="AZ61" s="221"/>
      <c r="BA61" s="221"/>
      <c r="BB61" s="221"/>
      <c r="BC61" s="221"/>
      <c r="BD61" s="221"/>
      <c r="BE61" s="221"/>
      <c r="BF61" s="468">
        <f t="shared" si="90"/>
        <v>0</v>
      </c>
      <c r="BG61" s="315">
        <f t="shared" si="91"/>
        <v>0</v>
      </c>
      <c r="BH61" s="315" t="str">
        <f t="shared" si="92"/>
        <v/>
      </c>
      <c r="BI61" s="182"/>
      <c r="BJ61" s="182"/>
      <c r="BK61" s="182"/>
      <c r="BL61" s="221"/>
      <c r="BM61" s="221"/>
      <c r="BN61" s="221"/>
      <c r="BO61" s="221"/>
      <c r="BP61" s="221"/>
      <c r="BQ61" s="221"/>
      <c r="BR61" s="221"/>
      <c r="BS61" s="221"/>
      <c r="BT61" s="221"/>
      <c r="BU61" s="182"/>
      <c r="BV61" s="182"/>
      <c r="BW61" s="182"/>
      <c r="BX61" s="182"/>
      <c r="BY61" s="221" t="str">
        <f t="shared" si="93"/>
        <v/>
      </c>
      <c r="BZ61" s="221" t="str">
        <f t="shared" si="94"/>
        <v/>
      </c>
      <c r="CA61" s="221"/>
      <c r="CB61" s="221"/>
      <c r="CC61" s="221"/>
      <c r="CD61" s="221"/>
      <c r="CE61" s="221"/>
      <c r="CF61" s="221"/>
      <c r="CG61" s="221"/>
      <c r="CH61" s="221"/>
      <c r="CI61" s="221"/>
      <c r="CJ61" s="468">
        <f t="shared" si="95"/>
        <v>0</v>
      </c>
      <c r="CK61" s="315">
        <f t="shared" si="96"/>
        <v>0</v>
      </c>
      <c r="CL61" s="315" t="str">
        <f t="shared" si="97"/>
        <v/>
      </c>
      <c r="CM61" s="182"/>
      <c r="CN61" s="182"/>
      <c r="CO61" s="182"/>
      <c r="CP61" s="221"/>
      <c r="CQ61" s="221"/>
      <c r="CR61" s="221"/>
      <c r="CS61" s="221"/>
      <c r="CT61" s="221"/>
      <c r="CU61" s="221"/>
      <c r="CV61" s="221"/>
      <c r="CW61" s="221"/>
      <c r="CX61" s="221"/>
      <c r="CY61" s="221"/>
      <c r="CZ61" s="182"/>
      <c r="DA61" s="182"/>
      <c r="DB61" s="182"/>
      <c r="DC61" s="182"/>
      <c r="DD61" s="221" t="str">
        <f t="shared" si="72"/>
        <v/>
      </c>
      <c r="DE61" s="221" t="str">
        <f t="shared" si="73"/>
        <v/>
      </c>
      <c r="DF61" s="221"/>
      <c r="DG61" s="221"/>
      <c r="DH61" s="221"/>
      <c r="DI61" s="221"/>
      <c r="DJ61" s="221"/>
      <c r="DK61" s="221"/>
      <c r="DL61" s="221"/>
      <c r="DM61" s="221"/>
      <c r="DN61" s="221"/>
      <c r="DO61" s="469" t="str">
        <f t="shared" si="98"/>
        <v/>
      </c>
      <c r="DP61" s="315">
        <f t="shared" si="99"/>
        <v>0</v>
      </c>
      <c r="DQ61" s="315" t="str">
        <f t="shared" si="100"/>
        <v/>
      </c>
      <c r="DR61" s="182"/>
      <c r="DS61" s="182"/>
      <c r="DT61" s="182"/>
      <c r="DU61" s="221"/>
      <c r="DV61" s="221"/>
      <c r="DW61" s="221"/>
      <c r="DX61" s="221"/>
      <c r="DY61" s="221"/>
      <c r="DZ61" s="221"/>
      <c r="EA61" s="221"/>
      <c r="EB61" s="221"/>
      <c r="EC61" s="221"/>
      <c r="ED61" s="182"/>
      <c r="EE61" s="182"/>
      <c r="EF61" s="182"/>
      <c r="EG61" s="182"/>
      <c r="EH61" s="221" t="str">
        <f t="shared" si="101"/>
        <v/>
      </c>
      <c r="EI61" s="221" t="str">
        <f t="shared" si="102"/>
        <v/>
      </c>
      <c r="EJ61" s="221"/>
      <c r="EK61" s="221"/>
      <c r="EL61" s="221"/>
      <c r="EM61" s="221"/>
      <c r="EN61" s="221"/>
      <c r="EO61" s="221"/>
      <c r="EP61" s="221"/>
      <c r="EQ61" s="221"/>
      <c r="ER61" s="221"/>
      <c r="ES61" s="221"/>
      <c r="ET61" s="221"/>
      <c r="EU61" s="315">
        <f t="shared" si="103"/>
        <v>0</v>
      </c>
      <c r="EV61" s="315" t="str">
        <f t="shared" si="104"/>
        <v/>
      </c>
      <c r="EW61" s="182"/>
      <c r="EX61" s="182"/>
      <c r="EY61" s="182"/>
      <c r="EZ61" s="221"/>
      <c r="FA61" s="221"/>
      <c r="FB61" s="221"/>
      <c r="FC61" s="221"/>
      <c r="FD61" s="221"/>
      <c r="FE61" s="221"/>
      <c r="FF61" s="221"/>
      <c r="FG61" s="221"/>
      <c r="FH61" s="221"/>
      <c r="FI61" s="182"/>
      <c r="FJ61" s="182"/>
      <c r="FK61" s="182"/>
      <c r="FL61" s="182"/>
      <c r="FM61" s="221" t="str">
        <f t="shared" si="105"/>
        <v/>
      </c>
      <c r="FN61" s="221" t="str">
        <f t="shared" si="106"/>
        <v/>
      </c>
      <c r="FO61" s="221"/>
      <c r="FP61" s="221"/>
      <c r="FQ61" s="221"/>
      <c r="FR61" s="221"/>
      <c r="FS61" s="221"/>
      <c r="FT61" s="221"/>
      <c r="FU61" s="221"/>
      <c r="FV61" s="221"/>
      <c r="FW61" s="221"/>
      <c r="FX61" s="221"/>
      <c r="FY61" s="221"/>
      <c r="FZ61" s="408"/>
      <c r="GA61" s="315">
        <f t="shared" si="107"/>
        <v>0</v>
      </c>
      <c r="GB61" s="315" t="str">
        <f t="shared" si="108"/>
        <v/>
      </c>
      <c r="GC61" s="182" t="s">
        <v>160</v>
      </c>
      <c r="GD61" s="182"/>
      <c r="GE61" s="182"/>
      <c r="GG61" s="460"/>
      <c r="GH61" s="460"/>
      <c r="GU61" s="469"/>
      <c r="GV61" s="470" t="str">
        <f t="shared" si="109"/>
        <v/>
      </c>
      <c r="GW61" s="302">
        <f t="shared" si="110"/>
        <v>0</v>
      </c>
      <c r="HA61" s="654"/>
      <c r="HD61" s="379"/>
      <c r="HE61" s="380"/>
      <c r="HH61" s="383"/>
      <c r="HI61" s="410"/>
      <c r="HJ61" s="302" t="str">
        <f t="shared" si="85"/>
        <v/>
      </c>
      <c r="HO61" s="302" t="str">
        <f t="shared" si="34"/>
        <v/>
      </c>
      <c r="HP61" s="302" t="str">
        <f t="shared" si="35"/>
        <v/>
      </c>
      <c r="HQ61" s="302" t="str">
        <f t="shared" si="36"/>
        <v/>
      </c>
      <c r="IT61" s="410"/>
      <c r="IU61" s="410"/>
      <c r="IV61" s="635"/>
    </row>
    <row r="62" spans="1:256" s="302" customFormat="1" ht="12.75" hidden="1" customHeight="1">
      <c r="A62" s="397" t="str">
        <f t="shared" si="1"/>
        <v/>
      </c>
      <c r="B62" s="462" t="str">
        <f t="shared" si="61"/>
        <v/>
      </c>
      <c r="C62" s="426"/>
      <c r="D62" s="575"/>
      <c r="E62" s="463"/>
      <c r="F62" s="464"/>
      <c r="G62" s="465"/>
      <c r="H62" s="465"/>
      <c r="I62" s="466"/>
      <c r="J62" s="463"/>
      <c r="K62" s="465"/>
      <c r="L62" s="465"/>
      <c r="M62" s="466"/>
      <c r="N62" s="573"/>
      <c r="O62" s="467"/>
      <c r="P62" s="518"/>
      <c r="Q62" s="381"/>
      <c r="R62" s="182"/>
      <c r="S62" s="182"/>
      <c r="T62" s="182"/>
      <c r="U62" s="182"/>
      <c r="V62" s="182"/>
      <c r="W62" s="182"/>
      <c r="X62" s="182"/>
      <c r="Y62" s="182"/>
      <c r="Z62" s="182"/>
      <c r="AA62" s="384"/>
      <c r="AB62" s="182" t="str">
        <f t="shared" si="86"/>
        <v/>
      </c>
      <c r="AC62" s="315">
        <f t="shared" si="87"/>
        <v>0</v>
      </c>
      <c r="AD62" s="315" t="str">
        <f t="shared" si="63"/>
        <v/>
      </c>
      <c r="AE62" s="182"/>
      <c r="AF62" s="182"/>
      <c r="AG62" s="182"/>
      <c r="AH62" s="221"/>
      <c r="AI62" s="221"/>
      <c r="AJ62" s="221"/>
      <c r="AK62" s="221"/>
      <c r="AL62" s="221"/>
      <c r="AM62" s="221"/>
      <c r="AN62" s="221"/>
      <c r="AO62" s="221"/>
      <c r="AP62" s="221"/>
      <c r="AQ62" s="182"/>
      <c r="AR62" s="182"/>
      <c r="AS62" s="182"/>
      <c r="AT62" s="224"/>
      <c r="AU62" s="221" t="str">
        <f t="shared" si="88"/>
        <v/>
      </c>
      <c r="AV62" s="221" t="str">
        <f t="shared" si="89"/>
        <v/>
      </c>
      <c r="AW62" s="221"/>
      <c r="AX62" s="221"/>
      <c r="AY62" s="221"/>
      <c r="AZ62" s="221"/>
      <c r="BA62" s="221"/>
      <c r="BB62" s="221"/>
      <c r="BC62" s="221"/>
      <c r="BD62" s="221"/>
      <c r="BE62" s="221"/>
      <c r="BF62" s="469">
        <f t="shared" si="90"/>
        <v>0</v>
      </c>
      <c r="BG62" s="315">
        <f t="shared" si="91"/>
        <v>0</v>
      </c>
      <c r="BH62" s="315" t="str">
        <f t="shared" si="92"/>
        <v/>
      </c>
      <c r="BI62" s="182"/>
      <c r="BJ62" s="182"/>
      <c r="BK62" s="182"/>
      <c r="BL62" s="221"/>
      <c r="BM62" s="221"/>
      <c r="BN62" s="221"/>
      <c r="BO62" s="221"/>
      <c r="BP62" s="221"/>
      <c r="BQ62" s="221"/>
      <c r="BR62" s="221"/>
      <c r="BS62" s="221"/>
      <c r="BT62" s="221"/>
      <c r="BU62" s="182"/>
      <c r="BV62" s="182"/>
      <c r="BW62" s="182"/>
      <c r="BX62" s="182"/>
      <c r="BY62" s="221" t="str">
        <f t="shared" si="93"/>
        <v/>
      </c>
      <c r="BZ62" s="221" t="str">
        <f t="shared" si="94"/>
        <v/>
      </c>
      <c r="CA62" s="221"/>
      <c r="CB62" s="221"/>
      <c r="CC62" s="221"/>
      <c r="CD62" s="221"/>
      <c r="CE62" s="221"/>
      <c r="CF62" s="221"/>
      <c r="CG62" s="221"/>
      <c r="CH62" s="221"/>
      <c r="CI62" s="221"/>
      <c r="CJ62" s="469">
        <f t="shared" si="95"/>
        <v>0</v>
      </c>
      <c r="CK62" s="315">
        <f t="shared" si="96"/>
        <v>0</v>
      </c>
      <c r="CL62" s="315" t="str">
        <f t="shared" si="97"/>
        <v/>
      </c>
      <c r="CM62" s="182"/>
      <c r="CN62" s="182"/>
      <c r="CO62" s="182"/>
      <c r="CP62" s="221"/>
      <c r="CQ62" s="221"/>
      <c r="CR62" s="221"/>
      <c r="CS62" s="221"/>
      <c r="CT62" s="221"/>
      <c r="CU62" s="221"/>
      <c r="CV62" s="221"/>
      <c r="CW62" s="221"/>
      <c r="CX62" s="221"/>
      <c r="CY62" s="221"/>
      <c r="CZ62" s="182"/>
      <c r="DA62" s="182"/>
      <c r="DB62" s="182"/>
      <c r="DC62" s="182"/>
      <c r="DD62" s="221" t="str">
        <f t="shared" si="72"/>
        <v/>
      </c>
      <c r="DE62" s="221" t="str">
        <f t="shared" si="73"/>
        <v/>
      </c>
      <c r="DF62" s="221"/>
      <c r="DG62" s="221"/>
      <c r="DH62" s="221"/>
      <c r="DI62" s="221"/>
      <c r="DJ62" s="221"/>
      <c r="DK62" s="221"/>
      <c r="DL62" s="221"/>
      <c r="DM62" s="221"/>
      <c r="DN62" s="221"/>
      <c r="DO62" s="469" t="str">
        <f t="shared" si="98"/>
        <v/>
      </c>
      <c r="DP62" s="315">
        <f t="shared" si="99"/>
        <v>0</v>
      </c>
      <c r="DQ62" s="315" t="str">
        <f t="shared" si="100"/>
        <v/>
      </c>
      <c r="DR62" s="182"/>
      <c r="DS62" s="182"/>
      <c r="DT62" s="182"/>
      <c r="DU62" s="221"/>
      <c r="DV62" s="221"/>
      <c r="DW62" s="221"/>
      <c r="DX62" s="221"/>
      <c r="DY62" s="221"/>
      <c r="DZ62" s="221"/>
      <c r="EA62" s="221"/>
      <c r="EB62" s="221"/>
      <c r="EC62" s="221"/>
      <c r="ED62" s="182"/>
      <c r="EE62" s="182"/>
      <c r="EF62" s="182"/>
      <c r="EG62" s="182"/>
      <c r="EH62" s="221" t="str">
        <f t="shared" si="101"/>
        <v/>
      </c>
      <c r="EI62" s="221" t="str">
        <f t="shared" si="102"/>
        <v/>
      </c>
      <c r="EJ62" s="221"/>
      <c r="EK62" s="221"/>
      <c r="EL62" s="221"/>
      <c r="EM62" s="221"/>
      <c r="EN62" s="221"/>
      <c r="EO62" s="221"/>
      <c r="EP62" s="221"/>
      <c r="EQ62" s="221"/>
      <c r="ER62" s="221"/>
      <c r="ES62" s="221"/>
      <c r="ET62" s="221"/>
      <c r="EU62" s="315">
        <f t="shared" si="103"/>
        <v>0</v>
      </c>
      <c r="EV62" s="315" t="str">
        <f t="shared" si="104"/>
        <v/>
      </c>
      <c r="EW62" s="182"/>
      <c r="EX62" s="182"/>
      <c r="EY62" s="182"/>
      <c r="EZ62" s="221"/>
      <c r="FA62" s="221"/>
      <c r="FB62" s="221"/>
      <c r="FC62" s="221"/>
      <c r="FD62" s="221"/>
      <c r="FE62" s="221"/>
      <c r="FF62" s="221"/>
      <c r="FG62" s="221"/>
      <c r="FH62" s="221"/>
      <c r="FI62" s="182"/>
      <c r="FJ62" s="182"/>
      <c r="FK62" s="182"/>
      <c r="FL62" s="182"/>
      <c r="FM62" s="221" t="str">
        <f t="shared" si="105"/>
        <v/>
      </c>
      <c r="FN62" s="221" t="str">
        <f t="shared" si="106"/>
        <v/>
      </c>
      <c r="FO62" s="221"/>
      <c r="FP62" s="221"/>
      <c r="FQ62" s="221"/>
      <c r="FR62" s="221"/>
      <c r="FS62" s="221"/>
      <c r="FT62" s="221"/>
      <c r="FU62" s="221"/>
      <c r="FV62" s="221"/>
      <c r="FW62" s="221"/>
      <c r="FX62" s="221"/>
      <c r="FY62" s="221"/>
      <c r="FZ62" s="408"/>
      <c r="GA62" s="315">
        <f t="shared" si="107"/>
        <v>0</v>
      </c>
      <c r="GB62" s="315" t="str">
        <f t="shared" si="108"/>
        <v/>
      </c>
      <c r="GC62" s="182" t="s">
        <v>160</v>
      </c>
      <c r="GD62" s="182"/>
      <c r="GE62" s="182"/>
      <c r="GG62" s="460"/>
      <c r="GH62" s="460"/>
      <c r="GU62" s="469"/>
      <c r="GV62" s="470" t="str">
        <f t="shared" si="109"/>
        <v/>
      </c>
      <c r="GW62" s="302">
        <f t="shared" si="110"/>
        <v>0</v>
      </c>
      <c r="HA62" s="654"/>
      <c r="HD62" s="379"/>
      <c r="HE62" s="380"/>
      <c r="HH62" s="385"/>
      <c r="HI62" s="411"/>
      <c r="HJ62" s="302" t="str">
        <f t="shared" si="85"/>
        <v/>
      </c>
      <c r="HO62" s="302" t="str">
        <f t="shared" si="34"/>
        <v/>
      </c>
      <c r="HP62" s="302" t="str">
        <f t="shared" si="35"/>
        <v/>
      </c>
      <c r="HQ62" s="302" t="str">
        <f t="shared" si="36"/>
        <v/>
      </c>
      <c r="IT62" s="411"/>
      <c r="IU62" s="411"/>
      <c r="IV62" s="635"/>
    </row>
    <row r="63" spans="1:256" s="302" customFormat="1" ht="12.75" hidden="1" customHeight="1">
      <c r="A63" s="397" t="str">
        <f t="shared" si="1"/>
        <v/>
      </c>
      <c r="B63" s="462" t="str">
        <f t="shared" si="61"/>
        <v/>
      </c>
      <c r="C63" s="426"/>
      <c r="D63" s="575"/>
      <c r="E63" s="463"/>
      <c r="F63" s="464"/>
      <c r="G63" s="465"/>
      <c r="H63" s="465"/>
      <c r="I63" s="466"/>
      <c r="J63" s="463"/>
      <c r="K63" s="465"/>
      <c r="L63" s="465"/>
      <c r="M63" s="466"/>
      <c r="N63" s="573"/>
      <c r="O63" s="467"/>
      <c r="P63" s="518"/>
      <c r="Q63" s="381"/>
      <c r="R63" s="182"/>
      <c r="S63" s="182"/>
      <c r="T63" s="182"/>
      <c r="U63" s="182"/>
      <c r="V63" s="182"/>
      <c r="W63" s="182"/>
      <c r="X63" s="182"/>
      <c r="Y63" s="182"/>
      <c r="Z63" s="182"/>
      <c r="AA63" s="382"/>
      <c r="AB63" s="182" t="str">
        <f t="shared" si="86"/>
        <v/>
      </c>
      <c r="AC63" s="315">
        <f t="shared" si="87"/>
        <v>0</v>
      </c>
      <c r="AD63" s="315" t="str">
        <f t="shared" si="63"/>
        <v/>
      </c>
      <c r="AE63" s="182"/>
      <c r="AF63" s="182"/>
      <c r="AG63" s="182"/>
      <c r="AH63" s="221"/>
      <c r="AI63" s="221"/>
      <c r="AJ63" s="221"/>
      <c r="AK63" s="221"/>
      <c r="AL63" s="221"/>
      <c r="AM63" s="221"/>
      <c r="AN63" s="221"/>
      <c r="AO63" s="221"/>
      <c r="AP63" s="221"/>
      <c r="AQ63" s="182"/>
      <c r="AR63" s="182"/>
      <c r="AS63" s="182"/>
      <c r="AT63" s="182"/>
      <c r="AU63" s="221" t="str">
        <f t="shared" si="88"/>
        <v/>
      </c>
      <c r="AV63" s="221" t="str">
        <f t="shared" si="89"/>
        <v/>
      </c>
      <c r="AW63" s="221"/>
      <c r="AX63" s="221"/>
      <c r="AY63" s="221"/>
      <c r="AZ63" s="221"/>
      <c r="BA63" s="221"/>
      <c r="BB63" s="221"/>
      <c r="BC63" s="221"/>
      <c r="BD63" s="221"/>
      <c r="BE63" s="221"/>
      <c r="BF63" s="468">
        <f t="shared" si="90"/>
        <v>0</v>
      </c>
      <c r="BG63" s="315">
        <f t="shared" si="91"/>
        <v>0</v>
      </c>
      <c r="BH63" s="315" t="str">
        <f t="shared" si="92"/>
        <v/>
      </c>
      <c r="BI63" s="182"/>
      <c r="BJ63" s="182"/>
      <c r="BK63" s="182"/>
      <c r="BL63" s="221"/>
      <c r="BM63" s="221"/>
      <c r="BN63" s="221"/>
      <c r="BO63" s="221"/>
      <c r="BP63" s="221"/>
      <c r="BQ63" s="221"/>
      <c r="BR63" s="221"/>
      <c r="BS63" s="221"/>
      <c r="BT63" s="221"/>
      <c r="BU63" s="182"/>
      <c r="BV63" s="182"/>
      <c r="BW63" s="182"/>
      <c r="BX63" s="182"/>
      <c r="BY63" s="221" t="str">
        <f t="shared" si="93"/>
        <v/>
      </c>
      <c r="BZ63" s="221" t="str">
        <f t="shared" si="94"/>
        <v/>
      </c>
      <c r="CA63" s="221"/>
      <c r="CB63" s="221"/>
      <c r="CC63" s="221"/>
      <c r="CD63" s="221"/>
      <c r="CE63" s="221"/>
      <c r="CF63" s="221"/>
      <c r="CG63" s="221"/>
      <c r="CH63" s="221"/>
      <c r="CI63" s="221"/>
      <c r="CJ63" s="468">
        <f t="shared" si="95"/>
        <v>0</v>
      </c>
      <c r="CK63" s="315">
        <f t="shared" si="96"/>
        <v>0</v>
      </c>
      <c r="CL63" s="315" t="str">
        <f t="shared" si="97"/>
        <v/>
      </c>
      <c r="CM63" s="182"/>
      <c r="CN63" s="182"/>
      <c r="CO63" s="182"/>
      <c r="CP63" s="221"/>
      <c r="CQ63" s="221"/>
      <c r="CR63" s="221"/>
      <c r="CS63" s="221"/>
      <c r="CT63" s="221"/>
      <c r="CU63" s="221"/>
      <c r="CV63" s="221"/>
      <c r="CW63" s="221"/>
      <c r="CX63" s="221"/>
      <c r="CY63" s="221"/>
      <c r="CZ63" s="182"/>
      <c r="DA63" s="182"/>
      <c r="DB63" s="182"/>
      <c r="DC63" s="182"/>
      <c r="DD63" s="221" t="str">
        <f t="shared" si="72"/>
        <v/>
      </c>
      <c r="DE63" s="221" t="str">
        <f t="shared" si="73"/>
        <v/>
      </c>
      <c r="DF63" s="221"/>
      <c r="DG63" s="221"/>
      <c r="DH63" s="221"/>
      <c r="DI63" s="221"/>
      <c r="DJ63" s="221"/>
      <c r="DK63" s="221"/>
      <c r="DL63" s="221"/>
      <c r="DM63" s="221"/>
      <c r="DN63" s="221"/>
      <c r="DO63" s="469" t="str">
        <f t="shared" si="98"/>
        <v/>
      </c>
      <c r="DP63" s="315">
        <f t="shared" si="99"/>
        <v>0</v>
      </c>
      <c r="DQ63" s="315" t="str">
        <f t="shared" si="100"/>
        <v/>
      </c>
      <c r="DR63" s="182"/>
      <c r="DS63" s="182"/>
      <c r="DT63" s="182"/>
      <c r="DU63" s="221"/>
      <c r="DV63" s="221"/>
      <c r="DW63" s="221"/>
      <c r="DX63" s="221"/>
      <c r="DY63" s="221"/>
      <c r="DZ63" s="221"/>
      <c r="EA63" s="221"/>
      <c r="EB63" s="221"/>
      <c r="EC63" s="221"/>
      <c r="ED63" s="182"/>
      <c r="EE63" s="182"/>
      <c r="EF63" s="182"/>
      <c r="EG63" s="182"/>
      <c r="EH63" s="221" t="str">
        <f t="shared" si="101"/>
        <v/>
      </c>
      <c r="EI63" s="221" t="str">
        <f t="shared" si="102"/>
        <v/>
      </c>
      <c r="EJ63" s="221"/>
      <c r="EK63" s="221"/>
      <c r="EL63" s="221"/>
      <c r="EM63" s="221"/>
      <c r="EN63" s="221"/>
      <c r="EO63" s="221"/>
      <c r="EP63" s="221"/>
      <c r="EQ63" s="221"/>
      <c r="ER63" s="221"/>
      <c r="ES63" s="221"/>
      <c r="ET63" s="221"/>
      <c r="EU63" s="315">
        <f t="shared" si="103"/>
        <v>0</v>
      </c>
      <c r="EV63" s="315" t="str">
        <f t="shared" si="104"/>
        <v/>
      </c>
      <c r="EW63" s="182"/>
      <c r="EX63" s="182"/>
      <c r="EY63" s="182"/>
      <c r="EZ63" s="221"/>
      <c r="FA63" s="221"/>
      <c r="FB63" s="221"/>
      <c r="FC63" s="221"/>
      <c r="FD63" s="221"/>
      <c r="FE63" s="221"/>
      <c r="FF63" s="221"/>
      <c r="FG63" s="221"/>
      <c r="FH63" s="221"/>
      <c r="FI63" s="182"/>
      <c r="FJ63" s="182"/>
      <c r="FK63" s="182"/>
      <c r="FL63" s="182"/>
      <c r="FM63" s="221" t="str">
        <f t="shared" si="105"/>
        <v/>
      </c>
      <c r="FN63" s="221" t="str">
        <f t="shared" si="106"/>
        <v/>
      </c>
      <c r="FO63" s="221"/>
      <c r="FP63" s="221"/>
      <c r="FQ63" s="221"/>
      <c r="FR63" s="221"/>
      <c r="FS63" s="221"/>
      <c r="FT63" s="221"/>
      <c r="FU63" s="221"/>
      <c r="FV63" s="221"/>
      <c r="FW63" s="221"/>
      <c r="FX63" s="221"/>
      <c r="FY63" s="221"/>
      <c r="FZ63" s="408"/>
      <c r="GA63" s="315">
        <f t="shared" si="107"/>
        <v>0</v>
      </c>
      <c r="GB63" s="315" t="str">
        <f t="shared" si="108"/>
        <v/>
      </c>
      <c r="GC63" s="182" t="s">
        <v>160</v>
      </c>
      <c r="GD63" s="182"/>
      <c r="GE63" s="182"/>
      <c r="GG63" s="460"/>
      <c r="GH63" s="460"/>
      <c r="GU63" s="469"/>
      <c r="GV63" s="470" t="str">
        <f t="shared" si="109"/>
        <v/>
      </c>
      <c r="GW63" s="302">
        <f t="shared" si="110"/>
        <v>0</v>
      </c>
      <c r="HA63" s="654"/>
      <c r="HD63" s="379"/>
      <c r="HE63" s="380"/>
      <c r="HH63" s="383"/>
      <c r="HI63" s="410"/>
      <c r="HJ63" s="302" t="str">
        <f t="shared" si="85"/>
        <v/>
      </c>
      <c r="HN63" s="398"/>
      <c r="HO63" s="302" t="str">
        <f t="shared" si="34"/>
        <v/>
      </c>
      <c r="HP63" s="302" t="str">
        <f t="shared" si="35"/>
        <v/>
      </c>
      <c r="HQ63" s="302" t="str">
        <f t="shared" si="36"/>
        <v/>
      </c>
      <c r="IT63" s="410"/>
      <c r="IU63" s="410"/>
      <c r="IV63" s="635"/>
    </row>
    <row r="64" spans="1:256" s="302" customFormat="1" ht="12.75" hidden="1" customHeight="1">
      <c r="A64" s="397" t="str">
        <f t="shared" si="1"/>
        <v/>
      </c>
      <c r="B64" s="462" t="str">
        <f t="shared" si="61"/>
        <v/>
      </c>
      <c r="C64" s="426"/>
      <c r="D64" s="575"/>
      <c r="E64" s="463"/>
      <c r="F64" s="464"/>
      <c r="G64" s="465"/>
      <c r="H64" s="465"/>
      <c r="I64" s="466"/>
      <c r="J64" s="463"/>
      <c r="K64" s="465"/>
      <c r="L64" s="465"/>
      <c r="M64" s="466"/>
      <c r="N64" s="573"/>
      <c r="O64" s="467"/>
      <c r="P64" s="518"/>
      <c r="Q64" s="381"/>
      <c r="R64" s="182"/>
      <c r="S64" s="182"/>
      <c r="T64" s="182"/>
      <c r="U64" s="182"/>
      <c r="V64" s="182"/>
      <c r="W64" s="182"/>
      <c r="X64" s="182"/>
      <c r="Y64" s="182"/>
      <c r="Z64" s="182"/>
      <c r="AA64" s="384"/>
      <c r="AB64" s="182" t="str">
        <f t="shared" si="86"/>
        <v/>
      </c>
      <c r="AC64" s="315">
        <f t="shared" si="87"/>
        <v>0</v>
      </c>
      <c r="AD64" s="315" t="str">
        <f t="shared" si="63"/>
        <v/>
      </c>
      <c r="AH64" s="380"/>
      <c r="AI64" s="380"/>
      <c r="AJ64" s="380"/>
      <c r="AK64" s="380"/>
      <c r="AL64" s="380"/>
      <c r="AM64" s="380"/>
      <c r="AN64" s="380"/>
      <c r="AO64" s="380"/>
      <c r="AP64" s="380"/>
      <c r="AU64" s="221" t="str">
        <f t="shared" si="88"/>
        <v/>
      </c>
      <c r="AV64" s="221" t="str">
        <f t="shared" si="89"/>
        <v/>
      </c>
      <c r="AW64" s="221"/>
      <c r="AX64" s="221"/>
      <c r="AY64" s="221"/>
      <c r="AZ64" s="221"/>
      <c r="BA64" s="221"/>
      <c r="BB64" s="221"/>
      <c r="BC64" s="221"/>
      <c r="BD64" s="221"/>
      <c r="BE64" s="221"/>
      <c r="BF64" s="469">
        <f t="shared" si="90"/>
        <v>0</v>
      </c>
      <c r="BG64" s="315">
        <f t="shared" si="91"/>
        <v>0</v>
      </c>
      <c r="BH64" s="315" t="str">
        <f t="shared" si="92"/>
        <v/>
      </c>
      <c r="BI64" s="182"/>
      <c r="BJ64" s="182"/>
      <c r="BK64" s="182"/>
      <c r="BL64" s="221"/>
      <c r="BM64" s="221"/>
      <c r="BN64" s="221"/>
      <c r="BO64" s="221"/>
      <c r="BP64" s="221"/>
      <c r="BQ64" s="221"/>
      <c r="BR64" s="221"/>
      <c r="BS64" s="221"/>
      <c r="BT64" s="221"/>
      <c r="BU64" s="182"/>
      <c r="BV64" s="182"/>
      <c r="BW64" s="182"/>
      <c r="BX64" s="182"/>
      <c r="BY64" s="221" t="str">
        <f t="shared" si="93"/>
        <v/>
      </c>
      <c r="BZ64" s="221" t="str">
        <f t="shared" si="94"/>
        <v/>
      </c>
      <c r="CA64" s="221"/>
      <c r="CB64" s="221"/>
      <c r="CC64" s="221"/>
      <c r="CD64" s="221"/>
      <c r="CE64" s="221"/>
      <c r="CF64" s="221"/>
      <c r="CG64" s="221"/>
      <c r="CH64" s="221"/>
      <c r="CI64" s="221"/>
      <c r="CJ64" s="469">
        <f t="shared" si="95"/>
        <v>0</v>
      </c>
      <c r="CK64" s="315">
        <f t="shared" si="96"/>
        <v>0</v>
      </c>
      <c r="CL64" s="315" t="str">
        <f t="shared" si="97"/>
        <v/>
      </c>
      <c r="CM64" s="182"/>
      <c r="CN64" s="182"/>
      <c r="CO64" s="182"/>
      <c r="CP64" s="221"/>
      <c r="CQ64" s="221"/>
      <c r="CR64" s="221"/>
      <c r="CS64" s="221"/>
      <c r="CT64" s="221"/>
      <c r="CU64" s="221"/>
      <c r="CV64" s="221"/>
      <c r="CW64" s="221"/>
      <c r="CX64" s="221"/>
      <c r="CY64" s="221"/>
      <c r="CZ64" s="182"/>
      <c r="DA64" s="182"/>
      <c r="DB64" s="182"/>
      <c r="DC64" s="182"/>
      <c r="DD64" s="221" t="str">
        <f t="shared" si="72"/>
        <v/>
      </c>
      <c r="DE64" s="221" t="str">
        <f t="shared" si="73"/>
        <v/>
      </c>
      <c r="DF64" s="221"/>
      <c r="DG64" s="221"/>
      <c r="DH64" s="221"/>
      <c r="DI64" s="221"/>
      <c r="DJ64" s="221"/>
      <c r="DK64" s="221"/>
      <c r="DL64" s="221"/>
      <c r="DM64" s="221"/>
      <c r="DN64" s="221"/>
      <c r="DO64" s="469" t="str">
        <f t="shared" si="98"/>
        <v/>
      </c>
      <c r="DP64" s="315">
        <f t="shared" si="99"/>
        <v>0</v>
      </c>
      <c r="DQ64" s="315" t="str">
        <f t="shared" si="100"/>
        <v/>
      </c>
      <c r="DR64" s="182"/>
      <c r="DS64" s="182"/>
      <c r="DT64" s="182"/>
      <c r="DU64" s="221"/>
      <c r="DV64" s="221"/>
      <c r="DW64" s="221"/>
      <c r="DX64" s="221"/>
      <c r="DY64" s="221"/>
      <c r="DZ64" s="221"/>
      <c r="EA64" s="221"/>
      <c r="EB64" s="221"/>
      <c r="EC64" s="221"/>
      <c r="ED64" s="182"/>
      <c r="EE64" s="182"/>
      <c r="EF64" s="182"/>
      <c r="EG64" s="182"/>
      <c r="EH64" s="221" t="str">
        <f t="shared" si="101"/>
        <v/>
      </c>
      <c r="EI64" s="221" t="str">
        <f t="shared" si="102"/>
        <v/>
      </c>
      <c r="EJ64" s="221"/>
      <c r="EK64" s="221"/>
      <c r="EL64" s="221"/>
      <c r="EM64" s="221"/>
      <c r="EN64" s="221"/>
      <c r="EO64" s="221"/>
      <c r="EP64" s="221"/>
      <c r="EQ64" s="221"/>
      <c r="ER64" s="221"/>
      <c r="ES64" s="221"/>
      <c r="ET64" s="221"/>
      <c r="EU64" s="315">
        <f t="shared" si="103"/>
        <v>0</v>
      </c>
      <c r="EV64" s="315" t="str">
        <f t="shared" si="104"/>
        <v/>
      </c>
      <c r="EW64" s="182"/>
      <c r="EX64" s="182"/>
      <c r="EY64" s="182"/>
      <c r="EZ64" s="221"/>
      <c r="FA64" s="221"/>
      <c r="FB64" s="221"/>
      <c r="FC64" s="221"/>
      <c r="FD64" s="221"/>
      <c r="FE64" s="221"/>
      <c r="FF64" s="221"/>
      <c r="FG64" s="221"/>
      <c r="FH64" s="221"/>
      <c r="FI64" s="182"/>
      <c r="FJ64" s="182"/>
      <c r="FK64" s="182"/>
      <c r="FL64" s="182"/>
      <c r="FM64" s="221" t="str">
        <f t="shared" si="105"/>
        <v/>
      </c>
      <c r="FN64" s="221" t="str">
        <f t="shared" si="106"/>
        <v/>
      </c>
      <c r="FO64" s="221"/>
      <c r="FP64" s="221"/>
      <c r="FQ64" s="221"/>
      <c r="FR64" s="221"/>
      <c r="FS64" s="221"/>
      <c r="FT64" s="221"/>
      <c r="FU64" s="221"/>
      <c r="FV64" s="221"/>
      <c r="FW64" s="221"/>
      <c r="FX64" s="221"/>
      <c r="FY64" s="221"/>
      <c r="FZ64" s="408"/>
      <c r="GA64" s="315">
        <f t="shared" si="107"/>
        <v>0</v>
      </c>
      <c r="GB64" s="315" t="str">
        <f t="shared" si="108"/>
        <v/>
      </c>
      <c r="GC64" s="182" t="s">
        <v>160</v>
      </c>
      <c r="GD64" s="182"/>
      <c r="GE64" s="182"/>
      <c r="GG64" s="460"/>
      <c r="GH64" s="460"/>
      <c r="GU64" s="469"/>
      <c r="GV64" s="470" t="str">
        <f t="shared" si="109"/>
        <v/>
      </c>
      <c r="GW64" s="302">
        <f t="shared" si="110"/>
        <v>0</v>
      </c>
      <c r="HA64" s="654"/>
      <c r="HD64" s="379"/>
      <c r="HE64" s="380"/>
      <c r="HH64" s="385"/>
      <c r="HI64" s="411"/>
      <c r="HJ64" s="302" t="str">
        <f t="shared" si="85"/>
        <v/>
      </c>
      <c r="HO64" s="302" t="str">
        <f t="shared" si="34"/>
        <v/>
      </c>
      <c r="HP64" s="302" t="str">
        <f t="shared" si="35"/>
        <v/>
      </c>
      <c r="HQ64" s="302" t="str">
        <f t="shared" si="36"/>
        <v/>
      </c>
      <c r="IT64" s="411"/>
      <c r="IU64" s="411"/>
      <c r="IV64" s="635"/>
    </row>
    <row r="65" spans="1:256" s="302" customFormat="1" ht="12.75" hidden="1" customHeight="1">
      <c r="A65" s="397" t="str">
        <f t="shared" si="1"/>
        <v/>
      </c>
      <c r="B65" s="462" t="str">
        <f t="shared" si="61"/>
        <v/>
      </c>
      <c r="C65" s="426"/>
      <c r="D65" s="575"/>
      <c r="E65" s="463"/>
      <c r="F65" s="464"/>
      <c r="G65" s="465"/>
      <c r="H65" s="465"/>
      <c r="I65" s="466"/>
      <c r="J65" s="463"/>
      <c r="K65" s="465"/>
      <c r="L65" s="465"/>
      <c r="M65" s="466"/>
      <c r="N65" s="573"/>
      <c r="O65" s="467"/>
      <c r="P65" s="518"/>
      <c r="Q65" s="381"/>
      <c r="R65" s="182"/>
      <c r="S65" s="182"/>
      <c r="T65" s="182"/>
      <c r="U65" s="182"/>
      <c r="V65" s="182"/>
      <c r="W65" s="182"/>
      <c r="X65" s="182"/>
      <c r="Y65" s="182"/>
      <c r="Z65" s="182"/>
      <c r="AA65" s="382"/>
      <c r="AB65" s="182" t="str">
        <f t="shared" si="86"/>
        <v/>
      </c>
      <c r="AC65" s="315">
        <f t="shared" si="87"/>
        <v>0</v>
      </c>
      <c r="AD65" s="315" t="str">
        <f t="shared" si="63"/>
        <v/>
      </c>
      <c r="AE65" s="182"/>
      <c r="AF65" s="182"/>
      <c r="AG65" s="182"/>
      <c r="AH65" s="221"/>
      <c r="AI65" s="221"/>
      <c r="AJ65" s="221"/>
      <c r="AK65" s="221"/>
      <c r="AL65" s="221"/>
      <c r="AM65" s="221"/>
      <c r="AN65" s="221"/>
      <c r="AO65" s="221"/>
      <c r="AP65" s="221"/>
      <c r="AQ65" s="182"/>
      <c r="AR65" s="182"/>
      <c r="AS65" s="182"/>
      <c r="AT65" s="182"/>
      <c r="AU65" s="221" t="str">
        <f t="shared" si="88"/>
        <v/>
      </c>
      <c r="AV65" s="221" t="str">
        <f t="shared" si="89"/>
        <v/>
      </c>
      <c r="AW65" s="221"/>
      <c r="AX65" s="221"/>
      <c r="AY65" s="221"/>
      <c r="AZ65" s="221"/>
      <c r="BA65" s="221"/>
      <c r="BB65" s="221"/>
      <c r="BC65" s="221"/>
      <c r="BD65" s="221"/>
      <c r="BE65" s="221"/>
      <c r="BF65" s="468">
        <f t="shared" si="90"/>
        <v>0</v>
      </c>
      <c r="BG65" s="315">
        <f t="shared" si="91"/>
        <v>0</v>
      </c>
      <c r="BH65" s="315" t="str">
        <f t="shared" si="92"/>
        <v/>
      </c>
      <c r="BI65" s="182"/>
      <c r="BJ65" s="182"/>
      <c r="BK65" s="182"/>
      <c r="BL65" s="221"/>
      <c r="BM65" s="221"/>
      <c r="BN65" s="221"/>
      <c r="BO65" s="221"/>
      <c r="BP65" s="221"/>
      <c r="BQ65" s="221"/>
      <c r="BR65" s="221"/>
      <c r="BS65" s="221"/>
      <c r="BT65" s="221"/>
      <c r="BU65" s="182"/>
      <c r="BV65" s="182"/>
      <c r="BW65" s="182"/>
      <c r="BX65" s="182"/>
      <c r="BY65" s="221" t="str">
        <f t="shared" si="93"/>
        <v/>
      </c>
      <c r="BZ65" s="221" t="str">
        <f t="shared" si="94"/>
        <v/>
      </c>
      <c r="CA65" s="221"/>
      <c r="CB65" s="221"/>
      <c r="CC65" s="221"/>
      <c r="CD65" s="221"/>
      <c r="CE65" s="221"/>
      <c r="CF65" s="221"/>
      <c r="CG65" s="221"/>
      <c r="CH65" s="221"/>
      <c r="CI65" s="221"/>
      <c r="CJ65" s="468">
        <f t="shared" si="95"/>
        <v>0</v>
      </c>
      <c r="CK65" s="315">
        <f t="shared" si="96"/>
        <v>0</v>
      </c>
      <c r="CL65" s="315" t="str">
        <f t="shared" si="97"/>
        <v/>
      </c>
      <c r="CM65" s="182"/>
      <c r="CN65" s="182"/>
      <c r="CO65" s="182"/>
      <c r="CP65" s="221"/>
      <c r="CQ65" s="221"/>
      <c r="CR65" s="221"/>
      <c r="CS65" s="221"/>
      <c r="CT65" s="221"/>
      <c r="CU65" s="221"/>
      <c r="CV65" s="221"/>
      <c r="CW65" s="221"/>
      <c r="CX65" s="221"/>
      <c r="CY65" s="221"/>
      <c r="CZ65" s="182"/>
      <c r="DA65" s="182"/>
      <c r="DB65" s="182"/>
      <c r="DC65" s="182"/>
      <c r="DD65" s="221" t="str">
        <f t="shared" si="72"/>
        <v/>
      </c>
      <c r="DE65" s="221" t="str">
        <f t="shared" si="73"/>
        <v/>
      </c>
      <c r="DF65" s="221"/>
      <c r="DG65" s="221"/>
      <c r="DH65" s="221"/>
      <c r="DI65" s="221"/>
      <c r="DJ65" s="221"/>
      <c r="DK65" s="221"/>
      <c r="DL65" s="221"/>
      <c r="DM65" s="221"/>
      <c r="DN65" s="221"/>
      <c r="DO65" s="469" t="str">
        <f t="shared" si="98"/>
        <v/>
      </c>
      <c r="DP65" s="315">
        <f t="shared" si="99"/>
        <v>0</v>
      </c>
      <c r="DQ65" s="315" t="str">
        <f t="shared" si="100"/>
        <v/>
      </c>
      <c r="DR65" s="182"/>
      <c r="DS65" s="182"/>
      <c r="DT65" s="182"/>
      <c r="DU65" s="221"/>
      <c r="DV65" s="221"/>
      <c r="DW65" s="221"/>
      <c r="DX65" s="221"/>
      <c r="DY65" s="221"/>
      <c r="DZ65" s="221"/>
      <c r="EA65" s="221"/>
      <c r="EB65" s="221"/>
      <c r="EC65" s="221"/>
      <c r="ED65" s="182"/>
      <c r="EE65" s="182"/>
      <c r="EF65" s="182"/>
      <c r="EG65" s="182"/>
      <c r="EH65" s="221" t="str">
        <f t="shared" si="101"/>
        <v/>
      </c>
      <c r="EI65" s="221" t="str">
        <f t="shared" si="102"/>
        <v/>
      </c>
      <c r="EJ65" s="221"/>
      <c r="EK65" s="221"/>
      <c r="EL65" s="221"/>
      <c r="EM65" s="221"/>
      <c r="EN65" s="221"/>
      <c r="EO65" s="221"/>
      <c r="EP65" s="221"/>
      <c r="EQ65" s="221"/>
      <c r="ER65" s="221"/>
      <c r="ES65" s="221"/>
      <c r="ET65" s="221"/>
      <c r="EU65" s="315">
        <f t="shared" si="103"/>
        <v>0</v>
      </c>
      <c r="EV65" s="315" t="str">
        <f t="shared" si="104"/>
        <v/>
      </c>
      <c r="EW65" s="182"/>
      <c r="EX65" s="182"/>
      <c r="EY65" s="182"/>
      <c r="EZ65" s="221"/>
      <c r="FA65" s="221"/>
      <c r="FB65" s="221"/>
      <c r="FC65" s="221"/>
      <c r="FD65" s="221"/>
      <c r="FE65" s="221"/>
      <c r="FF65" s="221"/>
      <c r="FG65" s="221"/>
      <c r="FH65" s="221"/>
      <c r="FI65" s="182"/>
      <c r="FJ65" s="182"/>
      <c r="FK65" s="182"/>
      <c r="FL65" s="182"/>
      <c r="FM65" s="221" t="str">
        <f t="shared" si="105"/>
        <v/>
      </c>
      <c r="FN65" s="221" t="str">
        <f t="shared" si="106"/>
        <v/>
      </c>
      <c r="FO65" s="221"/>
      <c r="FP65" s="221"/>
      <c r="FQ65" s="221"/>
      <c r="FR65" s="221"/>
      <c r="FS65" s="221"/>
      <c r="FT65" s="221"/>
      <c r="FU65" s="221"/>
      <c r="FV65" s="221"/>
      <c r="FW65" s="221"/>
      <c r="FX65" s="221"/>
      <c r="FY65" s="221"/>
      <c r="FZ65" s="408"/>
      <c r="GA65" s="315">
        <f t="shared" si="107"/>
        <v>0</v>
      </c>
      <c r="GB65" s="315" t="str">
        <f t="shared" si="108"/>
        <v/>
      </c>
      <c r="GC65" s="182" t="s">
        <v>160</v>
      </c>
      <c r="GD65" s="182"/>
      <c r="GE65" s="182"/>
      <c r="GG65" s="460"/>
      <c r="GH65" s="460"/>
      <c r="GU65" s="469"/>
      <c r="GV65" s="470" t="str">
        <f t="shared" si="109"/>
        <v/>
      </c>
      <c r="GW65" s="302">
        <f t="shared" si="110"/>
        <v>0</v>
      </c>
      <c r="HA65" s="654"/>
      <c r="HD65" s="379"/>
      <c r="HE65" s="380"/>
      <c r="HH65" s="383"/>
      <c r="HI65" s="410"/>
      <c r="HJ65" s="302" t="str">
        <f t="shared" si="85"/>
        <v/>
      </c>
      <c r="HO65" s="302" t="str">
        <f t="shared" si="34"/>
        <v/>
      </c>
      <c r="HP65" s="302" t="str">
        <f t="shared" si="35"/>
        <v/>
      </c>
      <c r="HQ65" s="302" t="str">
        <f t="shared" si="36"/>
        <v/>
      </c>
      <c r="IT65" s="410"/>
      <c r="IU65" s="410"/>
      <c r="IV65" s="635"/>
    </row>
    <row r="66" spans="1:256" s="302" customFormat="1" ht="12.75" hidden="1" customHeight="1">
      <c r="A66" s="397" t="str">
        <f t="shared" si="1"/>
        <v/>
      </c>
      <c r="B66" s="462" t="str">
        <f t="shared" si="61"/>
        <v/>
      </c>
      <c r="C66" s="426"/>
      <c r="D66" s="575"/>
      <c r="E66" s="463"/>
      <c r="F66" s="464"/>
      <c r="G66" s="465"/>
      <c r="H66" s="465"/>
      <c r="I66" s="466"/>
      <c r="J66" s="463"/>
      <c r="K66" s="465"/>
      <c r="L66" s="465"/>
      <c r="M66" s="466"/>
      <c r="N66" s="573"/>
      <c r="O66" s="467"/>
      <c r="P66" s="518"/>
      <c r="Q66" s="381"/>
      <c r="R66" s="182"/>
      <c r="S66" s="182"/>
      <c r="T66" s="182"/>
      <c r="U66" s="182"/>
      <c r="V66" s="182"/>
      <c r="W66" s="182"/>
      <c r="X66" s="182"/>
      <c r="Y66" s="182"/>
      <c r="Z66" s="182"/>
      <c r="AA66" s="384"/>
      <c r="AB66" s="182" t="str">
        <f t="shared" si="86"/>
        <v/>
      </c>
      <c r="AC66" s="315">
        <f t="shared" si="87"/>
        <v>0</v>
      </c>
      <c r="AD66" s="315" t="str">
        <f t="shared" si="63"/>
        <v/>
      </c>
      <c r="AE66" s="182"/>
      <c r="AF66" s="182"/>
      <c r="AG66" s="182"/>
      <c r="AH66" s="221"/>
      <c r="AI66" s="221"/>
      <c r="AJ66" s="221"/>
      <c r="AK66" s="221"/>
      <c r="AL66" s="221"/>
      <c r="AM66" s="221"/>
      <c r="AN66" s="221"/>
      <c r="AO66" s="221"/>
      <c r="AP66" s="221"/>
      <c r="AQ66" s="182"/>
      <c r="AR66" s="182"/>
      <c r="AS66" s="182"/>
      <c r="AT66" s="182"/>
      <c r="AU66" s="221" t="str">
        <f t="shared" si="88"/>
        <v/>
      </c>
      <c r="AV66" s="221" t="str">
        <f t="shared" si="89"/>
        <v/>
      </c>
      <c r="AW66" s="221"/>
      <c r="AX66" s="221"/>
      <c r="AY66" s="221"/>
      <c r="AZ66" s="221"/>
      <c r="BA66" s="221"/>
      <c r="BB66" s="221"/>
      <c r="BC66" s="221"/>
      <c r="BD66" s="221"/>
      <c r="BE66" s="221"/>
      <c r="BF66" s="469">
        <f t="shared" si="90"/>
        <v>0</v>
      </c>
      <c r="BG66" s="315">
        <f t="shared" si="91"/>
        <v>0</v>
      </c>
      <c r="BH66" s="315" t="str">
        <f t="shared" si="92"/>
        <v/>
      </c>
      <c r="BI66" s="182"/>
      <c r="BJ66" s="182"/>
      <c r="BK66" s="182"/>
      <c r="BL66" s="221"/>
      <c r="BM66" s="221"/>
      <c r="BN66" s="221"/>
      <c r="BO66" s="221"/>
      <c r="BP66" s="221"/>
      <c r="BQ66" s="221"/>
      <c r="BR66" s="221"/>
      <c r="BS66" s="221"/>
      <c r="BT66" s="221"/>
      <c r="BU66" s="182"/>
      <c r="BV66" s="182"/>
      <c r="BW66" s="182"/>
      <c r="BX66" s="182"/>
      <c r="BY66" s="221" t="str">
        <f t="shared" si="93"/>
        <v/>
      </c>
      <c r="BZ66" s="221" t="str">
        <f t="shared" si="94"/>
        <v/>
      </c>
      <c r="CA66" s="221"/>
      <c r="CB66" s="221"/>
      <c r="CC66" s="221"/>
      <c r="CD66" s="221"/>
      <c r="CE66" s="221"/>
      <c r="CF66" s="221"/>
      <c r="CG66" s="221"/>
      <c r="CH66" s="221"/>
      <c r="CI66" s="221"/>
      <c r="CJ66" s="469">
        <f t="shared" si="95"/>
        <v>0</v>
      </c>
      <c r="CK66" s="315">
        <f t="shared" si="96"/>
        <v>0</v>
      </c>
      <c r="CL66" s="315" t="str">
        <f t="shared" si="97"/>
        <v/>
      </c>
      <c r="CM66" s="182"/>
      <c r="CN66" s="182"/>
      <c r="CO66" s="182"/>
      <c r="CP66" s="221"/>
      <c r="CQ66" s="221"/>
      <c r="CR66" s="221"/>
      <c r="CS66" s="221"/>
      <c r="CT66" s="221"/>
      <c r="CU66" s="221"/>
      <c r="CV66" s="221"/>
      <c r="CW66" s="221"/>
      <c r="CX66" s="221"/>
      <c r="CY66" s="221"/>
      <c r="CZ66" s="182"/>
      <c r="DA66" s="182"/>
      <c r="DB66" s="182"/>
      <c r="DC66" s="182"/>
      <c r="DD66" s="221" t="str">
        <f t="shared" si="72"/>
        <v/>
      </c>
      <c r="DE66" s="221" t="str">
        <f t="shared" si="73"/>
        <v/>
      </c>
      <c r="DF66" s="221"/>
      <c r="DG66" s="221"/>
      <c r="DH66" s="221"/>
      <c r="DI66" s="221"/>
      <c r="DJ66" s="221"/>
      <c r="DK66" s="221"/>
      <c r="DL66" s="221"/>
      <c r="DM66" s="221"/>
      <c r="DN66" s="221"/>
      <c r="DO66" s="469" t="str">
        <f t="shared" si="98"/>
        <v/>
      </c>
      <c r="DP66" s="315">
        <f t="shared" si="99"/>
        <v>0</v>
      </c>
      <c r="DQ66" s="315" t="str">
        <f t="shared" si="100"/>
        <v/>
      </c>
      <c r="DR66" s="182"/>
      <c r="DS66" s="182"/>
      <c r="DT66" s="182"/>
      <c r="DU66" s="221"/>
      <c r="DV66" s="221"/>
      <c r="DW66" s="221"/>
      <c r="DX66" s="221"/>
      <c r="DY66" s="221"/>
      <c r="DZ66" s="221"/>
      <c r="EA66" s="221"/>
      <c r="EB66" s="221"/>
      <c r="EC66" s="221"/>
      <c r="ED66" s="182"/>
      <c r="EE66" s="182"/>
      <c r="EF66" s="182"/>
      <c r="EG66" s="182"/>
      <c r="EH66" s="221" t="str">
        <f t="shared" si="101"/>
        <v/>
      </c>
      <c r="EI66" s="221" t="str">
        <f t="shared" si="102"/>
        <v/>
      </c>
      <c r="EJ66" s="221"/>
      <c r="EK66" s="221"/>
      <c r="EL66" s="221"/>
      <c r="EM66" s="221"/>
      <c r="EN66" s="221"/>
      <c r="EO66" s="221"/>
      <c r="EP66" s="221"/>
      <c r="EQ66" s="221"/>
      <c r="ER66" s="221"/>
      <c r="ES66" s="221"/>
      <c r="ET66" s="221"/>
      <c r="EU66" s="315">
        <f t="shared" si="103"/>
        <v>0</v>
      </c>
      <c r="EV66" s="315" t="str">
        <f t="shared" si="104"/>
        <v/>
      </c>
      <c r="EW66" s="182"/>
      <c r="EX66" s="182"/>
      <c r="EY66" s="182"/>
      <c r="EZ66" s="221"/>
      <c r="FA66" s="221"/>
      <c r="FB66" s="221"/>
      <c r="FC66" s="221"/>
      <c r="FD66" s="221"/>
      <c r="FE66" s="221"/>
      <c r="FF66" s="221"/>
      <c r="FG66" s="221"/>
      <c r="FH66" s="221"/>
      <c r="FI66" s="182"/>
      <c r="FJ66" s="182"/>
      <c r="FK66" s="182"/>
      <c r="FL66" s="182"/>
      <c r="FM66" s="221" t="str">
        <f t="shared" si="105"/>
        <v/>
      </c>
      <c r="FN66" s="221" t="str">
        <f t="shared" si="106"/>
        <v/>
      </c>
      <c r="FO66" s="221"/>
      <c r="FP66" s="221"/>
      <c r="FQ66" s="221"/>
      <c r="FR66" s="221"/>
      <c r="FS66" s="221"/>
      <c r="FT66" s="221"/>
      <c r="FU66" s="221"/>
      <c r="FV66" s="221"/>
      <c r="FW66" s="221"/>
      <c r="FX66" s="221"/>
      <c r="FY66" s="221"/>
      <c r="FZ66" s="408"/>
      <c r="GA66" s="315">
        <f t="shared" si="107"/>
        <v>0</v>
      </c>
      <c r="GB66" s="315" t="str">
        <f t="shared" si="108"/>
        <v/>
      </c>
      <c r="GC66" s="182" t="s">
        <v>160</v>
      </c>
      <c r="GD66" s="182"/>
      <c r="GE66" s="182"/>
      <c r="GG66" s="460"/>
      <c r="GH66" s="460"/>
      <c r="GU66" s="469"/>
      <c r="GV66" s="470" t="str">
        <f t="shared" si="109"/>
        <v/>
      </c>
      <c r="GW66" s="302">
        <f t="shared" si="110"/>
        <v>0</v>
      </c>
      <c r="HA66" s="654"/>
      <c r="HD66" s="379"/>
      <c r="HE66" s="380"/>
      <c r="HH66" s="385"/>
      <c r="HI66" s="411"/>
      <c r="HJ66" s="302" t="str">
        <f t="shared" si="85"/>
        <v/>
      </c>
      <c r="HO66" s="302" t="str">
        <f t="shared" si="34"/>
        <v/>
      </c>
      <c r="HP66" s="302" t="str">
        <f t="shared" si="35"/>
        <v/>
      </c>
      <c r="HQ66" s="302" t="str">
        <f t="shared" si="36"/>
        <v/>
      </c>
      <c r="IT66" s="411"/>
      <c r="IU66" s="411"/>
      <c r="IV66" s="635"/>
    </row>
    <row r="67" spans="1:256" s="302" customFormat="1" ht="12.75" hidden="1" customHeight="1">
      <c r="A67" s="397" t="str">
        <f t="shared" si="1"/>
        <v/>
      </c>
      <c r="B67" s="462" t="str">
        <f t="shared" si="61"/>
        <v/>
      </c>
      <c r="C67" s="426"/>
      <c r="D67" s="575"/>
      <c r="E67" s="463"/>
      <c r="F67" s="464"/>
      <c r="G67" s="465"/>
      <c r="H67" s="465"/>
      <c r="I67" s="466"/>
      <c r="J67" s="463"/>
      <c r="K67" s="465"/>
      <c r="L67" s="465"/>
      <c r="M67" s="466"/>
      <c r="N67" s="573"/>
      <c r="O67" s="467"/>
      <c r="P67" s="518"/>
      <c r="Q67" s="381"/>
      <c r="R67" s="182"/>
      <c r="S67" s="182"/>
      <c r="T67" s="182"/>
      <c r="U67" s="182"/>
      <c r="V67" s="182"/>
      <c r="W67" s="182"/>
      <c r="X67" s="182"/>
      <c r="Y67" s="182"/>
      <c r="Z67" s="182"/>
      <c r="AA67" s="382"/>
      <c r="AB67" s="182" t="str">
        <f t="shared" si="86"/>
        <v/>
      </c>
      <c r="AC67" s="315">
        <f t="shared" si="87"/>
        <v>0</v>
      </c>
      <c r="AD67" s="315" t="str">
        <f t="shared" si="63"/>
        <v/>
      </c>
      <c r="AE67" s="182"/>
      <c r="AF67" s="182"/>
      <c r="AG67" s="182"/>
      <c r="AH67" s="221"/>
      <c r="AI67" s="221"/>
      <c r="AJ67" s="221"/>
      <c r="AK67" s="221"/>
      <c r="AL67" s="221"/>
      <c r="AM67" s="221"/>
      <c r="AN67" s="221"/>
      <c r="AO67" s="221"/>
      <c r="AP67" s="221"/>
      <c r="AQ67" s="182"/>
      <c r="AR67" s="182"/>
      <c r="AS67" s="182"/>
      <c r="AT67" s="182"/>
      <c r="AU67" s="221" t="str">
        <f t="shared" si="88"/>
        <v/>
      </c>
      <c r="AV67" s="221" t="str">
        <f t="shared" si="89"/>
        <v/>
      </c>
      <c r="AW67" s="221"/>
      <c r="AX67" s="221"/>
      <c r="AY67" s="221"/>
      <c r="AZ67" s="221"/>
      <c r="BA67" s="221"/>
      <c r="BB67" s="221"/>
      <c r="BC67" s="221"/>
      <c r="BD67" s="221"/>
      <c r="BE67" s="221"/>
      <c r="BF67" s="468">
        <f t="shared" si="90"/>
        <v>0</v>
      </c>
      <c r="BG67" s="315">
        <f t="shared" si="91"/>
        <v>0</v>
      </c>
      <c r="BH67" s="315" t="str">
        <f t="shared" si="92"/>
        <v/>
      </c>
      <c r="BI67" s="182"/>
      <c r="BJ67" s="182"/>
      <c r="BK67" s="182"/>
      <c r="BL67" s="221"/>
      <c r="BM67" s="221"/>
      <c r="BN67" s="221"/>
      <c r="BO67" s="221"/>
      <c r="BP67" s="221"/>
      <c r="BQ67" s="221"/>
      <c r="BR67" s="221"/>
      <c r="BS67" s="221"/>
      <c r="BT67" s="221"/>
      <c r="BU67" s="182"/>
      <c r="BV67" s="182"/>
      <c r="BW67" s="182"/>
      <c r="BX67" s="182"/>
      <c r="BY67" s="221" t="str">
        <f t="shared" si="93"/>
        <v/>
      </c>
      <c r="BZ67" s="221" t="str">
        <f t="shared" si="94"/>
        <v/>
      </c>
      <c r="CA67" s="221"/>
      <c r="CB67" s="221"/>
      <c r="CC67" s="221"/>
      <c r="CD67" s="221"/>
      <c r="CE67" s="221"/>
      <c r="CF67" s="221"/>
      <c r="CG67" s="221"/>
      <c r="CH67" s="221"/>
      <c r="CI67" s="221"/>
      <c r="CJ67" s="468">
        <f t="shared" si="95"/>
        <v>0</v>
      </c>
      <c r="CK67" s="315">
        <f t="shared" si="96"/>
        <v>0</v>
      </c>
      <c r="CL67" s="315" t="str">
        <f t="shared" si="97"/>
        <v/>
      </c>
      <c r="CM67" s="182"/>
      <c r="CN67" s="182"/>
      <c r="CO67" s="182"/>
      <c r="CP67" s="221"/>
      <c r="CQ67" s="221"/>
      <c r="CR67" s="221"/>
      <c r="CS67" s="221"/>
      <c r="CT67" s="221"/>
      <c r="CU67" s="221"/>
      <c r="CV67" s="221"/>
      <c r="CW67" s="221"/>
      <c r="CX67" s="221"/>
      <c r="CY67" s="221"/>
      <c r="CZ67" s="182"/>
      <c r="DA67" s="182"/>
      <c r="DB67" s="182"/>
      <c r="DC67" s="182"/>
      <c r="DD67" s="221" t="str">
        <f t="shared" si="72"/>
        <v/>
      </c>
      <c r="DE67" s="221" t="str">
        <f t="shared" si="73"/>
        <v/>
      </c>
      <c r="DF67" s="221"/>
      <c r="DG67" s="221"/>
      <c r="DH67" s="221"/>
      <c r="DI67" s="221"/>
      <c r="DJ67" s="221"/>
      <c r="DK67" s="221"/>
      <c r="DL67" s="221"/>
      <c r="DM67" s="221"/>
      <c r="DN67" s="221"/>
      <c r="DO67" s="469" t="str">
        <f t="shared" si="98"/>
        <v/>
      </c>
      <c r="DP67" s="315">
        <f t="shared" si="99"/>
        <v>0</v>
      </c>
      <c r="DQ67" s="315" t="str">
        <f t="shared" si="100"/>
        <v/>
      </c>
      <c r="DR67" s="182"/>
      <c r="DS67" s="182"/>
      <c r="DT67" s="182"/>
      <c r="DU67" s="221"/>
      <c r="DV67" s="221"/>
      <c r="DW67" s="221"/>
      <c r="DX67" s="221"/>
      <c r="DY67" s="221"/>
      <c r="DZ67" s="221"/>
      <c r="EA67" s="221"/>
      <c r="EB67" s="221"/>
      <c r="EC67" s="221"/>
      <c r="ED67" s="182"/>
      <c r="EE67" s="182"/>
      <c r="EF67" s="182"/>
      <c r="EG67" s="182"/>
      <c r="EH67" s="221" t="str">
        <f t="shared" si="101"/>
        <v/>
      </c>
      <c r="EI67" s="221" t="str">
        <f t="shared" si="102"/>
        <v/>
      </c>
      <c r="EJ67" s="221"/>
      <c r="EK67" s="221"/>
      <c r="EL67" s="221"/>
      <c r="EM67" s="221"/>
      <c r="EN67" s="221"/>
      <c r="EO67" s="221"/>
      <c r="EP67" s="221"/>
      <c r="EQ67" s="221"/>
      <c r="ER67" s="221"/>
      <c r="ES67" s="221"/>
      <c r="ET67" s="221"/>
      <c r="EU67" s="315">
        <f t="shared" si="103"/>
        <v>0</v>
      </c>
      <c r="EV67" s="315" t="str">
        <f t="shared" si="104"/>
        <v/>
      </c>
      <c r="EW67" s="182"/>
      <c r="EX67" s="182"/>
      <c r="EY67" s="182"/>
      <c r="EZ67" s="221"/>
      <c r="FA67" s="221"/>
      <c r="FB67" s="221"/>
      <c r="FC67" s="221"/>
      <c r="FD67" s="221"/>
      <c r="FE67" s="221"/>
      <c r="FF67" s="221"/>
      <c r="FG67" s="221"/>
      <c r="FH67" s="221"/>
      <c r="FI67" s="182"/>
      <c r="FJ67" s="182"/>
      <c r="FK67" s="182"/>
      <c r="FL67" s="182"/>
      <c r="FM67" s="221" t="str">
        <f t="shared" si="105"/>
        <v/>
      </c>
      <c r="FN67" s="221" t="str">
        <f t="shared" si="106"/>
        <v/>
      </c>
      <c r="FO67" s="221"/>
      <c r="FP67" s="221"/>
      <c r="FQ67" s="221"/>
      <c r="FR67" s="221"/>
      <c r="FS67" s="221"/>
      <c r="FT67" s="221"/>
      <c r="FU67" s="221"/>
      <c r="FV67" s="221"/>
      <c r="FW67" s="221"/>
      <c r="FX67" s="221"/>
      <c r="FY67" s="221"/>
      <c r="FZ67" s="408"/>
      <c r="GA67" s="315">
        <f t="shared" si="107"/>
        <v>0</v>
      </c>
      <c r="GB67" s="315" t="str">
        <f t="shared" si="108"/>
        <v/>
      </c>
      <c r="GC67" s="302" t="s">
        <v>160</v>
      </c>
      <c r="GG67" s="460"/>
      <c r="GH67" s="460"/>
      <c r="GU67" s="469"/>
      <c r="GV67" s="470" t="str">
        <f t="shared" si="109"/>
        <v/>
      </c>
      <c r="GW67" s="302">
        <f t="shared" si="110"/>
        <v>0</v>
      </c>
      <c r="HA67" s="654"/>
      <c r="HD67" s="379"/>
      <c r="HE67" s="380"/>
      <c r="HH67" s="383"/>
      <c r="HI67" s="410"/>
      <c r="HJ67" s="302" t="str">
        <f t="shared" si="85"/>
        <v/>
      </c>
      <c r="HO67" s="302" t="str">
        <f t="shared" si="34"/>
        <v/>
      </c>
      <c r="HP67" s="302" t="str">
        <f t="shared" si="35"/>
        <v/>
      </c>
      <c r="HQ67" s="302" t="str">
        <f t="shared" si="36"/>
        <v/>
      </c>
      <c r="IT67" s="410"/>
      <c r="IU67" s="410"/>
      <c r="IV67" s="635"/>
    </row>
    <row r="68" spans="1:256" s="302" customFormat="1" ht="12.75" hidden="1" customHeight="1">
      <c r="A68" s="397" t="str">
        <f t="shared" si="1"/>
        <v/>
      </c>
      <c r="B68" s="462" t="str">
        <f t="shared" si="61"/>
        <v/>
      </c>
      <c r="C68" s="426"/>
      <c r="D68" s="575"/>
      <c r="E68" s="463"/>
      <c r="F68" s="464"/>
      <c r="G68" s="465"/>
      <c r="H68" s="465"/>
      <c r="I68" s="466"/>
      <c r="J68" s="463"/>
      <c r="K68" s="465"/>
      <c r="L68" s="465"/>
      <c r="M68" s="466"/>
      <c r="N68" s="573"/>
      <c r="O68" s="467"/>
      <c r="P68" s="518"/>
      <c r="Q68" s="381"/>
      <c r="R68" s="182"/>
      <c r="S68" s="182"/>
      <c r="T68" s="182"/>
      <c r="U68" s="182"/>
      <c r="V68" s="182"/>
      <c r="W68" s="182"/>
      <c r="X68" s="182"/>
      <c r="Y68" s="182"/>
      <c r="Z68" s="182"/>
      <c r="AA68" s="384"/>
      <c r="AB68" s="182" t="str">
        <f t="shared" si="86"/>
        <v/>
      </c>
      <c r="AC68" s="315">
        <f t="shared" si="87"/>
        <v>0</v>
      </c>
      <c r="AD68" s="315" t="str">
        <f t="shared" si="63"/>
        <v/>
      </c>
      <c r="AE68" s="182"/>
      <c r="AF68" s="182"/>
      <c r="AG68" s="182"/>
      <c r="AH68" s="221"/>
      <c r="AI68" s="221"/>
      <c r="AJ68" s="221"/>
      <c r="AK68" s="221"/>
      <c r="AL68" s="221"/>
      <c r="AM68" s="221"/>
      <c r="AN68" s="221"/>
      <c r="AO68" s="221"/>
      <c r="AP68" s="221"/>
      <c r="AQ68" s="182"/>
      <c r="AR68" s="182"/>
      <c r="AS68" s="182"/>
      <c r="AT68" s="182"/>
      <c r="AU68" s="221" t="str">
        <f t="shared" si="88"/>
        <v/>
      </c>
      <c r="AV68" s="221" t="str">
        <f t="shared" si="89"/>
        <v/>
      </c>
      <c r="AW68" s="221"/>
      <c r="AX68" s="221"/>
      <c r="AY68" s="221"/>
      <c r="AZ68" s="221"/>
      <c r="BA68" s="221"/>
      <c r="BB68" s="221"/>
      <c r="BC68" s="221"/>
      <c r="BD68" s="221"/>
      <c r="BE68" s="221"/>
      <c r="BF68" s="469">
        <f t="shared" si="90"/>
        <v>0</v>
      </c>
      <c r="BG68" s="315">
        <f t="shared" si="91"/>
        <v>0</v>
      </c>
      <c r="BH68" s="315" t="str">
        <f t="shared" si="92"/>
        <v/>
      </c>
      <c r="BI68" s="182"/>
      <c r="BJ68" s="182"/>
      <c r="BK68" s="182"/>
      <c r="BL68" s="221"/>
      <c r="BM68" s="221"/>
      <c r="BN68" s="221"/>
      <c r="BO68" s="221"/>
      <c r="BP68" s="221"/>
      <c r="BQ68" s="221"/>
      <c r="BR68" s="221"/>
      <c r="BS68" s="221"/>
      <c r="BT68" s="221"/>
      <c r="BU68" s="182"/>
      <c r="BV68" s="182"/>
      <c r="BW68" s="182"/>
      <c r="BX68" s="182"/>
      <c r="BY68" s="221" t="str">
        <f t="shared" si="93"/>
        <v/>
      </c>
      <c r="BZ68" s="221" t="str">
        <f t="shared" si="94"/>
        <v/>
      </c>
      <c r="CA68" s="221"/>
      <c r="CB68" s="221"/>
      <c r="CC68" s="221"/>
      <c r="CD68" s="221"/>
      <c r="CE68" s="221"/>
      <c r="CF68" s="221"/>
      <c r="CG68" s="221"/>
      <c r="CH68" s="221"/>
      <c r="CI68" s="221"/>
      <c r="CJ68" s="469">
        <f t="shared" si="95"/>
        <v>0</v>
      </c>
      <c r="CK68" s="315">
        <f t="shared" si="96"/>
        <v>0</v>
      </c>
      <c r="CL68" s="315" t="str">
        <f t="shared" si="97"/>
        <v/>
      </c>
      <c r="CM68" s="182"/>
      <c r="CN68" s="182"/>
      <c r="CO68" s="182"/>
      <c r="CP68" s="221"/>
      <c r="CQ68" s="221"/>
      <c r="CR68" s="221"/>
      <c r="CS68" s="221"/>
      <c r="CT68" s="221"/>
      <c r="CU68" s="221"/>
      <c r="CV68" s="221"/>
      <c r="CW68" s="221"/>
      <c r="CX68" s="221"/>
      <c r="CY68" s="221"/>
      <c r="CZ68" s="182"/>
      <c r="DA68" s="182"/>
      <c r="DB68" s="182"/>
      <c r="DC68" s="182"/>
      <c r="DD68" s="221" t="str">
        <f t="shared" si="72"/>
        <v/>
      </c>
      <c r="DE68" s="221" t="str">
        <f t="shared" si="73"/>
        <v/>
      </c>
      <c r="DF68" s="221"/>
      <c r="DG68" s="221"/>
      <c r="DH68" s="221"/>
      <c r="DI68" s="221"/>
      <c r="DJ68" s="221"/>
      <c r="DK68" s="221"/>
      <c r="DL68" s="221"/>
      <c r="DM68" s="221"/>
      <c r="DN68" s="221"/>
      <c r="DO68" s="469" t="str">
        <f t="shared" si="98"/>
        <v/>
      </c>
      <c r="DP68" s="315">
        <f t="shared" si="99"/>
        <v>0</v>
      </c>
      <c r="DQ68" s="315" t="str">
        <f t="shared" si="100"/>
        <v/>
      </c>
      <c r="DR68" s="182"/>
      <c r="DS68" s="182"/>
      <c r="DT68" s="182"/>
      <c r="DU68" s="221"/>
      <c r="DV68" s="221"/>
      <c r="DW68" s="221"/>
      <c r="DX68" s="221"/>
      <c r="DY68" s="221"/>
      <c r="DZ68" s="221"/>
      <c r="EA68" s="221"/>
      <c r="EB68" s="221"/>
      <c r="EC68" s="221"/>
      <c r="ED68" s="182"/>
      <c r="EE68" s="182"/>
      <c r="EF68" s="182"/>
      <c r="EG68" s="182"/>
      <c r="EH68" s="221" t="str">
        <f t="shared" si="101"/>
        <v/>
      </c>
      <c r="EI68" s="221" t="str">
        <f t="shared" si="102"/>
        <v/>
      </c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  <c r="EU68" s="315">
        <f t="shared" si="103"/>
        <v>0</v>
      </c>
      <c r="EV68" s="315" t="str">
        <f t="shared" si="104"/>
        <v/>
      </c>
      <c r="EW68" s="182"/>
      <c r="EX68" s="182"/>
      <c r="EY68" s="182"/>
      <c r="EZ68" s="221"/>
      <c r="FA68" s="221"/>
      <c r="FB68" s="221"/>
      <c r="FC68" s="221"/>
      <c r="FD68" s="221"/>
      <c r="FE68" s="221"/>
      <c r="FF68" s="221"/>
      <c r="FG68" s="221"/>
      <c r="FH68" s="221"/>
      <c r="FI68" s="182"/>
      <c r="FJ68" s="182"/>
      <c r="FK68" s="182"/>
      <c r="FL68" s="182"/>
      <c r="FM68" s="221" t="str">
        <f t="shared" si="105"/>
        <v/>
      </c>
      <c r="FN68" s="221" t="str">
        <f t="shared" si="106"/>
        <v/>
      </c>
      <c r="FO68" s="221"/>
      <c r="FP68" s="221"/>
      <c r="FQ68" s="221"/>
      <c r="FR68" s="221"/>
      <c r="FS68" s="221"/>
      <c r="FT68" s="221"/>
      <c r="FU68" s="221"/>
      <c r="FV68" s="221"/>
      <c r="FW68" s="221"/>
      <c r="FX68" s="221"/>
      <c r="FY68" s="221"/>
      <c r="FZ68" s="408"/>
      <c r="GA68" s="315">
        <f t="shared" si="107"/>
        <v>0</v>
      </c>
      <c r="GB68" s="315" t="str">
        <f t="shared" si="108"/>
        <v/>
      </c>
      <c r="GC68" s="182" t="s">
        <v>160</v>
      </c>
      <c r="GD68" s="182"/>
      <c r="GE68" s="182"/>
      <c r="GG68" s="460"/>
      <c r="GH68" s="460"/>
      <c r="GU68" s="469"/>
      <c r="GV68" s="470" t="str">
        <f t="shared" si="109"/>
        <v/>
      </c>
      <c r="GW68" s="302">
        <f t="shared" si="110"/>
        <v>0</v>
      </c>
      <c r="HA68" s="654"/>
      <c r="HD68" s="379"/>
      <c r="HE68" s="380"/>
      <c r="HH68" s="385"/>
      <c r="HI68" s="411"/>
      <c r="HJ68" s="302" t="str">
        <f t="shared" si="85"/>
        <v/>
      </c>
      <c r="HO68" s="302" t="str">
        <f t="shared" si="34"/>
        <v/>
      </c>
      <c r="HP68" s="302" t="str">
        <f t="shared" si="35"/>
        <v/>
      </c>
      <c r="HQ68" s="302" t="str">
        <f t="shared" si="36"/>
        <v/>
      </c>
      <c r="IT68" s="411"/>
      <c r="IU68" s="411"/>
      <c r="IV68" s="635"/>
    </row>
    <row r="69" spans="1:256" s="302" customFormat="1" ht="12.75" hidden="1" customHeight="1">
      <c r="A69" s="397" t="str">
        <f t="shared" ref="A69:A132" si="111">IF(B69="","",IF(F69="BLOQUEADO",0,F69+K69))</f>
        <v/>
      </c>
      <c r="B69" s="462" t="str">
        <f t="shared" si="61"/>
        <v/>
      </c>
      <c r="C69" s="426"/>
      <c r="D69" s="575"/>
      <c r="E69" s="463"/>
      <c r="F69" s="464"/>
      <c r="G69" s="465"/>
      <c r="H69" s="465"/>
      <c r="I69" s="466"/>
      <c r="J69" s="463"/>
      <c r="K69" s="465"/>
      <c r="L69" s="465"/>
      <c r="M69" s="466"/>
      <c r="N69" s="573"/>
      <c r="O69" s="467"/>
      <c r="P69" s="518"/>
      <c r="Q69" s="381"/>
      <c r="R69" s="182"/>
      <c r="S69" s="182"/>
      <c r="T69" s="182"/>
      <c r="U69" s="182"/>
      <c r="V69" s="182"/>
      <c r="W69" s="182"/>
      <c r="X69" s="182"/>
      <c r="Y69" s="182"/>
      <c r="Z69" s="182"/>
      <c r="AA69" s="382"/>
      <c r="AB69" s="182" t="str">
        <f t="shared" si="86"/>
        <v/>
      </c>
      <c r="AC69" s="315">
        <f t="shared" si="87"/>
        <v>0</v>
      </c>
      <c r="AD69" s="315" t="str">
        <f t="shared" si="63"/>
        <v/>
      </c>
      <c r="AE69" s="182"/>
      <c r="AF69" s="182"/>
      <c r="AG69" s="182"/>
      <c r="AH69" s="221"/>
      <c r="AI69" s="221"/>
      <c r="AJ69" s="221"/>
      <c r="AK69" s="221"/>
      <c r="AL69" s="221"/>
      <c r="AM69" s="221"/>
      <c r="AN69" s="221"/>
      <c r="AO69" s="221"/>
      <c r="AP69" s="221"/>
      <c r="AQ69" s="182"/>
      <c r="AR69" s="182"/>
      <c r="AS69" s="182"/>
      <c r="AT69" s="182"/>
      <c r="AU69" s="221" t="str">
        <f t="shared" si="88"/>
        <v/>
      </c>
      <c r="AV69" s="221" t="str">
        <f t="shared" si="89"/>
        <v/>
      </c>
      <c r="AW69" s="221"/>
      <c r="AX69" s="221"/>
      <c r="AY69" s="221"/>
      <c r="AZ69" s="221"/>
      <c r="BA69" s="221"/>
      <c r="BB69" s="221"/>
      <c r="BC69" s="221"/>
      <c r="BD69" s="221"/>
      <c r="BE69" s="221"/>
      <c r="BF69" s="468">
        <f t="shared" si="90"/>
        <v>0</v>
      </c>
      <c r="BG69" s="315">
        <f t="shared" si="91"/>
        <v>0</v>
      </c>
      <c r="BH69" s="315" t="str">
        <f t="shared" si="92"/>
        <v/>
      </c>
      <c r="BI69" s="182"/>
      <c r="BJ69" s="182"/>
      <c r="BK69" s="182"/>
      <c r="BL69" s="221"/>
      <c r="BM69" s="221"/>
      <c r="BN69" s="221"/>
      <c r="BO69" s="221"/>
      <c r="BP69" s="221"/>
      <c r="BQ69" s="221"/>
      <c r="BR69" s="221"/>
      <c r="BS69" s="221"/>
      <c r="BT69" s="221"/>
      <c r="BU69" s="182"/>
      <c r="BV69" s="182"/>
      <c r="BW69" s="182"/>
      <c r="BX69" s="182"/>
      <c r="BY69" s="221" t="str">
        <f t="shared" si="93"/>
        <v/>
      </c>
      <c r="BZ69" s="221" t="str">
        <f t="shared" si="94"/>
        <v/>
      </c>
      <c r="CA69" s="221"/>
      <c r="CB69" s="221"/>
      <c r="CC69" s="221"/>
      <c r="CD69" s="221"/>
      <c r="CE69" s="221"/>
      <c r="CF69" s="221"/>
      <c r="CG69" s="221"/>
      <c r="CH69" s="221"/>
      <c r="CI69" s="221"/>
      <c r="CJ69" s="468">
        <f t="shared" si="95"/>
        <v>0</v>
      </c>
      <c r="CK69" s="315">
        <f t="shared" si="96"/>
        <v>0</v>
      </c>
      <c r="CL69" s="315" t="str">
        <f t="shared" si="97"/>
        <v/>
      </c>
      <c r="CM69" s="182"/>
      <c r="CN69" s="182"/>
      <c r="CO69" s="182"/>
      <c r="CP69" s="221"/>
      <c r="CQ69" s="221"/>
      <c r="CR69" s="221"/>
      <c r="CS69" s="221"/>
      <c r="CT69" s="221"/>
      <c r="CU69" s="221"/>
      <c r="CV69" s="221"/>
      <c r="CW69" s="221"/>
      <c r="CX69" s="221"/>
      <c r="CY69" s="221"/>
      <c r="CZ69" s="182"/>
      <c r="DA69" s="182"/>
      <c r="DB69" s="182"/>
      <c r="DC69" s="182"/>
      <c r="DD69" s="221" t="str">
        <f t="shared" si="72"/>
        <v/>
      </c>
      <c r="DE69" s="221" t="str">
        <f t="shared" si="73"/>
        <v/>
      </c>
      <c r="DF69" s="221"/>
      <c r="DG69" s="221"/>
      <c r="DH69" s="221"/>
      <c r="DI69" s="221"/>
      <c r="DJ69" s="221"/>
      <c r="DK69" s="221"/>
      <c r="DL69" s="221"/>
      <c r="DM69" s="221"/>
      <c r="DN69" s="221"/>
      <c r="DO69" s="469" t="str">
        <f t="shared" si="98"/>
        <v/>
      </c>
      <c r="DP69" s="315">
        <f t="shared" si="99"/>
        <v>0</v>
      </c>
      <c r="DQ69" s="315" t="str">
        <f t="shared" si="100"/>
        <v/>
      </c>
      <c r="DR69" s="182"/>
      <c r="DS69" s="182"/>
      <c r="DT69" s="182"/>
      <c r="DU69" s="221"/>
      <c r="DV69" s="221"/>
      <c r="DW69" s="221"/>
      <c r="DX69" s="221"/>
      <c r="DY69" s="221"/>
      <c r="DZ69" s="221"/>
      <c r="EA69" s="221"/>
      <c r="EB69" s="221"/>
      <c r="EC69" s="221"/>
      <c r="ED69" s="182"/>
      <c r="EE69" s="182"/>
      <c r="EF69" s="182"/>
      <c r="EG69" s="182"/>
      <c r="EH69" s="221" t="str">
        <f t="shared" si="101"/>
        <v/>
      </c>
      <c r="EI69" s="221" t="str">
        <f t="shared" si="102"/>
        <v/>
      </c>
      <c r="EJ69" s="221"/>
      <c r="EK69" s="221"/>
      <c r="EL69" s="221"/>
      <c r="EM69" s="221"/>
      <c r="EN69" s="221"/>
      <c r="EO69" s="221"/>
      <c r="EP69" s="221"/>
      <c r="EQ69" s="221"/>
      <c r="ER69" s="221"/>
      <c r="ES69" s="221"/>
      <c r="ET69" s="221"/>
      <c r="EU69" s="315">
        <f t="shared" si="103"/>
        <v>0</v>
      </c>
      <c r="EV69" s="315" t="str">
        <f t="shared" si="104"/>
        <v/>
      </c>
      <c r="EW69" s="182"/>
      <c r="EX69" s="182"/>
      <c r="EY69" s="182"/>
      <c r="EZ69" s="221"/>
      <c r="FA69" s="221"/>
      <c r="FB69" s="221"/>
      <c r="FC69" s="221"/>
      <c r="FD69" s="221"/>
      <c r="FE69" s="221"/>
      <c r="FF69" s="221"/>
      <c r="FG69" s="221"/>
      <c r="FH69" s="221"/>
      <c r="FI69" s="182"/>
      <c r="FJ69" s="182"/>
      <c r="FK69" s="182"/>
      <c r="FL69" s="182"/>
      <c r="FM69" s="221" t="str">
        <f t="shared" si="105"/>
        <v/>
      </c>
      <c r="FN69" s="221" t="str">
        <f t="shared" si="106"/>
        <v/>
      </c>
      <c r="FO69" s="221"/>
      <c r="FP69" s="221"/>
      <c r="FQ69" s="221"/>
      <c r="FR69" s="221"/>
      <c r="FS69" s="221"/>
      <c r="FT69" s="221"/>
      <c r="FU69" s="221"/>
      <c r="FV69" s="221"/>
      <c r="FW69" s="221"/>
      <c r="FX69" s="221"/>
      <c r="FY69" s="221"/>
      <c r="FZ69" s="408"/>
      <c r="GA69" s="315">
        <f t="shared" si="107"/>
        <v>0</v>
      </c>
      <c r="GB69" s="315" t="str">
        <f t="shared" si="108"/>
        <v/>
      </c>
      <c r="GC69" s="302" t="s">
        <v>160</v>
      </c>
      <c r="GG69" s="460"/>
      <c r="GH69" s="460"/>
      <c r="GU69" s="469"/>
      <c r="GV69" s="470" t="str">
        <f t="shared" si="109"/>
        <v/>
      </c>
      <c r="GW69" s="302">
        <f t="shared" si="110"/>
        <v>0</v>
      </c>
      <c r="HA69" s="654"/>
      <c r="HD69" s="379"/>
      <c r="HE69" s="380"/>
      <c r="HH69" s="383"/>
      <c r="HI69" s="410"/>
      <c r="HJ69" s="302" t="str">
        <f t="shared" si="85"/>
        <v/>
      </c>
      <c r="HO69" s="302" t="str">
        <f t="shared" ref="HO69:HO132" si="112">IF(HM69="","",$HM$2&amp;HM69)</f>
        <v/>
      </c>
      <c r="HP69" s="302" t="str">
        <f t="shared" ref="HP69:HP132" si="113">IF(HN69="","",$HN$2&amp;HN69)</f>
        <v/>
      </c>
      <c r="HQ69" s="302" t="str">
        <f t="shared" ref="HQ69:HQ132" si="114">IF(HM69="","",$HM$2&amp;HM69&amp;$HO$2&amp;$HN$2&amp;HN69&amp;$HP$2)</f>
        <v/>
      </c>
      <c r="IT69" s="410"/>
      <c r="IU69" s="410"/>
      <c r="IV69" s="635"/>
    </row>
    <row r="70" spans="1:256" s="391" customFormat="1" ht="12.75" hidden="1" customHeight="1">
      <c r="A70" s="390" t="str">
        <f t="shared" si="111"/>
        <v/>
      </c>
      <c r="B70" s="462" t="str">
        <f t="shared" si="61"/>
        <v/>
      </c>
      <c r="C70" s="426"/>
      <c r="D70" s="575"/>
      <c r="E70" s="463"/>
      <c r="F70" s="464"/>
      <c r="G70" s="465"/>
      <c r="H70" s="465"/>
      <c r="I70" s="466"/>
      <c r="J70" s="463"/>
      <c r="K70" s="465"/>
      <c r="L70" s="465"/>
      <c r="M70" s="466"/>
      <c r="N70" s="573"/>
      <c r="O70" s="467"/>
      <c r="P70" s="518"/>
      <c r="Q70" s="381"/>
      <c r="R70" s="182"/>
      <c r="S70" s="182"/>
      <c r="T70" s="182"/>
      <c r="U70" s="182"/>
      <c r="V70" s="182"/>
      <c r="W70" s="182"/>
      <c r="X70" s="182"/>
      <c r="Y70" s="182"/>
      <c r="Z70" s="182"/>
      <c r="AA70" s="384"/>
      <c r="AB70" s="182" t="str">
        <f t="shared" si="86"/>
        <v/>
      </c>
      <c r="AC70" s="315">
        <f t="shared" si="87"/>
        <v>0</v>
      </c>
      <c r="AD70" s="315" t="str">
        <f t="shared" si="63"/>
        <v/>
      </c>
      <c r="AE70" s="182"/>
      <c r="AF70" s="182"/>
      <c r="AG70" s="182"/>
      <c r="AH70" s="221"/>
      <c r="AI70" s="221"/>
      <c r="AJ70" s="221"/>
      <c r="AK70" s="221"/>
      <c r="AL70" s="221"/>
      <c r="AM70" s="221"/>
      <c r="AN70" s="221"/>
      <c r="AO70" s="221"/>
      <c r="AP70" s="221"/>
      <c r="AQ70" s="182"/>
      <c r="AR70" s="182"/>
      <c r="AS70" s="182"/>
      <c r="AT70" s="182"/>
      <c r="AU70" s="221" t="str">
        <f t="shared" si="88"/>
        <v/>
      </c>
      <c r="AV70" s="221" t="str">
        <f t="shared" si="89"/>
        <v/>
      </c>
      <c r="AW70" s="221"/>
      <c r="AX70" s="221"/>
      <c r="AY70" s="221"/>
      <c r="AZ70" s="221"/>
      <c r="BA70" s="221"/>
      <c r="BB70" s="221"/>
      <c r="BC70" s="221"/>
      <c r="BD70" s="221"/>
      <c r="BE70" s="221"/>
      <c r="BF70" s="469">
        <f t="shared" si="90"/>
        <v>0</v>
      </c>
      <c r="BG70" s="315">
        <f t="shared" si="91"/>
        <v>0</v>
      </c>
      <c r="BH70" s="315" t="str">
        <f t="shared" si="92"/>
        <v/>
      </c>
      <c r="BI70" s="182"/>
      <c r="BJ70" s="182"/>
      <c r="BK70" s="182"/>
      <c r="BL70" s="221"/>
      <c r="BM70" s="221"/>
      <c r="BN70" s="221"/>
      <c r="BO70" s="221"/>
      <c r="BP70" s="221"/>
      <c r="BQ70" s="221"/>
      <c r="BR70" s="221"/>
      <c r="BS70" s="221"/>
      <c r="BT70" s="221"/>
      <c r="BU70" s="182"/>
      <c r="BV70" s="182"/>
      <c r="BW70" s="182"/>
      <c r="BX70" s="182"/>
      <c r="BY70" s="221" t="str">
        <f t="shared" si="93"/>
        <v/>
      </c>
      <c r="BZ70" s="221" t="str">
        <f t="shared" si="94"/>
        <v/>
      </c>
      <c r="CA70" s="221"/>
      <c r="CB70" s="221"/>
      <c r="CC70" s="221"/>
      <c r="CD70" s="221"/>
      <c r="CE70" s="221"/>
      <c r="CF70" s="221"/>
      <c r="CG70" s="221"/>
      <c r="CH70" s="221"/>
      <c r="CI70" s="221"/>
      <c r="CJ70" s="469">
        <f t="shared" si="95"/>
        <v>0</v>
      </c>
      <c r="CK70" s="315">
        <f t="shared" si="96"/>
        <v>0</v>
      </c>
      <c r="CL70" s="315" t="str">
        <f t="shared" si="97"/>
        <v/>
      </c>
      <c r="CM70" s="182"/>
      <c r="CN70" s="182"/>
      <c r="CO70" s="182"/>
      <c r="CP70" s="221"/>
      <c r="CQ70" s="221"/>
      <c r="CR70" s="221"/>
      <c r="CS70" s="221"/>
      <c r="CT70" s="221"/>
      <c r="CU70" s="221"/>
      <c r="CV70" s="221"/>
      <c r="CW70" s="221"/>
      <c r="CX70" s="221"/>
      <c r="CY70" s="221"/>
      <c r="CZ70" s="182"/>
      <c r="DA70" s="182"/>
      <c r="DB70" s="182"/>
      <c r="DC70" s="182"/>
      <c r="DD70" s="221" t="str">
        <f t="shared" si="72"/>
        <v/>
      </c>
      <c r="DE70" s="221" t="str">
        <f t="shared" si="73"/>
        <v/>
      </c>
      <c r="DF70" s="221"/>
      <c r="DG70" s="221"/>
      <c r="DH70" s="221"/>
      <c r="DI70" s="221"/>
      <c r="DJ70" s="221"/>
      <c r="DK70" s="221"/>
      <c r="DL70" s="221"/>
      <c r="DM70" s="221"/>
      <c r="DN70" s="221"/>
      <c r="DO70" s="469" t="str">
        <f t="shared" si="98"/>
        <v/>
      </c>
      <c r="DP70" s="315">
        <f t="shared" si="99"/>
        <v>0</v>
      </c>
      <c r="DQ70" s="315" t="str">
        <f t="shared" si="100"/>
        <v/>
      </c>
      <c r="DR70" s="182"/>
      <c r="DS70" s="182"/>
      <c r="DT70" s="182"/>
      <c r="DU70" s="221"/>
      <c r="DV70" s="221"/>
      <c r="DW70" s="221"/>
      <c r="DX70" s="221"/>
      <c r="DY70" s="221"/>
      <c r="DZ70" s="221"/>
      <c r="EA70" s="221"/>
      <c r="EB70" s="221"/>
      <c r="EC70" s="221"/>
      <c r="ED70" s="182"/>
      <c r="EE70" s="182"/>
      <c r="EF70" s="182"/>
      <c r="EG70" s="182"/>
      <c r="EH70" s="221" t="str">
        <f t="shared" si="101"/>
        <v/>
      </c>
      <c r="EI70" s="221" t="str">
        <f t="shared" si="102"/>
        <v/>
      </c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315">
        <f t="shared" si="103"/>
        <v>0</v>
      </c>
      <c r="EV70" s="315" t="str">
        <f t="shared" si="104"/>
        <v/>
      </c>
      <c r="EW70" s="182"/>
      <c r="EX70" s="182"/>
      <c r="EY70" s="182"/>
      <c r="EZ70" s="221"/>
      <c r="FA70" s="221"/>
      <c r="FB70" s="221"/>
      <c r="FC70" s="221"/>
      <c r="FD70" s="221"/>
      <c r="FE70" s="221"/>
      <c r="FF70" s="221"/>
      <c r="FG70" s="221"/>
      <c r="FH70" s="221"/>
      <c r="FI70" s="182"/>
      <c r="FJ70" s="182"/>
      <c r="FK70" s="182"/>
      <c r="FL70" s="182"/>
      <c r="FM70" s="221" t="str">
        <f t="shared" si="105"/>
        <v/>
      </c>
      <c r="FN70" s="221" t="str">
        <f t="shared" si="106"/>
        <v/>
      </c>
      <c r="FO70" s="221"/>
      <c r="FP70" s="221"/>
      <c r="FQ70" s="221"/>
      <c r="FR70" s="221"/>
      <c r="FS70" s="221"/>
      <c r="FT70" s="221"/>
      <c r="FU70" s="221"/>
      <c r="FV70" s="221"/>
      <c r="FW70" s="221"/>
      <c r="FX70" s="221"/>
      <c r="FY70" s="221"/>
      <c r="FZ70" s="408"/>
      <c r="GA70" s="315">
        <f t="shared" si="107"/>
        <v>0</v>
      </c>
      <c r="GB70" s="315" t="str">
        <f t="shared" si="108"/>
        <v/>
      </c>
      <c r="GC70" s="182" t="s">
        <v>160</v>
      </c>
      <c r="GD70" s="182"/>
      <c r="GE70" s="182"/>
      <c r="GF70" s="302"/>
      <c r="GG70" s="460"/>
      <c r="GH70" s="460"/>
      <c r="GI70" s="302"/>
      <c r="GJ70" s="302"/>
      <c r="GK70" s="302"/>
      <c r="GL70" s="302"/>
      <c r="GM70" s="302"/>
      <c r="GN70" s="302"/>
      <c r="GO70" s="302"/>
      <c r="GP70" s="302"/>
      <c r="GQ70" s="302"/>
      <c r="GR70" s="302"/>
      <c r="GS70" s="302"/>
      <c r="GT70" s="302"/>
      <c r="GU70" s="469"/>
      <c r="GV70" s="470" t="str">
        <f t="shared" si="109"/>
        <v/>
      </c>
      <c r="GW70" s="302">
        <f t="shared" si="110"/>
        <v>0</v>
      </c>
      <c r="GX70" s="302"/>
      <c r="GY70" s="302"/>
      <c r="GZ70" s="302"/>
      <c r="HA70" s="654"/>
      <c r="HB70" s="302"/>
      <c r="HC70" s="302"/>
      <c r="HD70" s="379"/>
      <c r="HE70" s="380"/>
      <c r="HF70" s="302"/>
      <c r="HG70" s="302"/>
      <c r="HH70" s="385"/>
      <c r="HI70" s="411"/>
      <c r="HJ70" s="302" t="str">
        <f t="shared" si="85"/>
        <v/>
      </c>
      <c r="HK70" s="302"/>
      <c r="HL70" s="302"/>
      <c r="HM70" s="302"/>
      <c r="HN70" s="302"/>
      <c r="HO70" s="302" t="str">
        <f t="shared" si="112"/>
        <v/>
      </c>
      <c r="HP70" s="302" t="str">
        <f t="shared" si="113"/>
        <v/>
      </c>
      <c r="HQ70" s="302" t="str">
        <f t="shared" si="114"/>
        <v/>
      </c>
      <c r="HR70" s="302"/>
      <c r="HS70" s="302"/>
      <c r="HT70" s="302"/>
      <c r="HU70" s="302"/>
      <c r="HV70" s="302"/>
      <c r="HW70" s="302"/>
      <c r="HX70" s="302"/>
      <c r="HY70" s="302"/>
      <c r="HZ70" s="302"/>
      <c r="IA70" s="302"/>
      <c r="IB70" s="302"/>
      <c r="IC70" s="302"/>
      <c r="ID70" s="302"/>
      <c r="IE70" s="302"/>
      <c r="IF70" s="302"/>
      <c r="IG70" s="302"/>
      <c r="IH70" s="302"/>
      <c r="II70" s="302"/>
      <c r="IJ70" s="302"/>
      <c r="IK70" s="302"/>
      <c r="IL70" s="302"/>
      <c r="IM70" s="302"/>
      <c r="IN70" s="302"/>
      <c r="IO70" s="302"/>
      <c r="IP70" s="302"/>
      <c r="IQ70" s="302"/>
      <c r="IR70" s="302"/>
      <c r="IS70" s="302"/>
      <c r="IT70" s="411"/>
      <c r="IU70" s="411"/>
      <c r="IV70" s="635"/>
    </row>
    <row r="71" spans="1:256" s="302" customFormat="1" ht="12.75" hidden="1" customHeight="1">
      <c r="A71" s="397" t="str">
        <f t="shared" si="111"/>
        <v/>
      </c>
      <c r="B71" s="462" t="str">
        <f t="shared" si="61"/>
        <v/>
      </c>
      <c r="C71" s="426"/>
      <c r="D71" s="575"/>
      <c r="E71" s="463"/>
      <c r="F71" s="464"/>
      <c r="G71" s="465"/>
      <c r="H71" s="465"/>
      <c r="I71" s="466"/>
      <c r="J71" s="463"/>
      <c r="K71" s="465"/>
      <c r="L71" s="465"/>
      <c r="M71" s="466"/>
      <c r="N71" s="573"/>
      <c r="O71" s="467"/>
      <c r="P71" s="518"/>
      <c r="Q71" s="381"/>
      <c r="R71" s="182"/>
      <c r="S71" s="182"/>
      <c r="T71" s="182"/>
      <c r="U71" s="182"/>
      <c r="V71" s="182"/>
      <c r="W71" s="182"/>
      <c r="X71" s="182"/>
      <c r="Y71" s="182"/>
      <c r="Z71" s="182"/>
      <c r="AA71" s="382"/>
      <c r="AB71" s="182" t="str">
        <f t="shared" si="86"/>
        <v/>
      </c>
      <c r="AC71" s="315">
        <f t="shared" si="87"/>
        <v>0</v>
      </c>
      <c r="AD71" s="315" t="str">
        <f t="shared" si="63"/>
        <v/>
      </c>
      <c r="AE71" s="182"/>
      <c r="AF71" s="182"/>
      <c r="AG71" s="182"/>
      <c r="AH71" s="221"/>
      <c r="AI71" s="221"/>
      <c r="AJ71" s="221"/>
      <c r="AK71" s="221"/>
      <c r="AL71" s="221"/>
      <c r="AM71" s="221"/>
      <c r="AN71" s="221"/>
      <c r="AO71" s="221"/>
      <c r="AP71" s="221"/>
      <c r="AQ71" s="182"/>
      <c r="AR71" s="182"/>
      <c r="AS71" s="182"/>
      <c r="AT71" s="182"/>
      <c r="AU71" s="221" t="str">
        <f t="shared" si="88"/>
        <v/>
      </c>
      <c r="AV71" s="221" t="str">
        <f t="shared" si="89"/>
        <v/>
      </c>
      <c r="AW71" s="221"/>
      <c r="AX71" s="221"/>
      <c r="AY71" s="221"/>
      <c r="AZ71" s="221"/>
      <c r="BA71" s="221"/>
      <c r="BB71" s="221"/>
      <c r="BC71" s="221"/>
      <c r="BD71" s="221"/>
      <c r="BE71" s="221"/>
      <c r="BF71" s="468">
        <f t="shared" si="90"/>
        <v>0</v>
      </c>
      <c r="BG71" s="315">
        <f t="shared" si="91"/>
        <v>0</v>
      </c>
      <c r="BH71" s="315" t="str">
        <f t="shared" si="92"/>
        <v/>
      </c>
      <c r="BI71" s="182"/>
      <c r="BJ71" s="182"/>
      <c r="BK71" s="182"/>
      <c r="BL71" s="221"/>
      <c r="BM71" s="221"/>
      <c r="BN71" s="221"/>
      <c r="BO71" s="221"/>
      <c r="BP71" s="221"/>
      <c r="BQ71" s="221"/>
      <c r="BR71" s="221"/>
      <c r="BS71" s="221"/>
      <c r="BT71" s="221"/>
      <c r="BU71" s="182"/>
      <c r="BV71" s="182"/>
      <c r="BW71" s="182"/>
      <c r="BX71" s="182"/>
      <c r="BY71" s="221" t="str">
        <f t="shared" si="93"/>
        <v/>
      </c>
      <c r="BZ71" s="221" t="str">
        <f t="shared" si="94"/>
        <v/>
      </c>
      <c r="CA71" s="221"/>
      <c r="CB71" s="221"/>
      <c r="CC71" s="221"/>
      <c r="CD71" s="221"/>
      <c r="CE71" s="221"/>
      <c r="CF71" s="221"/>
      <c r="CG71" s="221"/>
      <c r="CH71" s="221"/>
      <c r="CI71" s="221"/>
      <c r="CJ71" s="468">
        <f t="shared" si="95"/>
        <v>0</v>
      </c>
      <c r="CK71" s="315">
        <f t="shared" si="96"/>
        <v>0</v>
      </c>
      <c r="CL71" s="315" t="str">
        <f t="shared" si="97"/>
        <v/>
      </c>
      <c r="CM71" s="182"/>
      <c r="CN71" s="182"/>
      <c r="CO71" s="182"/>
      <c r="CP71" s="221"/>
      <c r="CQ71" s="221"/>
      <c r="CR71" s="221"/>
      <c r="CS71" s="221"/>
      <c r="CT71" s="221"/>
      <c r="CU71" s="221"/>
      <c r="CV71" s="221"/>
      <c r="CW71" s="221"/>
      <c r="CX71" s="221"/>
      <c r="CY71" s="221"/>
      <c r="CZ71" s="182"/>
      <c r="DA71" s="182"/>
      <c r="DB71" s="182"/>
      <c r="DC71" s="182"/>
      <c r="DD71" s="221" t="str">
        <f t="shared" si="72"/>
        <v/>
      </c>
      <c r="DE71" s="221" t="str">
        <f t="shared" si="73"/>
        <v/>
      </c>
      <c r="DF71" s="221"/>
      <c r="DG71" s="221"/>
      <c r="DH71" s="221"/>
      <c r="DI71" s="221"/>
      <c r="DJ71" s="221"/>
      <c r="DK71" s="221"/>
      <c r="DL71" s="221"/>
      <c r="DM71" s="221"/>
      <c r="DN71" s="221"/>
      <c r="DO71" s="469" t="str">
        <f t="shared" si="98"/>
        <v/>
      </c>
      <c r="DP71" s="315">
        <f t="shared" si="99"/>
        <v>0</v>
      </c>
      <c r="DQ71" s="315" t="str">
        <f t="shared" si="100"/>
        <v/>
      </c>
      <c r="DR71" s="182"/>
      <c r="DS71" s="182"/>
      <c r="DT71" s="182"/>
      <c r="DU71" s="221"/>
      <c r="DV71" s="221"/>
      <c r="DW71" s="221"/>
      <c r="DX71" s="221"/>
      <c r="DY71" s="221"/>
      <c r="DZ71" s="221"/>
      <c r="EA71" s="221"/>
      <c r="EB71" s="221"/>
      <c r="EC71" s="221"/>
      <c r="ED71" s="182"/>
      <c r="EE71" s="182"/>
      <c r="EF71" s="182"/>
      <c r="EG71" s="182"/>
      <c r="EH71" s="221" t="str">
        <f t="shared" si="101"/>
        <v/>
      </c>
      <c r="EI71" s="221" t="str">
        <f t="shared" si="102"/>
        <v/>
      </c>
      <c r="EJ71" s="221"/>
      <c r="EK71" s="221"/>
      <c r="EL71" s="221"/>
      <c r="EM71" s="221"/>
      <c r="EN71" s="221"/>
      <c r="EO71" s="221"/>
      <c r="EP71" s="221"/>
      <c r="EQ71" s="221"/>
      <c r="ER71" s="221"/>
      <c r="ES71" s="221"/>
      <c r="ET71" s="221"/>
      <c r="EU71" s="315">
        <f t="shared" si="103"/>
        <v>0</v>
      </c>
      <c r="EV71" s="315" t="str">
        <f t="shared" si="104"/>
        <v/>
      </c>
      <c r="EW71" s="182"/>
      <c r="EX71" s="182"/>
      <c r="EY71" s="182"/>
      <c r="EZ71" s="221"/>
      <c r="FA71" s="221"/>
      <c r="FB71" s="221"/>
      <c r="FC71" s="221"/>
      <c r="FD71" s="221"/>
      <c r="FE71" s="221"/>
      <c r="FF71" s="221"/>
      <c r="FG71" s="221"/>
      <c r="FH71" s="221"/>
      <c r="FI71" s="182"/>
      <c r="FJ71" s="182"/>
      <c r="FK71" s="182"/>
      <c r="FL71" s="182"/>
      <c r="FM71" s="221" t="str">
        <f t="shared" si="105"/>
        <v/>
      </c>
      <c r="FN71" s="221" t="str">
        <f t="shared" si="106"/>
        <v/>
      </c>
      <c r="FO71" s="221"/>
      <c r="FP71" s="221"/>
      <c r="FQ71" s="221"/>
      <c r="FR71" s="221"/>
      <c r="FS71" s="221"/>
      <c r="FT71" s="221"/>
      <c r="FU71" s="221"/>
      <c r="FV71" s="221"/>
      <c r="FW71" s="221"/>
      <c r="FX71" s="221"/>
      <c r="FY71" s="221"/>
      <c r="FZ71" s="408"/>
      <c r="GA71" s="315">
        <f t="shared" si="107"/>
        <v>0</v>
      </c>
      <c r="GB71" s="315" t="str">
        <f t="shared" si="108"/>
        <v/>
      </c>
      <c r="GC71" s="182" t="s">
        <v>160</v>
      </c>
      <c r="GD71" s="182"/>
      <c r="GE71" s="182"/>
      <c r="GG71" s="460"/>
      <c r="GH71" s="460"/>
      <c r="GU71" s="469"/>
      <c r="GV71" s="470" t="str">
        <f t="shared" si="109"/>
        <v/>
      </c>
      <c r="GW71" s="302">
        <f t="shared" si="110"/>
        <v>0</v>
      </c>
      <c r="HA71" s="654"/>
      <c r="HD71" s="379"/>
      <c r="HE71" s="380"/>
      <c r="HH71" s="383"/>
      <c r="HI71" s="410"/>
      <c r="HJ71" s="302" t="str">
        <f t="shared" si="85"/>
        <v/>
      </c>
      <c r="HO71" s="302" t="str">
        <f t="shared" si="112"/>
        <v/>
      </c>
      <c r="HP71" s="302" t="str">
        <f t="shared" si="113"/>
        <v/>
      </c>
      <c r="HQ71" s="302" t="str">
        <f t="shared" si="114"/>
        <v/>
      </c>
      <c r="IT71" s="410"/>
      <c r="IU71" s="410"/>
      <c r="IV71" s="635"/>
    </row>
    <row r="72" spans="1:256" s="302" customFormat="1" ht="12.75" hidden="1" customHeight="1">
      <c r="A72" s="397" t="str">
        <f t="shared" si="111"/>
        <v/>
      </c>
      <c r="B72" s="462" t="str">
        <f t="shared" ref="B72:B135" si="115">IF(D72="","",B71+1)</f>
        <v/>
      </c>
      <c r="C72" s="426"/>
      <c r="D72" s="575"/>
      <c r="E72" s="463"/>
      <c r="F72" s="464"/>
      <c r="G72" s="465"/>
      <c r="H72" s="465"/>
      <c r="I72" s="466"/>
      <c r="J72" s="463"/>
      <c r="K72" s="465"/>
      <c r="L72" s="465"/>
      <c r="M72" s="466"/>
      <c r="N72" s="573"/>
      <c r="O72" s="467"/>
      <c r="P72" s="518"/>
      <c r="Q72" s="381"/>
      <c r="R72" s="182"/>
      <c r="S72" s="182"/>
      <c r="T72" s="182"/>
      <c r="U72" s="182"/>
      <c r="V72" s="182"/>
      <c r="W72" s="182"/>
      <c r="X72" s="182"/>
      <c r="Y72" s="182"/>
      <c r="Z72" s="182"/>
      <c r="AA72" s="384"/>
      <c r="AB72" s="182" t="str">
        <f t="shared" si="86"/>
        <v/>
      </c>
      <c r="AC72" s="315">
        <f t="shared" si="87"/>
        <v>0</v>
      </c>
      <c r="AD72" s="315" t="str">
        <f t="shared" ref="AD72:AD135" si="116">IF(AE72&lt;&gt;"",ROW(AE72)-3,"")</f>
        <v/>
      </c>
      <c r="AE72" s="182"/>
      <c r="AF72" s="182"/>
      <c r="AG72" s="182"/>
      <c r="AH72" s="221"/>
      <c r="AI72" s="221"/>
      <c r="AJ72" s="221"/>
      <c r="AK72" s="221"/>
      <c r="AL72" s="221"/>
      <c r="AM72" s="221"/>
      <c r="AN72" s="221"/>
      <c r="AO72" s="221"/>
      <c r="AP72" s="221"/>
      <c r="AQ72" s="182"/>
      <c r="AR72" s="182"/>
      <c r="AS72" s="182"/>
      <c r="AT72" s="182"/>
      <c r="AU72" s="221" t="str">
        <f t="shared" si="88"/>
        <v/>
      </c>
      <c r="AV72" s="221" t="str">
        <f t="shared" si="89"/>
        <v/>
      </c>
      <c r="AW72" s="221"/>
      <c r="AX72" s="221"/>
      <c r="AY72" s="221"/>
      <c r="AZ72" s="221"/>
      <c r="BA72" s="221"/>
      <c r="BB72" s="221"/>
      <c r="BC72" s="221"/>
      <c r="BD72" s="221"/>
      <c r="BE72" s="221"/>
      <c r="BF72" s="469">
        <f t="shared" si="90"/>
        <v>0</v>
      </c>
      <c r="BG72" s="315">
        <f t="shared" si="91"/>
        <v>0</v>
      </c>
      <c r="BH72" s="315" t="str">
        <f t="shared" si="92"/>
        <v/>
      </c>
      <c r="BI72" s="182"/>
      <c r="BJ72" s="182"/>
      <c r="BK72" s="182"/>
      <c r="BL72" s="221"/>
      <c r="BM72" s="221"/>
      <c r="BN72" s="221"/>
      <c r="BO72" s="221"/>
      <c r="BP72" s="221"/>
      <c r="BQ72" s="221"/>
      <c r="BR72" s="221"/>
      <c r="BS72" s="221"/>
      <c r="BT72" s="221"/>
      <c r="BU72" s="182"/>
      <c r="BV72" s="182"/>
      <c r="BW72" s="182"/>
      <c r="BX72" s="182"/>
      <c r="BY72" s="221" t="str">
        <f t="shared" si="93"/>
        <v/>
      </c>
      <c r="BZ72" s="221" t="str">
        <f t="shared" si="94"/>
        <v/>
      </c>
      <c r="CA72" s="221"/>
      <c r="CB72" s="221"/>
      <c r="CC72" s="221"/>
      <c r="CD72" s="221"/>
      <c r="CE72" s="221"/>
      <c r="CF72" s="221"/>
      <c r="CG72" s="221"/>
      <c r="CH72" s="221"/>
      <c r="CI72" s="221"/>
      <c r="CJ72" s="469">
        <f t="shared" si="95"/>
        <v>0</v>
      </c>
      <c r="CK72" s="315">
        <f t="shared" si="96"/>
        <v>0</v>
      </c>
      <c r="CL72" s="315" t="str">
        <f t="shared" si="97"/>
        <v/>
      </c>
      <c r="CM72" s="182"/>
      <c r="CN72" s="182"/>
      <c r="CO72" s="182"/>
      <c r="CP72" s="221"/>
      <c r="CQ72" s="221"/>
      <c r="CR72" s="221"/>
      <c r="CS72" s="221"/>
      <c r="CT72" s="221"/>
      <c r="CU72" s="221"/>
      <c r="CV72" s="221"/>
      <c r="CW72" s="221"/>
      <c r="CX72" s="221"/>
      <c r="CY72" s="221"/>
      <c r="CZ72" s="182"/>
      <c r="DA72" s="182"/>
      <c r="DB72" s="182"/>
      <c r="DC72" s="182"/>
      <c r="DD72" s="221" t="str">
        <f t="shared" ref="DD72:DD135" si="117">IF(SUM(CP72:CR72)=0,"",SUM(CP72:CR72))</f>
        <v/>
      </c>
      <c r="DE72" s="221" t="str">
        <f t="shared" ref="DE72:DE135" si="118">IF(B72="","",IF(SUM(CU72:CV72)=0,0,SUM(CU72:CV72)))</f>
        <v/>
      </c>
      <c r="DF72" s="221"/>
      <c r="DG72" s="221"/>
      <c r="DH72" s="221"/>
      <c r="DI72" s="221"/>
      <c r="DJ72" s="221"/>
      <c r="DK72" s="221"/>
      <c r="DL72" s="221"/>
      <c r="DM72" s="221"/>
      <c r="DN72" s="221"/>
      <c r="DO72" s="469" t="str">
        <f t="shared" si="98"/>
        <v/>
      </c>
      <c r="DP72" s="315">
        <f t="shared" si="99"/>
        <v>0</v>
      </c>
      <c r="DQ72" s="315" t="str">
        <f t="shared" si="100"/>
        <v/>
      </c>
      <c r="DR72" s="182"/>
      <c r="DS72" s="182"/>
      <c r="DT72" s="182"/>
      <c r="DU72" s="221"/>
      <c r="DV72" s="221"/>
      <c r="DW72" s="221"/>
      <c r="DX72" s="221"/>
      <c r="DY72" s="221"/>
      <c r="DZ72" s="221"/>
      <c r="EA72" s="221"/>
      <c r="EB72" s="221"/>
      <c r="EC72" s="221"/>
      <c r="ED72" s="182"/>
      <c r="EE72" s="182"/>
      <c r="EF72" s="182"/>
      <c r="EG72" s="182"/>
      <c r="EH72" s="221" t="str">
        <f t="shared" si="101"/>
        <v/>
      </c>
      <c r="EI72" s="221" t="str">
        <f t="shared" si="102"/>
        <v/>
      </c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315">
        <f t="shared" si="103"/>
        <v>0</v>
      </c>
      <c r="EV72" s="315" t="str">
        <f t="shared" si="104"/>
        <v/>
      </c>
      <c r="EW72" s="182"/>
      <c r="EX72" s="182"/>
      <c r="EY72" s="182"/>
      <c r="EZ72" s="221"/>
      <c r="FA72" s="221"/>
      <c r="FB72" s="221"/>
      <c r="FC72" s="221"/>
      <c r="FD72" s="221"/>
      <c r="FE72" s="221"/>
      <c r="FF72" s="221"/>
      <c r="FG72" s="221"/>
      <c r="FH72" s="221"/>
      <c r="FI72" s="182"/>
      <c r="FJ72" s="182"/>
      <c r="FK72" s="182"/>
      <c r="FL72" s="182"/>
      <c r="FM72" s="221" t="str">
        <f t="shared" si="105"/>
        <v/>
      </c>
      <c r="FN72" s="221" t="str">
        <f t="shared" si="106"/>
        <v/>
      </c>
      <c r="FO72" s="221"/>
      <c r="FP72" s="221"/>
      <c r="FQ72" s="221"/>
      <c r="FR72" s="221"/>
      <c r="FS72" s="221"/>
      <c r="FT72" s="221"/>
      <c r="FU72" s="221"/>
      <c r="FV72" s="221"/>
      <c r="FW72" s="221"/>
      <c r="FX72" s="221"/>
      <c r="FY72" s="221"/>
      <c r="FZ72" s="408"/>
      <c r="GA72" s="315">
        <f t="shared" si="107"/>
        <v>0</v>
      </c>
      <c r="GB72" s="315" t="str">
        <f t="shared" si="108"/>
        <v/>
      </c>
      <c r="GC72" s="182" t="s">
        <v>160</v>
      </c>
      <c r="GD72" s="182"/>
      <c r="GE72" s="182"/>
      <c r="GG72" s="460"/>
      <c r="GH72" s="460"/>
      <c r="GU72" s="469"/>
      <c r="GV72" s="470" t="str">
        <f t="shared" si="109"/>
        <v/>
      </c>
      <c r="GW72" s="302">
        <f t="shared" si="110"/>
        <v>0</v>
      </c>
      <c r="HA72" s="654"/>
      <c r="HD72" s="379"/>
      <c r="HE72" s="380"/>
      <c r="HH72" s="385"/>
      <c r="HI72" s="411"/>
      <c r="HJ72" s="302" t="str">
        <f t="shared" ref="HJ72:HJ135" si="119">IF(HH72="","",MID(HH72,1,15))</f>
        <v/>
      </c>
      <c r="HN72" s="398"/>
      <c r="HO72" s="302" t="str">
        <f t="shared" si="112"/>
        <v/>
      </c>
      <c r="HP72" s="302" t="str">
        <f t="shared" si="113"/>
        <v/>
      </c>
      <c r="HQ72" s="302" t="str">
        <f t="shared" si="114"/>
        <v/>
      </c>
      <c r="IT72" s="411"/>
      <c r="IU72" s="411"/>
      <c r="IV72" s="635"/>
    </row>
    <row r="73" spans="1:256" s="302" customFormat="1" ht="12.75" hidden="1" customHeight="1">
      <c r="A73" s="397" t="str">
        <f t="shared" si="111"/>
        <v/>
      </c>
      <c r="B73" s="462" t="str">
        <f t="shared" si="115"/>
        <v/>
      </c>
      <c r="C73" s="426"/>
      <c r="D73" s="575"/>
      <c r="E73" s="463"/>
      <c r="F73" s="464"/>
      <c r="G73" s="465"/>
      <c r="H73" s="465"/>
      <c r="I73" s="466"/>
      <c r="J73" s="463"/>
      <c r="K73" s="465"/>
      <c r="L73" s="465"/>
      <c r="M73" s="466"/>
      <c r="N73" s="573"/>
      <c r="O73" s="467"/>
      <c r="P73" s="518"/>
      <c r="Q73" s="381"/>
      <c r="R73" s="182"/>
      <c r="S73" s="182"/>
      <c r="T73" s="182"/>
      <c r="U73" s="182"/>
      <c r="V73" s="182"/>
      <c r="W73" s="182"/>
      <c r="X73" s="182"/>
      <c r="Y73" s="182"/>
      <c r="Z73" s="182"/>
      <c r="AA73" s="382"/>
      <c r="AB73" s="182" t="str">
        <f t="shared" ref="AB73:AB136" si="120">IF(C73="","",IF(AND(F73=0,K73=0),"X",(F73+K73)))</f>
        <v/>
      </c>
      <c r="AC73" s="315">
        <f t="shared" ref="AC73:AC136" si="121">IF(AE73&lt;&gt;"",1,0)</f>
        <v>0</v>
      </c>
      <c r="AD73" s="315" t="str">
        <f t="shared" si="116"/>
        <v/>
      </c>
      <c r="AE73" s="182"/>
      <c r="AF73" s="182"/>
      <c r="AG73" s="182"/>
      <c r="AH73" s="221"/>
      <c r="AI73" s="221"/>
      <c r="AJ73" s="221"/>
      <c r="AK73" s="221"/>
      <c r="AL73" s="221"/>
      <c r="AM73" s="221"/>
      <c r="AN73" s="221"/>
      <c r="AO73" s="221"/>
      <c r="AP73" s="221"/>
      <c r="AQ73" s="182"/>
      <c r="AR73" s="182"/>
      <c r="AS73" s="182"/>
      <c r="AT73" s="182"/>
      <c r="AU73" s="221" t="str">
        <f t="shared" ref="AU73:AU136" si="122">IF(SUM(AH73:AJ73)=0,"",SUM(AH73:AJ73))</f>
        <v/>
      </c>
      <c r="AV73" s="221" t="str">
        <f t="shared" ref="AV73:AV136" si="123">IF(SUM(AM73:AN73)=0,"",SUM(AM73:AN73))</f>
        <v/>
      </c>
      <c r="AW73" s="221"/>
      <c r="AX73" s="221"/>
      <c r="AY73" s="221"/>
      <c r="AZ73" s="221"/>
      <c r="BA73" s="221"/>
      <c r="BB73" s="221"/>
      <c r="BC73" s="221"/>
      <c r="BD73" s="221"/>
      <c r="BE73" s="221"/>
      <c r="BF73" s="468">
        <f t="shared" ref="BF73:BF136" si="124">IF(OR($P73=2,$P73=1),0,IF(OR($P73=3,$P73=""),IX73))</f>
        <v>0</v>
      </c>
      <c r="BG73" s="315">
        <f t="shared" ref="BG73:BG136" si="125">IF(BI73&lt;&gt;"",1,0)</f>
        <v>0</v>
      </c>
      <c r="BH73" s="315" t="str">
        <f t="shared" ref="BH73:BH136" si="126">IF(BI73&lt;&gt;"",ROW(BI73)-3,"")</f>
        <v/>
      </c>
      <c r="BI73" s="182"/>
      <c r="BJ73" s="182"/>
      <c r="BK73" s="182"/>
      <c r="BL73" s="221"/>
      <c r="BM73" s="221"/>
      <c r="BN73" s="221"/>
      <c r="BO73" s="221"/>
      <c r="BP73" s="221"/>
      <c r="BQ73" s="221"/>
      <c r="BR73" s="221"/>
      <c r="BS73" s="221"/>
      <c r="BT73" s="221"/>
      <c r="BU73" s="182"/>
      <c r="BV73" s="182"/>
      <c r="BW73" s="182"/>
      <c r="BX73" s="182"/>
      <c r="BY73" s="221" t="str">
        <f t="shared" ref="BY73:BY136" si="127">IF(SUM(BL73:BN73)=0,"",SUM(BL73:BN73))</f>
        <v/>
      </c>
      <c r="BZ73" s="221" t="str">
        <f t="shared" ref="BZ73:BZ136" si="128">IF(SUM(BQ73:BR73)=0,"",SUM(BQ73:BR73))</f>
        <v/>
      </c>
      <c r="CA73" s="221"/>
      <c r="CB73" s="221"/>
      <c r="CC73" s="221"/>
      <c r="CD73" s="221"/>
      <c r="CE73" s="221"/>
      <c r="CF73" s="221"/>
      <c r="CG73" s="221"/>
      <c r="CH73" s="221"/>
      <c r="CI73" s="221"/>
      <c r="CJ73" s="468">
        <f t="shared" ref="CJ73:CJ136" si="129">IF(OR($P73=2,$P73=1),0,IF(OR($P73=3,$P73=""),IY73))</f>
        <v>0</v>
      </c>
      <c r="CK73" s="315">
        <f t="shared" ref="CK73:CK136" si="130">IF(CM73&lt;&gt;"",1,0)</f>
        <v>0</v>
      </c>
      <c r="CL73" s="315" t="str">
        <f t="shared" ref="CL73:CL136" si="131">IF(CM73&lt;&gt;"",ROW(CM73)-3,"")</f>
        <v/>
      </c>
      <c r="CM73" s="182"/>
      <c r="CN73" s="182"/>
      <c r="CO73" s="182"/>
      <c r="CP73" s="221"/>
      <c r="CQ73" s="221"/>
      <c r="CR73" s="221"/>
      <c r="CS73" s="221"/>
      <c r="CT73" s="221"/>
      <c r="CU73" s="221"/>
      <c r="CV73" s="221"/>
      <c r="CW73" s="221"/>
      <c r="CX73" s="221"/>
      <c r="CY73" s="221"/>
      <c r="CZ73" s="182"/>
      <c r="DA73" s="182"/>
      <c r="DB73" s="182"/>
      <c r="DC73" s="182"/>
      <c r="DD73" s="221" t="str">
        <f t="shared" si="117"/>
        <v/>
      </c>
      <c r="DE73" s="221" t="str">
        <f t="shared" si="118"/>
        <v/>
      </c>
      <c r="DF73" s="221"/>
      <c r="DG73" s="221"/>
      <c r="DH73" s="221"/>
      <c r="DI73" s="221"/>
      <c r="DJ73" s="221"/>
      <c r="DK73" s="221"/>
      <c r="DL73" s="221"/>
      <c r="DM73" s="221"/>
      <c r="DN73" s="221"/>
      <c r="DO73" s="469" t="str">
        <f t="shared" ref="DO73:DO136" si="132">IF(AND(BF73=0,CJ73=0),"",IF(AND(BF73=0,CJ73=""),"",IF(AND(BF73="",CJ73=""),"",SUM(BF73,CJ73))))</f>
        <v/>
      </c>
      <c r="DP73" s="315">
        <f t="shared" ref="DP73:DP136" si="133">IF(DR73&lt;&gt;"",1,0)</f>
        <v>0</v>
      </c>
      <c r="DQ73" s="315" t="str">
        <f t="shared" ref="DQ73:DQ136" si="134">IF(DR73&lt;&gt;"",ROW(DR73)-3,"")</f>
        <v/>
      </c>
      <c r="DR73" s="182"/>
      <c r="DS73" s="182"/>
      <c r="DT73" s="182"/>
      <c r="DU73" s="221"/>
      <c r="DV73" s="221"/>
      <c r="DW73" s="221"/>
      <c r="DX73" s="221"/>
      <c r="DY73" s="221"/>
      <c r="DZ73" s="221"/>
      <c r="EA73" s="221"/>
      <c r="EB73" s="221"/>
      <c r="EC73" s="221"/>
      <c r="ED73" s="182"/>
      <c r="EE73" s="182"/>
      <c r="EF73" s="182"/>
      <c r="EG73" s="182"/>
      <c r="EH73" s="221" t="str">
        <f t="shared" ref="EH73:EH136" si="135">IF(SUM(DU73:DW73)=0,"",SUM(DU73:DW73))</f>
        <v/>
      </c>
      <c r="EI73" s="221" t="str">
        <f t="shared" ref="EI73:EI136" si="136">IF(SUM(DZ73:EA73)=0,"",SUM(DZ73:EA73))</f>
        <v/>
      </c>
      <c r="EJ73" s="221"/>
      <c r="EK73" s="221"/>
      <c r="EL73" s="221"/>
      <c r="EM73" s="221"/>
      <c r="EN73" s="221"/>
      <c r="EO73" s="221"/>
      <c r="EP73" s="221"/>
      <c r="EQ73" s="221"/>
      <c r="ER73" s="221"/>
      <c r="ES73" s="221"/>
      <c r="ET73" s="221"/>
      <c r="EU73" s="315">
        <f t="shared" ref="EU73:EU136" si="137">IF(EW73&lt;&gt;"",1,0)</f>
        <v>0</v>
      </c>
      <c r="EV73" s="315" t="str">
        <f t="shared" ref="EV73:EV136" si="138">IF(EW73&lt;&gt;"",ROW(EW73)-3,"")</f>
        <v/>
      </c>
      <c r="EW73" s="182"/>
      <c r="EX73" s="182"/>
      <c r="EY73" s="182"/>
      <c r="EZ73" s="221"/>
      <c r="FA73" s="221"/>
      <c r="FB73" s="221"/>
      <c r="FC73" s="221"/>
      <c r="FD73" s="221"/>
      <c r="FE73" s="221"/>
      <c r="FF73" s="221"/>
      <c r="FG73" s="221"/>
      <c r="FH73" s="221"/>
      <c r="FI73" s="182"/>
      <c r="FJ73" s="182"/>
      <c r="FK73" s="182"/>
      <c r="FL73" s="182"/>
      <c r="FM73" s="221" t="str">
        <f t="shared" ref="FM73:FM136" si="139">IF(SUM(EZ73:FB73)=0,"",SUM(EZ73:FB73))</f>
        <v/>
      </c>
      <c r="FN73" s="221" t="str">
        <f t="shared" ref="FN73:FN136" si="140">IF(AND(FE73="",FF73=""),"",SUM(FE73:FF73))</f>
        <v/>
      </c>
      <c r="FO73" s="221"/>
      <c r="FP73" s="221"/>
      <c r="FQ73" s="221"/>
      <c r="FR73" s="221"/>
      <c r="FS73" s="221"/>
      <c r="FT73" s="221"/>
      <c r="FU73" s="221"/>
      <c r="FV73" s="221"/>
      <c r="FW73" s="221"/>
      <c r="FX73" s="221"/>
      <c r="FY73" s="221"/>
      <c r="FZ73" s="408"/>
      <c r="GA73" s="315">
        <f t="shared" ref="GA73:GA136" si="141">IF(GC73&lt;&gt;"",1,0)</f>
        <v>0</v>
      </c>
      <c r="GB73" s="315" t="str">
        <f t="shared" ref="GB73:GB136" si="142">IF(GC73&lt;&gt;"",ROW(GC73)-3,"")</f>
        <v/>
      </c>
      <c r="GC73" s="182" t="s">
        <v>160</v>
      </c>
      <c r="GD73" s="182"/>
      <c r="GE73" s="182"/>
      <c r="GG73" s="460"/>
      <c r="GH73" s="460"/>
      <c r="GU73" s="469"/>
      <c r="GV73" s="470" t="str">
        <f t="shared" ref="GV73:GV136" si="143">IF(L73="","",IF(OR(SUM(GU73,FZ73,GW73)=L73,SUM(L73,FZ73,GW73)=GU73),"OK",IF(SUM(GU73,FZ73,GW73)&lt;&gt;L73,"STOP")))</f>
        <v/>
      </c>
      <c r="GW73" s="302">
        <f t="shared" ref="GW73:GW136" si="144">IF(CJ73="",0,CJ73)</f>
        <v>0</v>
      </c>
      <c r="HA73" s="654"/>
      <c r="HD73" s="379"/>
      <c r="HE73" s="380"/>
      <c r="HH73" s="383"/>
      <c r="HI73" s="410"/>
      <c r="HJ73" s="302" t="str">
        <f t="shared" si="119"/>
        <v/>
      </c>
      <c r="HO73" s="302" t="str">
        <f t="shared" si="112"/>
        <v/>
      </c>
      <c r="HP73" s="302" t="str">
        <f t="shared" si="113"/>
        <v/>
      </c>
      <c r="HQ73" s="302" t="str">
        <f t="shared" si="114"/>
        <v/>
      </c>
      <c r="IT73" s="410"/>
      <c r="IU73" s="410"/>
      <c r="IV73" s="635"/>
    </row>
    <row r="74" spans="1:256" s="302" customFormat="1" ht="12.75" hidden="1" customHeight="1">
      <c r="A74" s="397" t="str">
        <f t="shared" si="111"/>
        <v/>
      </c>
      <c r="B74" s="462" t="str">
        <f t="shared" si="115"/>
        <v/>
      </c>
      <c r="C74" s="426"/>
      <c r="D74" s="575"/>
      <c r="E74" s="463"/>
      <c r="F74" s="464"/>
      <c r="G74" s="465"/>
      <c r="H74" s="465"/>
      <c r="I74" s="466"/>
      <c r="J74" s="463"/>
      <c r="K74" s="465"/>
      <c r="L74" s="465"/>
      <c r="M74" s="466"/>
      <c r="N74" s="573"/>
      <c r="O74" s="467"/>
      <c r="P74" s="518"/>
      <c r="Q74" s="381"/>
      <c r="R74" s="182"/>
      <c r="S74" s="182"/>
      <c r="T74" s="182"/>
      <c r="U74" s="182"/>
      <c r="V74" s="182"/>
      <c r="W74" s="182"/>
      <c r="X74" s="182"/>
      <c r="Y74" s="182"/>
      <c r="Z74" s="182"/>
      <c r="AA74" s="384"/>
      <c r="AB74" s="182" t="str">
        <f t="shared" si="120"/>
        <v/>
      </c>
      <c r="AC74" s="315">
        <f t="shared" si="121"/>
        <v>0</v>
      </c>
      <c r="AD74" s="315" t="str">
        <f t="shared" si="116"/>
        <v/>
      </c>
      <c r="AE74" s="182"/>
      <c r="AF74" s="182"/>
      <c r="AG74" s="182"/>
      <c r="AH74" s="221"/>
      <c r="AI74" s="221"/>
      <c r="AJ74" s="221"/>
      <c r="AK74" s="221"/>
      <c r="AL74" s="221"/>
      <c r="AM74" s="221"/>
      <c r="AN74" s="221"/>
      <c r="AO74" s="221"/>
      <c r="AP74" s="221"/>
      <c r="AQ74" s="182"/>
      <c r="AR74" s="182"/>
      <c r="AS74" s="182"/>
      <c r="AT74" s="182"/>
      <c r="AU74" s="221" t="str">
        <f t="shared" si="122"/>
        <v/>
      </c>
      <c r="AV74" s="221" t="str">
        <f t="shared" si="123"/>
        <v/>
      </c>
      <c r="AW74" s="221"/>
      <c r="AX74" s="221"/>
      <c r="AY74" s="221"/>
      <c r="AZ74" s="221"/>
      <c r="BA74" s="221"/>
      <c r="BB74" s="221"/>
      <c r="BC74" s="221"/>
      <c r="BD74" s="221"/>
      <c r="BE74" s="221"/>
      <c r="BF74" s="469">
        <f t="shared" si="124"/>
        <v>0</v>
      </c>
      <c r="BG74" s="315">
        <f t="shared" si="125"/>
        <v>0</v>
      </c>
      <c r="BH74" s="315" t="str">
        <f t="shared" si="126"/>
        <v/>
      </c>
      <c r="BI74" s="182"/>
      <c r="BJ74" s="182"/>
      <c r="BK74" s="182"/>
      <c r="BL74" s="221"/>
      <c r="BM74" s="221"/>
      <c r="BN74" s="221"/>
      <c r="BO74" s="221"/>
      <c r="BP74" s="221"/>
      <c r="BQ74" s="221"/>
      <c r="BR74" s="221"/>
      <c r="BS74" s="221"/>
      <c r="BT74" s="221"/>
      <c r="BU74" s="182"/>
      <c r="BV74" s="182"/>
      <c r="BW74" s="182"/>
      <c r="BX74" s="182"/>
      <c r="BY74" s="221" t="str">
        <f t="shared" si="127"/>
        <v/>
      </c>
      <c r="BZ74" s="221" t="str">
        <f t="shared" si="128"/>
        <v/>
      </c>
      <c r="CA74" s="221"/>
      <c r="CB74" s="221"/>
      <c r="CC74" s="221"/>
      <c r="CD74" s="221"/>
      <c r="CE74" s="221"/>
      <c r="CF74" s="221"/>
      <c r="CG74" s="221"/>
      <c r="CH74" s="221"/>
      <c r="CI74" s="221"/>
      <c r="CJ74" s="469">
        <f t="shared" si="129"/>
        <v>0</v>
      </c>
      <c r="CK74" s="315">
        <f t="shared" si="130"/>
        <v>0</v>
      </c>
      <c r="CL74" s="315" t="str">
        <f t="shared" si="131"/>
        <v/>
      </c>
      <c r="CM74" s="182"/>
      <c r="CN74" s="182"/>
      <c r="CO74" s="182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182"/>
      <c r="DA74" s="182"/>
      <c r="DB74" s="182"/>
      <c r="DC74" s="182"/>
      <c r="DD74" s="221" t="str">
        <f t="shared" si="117"/>
        <v/>
      </c>
      <c r="DE74" s="221" t="str">
        <f t="shared" si="118"/>
        <v/>
      </c>
      <c r="DF74" s="221"/>
      <c r="DG74" s="221"/>
      <c r="DH74" s="221"/>
      <c r="DI74" s="221"/>
      <c r="DJ74" s="221"/>
      <c r="DK74" s="221"/>
      <c r="DL74" s="221"/>
      <c r="DM74" s="221"/>
      <c r="DN74" s="221"/>
      <c r="DO74" s="469" t="str">
        <f t="shared" si="132"/>
        <v/>
      </c>
      <c r="DP74" s="315">
        <f t="shared" si="133"/>
        <v>0</v>
      </c>
      <c r="DQ74" s="315" t="str">
        <f t="shared" si="134"/>
        <v/>
      </c>
      <c r="DR74" s="182"/>
      <c r="DS74" s="182"/>
      <c r="DT74" s="182"/>
      <c r="DU74" s="221"/>
      <c r="DV74" s="221"/>
      <c r="DW74" s="221"/>
      <c r="DX74" s="221"/>
      <c r="DY74" s="221"/>
      <c r="DZ74" s="221"/>
      <c r="EA74" s="221"/>
      <c r="EB74" s="221"/>
      <c r="EC74" s="221"/>
      <c r="ED74" s="182"/>
      <c r="EE74" s="182"/>
      <c r="EF74" s="182"/>
      <c r="EG74" s="182"/>
      <c r="EH74" s="221" t="str">
        <f t="shared" si="135"/>
        <v/>
      </c>
      <c r="EI74" s="221" t="str">
        <f t="shared" si="136"/>
        <v/>
      </c>
      <c r="EJ74" s="221"/>
      <c r="EK74" s="221"/>
      <c r="EL74" s="221"/>
      <c r="EM74" s="221"/>
      <c r="EN74" s="221"/>
      <c r="EO74" s="221"/>
      <c r="EP74" s="221"/>
      <c r="EQ74" s="221"/>
      <c r="ER74" s="221"/>
      <c r="ES74" s="221"/>
      <c r="ET74" s="221"/>
      <c r="EU74" s="315">
        <f t="shared" si="137"/>
        <v>0</v>
      </c>
      <c r="EV74" s="315" t="str">
        <f t="shared" si="138"/>
        <v/>
      </c>
      <c r="EW74" s="182"/>
      <c r="EX74" s="182"/>
      <c r="EY74" s="182"/>
      <c r="EZ74" s="221"/>
      <c r="FA74" s="221"/>
      <c r="FB74" s="221"/>
      <c r="FC74" s="221"/>
      <c r="FD74" s="221"/>
      <c r="FE74" s="221"/>
      <c r="FF74" s="221"/>
      <c r="FG74" s="221"/>
      <c r="FH74" s="221"/>
      <c r="FI74" s="182"/>
      <c r="FJ74" s="182"/>
      <c r="FK74" s="182"/>
      <c r="FL74" s="182"/>
      <c r="FM74" s="221" t="str">
        <f t="shared" si="139"/>
        <v/>
      </c>
      <c r="FN74" s="221" t="str">
        <f t="shared" si="140"/>
        <v/>
      </c>
      <c r="FO74" s="221"/>
      <c r="FP74" s="221"/>
      <c r="FQ74" s="221"/>
      <c r="FR74" s="221"/>
      <c r="FS74" s="221"/>
      <c r="FT74" s="221"/>
      <c r="FU74" s="221"/>
      <c r="FV74" s="221"/>
      <c r="FW74" s="221"/>
      <c r="FX74" s="221"/>
      <c r="FY74" s="221"/>
      <c r="FZ74" s="408"/>
      <c r="GA74" s="315">
        <f t="shared" si="141"/>
        <v>0</v>
      </c>
      <c r="GB74" s="315" t="str">
        <f t="shared" si="142"/>
        <v/>
      </c>
      <c r="GC74" s="302" t="s">
        <v>160</v>
      </c>
      <c r="GG74" s="460"/>
      <c r="GH74" s="460"/>
      <c r="GU74" s="469"/>
      <c r="GV74" s="470" t="str">
        <f t="shared" si="143"/>
        <v/>
      </c>
      <c r="GW74" s="302">
        <f t="shared" si="144"/>
        <v>0</v>
      </c>
      <c r="HA74" s="654"/>
      <c r="HD74" s="379"/>
      <c r="HE74" s="380"/>
      <c r="HH74" s="385"/>
      <c r="HI74" s="411"/>
      <c r="HJ74" s="302" t="str">
        <f t="shared" si="119"/>
        <v/>
      </c>
      <c r="HM74" s="461"/>
      <c r="HN74" s="461"/>
      <c r="HO74" s="302" t="str">
        <f t="shared" si="112"/>
        <v/>
      </c>
      <c r="HP74" s="302" t="str">
        <f t="shared" si="113"/>
        <v/>
      </c>
      <c r="HQ74" s="302" t="str">
        <f t="shared" si="114"/>
        <v/>
      </c>
      <c r="IT74" s="411"/>
      <c r="IU74" s="411"/>
      <c r="IV74" s="635"/>
    </row>
    <row r="75" spans="1:256" s="302" customFormat="1" ht="12.75" hidden="1" customHeight="1">
      <c r="A75" s="397" t="str">
        <f t="shared" si="111"/>
        <v/>
      </c>
      <c r="B75" s="462" t="str">
        <f t="shared" si="115"/>
        <v/>
      </c>
      <c r="C75" s="426"/>
      <c r="D75" s="575"/>
      <c r="E75" s="463"/>
      <c r="F75" s="464"/>
      <c r="G75" s="465"/>
      <c r="H75" s="465"/>
      <c r="I75" s="466"/>
      <c r="J75" s="463"/>
      <c r="K75" s="465"/>
      <c r="L75" s="465"/>
      <c r="M75" s="466"/>
      <c r="N75" s="573"/>
      <c r="O75" s="467"/>
      <c r="P75" s="518"/>
      <c r="Q75" s="381"/>
      <c r="R75" s="182"/>
      <c r="S75" s="182"/>
      <c r="T75" s="182"/>
      <c r="U75" s="182"/>
      <c r="V75" s="182"/>
      <c r="W75" s="182"/>
      <c r="X75" s="182"/>
      <c r="Y75" s="182"/>
      <c r="Z75" s="182"/>
      <c r="AA75" s="382"/>
      <c r="AB75" s="182" t="str">
        <f t="shared" si="120"/>
        <v/>
      </c>
      <c r="AC75" s="315">
        <f t="shared" si="121"/>
        <v>0</v>
      </c>
      <c r="AD75" s="315" t="str">
        <f t="shared" si="116"/>
        <v/>
      </c>
      <c r="AE75" s="182"/>
      <c r="AF75" s="182"/>
      <c r="AG75" s="182"/>
      <c r="AH75" s="221"/>
      <c r="AI75" s="221"/>
      <c r="AJ75" s="221"/>
      <c r="AK75" s="221"/>
      <c r="AL75" s="221"/>
      <c r="AM75" s="221"/>
      <c r="AN75" s="221"/>
      <c r="AO75" s="221"/>
      <c r="AP75" s="221"/>
      <c r="AQ75" s="182"/>
      <c r="AR75" s="182"/>
      <c r="AS75" s="182"/>
      <c r="AT75" s="224"/>
      <c r="AU75" s="221" t="str">
        <f t="shared" si="122"/>
        <v/>
      </c>
      <c r="AV75" s="221" t="str">
        <f t="shared" si="123"/>
        <v/>
      </c>
      <c r="AW75" s="221"/>
      <c r="AX75" s="221"/>
      <c r="AY75" s="221"/>
      <c r="AZ75" s="221"/>
      <c r="BA75" s="221"/>
      <c r="BB75" s="221"/>
      <c r="BC75" s="221"/>
      <c r="BD75" s="221"/>
      <c r="BE75" s="221"/>
      <c r="BF75" s="468">
        <f t="shared" si="124"/>
        <v>0</v>
      </c>
      <c r="BG75" s="315">
        <f t="shared" si="125"/>
        <v>0</v>
      </c>
      <c r="BH75" s="315" t="str">
        <f t="shared" si="126"/>
        <v/>
      </c>
      <c r="BI75" s="182"/>
      <c r="BJ75" s="182"/>
      <c r="BK75" s="182"/>
      <c r="BL75" s="221"/>
      <c r="BM75" s="221"/>
      <c r="BN75" s="221"/>
      <c r="BO75" s="221"/>
      <c r="BP75" s="221"/>
      <c r="BQ75" s="221"/>
      <c r="BR75" s="221"/>
      <c r="BS75" s="221"/>
      <c r="BT75" s="221"/>
      <c r="BU75" s="182"/>
      <c r="BV75" s="182"/>
      <c r="BW75" s="182"/>
      <c r="BX75" s="182"/>
      <c r="BY75" s="221" t="str">
        <f t="shared" si="127"/>
        <v/>
      </c>
      <c r="BZ75" s="221" t="str">
        <f t="shared" si="128"/>
        <v/>
      </c>
      <c r="CA75" s="221"/>
      <c r="CB75" s="221"/>
      <c r="CC75" s="221"/>
      <c r="CD75" s="221"/>
      <c r="CE75" s="221"/>
      <c r="CF75" s="221"/>
      <c r="CG75" s="221"/>
      <c r="CH75" s="221"/>
      <c r="CI75" s="221"/>
      <c r="CJ75" s="468">
        <f t="shared" si="129"/>
        <v>0</v>
      </c>
      <c r="CK75" s="315">
        <f t="shared" si="130"/>
        <v>0</v>
      </c>
      <c r="CL75" s="315" t="str">
        <f t="shared" si="131"/>
        <v/>
      </c>
      <c r="CM75" s="182"/>
      <c r="CN75" s="182"/>
      <c r="CO75" s="182"/>
      <c r="CP75" s="221"/>
      <c r="CQ75" s="221"/>
      <c r="CR75" s="221"/>
      <c r="CS75" s="221"/>
      <c r="CT75" s="221"/>
      <c r="CU75" s="221"/>
      <c r="CV75" s="221"/>
      <c r="CW75" s="221"/>
      <c r="CX75" s="221"/>
      <c r="CY75" s="221"/>
      <c r="CZ75" s="182"/>
      <c r="DA75" s="182"/>
      <c r="DB75" s="182"/>
      <c r="DC75" s="182"/>
      <c r="DD75" s="221" t="str">
        <f t="shared" si="117"/>
        <v/>
      </c>
      <c r="DE75" s="221" t="str">
        <f t="shared" si="118"/>
        <v/>
      </c>
      <c r="DF75" s="221"/>
      <c r="DG75" s="221"/>
      <c r="DH75" s="221"/>
      <c r="DI75" s="221"/>
      <c r="DJ75" s="221"/>
      <c r="DK75" s="221"/>
      <c r="DL75" s="221"/>
      <c r="DM75" s="221"/>
      <c r="DN75" s="221"/>
      <c r="DO75" s="469" t="str">
        <f t="shared" si="132"/>
        <v/>
      </c>
      <c r="DP75" s="315">
        <f t="shared" si="133"/>
        <v>0</v>
      </c>
      <c r="DQ75" s="315" t="str">
        <f t="shared" si="134"/>
        <v/>
      </c>
      <c r="DR75" s="182"/>
      <c r="DS75" s="182"/>
      <c r="DT75" s="182"/>
      <c r="DU75" s="221"/>
      <c r="DV75" s="221"/>
      <c r="DW75" s="221"/>
      <c r="DX75" s="221"/>
      <c r="DY75" s="221"/>
      <c r="DZ75" s="221"/>
      <c r="EA75" s="221"/>
      <c r="EB75" s="221"/>
      <c r="EC75" s="221"/>
      <c r="ED75" s="182"/>
      <c r="EE75" s="182"/>
      <c r="EF75" s="182"/>
      <c r="EG75" s="182"/>
      <c r="EH75" s="221" t="str">
        <f t="shared" si="135"/>
        <v/>
      </c>
      <c r="EI75" s="221" t="str">
        <f t="shared" si="136"/>
        <v/>
      </c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315">
        <f t="shared" si="137"/>
        <v>0</v>
      </c>
      <c r="EV75" s="315" t="str">
        <f t="shared" si="138"/>
        <v/>
      </c>
      <c r="EW75" s="182"/>
      <c r="EX75" s="182"/>
      <c r="EY75" s="182"/>
      <c r="EZ75" s="221"/>
      <c r="FA75" s="221"/>
      <c r="FB75" s="221"/>
      <c r="FC75" s="221"/>
      <c r="FD75" s="221"/>
      <c r="FE75" s="221"/>
      <c r="FF75" s="221"/>
      <c r="FG75" s="221"/>
      <c r="FH75" s="221"/>
      <c r="FI75" s="182"/>
      <c r="FJ75" s="182"/>
      <c r="FK75" s="182"/>
      <c r="FL75" s="182"/>
      <c r="FM75" s="221" t="str">
        <f t="shared" si="139"/>
        <v/>
      </c>
      <c r="FN75" s="221" t="str">
        <f t="shared" si="140"/>
        <v/>
      </c>
      <c r="FO75" s="221"/>
      <c r="FP75" s="221"/>
      <c r="FQ75" s="221"/>
      <c r="FR75" s="221"/>
      <c r="FS75" s="221"/>
      <c r="FT75" s="221"/>
      <c r="FU75" s="221"/>
      <c r="FV75" s="221"/>
      <c r="FW75" s="221"/>
      <c r="FX75" s="221"/>
      <c r="FY75" s="221"/>
      <c r="FZ75" s="408"/>
      <c r="GA75" s="315">
        <f t="shared" si="141"/>
        <v>0</v>
      </c>
      <c r="GB75" s="315" t="str">
        <f t="shared" si="142"/>
        <v/>
      </c>
      <c r="GC75" s="182" t="s">
        <v>160</v>
      </c>
      <c r="GD75" s="182"/>
      <c r="GE75" s="182"/>
      <c r="GG75" s="460"/>
      <c r="GH75" s="460"/>
      <c r="GU75" s="469"/>
      <c r="GV75" s="470" t="str">
        <f t="shared" si="143"/>
        <v/>
      </c>
      <c r="GW75" s="302">
        <f t="shared" si="144"/>
        <v>0</v>
      </c>
      <c r="HA75" s="654"/>
      <c r="HD75" s="379"/>
      <c r="HE75" s="380"/>
      <c r="HH75" s="383"/>
      <c r="HI75" s="410"/>
      <c r="HJ75" s="302" t="str">
        <f t="shared" si="119"/>
        <v/>
      </c>
      <c r="HN75" s="380"/>
      <c r="HO75" s="302" t="str">
        <f t="shared" si="112"/>
        <v/>
      </c>
      <c r="HP75" s="302" t="str">
        <f t="shared" si="113"/>
        <v/>
      </c>
      <c r="HQ75" s="302" t="str">
        <f t="shared" si="114"/>
        <v/>
      </c>
      <c r="IT75" s="410"/>
      <c r="IU75" s="410"/>
      <c r="IV75" s="635"/>
    </row>
    <row r="76" spans="1:256" s="302" customFormat="1" ht="12.75" hidden="1" customHeight="1">
      <c r="A76" s="397" t="str">
        <f t="shared" si="111"/>
        <v/>
      </c>
      <c r="B76" s="462" t="str">
        <f t="shared" si="115"/>
        <v/>
      </c>
      <c r="C76" s="426"/>
      <c r="D76" s="575"/>
      <c r="E76" s="463"/>
      <c r="F76" s="464"/>
      <c r="G76" s="465"/>
      <c r="H76" s="465"/>
      <c r="I76" s="466"/>
      <c r="J76" s="463"/>
      <c r="K76" s="465"/>
      <c r="L76" s="465"/>
      <c r="M76" s="466"/>
      <c r="N76" s="573"/>
      <c r="O76" s="467"/>
      <c r="P76" s="518"/>
      <c r="Q76" s="381"/>
      <c r="R76" s="182"/>
      <c r="S76" s="182"/>
      <c r="T76" s="182"/>
      <c r="U76" s="182"/>
      <c r="V76" s="182"/>
      <c r="W76" s="182"/>
      <c r="X76" s="182"/>
      <c r="Y76" s="182"/>
      <c r="Z76" s="182"/>
      <c r="AA76" s="384"/>
      <c r="AB76" s="182" t="str">
        <f t="shared" si="120"/>
        <v/>
      </c>
      <c r="AC76" s="315">
        <f t="shared" si="121"/>
        <v>0</v>
      </c>
      <c r="AD76" s="315" t="str">
        <f t="shared" si="116"/>
        <v/>
      </c>
      <c r="AE76" s="182"/>
      <c r="AF76" s="182"/>
      <c r="AG76" s="182"/>
      <c r="AH76" s="221"/>
      <c r="AI76" s="221"/>
      <c r="AJ76" s="221"/>
      <c r="AK76" s="221"/>
      <c r="AL76" s="221"/>
      <c r="AM76" s="221"/>
      <c r="AN76" s="221"/>
      <c r="AO76" s="221"/>
      <c r="AP76" s="221"/>
      <c r="AQ76" s="182"/>
      <c r="AR76" s="182"/>
      <c r="AS76" s="182"/>
      <c r="AT76" s="182"/>
      <c r="AU76" s="221" t="str">
        <f t="shared" si="122"/>
        <v/>
      </c>
      <c r="AV76" s="221" t="str">
        <f t="shared" si="123"/>
        <v/>
      </c>
      <c r="AW76" s="221"/>
      <c r="AX76" s="221"/>
      <c r="AY76" s="221"/>
      <c r="AZ76" s="221"/>
      <c r="BA76" s="221"/>
      <c r="BB76" s="221"/>
      <c r="BC76" s="221"/>
      <c r="BD76" s="221"/>
      <c r="BE76" s="221"/>
      <c r="BF76" s="469">
        <f t="shared" si="124"/>
        <v>0</v>
      </c>
      <c r="BG76" s="315">
        <f t="shared" si="125"/>
        <v>0</v>
      </c>
      <c r="BH76" s="315" t="str">
        <f t="shared" si="126"/>
        <v/>
      </c>
      <c r="BI76" s="182"/>
      <c r="BJ76" s="182"/>
      <c r="BK76" s="182"/>
      <c r="BL76" s="221"/>
      <c r="BM76" s="221"/>
      <c r="BN76" s="221"/>
      <c r="BO76" s="221"/>
      <c r="BP76" s="221"/>
      <c r="BQ76" s="221"/>
      <c r="BR76" s="221"/>
      <c r="BS76" s="221"/>
      <c r="BT76" s="221"/>
      <c r="BU76" s="182"/>
      <c r="BV76" s="182"/>
      <c r="BW76" s="182"/>
      <c r="BX76" s="182"/>
      <c r="BY76" s="221" t="str">
        <f t="shared" si="127"/>
        <v/>
      </c>
      <c r="BZ76" s="221" t="str">
        <f t="shared" si="128"/>
        <v/>
      </c>
      <c r="CA76" s="221"/>
      <c r="CB76" s="221"/>
      <c r="CC76" s="221"/>
      <c r="CD76" s="221"/>
      <c r="CE76" s="221"/>
      <c r="CF76" s="221"/>
      <c r="CG76" s="221"/>
      <c r="CH76" s="221"/>
      <c r="CI76" s="221"/>
      <c r="CJ76" s="469">
        <f t="shared" si="129"/>
        <v>0</v>
      </c>
      <c r="CK76" s="315">
        <f t="shared" si="130"/>
        <v>0</v>
      </c>
      <c r="CL76" s="315" t="str">
        <f t="shared" si="131"/>
        <v/>
      </c>
      <c r="CM76" s="182"/>
      <c r="CN76" s="182"/>
      <c r="CO76" s="182"/>
      <c r="CP76" s="221"/>
      <c r="CQ76" s="221"/>
      <c r="CR76" s="221"/>
      <c r="CS76" s="221"/>
      <c r="CT76" s="221"/>
      <c r="CU76" s="221"/>
      <c r="CV76" s="221"/>
      <c r="CW76" s="221"/>
      <c r="CX76" s="221"/>
      <c r="CY76" s="221"/>
      <c r="CZ76" s="182"/>
      <c r="DA76" s="182"/>
      <c r="DB76" s="182"/>
      <c r="DC76" s="182"/>
      <c r="DD76" s="221" t="str">
        <f t="shared" si="117"/>
        <v/>
      </c>
      <c r="DE76" s="221" t="str">
        <f t="shared" si="118"/>
        <v/>
      </c>
      <c r="DF76" s="221"/>
      <c r="DG76" s="221"/>
      <c r="DH76" s="221"/>
      <c r="DI76" s="221"/>
      <c r="DJ76" s="221"/>
      <c r="DK76" s="221"/>
      <c r="DL76" s="221"/>
      <c r="DM76" s="221"/>
      <c r="DN76" s="221"/>
      <c r="DO76" s="469" t="str">
        <f t="shared" si="132"/>
        <v/>
      </c>
      <c r="DP76" s="315">
        <f t="shared" si="133"/>
        <v>0</v>
      </c>
      <c r="DQ76" s="315" t="str">
        <f t="shared" si="134"/>
        <v/>
      </c>
      <c r="DR76" s="182"/>
      <c r="DS76" s="182"/>
      <c r="DT76" s="182"/>
      <c r="DU76" s="221"/>
      <c r="DV76" s="221"/>
      <c r="DW76" s="221"/>
      <c r="DX76" s="221"/>
      <c r="DY76" s="221"/>
      <c r="DZ76" s="221"/>
      <c r="EA76" s="221"/>
      <c r="EB76" s="221"/>
      <c r="EC76" s="221"/>
      <c r="ED76" s="182"/>
      <c r="EE76" s="182"/>
      <c r="EF76" s="182"/>
      <c r="EG76" s="182"/>
      <c r="EH76" s="221" t="str">
        <f t="shared" si="135"/>
        <v/>
      </c>
      <c r="EI76" s="221" t="str">
        <f t="shared" si="136"/>
        <v/>
      </c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315">
        <f t="shared" si="137"/>
        <v>0</v>
      </c>
      <c r="EV76" s="315" t="str">
        <f t="shared" si="138"/>
        <v/>
      </c>
      <c r="EW76" s="182"/>
      <c r="EX76" s="182"/>
      <c r="EY76" s="182"/>
      <c r="EZ76" s="221"/>
      <c r="FA76" s="221"/>
      <c r="FB76" s="221"/>
      <c r="FC76" s="221"/>
      <c r="FD76" s="221"/>
      <c r="FE76" s="221"/>
      <c r="FF76" s="221"/>
      <c r="FG76" s="221"/>
      <c r="FH76" s="221"/>
      <c r="FI76" s="182"/>
      <c r="FJ76" s="182"/>
      <c r="FK76" s="182"/>
      <c r="FL76" s="182"/>
      <c r="FM76" s="221" t="str">
        <f t="shared" si="139"/>
        <v/>
      </c>
      <c r="FN76" s="221" t="str">
        <f t="shared" si="140"/>
        <v/>
      </c>
      <c r="FO76" s="221"/>
      <c r="FP76" s="221"/>
      <c r="FQ76" s="221"/>
      <c r="FR76" s="221"/>
      <c r="FS76" s="221"/>
      <c r="FT76" s="221"/>
      <c r="FU76" s="221"/>
      <c r="FV76" s="221"/>
      <c r="FW76" s="221"/>
      <c r="FX76" s="221"/>
      <c r="FY76" s="221"/>
      <c r="FZ76" s="408"/>
      <c r="GA76" s="315">
        <f t="shared" si="141"/>
        <v>0</v>
      </c>
      <c r="GB76" s="315" t="str">
        <f t="shared" si="142"/>
        <v/>
      </c>
      <c r="GC76" s="182" t="s">
        <v>160</v>
      </c>
      <c r="GD76" s="182"/>
      <c r="GE76" s="182"/>
      <c r="GG76" s="460"/>
      <c r="GH76" s="460"/>
      <c r="GU76" s="469"/>
      <c r="GV76" s="470" t="str">
        <f t="shared" si="143"/>
        <v/>
      </c>
      <c r="GW76" s="302">
        <f t="shared" si="144"/>
        <v>0</v>
      </c>
      <c r="HA76" s="654"/>
      <c r="HD76" s="379"/>
      <c r="HE76" s="380"/>
      <c r="HH76" s="385"/>
      <c r="HI76" s="411"/>
      <c r="HJ76" s="302" t="str">
        <f t="shared" si="119"/>
        <v/>
      </c>
      <c r="HO76" s="302" t="str">
        <f t="shared" si="112"/>
        <v/>
      </c>
      <c r="HP76" s="302" t="str">
        <f t="shared" si="113"/>
        <v/>
      </c>
      <c r="HQ76" s="302" t="str">
        <f t="shared" si="114"/>
        <v/>
      </c>
      <c r="IT76" s="411"/>
      <c r="IU76" s="411"/>
      <c r="IV76" s="635"/>
    </row>
    <row r="77" spans="1:256" s="302" customFormat="1" ht="12.75" hidden="1" customHeight="1">
      <c r="A77" s="397" t="str">
        <f t="shared" si="111"/>
        <v/>
      </c>
      <c r="B77" s="462" t="str">
        <f t="shared" si="115"/>
        <v/>
      </c>
      <c r="C77" s="426"/>
      <c r="D77" s="575"/>
      <c r="E77" s="463"/>
      <c r="F77" s="464"/>
      <c r="G77" s="465"/>
      <c r="H77" s="465"/>
      <c r="I77" s="466"/>
      <c r="J77" s="463"/>
      <c r="K77" s="465"/>
      <c r="L77" s="465"/>
      <c r="M77" s="466"/>
      <c r="N77" s="573"/>
      <c r="O77" s="467"/>
      <c r="P77" s="518"/>
      <c r="Q77" s="381"/>
      <c r="R77" s="182"/>
      <c r="S77" s="182"/>
      <c r="T77" s="182"/>
      <c r="U77" s="182"/>
      <c r="V77" s="182"/>
      <c r="W77" s="182"/>
      <c r="X77" s="182"/>
      <c r="Y77" s="182"/>
      <c r="Z77" s="182"/>
      <c r="AA77" s="382"/>
      <c r="AB77" s="182" t="str">
        <f t="shared" si="120"/>
        <v/>
      </c>
      <c r="AC77" s="315">
        <f t="shared" si="121"/>
        <v>0</v>
      </c>
      <c r="AD77" s="315" t="str">
        <f t="shared" si="116"/>
        <v/>
      </c>
      <c r="AE77" s="182"/>
      <c r="AF77" s="182"/>
      <c r="AG77" s="182"/>
      <c r="AH77" s="221"/>
      <c r="AI77" s="221"/>
      <c r="AJ77" s="221"/>
      <c r="AK77" s="221"/>
      <c r="AL77" s="221"/>
      <c r="AM77" s="221"/>
      <c r="AN77" s="221"/>
      <c r="AO77" s="221"/>
      <c r="AP77" s="221"/>
      <c r="AQ77" s="182"/>
      <c r="AR77" s="182"/>
      <c r="AS77" s="182"/>
      <c r="AT77" s="182"/>
      <c r="AU77" s="221" t="str">
        <f t="shared" si="122"/>
        <v/>
      </c>
      <c r="AV77" s="221" t="str">
        <f t="shared" si="123"/>
        <v/>
      </c>
      <c r="AW77" s="221"/>
      <c r="AX77" s="221"/>
      <c r="AY77" s="221"/>
      <c r="AZ77" s="221"/>
      <c r="BA77" s="221"/>
      <c r="BB77" s="221"/>
      <c r="BC77" s="221"/>
      <c r="BD77" s="221"/>
      <c r="BE77" s="221"/>
      <c r="BF77" s="468">
        <f t="shared" si="124"/>
        <v>0</v>
      </c>
      <c r="BG77" s="315">
        <f t="shared" si="125"/>
        <v>0</v>
      </c>
      <c r="BH77" s="315" t="str">
        <f t="shared" si="126"/>
        <v/>
      </c>
      <c r="BI77" s="182"/>
      <c r="BJ77" s="182"/>
      <c r="BK77" s="182"/>
      <c r="BL77" s="221"/>
      <c r="BM77" s="221"/>
      <c r="BN77" s="221"/>
      <c r="BO77" s="221"/>
      <c r="BP77" s="221"/>
      <c r="BQ77" s="221"/>
      <c r="BR77" s="221"/>
      <c r="BS77" s="221"/>
      <c r="BT77" s="221"/>
      <c r="BU77" s="182"/>
      <c r="BV77" s="182"/>
      <c r="BW77" s="182"/>
      <c r="BX77" s="182"/>
      <c r="BY77" s="221" t="str">
        <f t="shared" si="127"/>
        <v/>
      </c>
      <c r="BZ77" s="221" t="str">
        <f t="shared" si="128"/>
        <v/>
      </c>
      <c r="CA77" s="221"/>
      <c r="CB77" s="221"/>
      <c r="CC77" s="221"/>
      <c r="CD77" s="221"/>
      <c r="CE77" s="221"/>
      <c r="CF77" s="221"/>
      <c r="CG77" s="221"/>
      <c r="CH77" s="221"/>
      <c r="CI77" s="221"/>
      <c r="CJ77" s="468">
        <f t="shared" si="129"/>
        <v>0</v>
      </c>
      <c r="CK77" s="315">
        <f t="shared" si="130"/>
        <v>0</v>
      </c>
      <c r="CL77" s="315" t="str">
        <f t="shared" si="131"/>
        <v/>
      </c>
      <c r="CM77" s="182"/>
      <c r="CN77" s="182"/>
      <c r="CO77" s="182"/>
      <c r="CP77" s="221"/>
      <c r="CQ77" s="221"/>
      <c r="CR77" s="221"/>
      <c r="CS77" s="221"/>
      <c r="CT77" s="221"/>
      <c r="CU77" s="221"/>
      <c r="CV77" s="221"/>
      <c r="CW77" s="221"/>
      <c r="CX77" s="221"/>
      <c r="CY77" s="221"/>
      <c r="CZ77" s="182"/>
      <c r="DA77" s="182"/>
      <c r="DB77" s="182"/>
      <c r="DC77" s="182"/>
      <c r="DD77" s="221" t="str">
        <f t="shared" si="117"/>
        <v/>
      </c>
      <c r="DE77" s="221" t="str">
        <f t="shared" si="118"/>
        <v/>
      </c>
      <c r="DF77" s="221"/>
      <c r="DG77" s="221"/>
      <c r="DH77" s="221"/>
      <c r="DI77" s="221"/>
      <c r="DJ77" s="221"/>
      <c r="DK77" s="221"/>
      <c r="DL77" s="221"/>
      <c r="DM77" s="221"/>
      <c r="DN77" s="221"/>
      <c r="DO77" s="469" t="str">
        <f t="shared" si="132"/>
        <v/>
      </c>
      <c r="DP77" s="315">
        <f t="shared" si="133"/>
        <v>0</v>
      </c>
      <c r="DQ77" s="315" t="str">
        <f t="shared" si="134"/>
        <v/>
      </c>
      <c r="DR77" s="182"/>
      <c r="DS77" s="182"/>
      <c r="DT77" s="182"/>
      <c r="DU77" s="221"/>
      <c r="DV77" s="221"/>
      <c r="DW77" s="221"/>
      <c r="DX77" s="221"/>
      <c r="DY77" s="221"/>
      <c r="DZ77" s="221"/>
      <c r="EA77" s="221"/>
      <c r="EB77" s="221"/>
      <c r="EC77" s="221"/>
      <c r="ED77" s="182"/>
      <c r="EE77" s="182"/>
      <c r="EF77" s="182"/>
      <c r="EG77" s="182"/>
      <c r="EH77" s="221" t="str">
        <f t="shared" si="135"/>
        <v/>
      </c>
      <c r="EI77" s="221" t="str">
        <f t="shared" si="136"/>
        <v/>
      </c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315">
        <f t="shared" si="137"/>
        <v>0</v>
      </c>
      <c r="EV77" s="315" t="str">
        <f t="shared" si="138"/>
        <v/>
      </c>
      <c r="EW77" s="182"/>
      <c r="EX77" s="182"/>
      <c r="EY77" s="182"/>
      <c r="EZ77" s="221"/>
      <c r="FA77" s="221"/>
      <c r="FB77" s="221"/>
      <c r="FC77" s="221"/>
      <c r="FD77" s="221"/>
      <c r="FE77" s="221"/>
      <c r="FF77" s="221"/>
      <c r="FG77" s="221"/>
      <c r="FH77" s="221"/>
      <c r="FI77" s="182"/>
      <c r="FJ77" s="182"/>
      <c r="FK77" s="182"/>
      <c r="FL77" s="182"/>
      <c r="FM77" s="221" t="str">
        <f t="shared" si="139"/>
        <v/>
      </c>
      <c r="FN77" s="221" t="str">
        <f t="shared" si="140"/>
        <v/>
      </c>
      <c r="FO77" s="221"/>
      <c r="FP77" s="221"/>
      <c r="FQ77" s="221"/>
      <c r="FR77" s="221"/>
      <c r="FS77" s="221"/>
      <c r="FT77" s="221"/>
      <c r="FU77" s="221"/>
      <c r="FV77" s="221"/>
      <c r="FW77" s="221"/>
      <c r="FX77" s="221"/>
      <c r="FY77" s="221"/>
      <c r="FZ77" s="408"/>
      <c r="GA77" s="315">
        <f t="shared" si="141"/>
        <v>0</v>
      </c>
      <c r="GB77" s="315" t="str">
        <f t="shared" si="142"/>
        <v/>
      </c>
      <c r="GC77" s="302" t="s">
        <v>160</v>
      </c>
      <c r="GG77" s="460"/>
      <c r="GH77" s="460"/>
      <c r="GU77" s="469"/>
      <c r="GV77" s="470" t="str">
        <f t="shared" si="143"/>
        <v/>
      </c>
      <c r="GW77" s="302">
        <f t="shared" si="144"/>
        <v>0</v>
      </c>
      <c r="HA77" s="654"/>
      <c r="HD77" s="379"/>
      <c r="HE77" s="380"/>
      <c r="HH77" s="383"/>
      <c r="HI77" s="410"/>
      <c r="HJ77" s="302" t="str">
        <f t="shared" si="119"/>
        <v/>
      </c>
      <c r="HO77" s="302" t="str">
        <f t="shared" si="112"/>
        <v/>
      </c>
      <c r="HP77" s="302" t="str">
        <f t="shared" si="113"/>
        <v/>
      </c>
      <c r="HQ77" s="302" t="str">
        <f t="shared" si="114"/>
        <v/>
      </c>
      <c r="IT77" s="410"/>
      <c r="IU77" s="410"/>
      <c r="IV77" s="635"/>
    </row>
    <row r="78" spans="1:256" s="302" customFormat="1" ht="12.75" hidden="1" customHeight="1">
      <c r="A78" s="397" t="str">
        <f t="shared" si="111"/>
        <v/>
      </c>
      <c r="B78" s="462" t="str">
        <f t="shared" si="115"/>
        <v/>
      </c>
      <c r="C78" s="426"/>
      <c r="D78" s="575"/>
      <c r="E78" s="463"/>
      <c r="F78" s="464"/>
      <c r="G78" s="465"/>
      <c r="H78" s="465"/>
      <c r="I78" s="466"/>
      <c r="J78" s="463"/>
      <c r="K78" s="465"/>
      <c r="L78" s="465"/>
      <c r="M78" s="466"/>
      <c r="N78" s="573"/>
      <c r="O78" s="467"/>
      <c r="P78" s="518"/>
      <c r="Q78" s="381"/>
      <c r="R78" s="182"/>
      <c r="S78" s="182"/>
      <c r="T78" s="182"/>
      <c r="U78" s="182"/>
      <c r="V78" s="182"/>
      <c r="W78" s="182"/>
      <c r="X78" s="182"/>
      <c r="Y78" s="182"/>
      <c r="Z78" s="182"/>
      <c r="AA78" s="384"/>
      <c r="AB78" s="182" t="str">
        <f t="shared" si="120"/>
        <v/>
      </c>
      <c r="AC78" s="315">
        <f t="shared" si="121"/>
        <v>0</v>
      </c>
      <c r="AD78" s="315" t="str">
        <f t="shared" si="116"/>
        <v/>
      </c>
      <c r="AE78" s="182"/>
      <c r="AF78" s="182"/>
      <c r="AG78" s="182"/>
      <c r="AH78" s="221"/>
      <c r="AI78" s="221"/>
      <c r="AJ78" s="221"/>
      <c r="AK78" s="221"/>
      <c r="AL78" s="221"/>
      <c r="AM78" s="221"/>
      <c r="AN78" s="221"/>
      <c r="AO78" s="221"/>
      <c r="AP78" s="221"/>
      <c r="AQ78" s="182"/>
      <c r="AR78" s="182"/>
      <c r="AS78" s="182"/>
      <c r="AT78" s="182"/>
      <c r="AU78" s="221" t="str">
        <f t="shared" si="122"/>
        <v/>
      </c>
      <c r="AV78" s="221" t="str">
        <f t="shared" si="123"/>
        <v/>
      </c>
      <c r="AW78" s="221"/>
      <c r="AX78" s="221"/>
      <c r="AY78" s="221"/>
      <c r="AZ78" s="221"/>
      <c r="BA78" s="221"/>
      <c r="BB78" s="221"/>
      <c r="BC78" s="221"/>
      <c r="BD78" s="221"/>
      <c r="BE78" s="221"/>
      <c r="BF78" s="469">
        <f t="shared" si="124"/>
        <v>0</v>
      </c>
      <c r="BG78" s="315">
        <f t="shared" si="125"/>
        <v>0</v>
      </c>
      <c r="BH78" s="315" t="str">
        <f t="shared" si="126"/>
        <v/>
      </c>
      <c r="BI78" s="182"/>
      <c r="BJ78" s="182"/>
      <c r="BK78" s="182"/>
      <c r="BL78" s="221"/>
      <c r="BM78" s="221"/>
      <c r="BN78" s="221"/>
      <c r="BO78" s="221"/>
      <c r="BP78" s="221"/>
      <c r="BQ78" s="221"/>
      <c r="BR78" s="221"/>
      <c r="BS78" s="221"/>
      <c r="BT78" s="221"/>
      <c r="BU78" s="182"/>
      <c r="BV78" s="182"/>
      <c r="BW78" s="182"/>
      <c r="BX78" s="182"/>
      <c r="BY78" s="221" t="str">
        <f t="shared" si="127"/>
        <v/>
      </c>
      <c r="BZ78" s="221" t="str">
        <f t="shared" si="128"/>
        <v/>
      </c>
      <c r="CA78" s="221"/>
      <c r="CB78" s="221"/>
      <c r="CC78" s="221"/>
      <c r="CD78" s="221"/>
      <c r="CE78" s="221"/>
      <c r="CF78" s="221"/>
      <c r="CG78" s="221"/>
      <c r="CH78" s="221"/>
      <c r="CI78" s="221"/>
      <c r="CJ78" s="469">
        <f t="shared" si="129"/>
        <v>0</v>
      </c>
      <c r="CK78" s="315">
        <f t="shared" si="130"/>
        <v>0</v>
      </c>
      <c r="CL78" s="315" t="str">
        <f t="shared" si="131"/>
        <v/>
      </c>
      <c r="CM78" s="182"/>
      <c r="CN78" s="182"/>
      <c r="CO78" s="182"/>
      <c r="CP78" s="221"/>
      <c r="CQ78" s="221"/>
      <c r="CR78" s="221"/>
      <c r="CS78" s="221"/>
      <c r="CT78" s="221"/>
      <c r="CU78" s="221"/>
      <c r="CV78" s="221"/>
      <c r="CW78" s="221"/>
      <c r="CX78" s="221"/>
      <c r="CY78" s="221"/>
      <c r="CZ78" s="182"/>
      <c r="DA78" s="182"/>
      <c r="DB78" s="182"/>
      <c r="DC78" s="182"/>
      <c r="DD78" s="221" t="str">
        <f t="shared" si="117"/>
        <v/>
      </c>
      <c r="DE78" s="221" t="str">
        <f t="shared" si="118"/>
        <v/>
      </c>
      <c r="DF78" s="221"/>
      <c r="DG78" s="221"/>
      <c r="DH78" s="221"/>
      <c r="DI78" s="221"/>
      <c r="DJ78" s="221"/>
      <c r="DK78" s="221"/>
      <c r="DL78" s="221"/>
      <c r="DM78" s="221"/>
      <c r="DN78" s="221"/>
      <c r="DO78" s="469" t="str">
        <f t="shared" si="132"/>
        <v/>
      </c>
      <c r="DP78" s="315">
        <f t="shared" si="133"/>
        <v>0</v>
      </c>
      <c r="DQ78" s="315" t="str">
        <f t="shared" si="134"/>
        <v/>
      </c>
      <c r="DR78" s="182"/>
      <c r="DS78" s="182"/>
      <c r="DT78" s="182"/>
      <c r="DU78" s="221"/>
      <c r="DV78" s="221"/>
      <c r="DW78" s="221"/>
      <c r="DX78" s="221"/>
      <c r="DY78" s="221"/>
      <c r="DZ78" s="221"/>
      <c r="EA78" s="221"/>
      <c r="EB78" s="221"/>
      <c r="EC78" s="221"/>
      <c r="ED78" s="182"/>
      <c r="EE78" s="182"/>
      <c r="EF78" s="182"/>
      <c r="EG78" s="182"/>
      <c r="EH78" s="221" t="str">
        <f t="shared" si="135"/>
        <v/>
      </c>
      <c r="EI78" s="221" t="str">
        <f t="shared" si="136"/>
        <v/>
      </c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315">
        <f t="shared" si="137"/>
        <v>0</v>
      </c>
      <c r="EV78" s="315" t="str">
        <f t="shared" si="138"/>
        <v/>
      </c>
      <c r="EW78" s="182"/>
      <c r="EX78" s="182"/>
      <c r="EY78" s="182"/>
      <c r="EZ78" s="221"/>
      <c r="FA78" s="221"/>
      <c r="FB78" s="221"/>
      <c r="FC78" s="221"/>
      <c r="FD78" s="221"/>
      <c r="FE78" s="221"/>
      <c r="FF78" s="221"/>
      <c r="FG78" s="221"/>
      <c r="FH78" s="221"/>
      <c r="FI78" s="182"/>
      <c r="FJ78" s="182"/>
      <c r="FK78" s="182"/>
      <c r="FL78" s="182"/>
      <c r="FM78" s="221" t="str">
        <f t="shared" si="139"/>
        <v/>
      </c>
      <c r="FN78" s="221" t="str">
        <f t="shared" si="140"/>
        <v/>
      </c>
      <c r="FO78" s="221"/>
      <c r="FP78" s="221"/>
      <c r="FQ78" s="221"/>
      <c r="FR78" s="221"/>
      <c r="FS78" s="221"/>
      <c r="FT78" s="221"/>
      <c r="FU78" s="221"/>
      <c r="FV78" s="221"/>
      <c r="FW78" s="221"/>
      <c r="FX78" s="221"/>
      <c r="FY78" s="221"/>
      <c r="FZ78" s="408"/>
      <c r="GA78" s="315">
        <f t="shared" si="141"/>
        <v>0</v>
      </c>
      <c r="GB78" s="315" t="str">
        <f t="shared" si="142"/>
        <v/>
      </c>
      <c r="GC78" s="182" t="s">
        <v>160</v>
      </c>
      <c r="GD78" s="182"/>
      <c r="GE78" s="182"/>
      <c r="GG78" s="460"/>
      <c r="GH78" s="460"/>
      <c r="GU78" s="469"/>
      <c r="GV78" s="470" t="str">
        <f t="shared" si="143"/>
        <v/>
      </c>
      <c r="GW78" s="302">
        <f t="shared" si="144"/>
        <v>0</v>
      </c>
      <c r="HA78" s="654"/>
      <c r="HD78" s="379"/>
      <c r="HE78" s="380"/>
      <c r="HH78" s="385"/>
      <c r="HI78" s="411"/>
      <c r="HJ78" s="302" t="str">
        <f t="shared" si="119"/>
        <v/>
      </c>
      <c r="HO78" s="302" t="str">
        <f t="shared" si="112"/>
        <v/>
      </c>
      <c r="HP78" s="302" t="str">
        <f t="shared" si="113"/>
        <v/>
      </c>
      <c r="HQ78" s="302" t="str">
        <f t="shared" si="114"/>
        <v/>
      </c>
      <c r="IT78" s="411"/>
      <c r="IU78" s="411"/>
      <c r="IV78" s="635"/>
    </row>
    <row r="79" spans="1:256" s="302" customFormat="1" ht="12.75" hidden="1" customHeight="1">
      <c r="A79" s="397" t="str">
        <f t="shared" si="111"/>
        <v/>
      </c>
      <c r="B79" s="462" t="str">
        <f t="shared" si="115"/>
        <v/>
      </c>
      <c r="C79" s="426"/>
      <c r="D79" s="575"/>
      <c r="E79" s="463"/>
      <c r="F79" s="464"/>
      <c r="G79" s="465"/>
      <c r="H79" s="465"/>
      <c r="I79" s="466"/>
      <c r="J79" s="463"/>
      <c r="K79" s="465"/>
      <c r="L79" s="465"/>
      <c r="M79" s="466"/>
      <c r="N79" s="573"/>
      <c r="O79" s="467"/>
      <c r="P79" s="518"/>
      <c r="Q79" s="381"/>
      <c r="R79" s="182"/>
      <c r="S79" s="182"/>
      <c r="T79" s="182"/>
      <c r="U79" s="182"/>
      <c r="V79" s="182"/>
      <c r="W79" s="182"/>
      <c r="X79" s="182"/>
      <c r="Y79" s="182"/>
      <c r="Z79" s="182"/>
      <c r="AA79" s="382"/>
      <c r="AB79" s="182" t="str">
        <f t="shared" si="120"/>
        <v/>
      </c>
      <c r="AC79" s="315">
        <f t="shared" si="121"/>
        <v>0</v>
      </c>
      <c r="AD79" s="315" t="str">
        <f t="shared" si="116"/>
        <v/>
      </c>
      <c r="AE79" s="182"/>
      <c r="AF79" s="182"/>
      <c r="AG79" s="182"/>
      <c r="AH79" s="221"/>
      <c r="AI79" s="221"/>
      <c r="AJ79" s="221"/>
      <c r="AK79" s="221"/>
      <c r="AL79" s="221"/>
      <c r="AM79" s="221"/>
      <c r="AN79" s="221"/>
      <c r="AO79" s="221"/>
      <c r="AP79" s="221"/>
      <c r="AQ79" s="182"/>
      <c r="AR79" s="182"/>
      <c r="AS79" s="182"/>
      <c r="AT79" s="182"/>
      <c r="AU79" s="221" t="str">
        <f t="shared" si="122"/>
        <v/>
      </c>
      <c r="AV79" s="221" t="str">
        <f t="shared" si="123"/>
        <v/>
      </c>
      <c r="AW79" s="221"/>
      <c r="AX79" s="221"/>
      <c r="AY79" s="221"/>
      <c r="AZ79" s="221"/>
      <c r="BA79" s="221"/>
      <c r="BB79" s="221"/>
      <c r="BC79" s="221"/>
      <c r="BD79" s="221"/>
      <c r="BE79" s="221"/>
      <c r="BF79" s="468">
        <f t="shared" si="124"/>
        <v>0</v>
      </c>
      <c r="BG79" s="315">
        <f t="shared" si="125"/>
        <v>0</v>
      </c>
      <c r="BH79" s="315" t="str">
        <f t="shared" si="126"/>
        <v/>
      </c>
      <c r="BI79" s="182"/>
      <c r="BJ79" s="182"/>
      <c r="BK79" s="182"/>
      <c r="BL79" s="221"/>
      <c r="BM79" s="221"/>
      <c r="BN79" s="221"/>
      <c r="BO79" s="221"/>
      <c r="BP79" s="221"/>
      <c r="BQ79" s="221"/>
      <c r="BR79" s="221"/>
      <c r="BS79" s="221"/>
      <c r="BT79" s="221"/>
      <c r="BU79" s="182"/>
      <c r="BV79" s="182"/>
      <c r="BW79" s="182"/>
      <c r="BX79" s="182"/>
      <c r="BY79" s="221" t="str">
        <f t="shared" si="127"/>
        <v/>
      </c>
      <c r="BZ79" s="221" t="str">
        <f t="shared" si="128"/>
        <v/>
      </c>
      <c r="CA79" s="221"/>
      <c r="CB79" s="221"/>
      <c r="CC79" s="221"/>
      <c r="CD79" s="221"/>
      <c r="CE79" s="221"/>
      <c r="CF79" s="221"/>
      <c r="CG79" s="221"/>
      <c r="CH79" s="221"/>
      <c r="CI79" s="221"/>
      <c r="CJ79" s="468">
        <f t="shared" si="129"/>
        <v>0</v>
      </c>
      <c r="CK79" s="315">
        <f t="shared" si="130"/>
        <v>0</v>
      </c>
      <c r="CL79" s="315" t="str">
        <f t="shared" si="131"/>
        <v/>
      </c>
      <c r="CM79" s="182"/>
      <c r="CN79" s="182"/>
      <c r="CO79" s="182"/>
      <c r="CP79" s="221"/>
      <c r="CQ79" s="221"/>
      <c r="CR79" s="221"/>
      <c r="CS79" s="221"/>
      <c r="CT79" s="221"/>
      <c r="CU79" s="221"/>
      <c r="CV79" s="221"/>
      <c r="CW79" s="221"/>
      <c r="CX79" s="221"/>
      <c r="CY79" s="221"/>
      <c r="CZ79" s="182"/>
      <c r="DA79" s="182"/>
      <c r="DB79" s="182"/>
      <c r="DC79" s="182"/>
      <c r="DD79" s="221" t="str">
        <f t="shared" si="117"/>
        <v/>
      </c>
      <c r="DE79" s="221" t="str">
        <f t="shared" si="118"/>
        <v/>
      </c>
      <c r="DF79" s="221"/>
      <c r="DG79" s="221"/>
      <c r="DH79" s="221"/>
      <c r="DI79" s="221"/>
      <c r="DJ79" s="221"/>
      <c r="DK79" s="221"/>
      <c r="DL79" s="221"/>
      <c r="DM79" s="221"/>
      <c r="DN79" s="221"/>
      <c r="DO79" s="469" t="str">
        <f t="shared" si="132"/>
        <v/>
      </c>
      <c r="DP79" s="315">
        <f t="shared" si="133"/>
        <v>0</v>
      </c>
      <c r="DQ79" s="315" t="str">
        <f t="shared" si="134"/>
        <v/>
      </c>
      <c r="DR79" s="182"/>
      <c r="DS79" s="182"/>
      <c r="DT79" s="182"/>
      <c r="DU79" s="221"/>
      <c r="DV79" s="221"/>
      <c r="DW79" s="221"/>
      <c r="DX79" s="221"/>
      <c r="DY79" s="221"/>
      <c r="DZ79" s="221"/>
      <c r="EA79" s="221"/>
      <c r="EB79" s="221"/>
      <c r="EC79" s="221"/>
      <c r="ED79" s="182"/>
      <c r="EE79" s="182"/>
      <c r="EF79" s="182"/>
      <c r="EG79" s="182"/>
      <c r="EH79" s="221" t="str">
        <f t="shared" si="135"/>
        <v/>
      </c>
      <c r="EI79" s="221" t="str">
        <f t="shared" si="136"/>
        <v/>
      </c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315">
        <f t="shared" si="137"/>
        <v>0</v>
      </c>
      <c r="EV79" s="315" t="str">
        <f t="shared" si="138"/>
        <v/>
      </c>
      <c r="EW79" s="182"/>
      <c r="EX79" s="182"/>
      <c r="EY79" s="182"/>
      <c r="EZ79" s="221"/>
      <c r="FA79" s="221"/>
      <c r="FB79" s="221"/>
      <c r="FC79" s="221"/>
      <c r="FD79" s="221"/>
      <c r="FE79" s="221"/>
      <c r="FF79" s="221"/>
      <c r="FG79" s="221"/>
      <c r="FH79" s="221"/>
      <c r="FI79" s="182"/>
      <c r="FJ79" s="182"/>
      <c r="FK79" s="182"/>
      <c r="FL79" s="182"/>
      <c r="FM79" s="221" t="str">
        <f t="shared" si="139"/>
        <v/>
      </c>
      <c r="FN79" s="221" t="str">
        <f t="shared" si="140"/>
        <v/>
      </c>
      <c r="FO79" s="221"/>
      <c r="FP79" s="221"/>
      <c r="FQ79" s="221"/>
      <c r="FR79" s="221"/>
      <c r="FS79" s="221"/>
      <c r="FT79" s="221"/>
      <c r="FU79" s="221"/>
      <c r="FV79" s="221"/>
      <c r="FW79" s="221"/>
      <c r="FX79" s="221"/>
      <c r="FY79" s="221"/>
      <c r="FZ79" s="408"/>
      <c r="GA79" s="315">
        <f t="shared" si="141"/>
        <v>0</v>
      </c>
      <c r="GB79" s="315" t="str">
        <f t="shared" si="142"/>
        <v/>
      </c>
      <c r="GC79" s="182" t="s">
        <v>160</v>
      </c>
      <c r="GD79" s="182"/>
      <c r="GE79" s="182"/>
      <c r="GG79" s="460"/>
      <c r="GH79" s="460"/>
      <c r="GU79" s="469"/>
      <c r="GV79" s="470" t="str">
        <f t="shared" si="143"/>
        <v/>
      </c>
      <c r="GW79" s="302">
        <f t="shared" si="144"/>
        <v>0</v>
      </c>
      <c r="HA79" s="654"/>
      <c r="HD79" s="379"/>
      <c r="HE79" s="380"/>
      <c r="HH79" s="383"/>
      <c r="HI79" s="410"/>
      <c r="HJ79" s="302" t="str">
        <f t="shared" si="119"/>
        <v/>
      </c>
      <c r="HN79" s="398"/>
      <c r="HO79" s="302" t="str">
        <f t="shared" si="112"/>
        <v/>
      </c>
      <c r="HP79" s="302" t="str">
        <f t="shared" si="113"/>
        <v/>
      </c>
      <c r="HQ79" s="302" t="str">
        <f t="shared" si="114"/>
        <v/>
      </c>
      <c r="IT79" s="410"/>
      <c r="IU79" s="410"/>
      <c r="IV79" s="635"/>
    </row>
    <row r="80" spans="1:256" s="302" customFormat="1" ht="12.75" hidden="1" customHeight="1">
      <c r="A80" s="397" t="str">
        <f t="shared" si="111"/>
        <v/>
      </c>
      <c r="B80" s="462" t="str">
        <f t="shared" si="115"/>
        <v/>
      </c>
      <c r="C80" s="426"/>
      <c r="D80" s="575"/>
      <c r="E80" s="463"/>
      <c r="F80" s="464"/>
      <c r="G80" s="465"/>
      <c r="H80" s="465"/>
      <c r="I80" s="466"/>
      <c r="J80" s="463"/>
      <c r="K80" s="465"/>
      <c r="L80" s="465"/>
      <c r="M80" s="466"/>
      <c r="N80" s="573"/>
      <c r="O80" s="467"/>
      <c r="P80" s="518"/>
      <c r="Q80" s="381"/>
      <c r="R80" s="182"/>
      <c r="S80" s="182"/>
      <c r="T80" s="182"/>
      <c r="U80" s="182"/>
      <c r="V80" s="182"/>
      <c r="W80" s="182"/>
      <c r="X80" s="182"/>
      <c r="Y80" s="182"/>
      <c r="Z80" s="182"/>
      <c r="AA80" s="384"/>
      <c r="AB80" s="182" t="str">
        <f t="shared" si="120"/>
        <v/>
      </c>
      <c r="AC80" s="315">
        <f t="shared" si="121"/>
        <v>0</v>
      </c>
      <c r="AD80" s="315" t="str">
        <f t="shared" si="116"/>
        <v/>
      </c>
      <c r="AE80" s="182"/>
      <c r="AF80" s="182"/>
      <c r="AG80" s="182"/>
      <c r="AH80" s="221"/>
      <c r="AI80" s="221"/>
      <c r="AJ80" s="221"/>
      <c r="AK80" s="221"/>
      <c r="AL80" s="221"/>
      <c r="AM80" s="221"/>
      <c r="AN80" s="221"/>
      <c r="AO80" s="221"/>
      <c r="AP80" s="221"/>
      <c r="AQ80" s="182"/>
      <c r="AR80" s="182"/>
      <c r="AS80" s="182"/>
      <c r="AT80" s="182"/>
      <c r="AU80" s="221" t="str">
        <f t="shared" si="122"/>
        <v/>
      </c>
      <c r="AV80" s="221" t="str">
        <f t="shared" si="123"/>
        <v/>
      </c>
      <c r="AW80" s="221"/>
      <c r="AX80" s="221"/>
      <c r="AY80" s="221"/>
      <c r="AZ80" s="221"/>
      <c r="BA80" s="221"/>
      <c r="BB80" s="221"/>
      <c r="BC80" s="221"/>
      <c r="BD80" s="221"/>
      <c r="BE80" s="221"/>
      <c r="BF80" s="469">
        <f t="shared" si="124"/>
        <v>0</v>
      </c>
      <c r="BG80" s="315">
        <f t="shared" si="125"/>
        <v>0</v>
      </c>
      <c r="BH80" s="315" t="str">
        <f t="shared" si="126"/>
        <v/>
      </c>
      <c r="BI80" s="182"/>
      <c r="BJ80" s="182"/>
      <c r="BK80" s="182"/>
      <c r="BL80" s="221"/>
      <c r="BM80" s="221"/>
      <c r="BN80" s="221"/>
      <c r="BO80" s="221"/>
      <c r="BP80" s="221"/>
      <c r="BQ80" s="221"/>
      <c r="BR80" s="221"/>
      <c r="BS80" s="221"/>
      <c r="BT80" s="221"/>
      <c r="BU80" s="182"/>
      <c r="BV80" s="182"/>
      <c r="BW80" s="182"/>
      <c r="BX80" s="182"/>
      <c r="BY80" s="221" t="str">
        <f t="shared" si="127"/>
        <v/>
      </c>
      <c r="BZ80" s="221" t="str">
        <f t="shared" si="128"/>
        <v/>
      </c>
      <c r="CA80" s="221"/>
      <c r="CB80" s="221"/>
      <c r="CC80" s="221"/>
      <c r="CD80" s="221"/>
      <c r="CE80" s="221"/>
      <c r="CF80" s="221"/>
      <c r="CG80" s="221"/>
      <c r="CH80" s="221"/>
      <c r="CI80" s="221"/>
      <c r="CJ80" s="469">
        <f t="shared" si="129"/>
        <v>0</v>
      </c>
      <c r="CK80" s="315">
        <f t="shared" si="130"/>
        <v>0</v>
      </c>
      <c r="CL80" s="315" t="str">
        <f t="shared" si="131"/>
        <v/>
      </c>
      <c r="CM80" s="182"/>
      <c r="CN80" s="182"/>
      <c r="CO80" s="182"/>
      <c r="CP80" s="221"/>
      <c r="CQ80" s="221"/>
      <c r="CR80" s="221"/>
      <c r="CS80" s="221"/>
      <c r="CT80" s="221"/>
      <c r="CU80" s="221"/>
      <c r="CV80" s="221"/>
      <c r="CW80" s="221"/>
      <c r="CX80" s="221"/>
      <c r="CY80" s="221"/>
      <c r="CZ80" s="182"/>
      <c r="DA80" s="182"/>
      <c r="DB80" s="182"/>
      <c r="DC80" s="182"/>
      <c r="DD80" s="221" t="str">
        <f t="shared" si="117"/>
        <v/>
      </c>
      <c r="DE80" s="221" t="str">
        <f t="shared" si="118"/>
        <v/>
      </c>
      <c r="DF80" s="221"/>
      <c r="DG80" s="221"/>
      <c r="DH80" s="221"/>
      <c r="DI80" s="221"/>
      <c r="DJ80" s="221"/>
      <c r="DK80" s="221"/>
      <c r="DL80" s="221"/>
      <c r="DM80" s="221"/>
      <c r="DN80" s="221"/>
      <c r="DO80" s="469" t="str">
        <f t="shared" si="132"/>
        <v/>
      </c>
      <c r="DP80" s="315">
        <f t="shared" si="133"/>
        <v>0</v>
      </c>
      <c r="DQ80" s="315" t="str">
        <f t="shared" si="134"/>
        <v/>
      </c>
      <c r="DR80" s="182"/>
      <c r="DS80" s="182"/>
      <c r="DT80" s="182"/>
      <c r="DU80" s="221"/>
      <c r="DV80" s="221"/>
      <c r="DW80" s="221"/>
      <c r="DX80" s="221"/>
      <c r="DY80" s="221"/>
      <c r="DZ80" s="221"/>
      <c r="EA80" s="221"/>
      <c r="EB80" s="221"/>
      <c r="EC80" s="221"/>
      <c r="ED80" s="182"/>
      <c r="EE80" s="182"/>
      <c r="EF80" s="182"/>
      <c r="EG80" s="182"/>
      <c r="EH80" s="221" t="str">
        <f t="shared" si="135"/>
        <v/>
      </c>
      <c r="EI80" s="221" t="str">
        <f t="shared" si="136"/>
        <v/>
      </c>
      <c r="EJ80" s="221"/>
      <c r="EK80" s="221"/>
      <c r="EL80" s="221"/>
      <c r="EM80" s="221"/>
      <c r="EN80" s="221"/>
      <c r="EO80" s="221"/>
      <c r="EP80" s="221"/>
      <c r="EQ80" s="221"/>
      <c r="ER80" s="221"/>
      <c r="ES80" s="221"/>
      <c r="ET80" s="221"/>
      <c r="EU80" s="315">
        <f t="shared" si="137"/>
        <v>0</v>
      </c>
      <c r="EV80" s="315" t="str">
        <f t="shared" si="138"/>
        <v/>
      </c>
      <c r="EW80" s="182"/>
      <c r="EX80" s="182"/>
      <c r="EY80" s="182"/>
      <c r="EZ80" s="221"/>
      <c r="FA80" s="221"/>
      <c r="FB80" s="221"/>
      <c r="FC80" s="221"/>
      <c r="FD80" s="221"/>
      <c r="FE80" s="221"/>
      <c r="FF80" s="221"/>
      <c r="FG80" s="221"/>
      <c r="FH80" s="221"/>
      <c r="FI80" s="182"/>
      <c r="FJ80" s="182"/>
      <c r="FK80" s="182"/>
      <c r="FL80" s="182"/>
      <c r="FM80" s="221" t="str">
        <f t="shared" si="139"/>
        <v/>
      </c>
      <c r="FN80" s="221" t="str">
        <f t="shared" si="140"/>
        <v/>
      </c>
      <c r="FO80" s="221"/>
      <c r="FP80" s="221"/>
      <c r="FQ80" s="221"/>
      <c r="FR80" s="221"/>
      <c r="FS80" s="221"/>
      <c r="FT80" s="221"/>
      <c r="FU80" s="221"/>
      <c r="FV80" s="221"/>
      <c r="FW80" s="221"/>
      <c r="FX80" s="221"/>
      <c r="FY80" s="221"/>
      <c r="FZ80" s="408"/>
      <c r="GA80" s="315">
        <f t="shared" si="141"/>
        <v>0</v>
      </c>
      <c r="GB80" s="315" t="str">
        <f t="shared" si="142"/>
        <v/>
      </c>
      <c r="GC80" s="302" t="s">
        <v>160</v>
      </c>
      <c r="GG80" s="460"/>
      <c r="GH80" s="460"/>
      <c r="GU80" s="469"/>
      <c r="GV80" s="470" t="str">
        <f t="shared" si="143"/>
        <v/>
      </c>
      <c r="GW80" s="302">
        <f t="shared" si="144"/>
        <v>0</v>
      </c>
      <c r="HA80" s="654"/>
      <c r="HD80" s="379"/>
      <c r="HE80" s="380"/>
      <c r="HH80" s="385"/>
      <c r="HI80" s="411"/>
      <c r="HJ80" s="302" t="str">
        <f t="shared" si="119"/>
        <v/>
      </c>
      <c r="HO80" s="302" t="str">
        <f t="shared" si="112"/>
        <v/>
      </c>
      <c r="HP80" s="302" t="str">
        <f t="shared" si="113"/>
        <v/>
      </c>
      <c r="HQ80" s="302" t="str">
        <f t="shared" si="114"/>
        <v/>
      </c>
      <c r="IT80" s="411"/>
      <c r="IU80" s="411"/>
      <c r="IV80" s="635"/>
    </row>
    <row r="81" spans="1:256" s="302" customFormat="1" ht="12.75" hidden="1" customHeight="1">
      <c r="A81" s="397" t="str">
        <f t="shared" si="111"/>
        <v/>
      </c>
      <c r="B81" s="462" t="str">
        <f t="shared" si="115"/>
        <v/>
      </c>
      <c r="C81" s="426"/>
      <c r="D81" s="575"/>
      <c r="E81" s="463"/>
      <c r="F81" s="464"/>
      <c r="G81" s="465"/>
      <c r="H81" s="465"/>
      <c r="I81" s="466"/>
      <c r="J81" s="463"/>
      <c r="K81" s="465"/>
      <c r="L81" s="465"/>
      <c r="M81" s="466"/>
      <c r="N81" s="573"/>
      <c r="O81" s="467"/>
      <c r="P81" s="518"/>
      <c r="Q81" s="381"/>
      <c r="R81" s="182"/>
      <c r="S81" s="182"/>
      <c r="T81" s="182"/>
      <c r="U81" s="182"/>
      <c r="V81" s="182"/>
      <c r="W81" s="182"/>
      <c r="X81" s="182"/>
      <c r="Y81" s="182"/>
      <c r="Z81" s="182"/>
      <c r="AA81" s="382"/>
      <c r="AB81" s="182" t="str">
        <f t="shared" si="120"/>
        <v/>
      </c>
      <c r="AC81" s="315">
        <f t="shared" si="121"/>
        <v>0</v>
      </c>
      <c r="AD81" s="315" t="str">
        <f t="shared" si="116"/>
        <v/>
      </c>
      <c r="AE81" s="182"/>
      <c r="AF81" s="182"/>
      <c r="AG81" s="182"/>
      <c r="AH81" s="221"/>
      <c r="AI81" s="221"/>
      <c r="AJ81" s="221"/>
      <c r="AK81" s="221"/>
      <c r="AL81" s="221"/>
      <c r="AM81" s="221"/>
      <c r="AN81" s="221"/>
      <c r="AO81" s="221"/>
      <c r="AP81" s="221"/>
      <c r="AQ81" s="182"/>
      <c r="AR81" s="182"/>
      <c r="AS81" s="182"/>
      <c r="AT81" s="182"/>
      <c r="AU81" s="221" t="str">
        <f t="shared" si="122"/>
        <v/>
      </c>
      <c r="AV81" s="221" t="str">
        <f t="shared" si="123"/>
        <v/>
      </c>
      <c r="AW81" s="221"/>
      <c r="AX81" s="221"/>
      <c r="AY81" s="221"/>
      <c r="AZ81" s="221"/>
      <c r="BA81" s="221"/>
      <c r="BB81" s="221"/>
      <c r="BC81" s="221"/>
      <c r="BD81" s="221"/>
      <c r="BE81" s="221"/>
      <c r="BF81" s="468">
        <f t="shared" si="124"/>
        <v>0</v>
      </c>
      <c r="BG81" s="315">
        <f t="shared" si="125"/>
        <v>0</v>
      </c>
      <c r="BH81" s="315" t="str">
        <f t="shared" si="126"/>
        <v/>
      </c>
      <c r="BI81" s="182"/>
      <c r="BJ81" s="182"/>
      <c r="BK81" s="182"/>
      <c r="BL81" s="221"/>
      <c r="BM81" s="221"/>
      <c r="BN81" s="221"/>
      <c r="BO81" s="221"/>
      <c r="BP81" s="221"/>
      <c r="BQ81" s="221"/>
      <c r="BR81" s="221"/>
      <c r="BS81" s="221"/>
      <c r="BT81" s="221"/>
      <c r="BU81" s="182"/>
      <c r="BV81" s="182"/>
      <c r="BW81" s="182"/>
      <c r="BX81" s="182"/>
      <c r="BY81" s="221" t="str">
        <f t="shared" si="127"/>
        <v/>
      </c>
      <c r="BZ81" s="221" t="str">
        <f t="shared" si="128"/>
        <v/>
      </c>
      <c r="CA81" s="221"/>
      <c r="CB81" s="221"/>
      <c r="CC81" s="221"/>
      <c r="CD81" s="221"/>
      <c r="CE81" s="221"/>
      <c r="CF81" s="221"/>
      <c r="CG81" s="221"/>
      <c r="CH81" s="221"/>
      <c r="CI81" s="221"/>
      <c r="CJ81" s="468">
        <f t="shared" si="129"/>
        <v>0</v>
      </c>
      <c r="CK81" s="315">
        <f t="shared" si="130"/>
        <v>0</v>
      </c>
      <c r="CL81" s="315" t="str">
        <f t="shared" si="131"/>
        <v/>
      </c>
      <c r="CM81" s="182"/>
      <c r="CN81" s="182"/>
      <c r="CO81" s="182"/>
      <c r="CP81" s="221"/>
      <c r="CQ81" s="221"/>
      <c r="CR81" s="221"/>
      <c r="CS81" s="221"/>
      <c r="CT81" s="221"/>
      <c r="CU81" s="221"/>
      <c r="CV81" s="221"/>
      <c r="CW81" s="221"/>
      <c r="CX81" s="221"/>
      <c r="CY81" s="221"/>
      <c r="CZ81" s="182"/>
      <c r="DA81" s="182"/>
      <c r="DB81" s="182"/>
      <c r="DC81" s="182"/>
      <c r="DD81" s="221" t="str">
        <f t="shared" si="117"/>
        <v/>
      </c>
      <c r="DE81" s="221" t="str">
        <f t="shared" si="118"/>
        <v/>
      </c>
      <c r="DF81" s="221"/>
      <c r="DG81" s="221"/>
      <c r="DH81" s="221"/>
      <c r="DI81" s="221"/>
      <c r="DJ81" s="221"/>
      <c r="DK81" s="221"/>
      <c r="DL81" s="221"/>
      <c r="DM81" s="221"/>
      <c r="DN81" s="221"/>
      <c r="DO81" s="469" t="str">
        <f t="shared" si="132"/>
        <v/>
      </c>
      <c r="DP81" s="315">
        <f t="shared" si="133"/>
        <v>0</v>
      </c>
      <c r="DQ81" s="315" t="str">
        <f t="shared" si="134"/>
        <v/>
      </c>
      <c r="DR81" s="182"/>
      <c r="DS81" s="182"/>
      <c r="DT81" s="182"/>
      <c r="DU81" s="221"/>
      <c r="DV81" s="221"/>
      <c r="DW81" s="221"/>
      <c r="DX81" s="221"/>
      <c r="DY81" s="221"/>
      <c r="DZ81" s="221"/>
      <c r="EA81" s="221"/>
      <c r="EB81" s="221"/>
      <c r="EC81" s="221"/>
      <c r="ED81" s="182"/>
      <c r="EE81" s="182"/>
      <c r="EF81" s="182"/>
      <c r="EG81" s="182"/>
      <c r="EH81" s="221" t="str">
        <f t="shared" si="135"/>
        <v/>
      </c>
      <c r="EI81" s="221" t="str">
        <f t="shared" si="136"/>
        <v/>
      </c>
      <c r="EJ81" s="221"/>
      <c r="EK81" s="221"/>
      <c r="EL81" s="221"/>
      <c r="EM81" s="221"/>
      <c r="EN81" s="221"/>
      <c r="EO81" s="221"/>
      <c r="EP81" s="221"/>
      <c r="EQ81" s="221"/>
      <c r="ER81" s="221"/>
      <c r="ES81" s="221"/>
      <c r="ET81" s="221"/>
      <c r="EU81" s="315">
        <f t="shared" si="137"/>
        <v>0</v>
      </c>
      <c r="EV81" s="315" t="str">
        <f t="shared" si="138"/>
        <v/>
      </c>
      <c r="EW81" s="182"/>
      <c r="EX81" s="182"/>
      <c r="EY81" s="182"/>
      <c r="EZ81" s="221"/>
      <c r="FA81" s="221"/>
      <c r="FB81" s="221"/>
      <c r="FC81" s="221"/>
      <c r="FD81" s="221"/>
      <c r="FE81" s="221"/>
      <c r="FF81" s="221"/>
      <c r="FG81" s="221"/>
      <c r="FH81" s="221"/>
      <c r="FI81" s="182"/>
      <c r="FJ81" s="182"/>
      <c r="FK81" s="182"/>
      <c r="FL81" s="182"/>
      <c r="FM81" s="221" t="str">
        <f t="shared" si="139"/>
        <v/>
      </c>
      <c r="FN81" s="221" t="str">
        <f t="shared" si="140"/>
        <v/>
      </c>
      <c r="FO81" s="221"/>
      <c r="FP81" s="221"/>
      <c r="FQ81" s="221"/>
      <c r="FR81" s="221"/>
      <c r="FS81" s="221"/>
      <c r="FT81" s="221"/>
      <c r="FU81" s="221"/>
      <c r="FV81" s="221"/>
      <c r="FW81" s="221"/>
      <c r="FX81" s="221"/>
      <c r="FY81" s="221"/>
      <c r="FZ81" s="408"/>
      <c r="GA81" s="315">
        <f t="shared" si="141"/>
        <v>0</v>
      </c>
      <c r="GB81" s="315" t="str">
        <f t="shared" si="142"/>
        <v/>
      </c>
      <c r="GC81" s="302" t="s">
        <v>160</v>
      </c>
      <c r="GG81" s="460"/>
      <c r="GH81" s="460"/>
      <c r="GU81" s="469"/>
      <c r="GV81" s="470" t="str">
        <f t="shared" si="143"/>
        <v/>
      </c>
      <c r="GW81" s="302">
        <f t="shared" si="144"/>
        <v>0</v>
      </c>
      <c r="HA81" s="654"/>
      <c r="HD81" s="379"/>
      <c r="HE81" s="380"/>
      <c r="HH81" s="383"/>
      <c r="HI81" s="410"/>
      <c r="HJ81" s="302" t="str">
        <f t="shared" si="119"/>
        <v/>
      </c>
      <c r="HO81" s="302" t="str">
        <f t="shared" si="112"/>
        <v/>
      </c>
      <c r="HP81" s="302" t="str">
        <f t="shared" si="113"/>
        <v/>
      </c>
      <c r="HQ81" s="302" t="str">
        <f t="shared" si="114"/>
        <v/>
      </c>
      <c r="IT81" s="410"/>
      <c r="IU81" s="410"/>
      <c r="IV81" s="635"/>
    </row>
    <row r="82" spans="1:256" s="302" customFormat="1" ht="12.75" hidden="1" customHeight="1">
      <c r="A82" s="397" t="str">
        <f t="shared" si="111"/>
        <v/>
      </c>
      <c r="B82" s="462" t="str">
        <f t="shared" si="115"/>
        <v/>
      </c>
      <c r="C82" s="426"/>
      <c r="D82" s="575"/>
      <c r="E82" s="463"/>
      <c r="F82" s="464"/>
      <c r="G82" s="465"/>
      <c r="H82" s="465"/>
      <c r="I82" s="466"/>
      <c r="J82" s="463"/>
      <c r="K82" s="465"/>
      <c r="L82" s="465"/>
      <c r="M82" s="466"/>
      <c r="N82" s="573"/>
      <c r="O82" s="467"/>
      <c r="P82" s="518"/>
      <c r="Q82" s="381"/>
      <c r="R82" s="182"/>
      <c r="S82" s="182"/>
      <c r="T82" s="182"/>
      <c r="U82" s="182"/>
      <c r="V82" s="182"/>
      <c r="W82" s="182"/>
      <c r="X82" s="182"/>
      <c r="Y82" s="182"/>
      <c r="Z82" s="182"/>
      <c r="AA82" s="384"/>
      <c r="AB82" s="182" t="str">
        <f t="shared" si="120"/>
        <v/>
      </c>
      <c r="AC82" s="315">
        <f t="shared" si="121"/>
        <v>0</v>
      </c>
      <c r="AD82" s="315" t="str">
        <f t="shared" si="116"/>
        <v/>
      </c>
      <c r="AE82" s="182"/>
      <c r="AF82" s="182"/>
      <c r="AG82" s="182"/>
      <c r="AH82" s="221"/>
      <c r="AI82" s="221"/>
      <c r="AJ82" s="221"/>
      <c r="AK82" s="221"/>
      <c r="AL82" s="221"/>
      <c r="AM82" s="221"/>
      <c r="AN82" s="221"/>
      <c r="AO82" s="221"/>
      <c r="AP82" s="221"/>
      <c r="AQ82" s="182"/>
      <c r="AR82" s="182"/>
      <c r="AS82" s="182"/>
      <c r="AT82" s="182"/>
      <c r="AU82" s="221" t="str">
        <f t="shared" si="122"/>
        <v/>
      </c>
      <c r="AV82" s="221" t="str">
        <f t="shared" si="123"/>
        <v/>
      </c>
      <c r="AW82" s="221"/>
      <c r="AX82" s="221"/>
      <c r="AY82" s="221"/>
      <c r="AZ82" s="221"/>
      <c r="BA82" s="221"/>
      <c r="BB82" s="221"/>
      <c r="BC82" s="221"/>
      <c r="BD82" s="221"/>
      <c r="BE82" s="221"/>
      <c r="BF82" s="469">
        <f t="shared" si="124"/>
        <v>0</v>
      </c>
      <c r="BG82" s="315">
        <f t="shared" si="125"/>
        <v>0</v>
      </c>
      <c r="BH82" s="315" t="str">
        <f t="shared" si="126"/>
        <v/>
      </c>
      <c r="BI82" s="182"/>
      <c r="BJ82" s="182"/>
      <c r="BK82" s="182"/>
      <c r="BL82" s="221"/>
      <c r="BM82" s="221"/>
      <c r="BN82" s="221"/>
      <c r="BO82" s="221"/>
      <c r="BP82" s="221"/>
      <c r="BQ82" s="221"/>
      <c r="BR82" s="221"/>
      <c r="BS82" s="221"/>
      <c r="BT82" s="221"/>
      <c r="BU82" s="182"/>
      <c r="BV82" s="182"/>
      <c r="BW82" s="182"/>
      <c r="BX82" s="182"/>
      <c r="BY82" s="221" t="str">
        <f t="shared" si="127"/>
        <v/>
      </c>
      <c r="BZ82" s="221" t="str">
        <f t="shared" si="128"/>
        <v/>
      </c>
      <c r="CA82" s="221"/>
      <c r="CB82" s="221"/>
      <c r="CC82" s="221"/>
      <c r="CD82" s="221"/>
      <c r="CE82" s="221"/>
      <c r="CF82" s="221"/>
      <c r="CG82" s="221"/>
      <c r="CH82" s="221"/>
      <c r="CI82" s="221"/>
      <c r="CJ82" s="469">
        <f t="shared" si="129"/>
        <v>0</v>
      </c>
      <c r="CK82" s="315">
        <f t="shared" si="130"/>
        <v>0</v>
      </c>
      <c r="CL82" s="315" t="str">
        <f t="shared" si="131"/>
        <v/>
      </c>
      <c r="CM82" s="182"/>
      <c r="CN82" s="182"/>
      <c r="CO82" s="182"/>
      <c r="CP82" s="221"/>
      <c r="CQ82" s="221"/>
      <c r="CR82" s="221"/>
      <c r="CS82" s="221"/>
      <c r="CT82" s="221"/>
      <c r="CU82" s="221"/>
      <c r="CV82" s="221"/>
      <c r="CW82" s="221"/>
      <c r="CX82" s="221"/>
      <c r="CY82" s="221"/>
      <c r="CZ82" s="182"/>
      <c r="DA82" s="182"/>
      <c r="DB82" s="182"/>
      <c r="DC82" s="182"/>
      <c r="DD82" s="221" t="str">
        <f t="shared" si="117"/>
        <v/>
      </c>
      <c r="DE82" s="221" t="str">
        <f t="shared" si="118"/>
        <v/>
      </c>
      <c r="DF82" s="221"/>
      <c r="DG82" s="221"/>
      <c r="DH82" s="221"/>
      <c r="DI82" s="221"/>
      <c r="DJ82" s="221"/>
      <c r="DK82" s="221"/>
      <c r="DL82" s="221"/>
      <c r="DM82" s="221"/>
      <c r="DN82" s="221"/>
      <c r="DO82" s="469" t="str">
        <f t="shared" si="132"/>
        <v/>
      </c>
      <c r="DP82" s="315">
        <f t="shared" si="133"/>
        <v>0</v>
      </c>
      <c r="DQ82" s="315" t="str">
        <f t="shared" si="134"/>
        <v/>
      </c>
      <c r="DR82" s="182"/>
      <c r="DS82" s="182"/>
      <c r="DT82" s="182"/>
      <c r="DU82" s="221"/>
      <c r="DV82" s="221"/>
      <c r="DW82" s="221"/>
      <c r="DX82" s="221"/>
      <c r="DY82" s="221"/>
      <c r="DZ82" s="221"/>
      <c r="EA82" s="221"/>
      <c r="EB82" s="221"/>
      <c r="EC82" s="221"/>
      <c r="ED82" s="182"/>
      <c r="EE82" s="182"/>
      <c r="EF82" s="182"/>
      <c r="EG82" s="182"/>
      <c r="EH82" s="221" t="str">
        <f t="shared" si="135"/>
        <v/>
      </c>
      <c r="EI82" s="221" t="str">
        <f t="shared" si="136"/>
        <v/>
      </c>
      <c r="EJ82" s="221"/>
      <c r="EK82" s="221"/>
      <c r="EL82" s="221"/>
      <c r="EM82" s="221"/>
      <c r="EN82" s="221"/>
      <c r="EO82" s="221"/>
      <c r="EP82" s="221"/>
      <c r="EQ82" s="221"/>
      <c r="ER82" s="221"/>
      <c r="ES82" s="221"/>
      <c r="ET82" s="221"/>
      <c r="EU82" s="315">
        <f t="shared" si="137"/>
        <v>0</v>
      </c>
      <c r="EV82" s="315" t="str">
        <f t="shared" si="138"/>
        <v/>
      </c>
      <c r="EW82" s="182"/>
      <c r="EX82" s="182"/>
      <c r="EY82" s="182"/>
      <c r="EZ82" s="221"/>
      <c r="FA82" s="221"/>
      <c r="FB82" s="221"/>
      <c r="FC82" s="221"/>
      <c r="FD82" s="221"/>
      <c r="FE82" s="221"/>
      <c r="FF82" s="221"/>
      <c r="FG82" s="221"/>
      <c r="FH82" s="221"/>
      <c r="FI82" s="182"/>
      <c r="FJ82" s="182"/>
      <c r="FK82" s="182"/>
      <c r="FL82" s="182"/>
      <c r="FM82" s="221" t="str">
        <f t="shared" si="139"/>
        <v/>
      </c>
      <c r="FN82" s="221" t="str">
        <f t="shared" si="140"/>
        <v/>
      </c>
      <c r="FO82" s="221"/>
      <c r="FP82" s="221"/>
      <c r="FQ82" s="221"/>
      <c r="FR82" s="221"/>
      <c r="FS82" s="221"/>
      <c r="FT82" s="221"/>
      <c r="FU82" s="221"/>
      <c r="FV82" s="221"/>
      <c r="FW82" s="221"/>
      <c r="FX82" s="221"/>
      <c r="FY82" s="221"/>
      <c r="FZ82" s="408"/>
      <c r="GA82" s="315">
        <f t="shared" si="141"/>
        <v>0</v>
      </c>
      <c r="GB82" s="315" t="str">
        <f t="shared" si="142"/>
        <v/>
      </c>
      <c r="GC82" s="182" t="s">
        <v>160</v>
      </c>
      <c r="GD82" s="182"/>
      <c r="GE82" s="182"/>
      <c r="GG82" s="460"/>
      <c r="GH82" s="460"/>
      <c r="GU82" s="469"/>
      <c r="GV82" s="470" t="str">
        <f t="shared" si="143"/>
        <v/>
      </c>
      <c r="GW82" s="302">
        <f t="shared" si="144"/>
        <v>0</v>
      </c>
      <c r="HA82" s="654"/>
      <c r="HD82" s="379"/>
      <c r="HE82" s="380"/>
      <c r="HH82" s="385"/>
      <c r="HI82" s="411"/>
      <c r="HJ82" s="302" t="str">
        <f t="shared" si="119"/>
        <v/>
      </c>
      <c r="HO82" s="302" t="str">
        <f t="shared" si="112"/>
        <v/>
      </c>
      <c r="HP82" s="302" t="str">
        <f t="shared" si="113"/>
        <v/>
      </c>
      <c r="HQ82" s="302" t="str">
        <f t="shared" si="114"/>
        <v/>
      </c>
      <c r="IT82" s="411"/>
      <c r="IU82" s="411"/>
      <c r="IV82" s="635"/>
    </row>
    <row r="83" spans="1:256" s="302" customFormat="1" ht="12.75" hidden="1" customHeight="1">
      <c r="A83" s="397" t="str">
        <f t="shared" si="111"/>
        <v/>
      </c>
      <c r="B83" s="462" t="str">
        <f t="shared" si="115"/>
        <v/>
      </c>
      <c r="C83" s="426"/>
      <c r="D83" s="575"/>
      <c r="E83" s="463"/>
      <c r="F83" s="464"/>
      <c r="G83" s="465"/>
      <c r="H83" s="465"/>
      <c r="I83" s="466"/>
      <c r="J83" s="463"/>
      <c r="K83" s="465"/>
      <c r="L83" s="465"/>
      <c r="M83" s="466"/>
      <c r="N83" s="573"/>
      <c r="O83" s="467"/>
      <c r="P83" s="518"/>
      <c r="Q83" s="381"/>
      <c r="R83" s="182"/>
      <c r="S83" s="182"/>
      <c r="T83" s="182"/>
      <c r="U83" s="182"/>
      <c r="V83" s="182"/>
      <c r="W83" s="182"/>
      <c r="X83" s="182"/>
      <c r="Y83" s="182"/>
      <c r="Z83" s="182"/>
      <c r="AA83" s="382"/>
      <c r="AB83" s="182" t="str">
        <f t="shared" si="120"/>
        <v/>
      </c>
      <c r="AC83" s="315">
        <f t="shared" si="121"/>
        <v>0</v>
      </c>
      <c r="AD83" s="315" t="str">
        <f t="shared" si="116"/>
        <v/>
      </c>
      <c r="AE83" s="182"/>
      <c r="AF83" s="182"/>
      <c r="AG83" s="182"/>
      <c r="AH83" s="221"/>
      <c r="AI83" s="221"/>
      <c r="AJ83" s="221"/>
      <c r="AK83" s="221"/>
      <c r="AL83" s="221"/>
      <c r="AM83" s="221"/>
      <c r="AN83" s="221"/>
      <c r="AO83" s="221"/>
      <c r="AP83" s="221"/>
      <c r="AQ83" s="182"/>
      <c r="AR83" s="182"/>
      <c r="AS83" s="182"/>
      <c r="AT83" s="182"/>
      <c r="AU83" s="221" t="str">
        <f t="shared" si="122"/>
        <v/>
      </c>
      <c r="AV83" s="221" t="str">
        <f t="shared" si="123"/>
        <v/>
      </c>
      <c r="AW83" s="221"/>
      <c r="AX83" s="221"/>
      <c r="AY83" s="221"/>
      <c r="AZ83" s="221"/>
      <c r="BA83" s="221"/>
      <c r="BB83" s="221"/>
      <c r="BC83" s="221"/>
      <c r="BD83" s="221"/>
      <c r="BE83" s="221"/>
      <c r="BF83" s="468">
        <f t="shared" si="124"/>
        <v>0</v>
      </c>
      <c r="BG83" s="315">
        <f t="shared" si="125"/>
        <v>0</v>
      </c>
      <c r="BH83" s="315" t="str">
        <f t="shared" si="126"/>
        <v/>
      </c>
      <c r="BI83" s="182"/>
      <c r="BJ83" s="182"/>
      <c r="BK83" s="182"/>
      <c r="BL83" s="221"/>
      <c r="BM83" s="221"/>
      <c r="BN83" s="221"/>
      <c r="BO83" s="221"/>
      <c r="BP83" s="221"/>
      <c r="BQ83" s="221"/>
      <c r="BR83" s="221"/>
      <c r="BS83" s="221"/>
      <c r="BT83" s="221"/>
      <c r="BU83" s="182"/>
      <c r="BV83" s="182"/>
      <c r="BW83" s="182"/>
      <c r="BX83" s="182"/>
      <c r="BY83" s="221" t="str">
        <f t="shared" si="127"/>
        <v/>
      </c>
      <c r="BZ83" s="221" t="str">
        <f t="shared" si="128"/>
        <v/>
      </c>
      <c r="CA83" s="221"/>
      <c r="CB83" s="221"/>
      <c r="CC83" s="221"/>
      <c r="CD83" s="221"/>
      <c r="CE83" s="221"/>
      <c r="CF83" s="221"/>
      <c r="CG83" s="221"/>
      <c r="CH83" s="221"/>
      <c r="CI83" s="221"/>
      <c r="CJ83" s="468">
        <f t="shared" si="129"/>
        <v>0</v>
      </c>
      <c r="CK83" s="315">
        <f t="shared" si="130"/>
        <v>0</v>
      </c>
      <c r="CL83" s="315" t="str">
        <f t="shared" si="131"/>
        <v/>
      </c>
      <c r="CM83" s="182"/>
      <c r="CN83" s="182"/>
      <c r="CO83" s="182"/>
      <c r="CP83" s="221"/>
      <c r="CQ83" s="221"/>
      <c r="CR83" s="221"/>
      <c r="CS83" s="221"/>
      <c r="CT83" s="221"/>
      <c r="CU83" s="221"/>
      <c r="CV83" s="221"/>
      <c r="CW83" s="221"/>
      <c r="CX83" s="221"/>
      <c r="CY83" s="221"/>
      <c r="CZ83" s="182"/>
      <c r="DA83" s="182"/>
      <c r="DB83" s="182"/>
      <c r="DC83" s="182"/>
      <c r="DD83" s="221" t="str">
        <f t="shared" si="117"/>
        <v/>
      </c>
      <c r="DE83" s="221" t="str">
        <f t="shared" si="118"/>
        <v/>
      </c>
      <c r="DF83" s="221"/>
      <c r="DG83" s="221"/>
      <c r="DH83" s="221"/>
      <c r="DI83" s="221"/>
      <c r="DJ83" s="221"/>
      <c r="DK83" s="221"/>
      <c r="DL83" s="221"/>
      <c r="DM83" s="221"/>
      <c r="DN83" s="221"/>
      <c r="DO83" s="469" t="str">
        <f t="shared" si="132"/>
        <v/>
      </c>
      <c r="DP83" s="315">
        <f t="shared" si="133"/>
        <v>0</v>
      </c>
      <c r="DQ83" s="315" t="str">
        <f t="shared" si="134"/>
        <v/>
      </c>
      <c r="DR83" s="182"/>
      <c r="DS83" s="182"/>
      <c r="DT83" s="182"/>
      <c r="DU83" s="221"/>
      <c r="DV83" s="221"/>
      <c r="DW83" s="221"/>
      <c r="DX83" s="221"/>
      <c r="DY83" s="221"/>
      <c r="DZ83" s="221"/>
      <c r="EA83" s="221"/>
      <c r="EB83" s="221"/>
      <c r="EC83" s="221"/>
      <c r="ED83" s="182"/>
      <c r="EE83" s="182"/>
      <c r="EF83" s="182"/>
      <c r="EG83" s="182"/>
      <c r="EH83" s="221" t="str">
        <f t="shared" si="135"/>
        <v/>
      </c>
      <c r="EI83" s="221" t="str">
        <f t="shared" si="136"/>
        <v/>
      </c>
      <c r="EJ83" s="221"/>
      <c r="EK83" s="221"/>
      <c r="EL83" s="221"/>
      <c r="EM83" s="221"/>
      <c r="EN83" s="221"/>
      <c r="EO83" s="221"/>
      <c r="EP83" s="221"/>
      <c r="EQ83" s="221"/>
      <c r="ER83" s="221"/>
      <c r="ES83" s="221"/>
      <c r="ET83" s="221"/>
      <c r="EU83" s="315">
        <f t="shared" si="137"/>
        <v>0</v>
      </c>
      <c r="EV83" s="315" t="str">
        <f t="shared" si="138"/>
        <v/>
      </c>
      <c r="EW83" s="182"/>
      <c r="EX83" s="182"/>
      <c r="EY83" s="182"/>
      <c r="EZ83" s="221"/>
      <c r="FA83" s="221"/>
      <c r="FB83" s="221"/>
      <c r="FC83" s="221"/>
      <c r="FD83" s="221"/>
      <c r="FE83" s="221"/>
      <c r="FF83" s="221"/>
      <c r="FG83" s="221"/>
      <c r="FH83" s="221"/>
      <c r="FI83" s="182"/>
      <c r="FJ83" s="182"/>
      <c r="FK83" s="182"/>
      <c r="FL83" s="182"/>
      <c r="FM83" s="221" t="str">
        <f t="shared" si="139"/>
        <v/>
      </c>
      <c r="FN83" s="221" t="str">
        <f t="shared" si="140"/>
        <v/>
      </c>
      <c r="FO83" s="221"/>
      <c r="FP83" s="221"/>
      <c r="FQ83" s="221"/>
      <c r="FR83" s="221"/>
      <c r="FS83" s="221"/>
      <c r="FT83" s="221"/>
      <c r="FU83" s="221"/>
      <c r="FV83" s="221"/>
      <c r="FW83" s="221"/>
      <c r="FX83" s="221"/>
      <c r="FY83" s="221"/>
      <c r="FZ83" s="408"/>
      <c r="GA83" s="315">
        <f t="shared" si="141"/>
        <v>0</v>
      </c>
      <c r="GB83" s="315" t="str">
        <f t="shared" si="142"/>
        <v/>
      </c>
      <c r="GC83" s="182" t="s">
        <v>160</v>
      </c>
      <c r="GD83" s="182"/>
      <c r="GE83" s="182"/>
      <c r="GG83" s="460"/>
      <c r="GH83" s="460"/>
      <c r="GU83" s="469"/>
      <c r="GV83" s="470" t="str">
        <f t="shared" si="143"/>
        <v/>
      </c>
      <c r="GW83" s="302">
        <f t="shared" si="144"/>
        <v>0</v>
      </c>
      <c r="HA83" s="654"/>
      <c r="HD83" s="379"/>
      <c r="HE83" s="380"/>
      <c r="HH83" s="383"/>
      <c r="HI83" s="410"/>
      <c r="HJ83" s="302" t="str">
        <f t="shared" si="119"/>
        <v/>
      </c>
      <c r="HO83" s="302" t="str">
        <f t="shared" si="112"/>
        <v/>
      </c>
      <c r="HP83" s="302" t="str">
        <f t="shared" si="113"/>
        <v/>
      </c>
      <c r="HQ83" s="302" t="str">
        <f t="shared" si="114"/>
        <v/>
      </c>
      <c r="IT83" s="410"/>
      <c r="IU83" s="410"/>
      <c r="IV83" s="635"/>
    </row>
    <row r="84" spans="1:256" s="302" customFormat="1" ht="12.75" hidden="1" customHeight="1">
      <c r="A84" s="397" t="str">
        <f t="shared" si="111"/>
        <v/>
      </c>
      <c r="B84" s="462" t="str">
        <f t="shared" si="115"/>
        <v/>
      </c>
      <c r="C84" s="426"/>
      <c r="D84" s="575"/>
      <c r="E84" s="463"/>
      <c r="F84" s="464"/>
      <c r="G84" s="465"/>
      <c r="H84" s="465"/>
      <c r="I84" s="466"/>
      <c r="J84" s="463"/>
      <c r="K84" s="465"/>
      <c r="L84" s="465"/>
      <c r="M84" s="466"/>
      <c r="N84" s="573"/>
      <c r="O84" s="467"/>
      <c r="P84" s="518"/>
      <c r="Q84" s="381"/>
      <c r="R84" s="182"/>
      <c r="S84" s="182"/>
      <c r="T84" s="182"/>
      <c r="U84" s="182"/>
      <c r="V84" s="182"/>
      <c r="W84" s="182"/>
      <c r="X84" s="182"/>
      <c r="Y84" s="182"/>
      <c r="Z84" s="182"/>
      <c r="AA84" s="384"/>
      <c r="AB84" s="182" t="str">
        <f t="shared" si="120"/>
        <v/>
      </c>
      <c r="AC84" s="315">
        <f t="shared" si="121"/>
        <v>0</v>
      </c>
      <c r="AD84" s="315" t="str">
        <f t="shared" si="116"/>
        <v/>
      </c>
      <c r="AE84" s="182"/>
      <c r="AF84" s="182"/>
      <c r="AG84" s="182"/>
      <c r="AH84" s="221"/>
      <c r="AI84" s="221"/>
      <c r="AJ84" s="221"/>
      <c r="AK84" s="221"/>
      <c r="AL84" s="221"/>
      <c r="AM84" s="221"/>
      <c r="AN84" s="221"/>
      <c r="AO84" s="221"/>
      <c r="AP84" s="221"/>
      <c r="AQ84" s="182"/>
      <c r="AR84" s="182"/>
      <c r="AS84" s="182"/>
      <c r="AT84" s="182"/>
      <c r="AU84" s="221" t="str">
        <f t="shared" si="122"/>
        <v/>
      </c>
      <c r="AV84" s="221" t="str">
        <f t="shared" si="123"/>
        <v/>
      </c>
      <c r="AW84" s="221"/>
      <c r="AX84" s="221"/>
      <c r="AY84" s="221"/>
      <c r="AZ84" s="221"/>
      <c r="BA84" s="221"/>
      <c r="BB84" s="221"/>
      <c r="BC84" s="221"/>
      <c r="BD84" s="221"/>
      <c r="BE84" s="221"/>
      <c r="BF84" s="469">
        <f t="shared" si="124"/>
        <v>0</v>
      </c>
      <c r="BG84" s="315">
        <f t="shared" si="125"/>
        <v>0</v>
      </c>
      <c r="BH84" s="315" t="str">
        <f t="shared" si="126"/>
        <v/>
      </c>
      <c r="BI84" s="182"/>
      <c r="BJ84" s="182"/>
      <c r="BK84" s="182"/>
      <c r="BL84" s="221"/>
      <c r="BM84" s="221"/>
      <c r="BN84" s="221"/>
      <c r="BO84" s="221"/>
      <c r="BP84" s="221"/>
      <c r="BQ84" s="221"/>
      <c r="BR84" s="221"/>
      <c r="BS84" s="221"/>
      <c r="BT84" s="221"/>
      <c r="BU84" s="182"/>
      <c r="BV84" s="182"/>
      <c r="BW84" s="182"/>
      <c r="BX84" s="182"/>
      <c r="BY84" s="221" t="str">
        <f t="shared" si="127"/>
        <v/>
      </c>
      <c r="BZ84" s="221" t="str">
        <f t="shared" si="128"/>
        <v/>
      </c>
      <c r="CA84" s="221"/>
      <c r="CB84" s="221"/>
      <c r="CC84" s="221"/>
      <c r="CD84" s="221"/>
      <c r="CE84" s="221"/>
      <c r="CF84" s="221"/>
      <c r="CG84" s="221"/>
      <c r="CH84" s="221"/>
      <c r="CI84" s="221"/>
      <c r="CJ84" s="469">
        <f t="shared" si="129"/>
        <v>0</v>
      </c>
      <c r="CK84" s="315">
        <f t="shared" si="130"/>
        <v>0</v>
      </c>
      <c r="CL84" s="315" t="str">
        <f t="shared" si="131"/>
        <v/>
      </c>
      <c r="CM84" s="182"/>
      <c r="CN84" s="182"/>
      <c r="CO84" s="182"/>
      <c r="CP84" s="221"/>
      <c r="CQ84" s="221"/>
      <c r="CR84" s="221"/>
      <c r="CS84" s="221"/>
      <c r="CT84" s="221"/>
      <c r="CU84" s="221"/>
      <c r="CV84" s="221"/>
      <c r="CW84" s="221"/>
      <c r="CX84" s="221"/>
      <c r="CY84" s="221"/>
      <c r="CZ84" s="182"/>
      <c r="DA84" s="182"/>
      <c r="DB84" s="182"/>
      <c r="DC84" s="182"/>
      <c r="DD84" s="221" t="str">
        <f t="shared" si="117"/>
        <v/>
      </c>
      <c r="DE84" s="221" t="str">
        <f t="shared" si="118"/>
        <v/>
      </c>
      <c r="DF84" s="221"/>
      <c r="DG84" s="221"/>
      <c r="DH84" s="221"/>
      <c r="DI84" s="221"/>
      <c r="DJ84" s="221"/>
      <c r="DK84" s="221"/>
      <c r="DL84" s="221"/>
      <c r="DM84" s="221"/>
      <c r="DN84" s="221"/>
      <c r="DO84" s="469" t="str">
        <f t="shared" si="132"/>
        <v/>
      </c>
      <c r="DP84" s="315">
        <f t="shared" si="133"/>
        <v>0</v>
      </c>
      <c r="DQ84" s="315" t="str">
        <f t="shared" si="134"/>
        <v/>
      </c>
      <c r="DR84" s="182"/>
      <c r="DS84" s="182"/>
      <c r="DT84" s="182"/>
      <c r="DU84" s="221"/>
      <c r="DV84" s="221"/>
      <c r="DW84" s="221"/>
      <c r="DX84" s="221"/>
      <c r="DY84" s="221"/>
      <c r="DZ84" s="221"/>
      <c r="EA84" s="221"/>
      <c r="EB84" s="221"/>
      <c r="EC84" s="221"/>
      <c r="ED84" s="182"/>
      <c r="EE84" s="182"/>
      <c r="EF84" s="182"/>
      <c r="EG84" s="182"/>
      <c r="EH84" s="221" t="str">
        <f t="shared" si="135"/>
        <v/>
      </c>
      <c r="EI84" s="221" t="str">
        <f t="shared" si="136"/>
        <v/>
      </c>
      <c r="EJ84" s="221"/>
      <c r="EK84" s="221"/>
      <c r="EL84" s="221"/>
      <c r="EM84" s="221"/>
      <c r="EN84" s="221"/>
      <c r="EO84" s="221"/>
      <c r="EP84" s="221"/>
      <c r="EQ84" s="221"/>
      <c r="ER84" s="221"/>
      <c r="ES84" s="221"/>
      <c r="ET84" s="221"/>
      <c r="EU84" s="315">
        <f t="shared" si="137"/>
        <v>0</v>
      </c>
      <c r="EV84" s="315" t="str">
        <f t="shared" si="138"/>
        <v/>
      </c>
      <c r="EW84" s="182"/>
      <c r="EX84" s="182"/>
      <c r="EY84" s="182"/>
      <c r="EZ84" s="221"/>
      <c r="FA84" s="221"/>
      <c r="FB84" s="221"/>
      <c r="FC84" s="221"/>
      <c r="FD84" s="221"/>
      <c r="FE84" s="221"/>
      <c r="FF84" s="221"/>
      <c r="FG84" s="221"/>
      <c r="FH84" s="221"/>
      <c r="FI84" s="182"/>
      <c r="FJ84" s="182"/>
      <c r="FK84" s="182"/>
      <c r="FL84" s="182"/>
      <c r="FM84" s="221" t="str">
        <f t="shared" si="139"/>
        <v/>
      </c>
      <c r="FN84" s="221" t="str">
        <f t="shared" si="140"/>
        <v/>
      </c>
      <c r="FO84" s="221"/>
      <c r="FP84" s="221"/>
      <c r="FQ84" s="221"/>
      <c r="FR84" s="221"/>
      <c r="FS84" s="221"/>
      <c r="FT84" s="221"/>
      <c r="FU84" s="221"/>
      <c r="FV84" s="221"/>
      <c r="FW84" s="221"/>
      <c r="FX84" s="221"/>
      <c r="FY84" s="221"/>
      <c r="FZ84" s="408"/>
      <c r="GA84" s="315">
        <f t="shared" si="141"/>
        <v>0</v>
      </c>
      <c r="GB84" s="315" t="str">
        <f t="shared" si="142"/>
        <v/>
      </c>
      <c r="GC84" s="182" t="s">
        <v>160</v>
      </c>
      <c r="GD84" s="182"/>
      <c r="GE84" s="182"/>
      <c r="GG84" s="460"/>
      <c r="GH84" s="460"/>
      <c r="GU84" s="469"/>
      <c r="GV84" s="470" t="str">
        <f t="shared" si="143"/>
        <v/>
      </c>
      <c r="GW84" s="302">
        <f t="shared" si="144"/>
        <v>0</v>
      </c>
      <c r="HA84" s="654"/>
      <c r="HD84" s="379"/>
      <c r="HE84" s="380"/>
      <c r="HH84" s="385"/>
      <c r="HI84" s="411"/>
      <c r="HJ84" s="302" t="str">
        <f t="shared" si="119"/>
        <v/>
      </c>
      <c r="HO84" s="302" t="str">
        <f t="shared" si="112"/>
        <v/>
      </c>
      <c r="HP84" s="302" t="str">
        <f t="shared" si="113"/>
        <v/>
      </c>
      <c r="HQ84" s="302" t="str">
        <f t="shared" si="114"/>
        <v/>
      </c>
      <c r="IT84" s="411"/>
      <c r="IU84" s="411"/>
      <c r="IV84" s="635"/>
    </row>
    <row r="85" spans="1:256" s="302" customFormat="1" ht="12.75" hidden="1" customHeight="1">
      <c r="A85" s="397" t="str">
        <f t="shared" si="111"/>
        <v/>
      </c>
      <c r="B85" s="462" t="str">
        <f t="shared" si="115"/>
        <v/>
      </c>
      <c r="C85" s="426"/>
      <c r="D85" s="575"/>
      <c r="E85" s="463"/>
      <c r="F85" s="464"/>
      <c r="G85" s="465"/>
      <c r="H85" s="465"/>
      <c r="I85" s="466"/>
      <c r="J85" s="463"/>
      <c r="K85" s="465"/>
      <c r="L85" s="465"/>
      <c r="M85" s="466"/>
      <c r="N85" s="573"/>
      <c r="O85" s="467"/>
      <c r="P85" s="518"/>
      <c r="Q85" s="381"/>
      <c r="R85" s="182"/>
      <c r="S85" s="182"/>
      <c r="T85" s="182"/>
      <c r="U85" s="182"/>
      <c r="V85" s="182"/>
      <c r="W85" s="182"/>
      <c r="X85" s="182"/>
      <c r="Y85" s="182"/>
      <c r="Z85" s="182"/>
      <c r="AA85" s="384"/>
      <c r="AB85" s="182" t="str">
        <f t="shared" si="120"/>
        <v/>
      </c>
      <c r="AC85" s="315">
        <f t="shared" si="121"/>
        <v>0</v>
      </c>
      <c r="AD85" s="315" t="str">
        <f t="shared" si="116"/>
        <v/>
      </c>
      <c r="AE85" s="182"/>
      <c r="AF85" s="182"/>
      <c r="AG85" s="182"/>
      <c r="AH85" s="221"/>
      <c r="AI85" s="221"/>
      <c r="AJ85" s="221"/>
      <c r="AK85" s="221"/>
      <c r="AL85" s="221"/>
      <c r="AM85" s="221"/>
      <c r="AN85" s="221"/>
      <c r="AO85" s="221"/>
      <c r="AP85" s="221"/>
      <c r="AQ85" s="182"/>
      <c r="AR85" s="182"/>
      <c r="AS85" s="182"/>
      <c r="AT85" s="182"/>
      <c r="AU85" s="221" t="str">
        <f t="shared" si="122"/>
        <v/>
      </c>
      <c r="AV85" s="221" t="str">
        <f t="shared" si="123"/>
        <v/>
      </c>
      <c r="AW85" s="221"/>
      <c r="AX85" s="221"/>
      <c r="AY85" s="221"/>
      <c r="AZ85" s="221"/>
      <c r="BA85" s="221"/>
      <c r="BB85" s="221"/>
      <c r="BC85" s="221"/>
      <c r="BD85" s="221"/>
      <c r="BE85" s="221"/>
      <c r="BF85" s="469">
        <f t="shared" si="124"/>
        <v>0</v>
      </c>
      <c r="BG85" s="315">
        <f t="shared" si="125"/>
        <v>0</v>
      </c>
      <c r="BH85" s="315" t="str">
        <f t="shared" si="126"/>
        <v/>
      </c>
      <c r="BI85" s="182"/>
      <c r="BJ85" s="182"/>
      <c r="BK85" s="182"/>
      <c r="BL85" s="221"/>
      <c r="BM85" s="221"/>
      <c r="BN85" s="221"/>
      <c r="BO85" s="221"/>
      <c r="BP85" s="221"/>
      <c r="BQ85" s="221"/>
      <c r="BR85" s="221"/>
      <c r="BS85" s="221"/>
      <c r="BT85" s="221"/>
      <c r="BU85" s="182"/>
      <c r="BV85" s="182"/>
      <c r="BW85" s="182"/>
      <c r="BX85" s="182"/>
      <c r="BY85" s="221" t="str">
        <f t="shared" si="127"/>
        <v/>
      </c>
      <c r="BZ85" s="221" t="str">
        <f t="shared" si="128"/>
        <v/>
      </c>
      <c r="CA85" s="221"/>
      <c r="CB85" s="221"/>
      <c r="CC85" s="221"/>
      <c r="CD85" s="221"/>
      <c r="CE85" s="221"/>
      <c r="CF85" s="221"/>
      <c r="CG85" s="221"/>
      <c r="CH85" s="221"/>
      <c r="CI85" s="221"/>
      <c r="CJ85" s="469">
        <f t="shared" si="129"/>
        <v>0</v>
      </c>
      <c r="CK85" s="315">
        <f t="shared" si="130"/>
        <v>0</v>
      </c>
      <c r="CL85" s="315" t="str">
        <f t="shared" si="131"/>
        <v/>
      </c>
      <c r="CM85" s="182"/>
      <c r="CN85" s="182"/>
      <c r="CO85" s="182"/>
      <c r="CP85" s="221"/>
      <c r="CQ85" s="221"/>
      <c r="CR85" s="221"/>
      <c r="CS85" s="221"/>
      <c r="CT85" s="221"/>
      <c r="CU85" s="221"/>
      <c r="CV85" s="221"/>
      <c r="CW85" s="221"/>
      <c r="CX85" s="221"/>
      <c r="CY85" s="221"/>
      <c r="CZ85" s="182"/>
      <c r="DA85" s="182"/>
      <c r="DB85" s="182"/>
      <c r="DC85" s="182"/>
      <c r="DD85" s="221" t="str">
        <f t="shared" si="117"/>
        <v/>
      </c>
      <c r="DE85" s="221" t="str">
        <f t="shared" si="118"/>
        <v/>
      </c>
      <c r="DF85" s="221"/>
      <c r="DG85" s="221"/>
      <c r="DH85" s="221"/>
      <c r="DI85" s="221"/>
      <c r="DJ85" s="221"/>
      <c r="DK85" s="221"/>
      <c r="DL85" s="221"/>
      <c r="DM85" s="221"/>
      <c r="DN85" s="221"/>
      <c r="DO85" s="469" t="str">
        <f t="shared" si="132"/>
        <v/>
      </c>
      <c r="DP85" s="315">
        <f t="shared" si="133"/>
        <v>0</v>
      </c>
      <c r="DQ85" s="315" t="str">
        <f t="shared" si="134"/>
        <v/>
      </c>
      <c r="DR85" s="182"/>
      <c r="DS85" s="182"/>
      <c r="DT85" s="182"/>
      <c r="DU85" s="221"/>
      <c r="DV85" s="221"/>
      <c r="DW85" s="221"/>
      <c r="DX85" s="221"/>
      <c r="DY85" s="221"/>
      <c r="DZ85" s="221"/>
      <c r="EA85" s="221"/>
      <c r="EB85" s="221"/>
      <c r="EC85" s="221"/>
      <c r="ED85" s="182"/>
      <c r="EE85" s="182"/>
      <c r="EF85" s="182"/>
      <c r="EG85" s="182"/>
      <c r="EH85" s="221" t="str">
        <f t="shared" si="135"/>
        <v/>
      </c>
      <c r="EI85" s="221" t="str">
        <f t="shared" si="136"/>
        <v/>
      </c>
      <c r="EJ85" s="221"/>
      <c r="EK85" s="221"/>
      <c r="EL85" s="221"/>
      <c r="EM85" s="221"/>
      <c r="EN85" s="221"/>
      <c r="EO85" s="221"/>
      <c r="EP85" s="221"/>
      <c r="EQ85" s="221"/>
      <c r="ER85" s="221"/>
      <c r="ES85" s="221"/>
      <c r="ET85" s="221"/>
      <c r="EU85" s="315">
        <f t="shared" si="137"/>
        <v>0</v>
      </c>
      <c r="EV85" s="315" t="str">
        <f t="shared" si="138"/>
        <v/>
      </c>
      <c r="EW85" s="182"/>
      <c r="EX85" s="182"/>
      <c r="EY85" s="182"/>
      <c r="EZ85" s="221"/>
      <c r="FA85" s="221"/>
      <c r="FB85" s="221"/>
      <c r="FC85" s="221"/>
      <c r="FD85" s="221"/>
      <c r="FE85" s="221"/>
      <c r="FF85" s="221"/>
      <c r="FG85" s="221"/>
      <c r="FH85" s="221"/>
      <c r="FI85" s="182"/>
      <c r="FJ85" s="182"/>
      <c r="FK85" s="182"/>
      <c r="FL85" s="182"/>
      <c r="FM85" s="221" t="str">
        <f t="shared" si="139"/>
        <v/>
      </c>
      <c r="FN85" s="221" t="str">
        <f t="shared" si="140"/>
        <v/>
      </c>
      <c r="FO85" s="221"/>
      <c r="FP85" s="221"/>
      <c r="FQ85" s="221"/>
      <c r="FR85" s="221"/>
      <c r="FS85" s="221"/>
      <c r="FT85" s="221"/>
      <c r="FU85" s="221"/>
      <c r="FV85" s="221"/>
      <c r="FW85" s="221"/>
      <c r="FX85" s="221"/>
      <c r="FY85" s="221"/>
      <c r="FZ85" s="408"/>
      <c r="GA85" s="315">
        <f t="shared" si="141"/>
        <v>0</v>
      </c>
      <c r="GB85" s="315" t="str">
        <f t="shared" si="142"/>
        <v/>
      </c>
      <c r="GC85" s="182" t="s">
        <v>160</v>
      </c>
      <c r="GD85" s="182"/>
      <c r="GE85" s="182"/>
      <c r="GG85" s="460"/>
      <c r="GH85" s="460"/>
      <c r="GU85" s="469"/>
      <c r="GV85" s="470" t="str">
        <f t="shared" si="143"/>
        <v/>
      </c>
      <c r="GW85" s="302">
        <f t="shared" si="144"/>
        <v>0</v>
      </c>
      <c r="HA85" s="654"/>
      <c r="HD85" s="379"/>
      <c r="HE85" s="380"/>
      <c r="HH85" s="385"/>
      <c r="HI85" s="411"/>
      <c r="HJ85" s="302" t="str">
        <f t="shared" si="119"/>
        <v/>
      </c>
      <c r="HO85" s="302" t="str">
        <f t="shared" si="112"/>
        <v/>
      </c>
      <c r="HP85" s="302" t="str">
        <f t="shared" si="113"/>
        <v/>
      </c>
      <c r="HQ85" s="302" t="str">
        <f t="shared" si="114"/>
        <v/>
      </c>
      <c r="IT85" s="411"/>
      <c r="IU85" s="411"/>
      <c r="IV85" s="635"/>
    </row>
    <row r="86" spans="1:256" s="302" customFormat="1" ht="12.75" hidden="1" customHeight="1">
      <c r="A86" s="397" t="str">
        <f t="shared" si="111"/>
        <v/>
      </c>
      <c r="B86" s="462" t="str">
        <f t="shared" si="115"/>
        <v/>
      </c>
      <c r="C86" s="426"/>
      <c r="D86" s="575"/>
      <c r="E86" s="463"/>
      <c r="F86" s="464"/>
      <c r="G86" s="465"/>
      <c r="H86" s="465"/>
      <c r="I86" s="466"/>
      <c r="J86" s="463"/>
      <c r="K86" s="465"/>
      <c r="L86" s="465"/>
      <c r="M86" s="466"/>
      <c r="N86" s="573"/>
      <c r="O86" s="467"/>
      <c r="P86" s="518"/>
      <c r="Q86" s="381"/>
      <c r="R86" s="182"/>
      <c r="S86" s="182"/>
      <c r="T86" s="182"/>
      <c r="U86" s="182"/>
      <c r="V86" s="182"/>
      <c r="W86" s="182"/>
      <c r="X86" s="182"/>
      <c r="Y86" s="182"/>
      <c r="Z86" s="182"/>
      <c r="AA86" s="382"/>
      <c r="AB86" s="182" t="str">
        <f t="shared" si="120"/>
        <v/>
      </c>
      <c r="AC86" s="315">
        <f t="shared" si="121"/>
        <v>0</v>
      </c>
      <c r="AD86" s="315" t="str">
        <f t="shared" si="116"/>
        <v/>
      </c>
      <c r="AE86" s="182"/>
      <c r="AF86" s="182"/>
      <c r="AG86" s="182"/>
      <c r="AH86" s="221"/>
      <c r="AI86" s="221"/>
      <c r="AJ86" s="221"/>
      <c r="AK86" s="221"/>
      <c r="AL86" s="221"/>
      <c r="AM86" s="221"/>
      <c r="AN86" s="221"/>
      <c r="AO86" s="221"/>
      <c r="AP86" s="221"/>
      <c r="AQ86" s="182"/>
      <c r="AR86" s="182"/>
      <c r="AS86" s="182"/>
      <c r="AT86" s="182"/>
      <c r="AU86" s="221" t="str">
        <f t="shared" si="122"/>
        <v/>
      </c>
      <c r="AV86" s="221" t="str">
        <f t="shared" si="123"/>
        <v/>
      </c>
      <c r="AW86" s="221"/>
      <c r="AX86" s="221"/>
      <c r="AY86" s="221"/>
      <c r="AZ86" s="221"/>
      <c r="BA86" s="221"/>
      <c r="BB86" s="221"/>
      <c r="BC86" s="221"/>
      <c r="BD86" s="221"/>
      <c r="BE86" s="221"/>
      <c r="BF86" s="468">
        <f t="shared" si="124"/>
        <v>0</v>
      </c>
      <c r="BG86" s="315">
        <f t="shared" si="125"/>
        <v>0</v>
      </c>
      <c r="BH86" s="315" t="str">
        <f t="shared" si="126"/>
        <v/>
      </c>
      <c r="BI86" s="182"/>
      <c r="BJ86" s="182"/>
      <c r="BK86" s="182"/>
      <c r="BL86" s="221"/>
      <c r="BM86" s="221"/>
      <c r="BN86" s="221"/>
      <c r="BO86" s="221"/>
      <c r="BP86" s="221"/>
      <c r="BQ86" s="221"/>
      <c r="BR86" s="221"/>
      <c r="BS86" s="221"/>
      <c r="BT86" s="221"/>
      <c r="BU86" s="182"/>
      <c r="BV86" s="182"/>
      <c r="BW86" s="182"/>
      <c r="BX86" s="182"/>
      <c r="BY86" s="221" t="str">
        <f t="shared" si="127"/>
        <v/>
      </c>
      <c r="BZ86" s="221" t="str">
        <f t="shared" si="128"/>
        <v/>
      </c>
      <c r="CA86" s="221"/>
      <c r="CB86" s="221"/>
      <c r="CC86" s="221"/>
      <c r="CD86" s="221"/>
      <c r="CE86" s="221"/>
      <c r="CF86" s="221"/>
      <c r="CG86" s="221"/>
      <c r="CH86" s="221"/>
      <c r="CI86" s="221"/>
      <c r="CJ86" s="468">
        <f t="shared" si="129"/>
        <v>0</v>
      </c>
      <c r="CK86" s="315">
        <f t="shared" si="130"/>
        <v>0</v>
      </c>
      <c r="CL86" s="315" t="str">
        <f t="shared" si="131"/>
        <v/>
      </c>
      <c r="CM86" s="182"/>
      <c r="CN86" s="182"/>
      <c r="CO86" s="182"/>
      <c r="CP86" s="221"/>
      <c r="CQ86" s="221"/>
      <c r="CR86" s="221"/>
      <c r="CS86" s="221"/>
      <c r="CT86" s="221"/>
      <c r="CU86" s="221"/>
      <c r="CV86" s="221"/>
      <c r="CW86" s="221"/>
      <c r="CX86" s="221"/>
      <c r="CY86" s="221"/>
      <c r="CZ86" s="182"/>
      <c r="DA86" s="182"/>
      <c r="DB86" s="182"/>
      <c r="DC86" s="182"/>
      <c r="DD86" s="221" t="str">
        <f t="shared" si="117"/>
        <v/>
      </c>
      <c r="DE86" s="221" t="str">
        <f t="shared" si="118"/>
        <v/>
      </c>
      <c r="DF86" s="221"/>
      <c r="DG86" s="221"/>
      <c r="DH86" s="221"/>
      <c r="DI86" s="221"/>
      <c r="DJ86" s="221"/>
      <c r="DK86" s="221"/>
      <c r="DL86" s="221"/>
      <c r="DM86" s="221"/>
      <c r="DN86" s="221"/>
      <c r="DO86" s="469" t="str">
        <f t="shared" si="132"/>
        <v/>
      </c>
      <c r="DP86" s="315">
        <f t="shared" si="133"/>
        <v>0</v>
      </c>
      <c r="DQ86" s="315" t="str">
        <f t="shared" si="134"/>
        <v/>
      </c>
      <c r="DR86" s="182"/>
      <c r="DS86" s="182"/>
      <c r="DT86" s="182"/>
      <c r="DU86" s="221"/>
      <c r="DV86" s="221"/>
      <c r="DW86" s="221"/>
      <c r="DX86" s="221"/>
      <c r="DY86" s="221"/>
      <c r="DZ86" s="221"/>
      <c r="EA86" s="221"/>
      <c r="EB86" s="221"/>
      <c r="EC86" s="221"/>
      <c r="ED86" s="182"/>
      <c r="EE86" s="182"/>
      <c r="EF86" s="182"/>
      <c r="EG86" s="182"/>
      <c r="EH86" s="221" t="str">
        <f t="shared" si="135"/>
        <v/>
      </c>
      <c r="EI86" s="221" t="str">
        <f t="shared" si="136"/>
        <v/>
      </c>
      <c r="EJ86" s="221"/>
      <c r="EK86" s="221"/>
      <c r="EL86" s="221"/>
      <c r="EM86" s="221"/>
      <c r="EN86" s="221"/>
      <c r="EO86" s="221"/>
      <c r="EP86" s="221"/>
      <c r="EQ86" s="221"/>
      <c r="ER86" s="221"/>
      <c r="ES86" s="221"/>
      <c r="ET86" s="221"/>
      <c r="EU86" s="315">
        <f t="shared" si="137"/>
        <v>0</v>
      </c>
      <c r="EV86" s="315" t="str">
        <f t="shared" si="138"/>
        <v/>
      </c>
      <c r="EW86" s="182"/>
      <c r="EX86" s="182"/>
      <c r="EY86" s="182"/>
      <c r="EZ86" s="221"/>
      <c r="FA86" s="221"/>
      <c r="FB86" s="221"/>
      <c r="FC86" s="221"/>
      <c r="FD86" s="221"/>
      <c r="FE86" s="221"/>
      <c r="FF86" s="221"/>
      <c r="FG86" s="221"/>
      <c r="FH86" s="221"/>
      <c r="FI86" s="182"/>
      <c r="FJ86" s="182"/>
      <c r="FK86" s="182"/>
      <c r="FL86" s="182"/>
      <c r="FM86" s="221" t="str">
        <f t="shared" si="139"/>
        <v/>
      </c>
      <c r="FN86" s="221" t="str">
        <f t="shared" si="140"/>
        <v/>
      </c>
      <c r="FO86" s="221"/>
      <c r="FP86" s="221"/>
      <c r="FQ86" s="221"/>
      <c r="FR86" s="221"/>
      <c r="FS86" s="221"/>
      <c r="FT86" s="221"/>
      <c r="FU86" s="221"/>
      <c r="FV86" s="221"/>
      <c r="FW86" s="221"/>
      <c r="FX86" s="221"/>
      <c r="FY86" s="221"/>
      <c r="FZ86" s="408"/>
      <c r="GA86" s="315">
        <f t="shared" si="141"/>
        <v>0</v>
      </c>
      <c r="GB86" s="315" t="str">
        <f t="shared" si="142"/>
        <v/>
      </c>
      <c r="GC86" s="182" t="s">
        <v>160</v>
      </c>
      <c r="GD86" s="182"/>
      <c r="GE86" s="182"/>
      <c r="GG86" s="460"/>
      <c r="GH86" s="460"/>
      <c r="GU86" s="469"/>
      <c r="GV86" s="470" t="str">
        <f t="shared" si="143"/>
        <v/>
      </c>
      <c r="GW86" s="302">
        <f t="shared" si="144"/>
        <v>0</v>
      </c>
      <c r="HA86" s="654"/>
      <c r="HD86" s="379"/>
      <c r="HE86" s="380"/>
      <c r="HH86" s="383"/>
      <c r="HI86" s="410"/>
      <c r="HJ86" s="302" t="str">
        <f t="shared" si="119"/>
        <v/>
      </c>
      <c r="HO86" s="302" t="str">
        <f t="shared" si="112"/>
        <v/>
      </c>
      <c r="HP86" s="302" t="str">
        <f t="shared" si="113"/>
        <v/>
      </c>
      <c r="HQ86" s="302" t="str">
        <f t="shared" si="114"/>
        <v/>
      </c>
      <c r="IT86" s="410"/>
      <c r="IU86" s="410"/>
      <c r="IV86" s="635"/>
    </row>
    <row r="87" spans="1:256" s="302" customFormat="1" ht="12.75" hidden="1" customHeight="1">
      <c r="A87" s="397" t="str">
        <f t="shared" si="111"/>
        <v/>
      </c>
      <c r="B87" s="462" t="str">
        <f t="shared" si="115"/>
        <v/>
      </c>
      <c r="C87" s="426"/>
      <c r="D87" s="575"/>
      <c r="E87" s="463"/>
      <c r="F87" s="464"/>
      <c r="G87" s="465"/>
      <c r="H87" s="465"/>
      <c r="I87" s="466"/>
      <c r="J87" s="463"/>
      <c r="K87" s="465"/>
      <c r="L87" s="465"/>
      <c r="M87" s="466"/>
      <c r="N87" s="573"/>
      <c r="O87" s="467"/>
      <c r="P87" s="518"/>
      <c r="Q87" s="381"/>
      <c r="R87" s="182"/>
      <c r="S87" s="182"/>
      <c r="T87" s="182"/>
      <c r="U87" s="182"/>
      <c r="V87" s="182"/>
      <c r="W87" s="182"/>
      <c r="X87" s="182"/>
      <c r="Y87" s="182"/>
      <c r="Z87" s="182"/>
      <c r="AA87" s="384"/>
      <c r="AB87" s="182" t="str">
        <f t="shared" si="120"/>
        <v/>
      </c>
      <c r="AC87" s="315">
        <f t="shared" si="121"/>
        <v>0</v>
      </c>
      <c r="AD87" s="315" t="str">
        <f t="shared" si="116"/>
        <v/>
      </c>
      <c r="AE87" s="182"/>
      <c r="AF87" s="182"/>
      <c r="AG87" s="182"/>
      <c r="AH87" s="221"/>
      <c r="AI87" s="221"/>
      <c r="AJ87" s="221"/>
      <c r="AK87" s="221"/>
      <c r="AL87" s="221"/>
      <c r="AM87" s="221"/>
      <c r="AN87" s="221"/>
      <c r="AO87" s="221"/>
      <c r="AP87" s="221"/>
      <c r="AQ87" s="182"/>
      <c r="AR87" s="182"/>
      <c r="AS87" s="182"/>
      <c r="AT87" s="182"/>
      <c r="AU87" s="221" t="str">
        <f t="shared" si="122"/>
        <v/>
      </c>
      <c r="AV87" s="221" t="str">
        <f t="shared" si="123"/>
        <v/>
      </c>
      <c r="AW87" s="221"/>
      <c r="AX87" s="221"/>
      <c r="AY87" s="221"/>
      <c r="AZ87" s="221"/>
      <c r="BA87" s="221"/>
      <c r="BB87" s="221"/>
      <c r="BC87" s="221"/>
      <c r="BD87" s="221"/>
      <c r="BE87" s="221"/>
      <c r="BF87" s="469">
        <f t="shared" si="124"/>
        <v>0</v>
      </c>
      <c r="BG87" s="315">
        <f t="shared" si="125"/>
        <v>0</v>
      </c>
      <c r="BH87" s="315" t="str">
        <f t="shared" si="126"/>
        <v/>
      </c>
      <c r="BI87" s="182"/>
      <c r="BJ87" s="182"/>
      <c r="BK87" s="182"/>
      <c r="BL87" s="221"/>
      <c r="BM87" s="221"/>
      <c r="BN87" s="221"/>
      <c r="BO87" s="221"/>
      <c r="BP87" s="221"/>
      <c r="BQ87" s="221"/>
      <c r="BR87" s="221"/>
      <c r="BS87" s="221"/>
      <c r="BT87" s="221"/>
      <c r="BU87" s="182"/>
      <c r="BV87" s="182"/>
      <c r="BW87" s="182"/>
      <c r="BX87" s="182"/>
      <c r="BY87" s="221" t="str">
        <f t="shared" si="127"/>
        <v/>
      </c>
      <c r="BZ87" s="221" t="str">
        <f t="shared" si="128"/>
        <v/>
      </c>
      <c r="CA87" s="221"/>
      <c r="CB87" s="221"/>
      <c r="CC87" s="221"/>
      <c r="CD87" s="221"/>
      <c r="CE87" s="221"/>
      <c r="CF87" s="221"/>
      <c r="CG87" s="221"/>
      <c r="CH87" s="221"/>
      <c r="CI87" s="221"/>
      <c r="CJ87" s="469">
        <f t="shared" si="129"/>
        <v>0</v>
      </c>
      <c r="CK87" s="315">
        <f t="shared" si="130"/>
        <v>0</v>
      </c>
      <c r="CL87" s="315" t="str">
        <f t="shared" si="131"/>
        <v/>
      </c>
      <c r="CM87" s="182"/>
      <c r="CN87" s="182"/>
      <c r="CO87" s="182"/>
      <c r="CP87" s="221"/>
      <c r="CQ87" s="221"/>
      <c r="CR87" s="221"/>
      <c r="CS87" s="221"/>
      <c r="CT87" s="221"/>
      <c r="CU87" s="221"/>
      <c r="CV87" s="221"/>
      <c r="CW87" s="221"/>
      <c r="CX87" s="221"/>
      <c r="CY87" s="221"/>
      <c r="CZ87" s="182"/>
      <c r="DA87" s="182"/>
      <c r="DB87" s="182"/>
      <c r="DC87" s="182"/>
      <c r="DD87" s="221" t="str">
        <f t="shared" si="117"/>
        <v/>
      </c>
      <c r="DE87" s="221" t="str">
        <f t="shared" si="118"/>
        <v/>
      </c>
      <c r="DF87" s="221"/>
      <c r="DG87" s="221"/>
      <c r="DH87" s="221"/>
      <c r="DI87" s="221"/>
      <c r="DJ87" s="221"/>
      <c r="DK87" s="221"/>
      <c r="DL87" s="221"/>
      <c r="DM87" s="221"/>
      <c r="DN87" s="221"/>
      <c r="DO87" s="469" t="str">
        <f t="shared" si="132"/>
        <v/>
      </c>
      <c r="DP87" s="315">
        <f t="shared" si="133"/>
        <v>0</v>
      </c>
      <c r="DQ87" s="315" t="str">
        <f t="shared" si="134"/>
        <v/>
      </c>
      <c r="DR87" s="182"/>
      <c r="DS87" s="182"/>
      <c r="DT87" s="182"/>
      <c r="DU87" s="221"/>
      <c r="DV87" s="221"/>
      <c r="DW87" s="221"/>
      <c r="DX87" s="221"/>
      <c r="DY87" s="221"/>
      <c r="DZ87" s="221"/>
      <c r="EA87" s="221"/>
      <c r="EB87" s="221"/>
      <c r="EC87" s="221"/>
      <c r="ED87" s="182"/>
      <c r="EE87" s="182"/>
      <c r="EF87" s="182"/>
      <c r="EG87" s="182"/>
      <c r="EH87" s="221" t="str">
        <f t="shared" si="135"/>
        <v/>
      </c>
      <c r="EI87" s="221" t="str">
        <f t="shared" si="136"/>
        <v/>
      </c>
      <c r="EJ87" s="221"/>
      <c r="EK87" s="221"/>
      <c r="EL87" s="221"/>
      <c r="EM87" s="221"/>
      <c r="EN87" s="221"/>
      <c r="EO87" s="221"/>
      <c r="EP87" s="221"/>
      <c r="EQ87" s="221"/>
      <c r="ER87" s="221"/>
      <c r="ES87" s="221"/>
      <c r="ET87" s="221"/>
      <c r="EU87" s="315">
        <f t="shared" si="137"/>
        <v>0</v>
      </c>
      <c r="EV87" s="315" t="str">
        <f t="shared" si="138"/>
        <v/>
      </c>
      <c r="EW87" s="182"/>
      <c r="EX87" s="182"/>
      <c r="EY87" s="182"/>
      <c r="EZ87" s="221"/>
      <c r="FA87" s="221"/>
      <c r="FB87" s="221"/>
      <c r="FC87" s="221"/>
      <c r="FD87" s="221"/>
      <c r="FE87" s="221"/>
      <c r="FF87" s="221"/>
      <c r="FG87" s="221"/>
      <c r="FH87" s="221"/>
      <c r="FI87" s="182"/>
      <c r="FJ87" s="182"/>
      <c r="FK87" s="182"/>
      <c r="FL87" s="182"/>
      <c r="FM87" s="221" t="str">
        <f t="shared" si="139"/>
        <v/>
      </c>
      <c r="FN87" s="221" t="str">
        <f t="shared" si="140"/>
        <v/>
      </c>
      <c r="FO87" s="221"/>
      <c r="FP87" s="221"/>
      <c r="FQ87" s="221"/>
      <c r="FR87" s="221"/>
      <c r="FS87" s="221"/>
      <c r="FT87" s="221"/>
      <c r="FU87" s="221"/>
      <c r="FV87" s="221"/>
      <c r="FW87" s="221"/>
      <c r="FX87" s="221"/>
      <c r="FY87" s="221"/>
      <c r="FZ87" s="408"/>
      <c r="GA87" s="315">
        <f t="shared" si="141"/>
        <v>0</v>
      </c>
      <c r="GB87" s="315" t="str">
        <f t="shared" si="142"/>
        <v/>
      </c>
      <c r="GC87" s="182" t="s">
        <v>160</v>
      </c>
      <c r="GD87" s="182"/>
      <c r="GE87" s="182"/>
      <c r="GG87" s="460"/>
      <c r="GH87" s="460"/>
      <c r="GU87" s="469"/>
      <c r="GV87" s="470" t="str">
        <f t="shared" si="143"/>
        <v/>
      </c>
      <c r="GW87" s="302">
        <f t="shared" si="144"/>
        <v>0</v>
      </c>
      <c r="HA87" s="654"/>
      <c r="HD87" s="379"/>
      <c r="HE87" s="380"/>
      <c r="HH87" s="385"/>
      <c r="HI87" s="411"/>
      <c r="HJ87" s="302" t="str">
        <f t="shared" si="119"/>
        <v/>
      </c>
      <c r="HO87" s="302" t="str">
        <f t="shared" si="112"/>
        <v/>
      </c>
      <c r="HP87" s="302" t="str">
        <f t="shared" si="113"/>
        <v/>
      </c>
      <c r="HQ87" s="302" t="str">
        <f t="shared" si="114"/>
        <v/>
      </c>
      <c r="IT87" s="411"/>
      <c r="IU87" s="411"/>
      <c r="IV87" s="635"/>
    </row>
    <row r="88" spans="1:256" s="302" customFormat="1" ht="12.75" hidden="1" customHeight="1">
      <c r="A88" s="397" t="str">
        <f t="shared" si="111"/>
        <v/>
      </c>
      <c r="B88" s="462" t="str">
        <f t="shared" si="115"/>
        <v/>
      </c>
      <c r="C88" s="426"/>
      <c r="D88" s="575"/>
      <c r="E88" s="463"/>
      <c r="F88" s="464"/>
      <c r="G88" s="465"/>
      <c r="H88" s="465"/>
      <c r="I88" s="466"/>
      <c r="J88" s="463"/>
      <c r="K88" s="465"/>
      <c r="L88" s="465"/>
      <c r="M88" s="466"/>
      <c r="N88" s="573"/>
      <c r="O88" s="467"/>
      <c r="P88" s="518"/>
      <c r="Q88" s="381"/>
      <c r="R88" s="182"/>
      <c r="S88" s="182"/>
      <c r="T88" s="182"/>
      <c r="U88" s="182"/>
      <c r="V88" s="182"/>
      <c r="W88" s="182"/>
      <c r="X88" s="182"/>
      <c r="Y88" s="182"/>
      <c r="Z88" s="182"/>
      <c r="AA88" s="382"/>
      <c r="AB88" s="182" t="str">
        <f t="shared" si="120"/>
        <v/>
      </c>
      <c r="AC88" s="315">
        <f t="shared" si="121"/>
        <v>0</v>
      </c>
      <c r="AD88" s="315" t="str">
        <f t="shared" si="116"/>
        <v/>
      </c>
      <c r="AE88" s="182"/>
      <c r="AF88" s="182"/>
      <c r="AG88" s="182"/>
      <c r="AH88" s="221"/>
      <c r="AI88" s="221"/>
      <c r="AJ88" s="221"/>
      <c r="AK88" s="221"/>
      <c r="AL88" s="221"/>
      <c r="AM88" s="221"/>
      <c r="AN88" s="221"/>
      <c r="AO88" s="221"/>
      <c r="AP88" s="221"/>
      <c r="AQ88" s="182"/>
      <c r="AR88" s="182"/>
      <c r="AS88" s="182"/>
      <c r="AT88" s="182"/>
      <c r="AU88" s="221" t="str">
        <f t="shared" si="122"/>
        <v/>
      </c>
      <c r="AV88" s="221" t="str">
        <f t="shared" si="123"/>
        <v/>
      </c>
      <c r="AW88" s="221"/>
      <c r="AX88" s="221"/>
      <c r="AY88" s="221"/>
      <c r="AZ88" s="221"/>
      <c r="BA88" s="221"/>
      <c r="BB88" s="221"/>
      <c r="BC88" s="221"/>
      <c r="BD88" s="221"/>
      <c r="BE88" s="221"/>
      <c r="BF88" s="468">
        <f t="shared" si="124"/>
        <v>0</v>
      </c>
      <c r="BG88" s="315">
        <f t="shared" si="125"/>
        <v>0</v>
      </c>
      <c r="BH88" s="315" t="str">
        <f t="shared" si="126"/>
        <v/>
      </c>
      <c r="BI88" s="182"/>
      <c r="BJ88" s="182"/>
      <c r="BK88" s="182"/>
      <c r="BL88" s="221"/>
      <c r="BM88" s="221"/>
      <c r="BN88" s="221"/>
      <c r="BO88" s="221"/>
      <c r="BP88" s="221"/>
      <c r="BQ88" s="221"/>
      <c r="BR88" s="221"/>
      <c r="BS88" s="221"/>
      <c r="BT88" s="221"/>
      <c r="BU88" s="182"/>
      <c r="BV88" s="182"/>
      <c r="BW88" s="182"/>
      <c r="BX88" s="182"/>
      <c r="BY88" s="221" t="str">
        <f t="shared" si="127"/>
        <v/>
      </c>
      <c r="BZ88" s="221" t="str">
        <f t="shared" si="128"/>
        <v/>
      </c>
      <c r="CA88" s="221"/>
      <c r="CB88" s="221"/>
      <c r="CC88" s="221"/>
      <c r="CD88" s="221"/>
      <c r="CE88" s="221"/>
      <c r="CF88" s="221"/>
      <c r="CG88" s="221"/>
      <c r="CH88" s="221"/>
      <c r="CI88" s="221"/>
      <c r="CJ88" s="468">
        <f t="shared" si="129"/>
        <v>0</v>
      </c>
      <c r="CK88" s="315">
        <f t="shared" si="130"/>
        <v>0</v>
      </c>
      <c r="CL88" s="315" t="str">
        <f t="shared" si="131"/>
        <v/>
      </c>
      <c r="CM88" s="182"/>
      <c r="CN88" s="182"/>
      <c r="CO88" s="182"/>
      <c r="CP88" s="221"/>
      <c r="CQ88" s="221"/>
      <c r="CR88" s="221"/>
      <c r="CS88" s="221"/>
      <c r="CT88" s="221"/>
      <c r="CU88" s="221"/>
      <c r="CV88" s="221"/>
      <c r="CW88" s="221"/>
      <c r="CX88" s="221"/>
      <c r="CY88" s="221"/>
      <c r="CZ88" s="182"/>
      <c r="DA88" s="182"/>
      <c r="DB88" s="182"/>
      <c r="DC88" s="182"/>
      <c r="DD88" s="221" t="str">
        <f t="shared" si="117"/>
        <v/>
      </c>
      <c r="DE88" s="221" t="str">
        <f t="shared" si="118"/>
        <v/>
      </c>
      <c r="DF88" s="221"/>
      <c r="DG88" s="221"/>
      <c r="DH88" s="221"/>
      <c r="DI88" s="221"/>
      <c r="DJ88" s="221"/>
      <c r="DK88" s="221"/>
      <c r="DL88" s="221"/>
      <c r="DM88" s="221"/>
      <c r="DN88" s="221"/>
      <c r="DO88" s="469" t="str">
        <f t="shared" si="132"/>
        <v/>
      </c>
      <c r="DP88" s="315">
        <f t="shared" si="133"/>
        <v>0</v>
      </c>
      <c r="DQ88" s="315" t="str">
        <f t="shared" si="134"/>
        <v/>
      </c>
      <c r="DR88" s="182"/>
      <c r="DS88" s="182"/>
      <c r="DT88" s="182"/>
      <c r="DU88" s="221"/>
      <c r="DV88" s="221"/>
      <c r="DW88" s="221"/>
      <c r="DX88" s="221"/>
      <c r="DY88" s="221"/>
      <c r="DZ88" s="221"/>
      <c r="EA88" s="221"/>
      <c r="EB88" s="221"/>
      <c r="EC88" s="221"/>
      <c r="ED88" s="182"/>
      <c r="EE88" s="182"/>
      <c r="EF88" s="182"/>
      <c r="EG88" s="182"/>
      <c r="EH88" s="221" t="str">
        <f t="shared" si="135"/>
        <v/>
      </c>
      <c r="EI88" s="221" t="str">
        <f t="shared" si="136"/>
        <v/>
      </c>
      <c r="EJ88" s="221"/>
      <c r="EK88" s="221"/>
      <c r="EL88" s="221"/>
      <c r="EM88" s="221"/>
      <c r="EN88" s="221"/>
      <c r="EO88" s="221"/>
      <c r="EP88" s="221"/>
      <c r="EQ88" s="221"/>
      <c r="ER88" s="221"/>
      <c r="ES88" s="221"/>
      <c r="ET88" s="221"/>
      <c r="EU88" s="315">
        <f t="shared" si="137"/>
        <v>0</v>
      </c>
      <c r="EV88" s="315" t="str">
        <f t="shared" si="138"/>
        <v/>
      </c>
      <c r="EW88" s="182"/>
      <c r="EX88" s="182"/>
      <c r="EY88" s="182"/>
      <c r="EZ88" s="221"/>
      <c r="FA88" s="221"/>
      <c r="FB88" s="221"/>
      <c r="FC88" s="221"/>
      <c r="FD88" s="221"/>
      <c r="FE88" s="221"/>
      <c r="FF88" s="221"/>
      <c r="FG88" s="221"/>
      <c r="FH88" s="221"/>
      <c r="FI88" s="182"/>
      <c r="FJ88" s="182"/>
      <c r="FK88" s="182"/>
      <c r="FL88" s="182"/>
      <c r="FM88" s="221" t="str">
        <f t="shared" si="139"/>
        <v/>
      </c>
      <c r="FN88" s="221" t="str">
        <f t="shared" si="140"/>
        <v/>
      </c>
      <c r="FO88" s="221"/>
      <c r="FP88" s="221"/>
      <c r="FQ88" s="221"/>
      <c r="FR88" s="221"/>
      <c r="FS88" s="221"/>
      <c r="FT88" s="221"/>
      <c r="FU88" s="221"/>
      <c r="FV88" s="221"/>
      <c r="FW88" s="221"/>
      <c r="FX88" s="221"/>
      <c r="FY88" s="221"/>
      <c r="FZ88" s="408"/>
      <c r="GA88" s="315">
        <f t="shared" si="141"/>
        <v>0</v>
      </c>
      <c r="GB88" s="315" t="str">
        <f t="shared" si="142"/>
        <v/>
      </c>
      <c r="GC88" s="302" t="s">
        <v>160</v>
      </c>
      <c r="GG88" s="460"/>
      <c r="GH88" s="460"/>
      <c r="GU88" s="469"/>
      <c r="GV88" s="470" t="str">
        <f t="shared" si="143"/>
        <v/>
      </c>
      <c r="GW88" s="302">
        <f t="shared" si="144"/>
        <v>0</v>
      </c>
      <c r="HA88" s="654"/>
      <c r="HD88" s="379"/>
      <c r="HE88" s="380"/>
      <c r="HH88" s="383"/>
      <c r="HI88" s="410"/>
      <c r="HJ88" s="302" t="str">
        <f t="shared" si="119"/>
        <v/>
      </c>
      <c r="HO88" s="302" t="str">
        <f t="shared" si="112"/>
        <v/>
      </c>
      <c r="HP88" s="302" t="str">
        <f t="shared" si="113"/>
        <v/>
      </c>
      <c r="HQ88" s="302" t="str">
        <f t="shared" si="114"/>
        <v/>
      </c>
      <c r="IT88" s="410"/>
      <c r="IU88" s="410"/>
      <c r="IV88" s="635"/>
    </row>
    <row r="89" spans="1:256" s="302" customFormat="1" ht="12.75" hidden="1" customHeight="1">
      <c r="A89" s="397" t="str">
        <f t="shared" si="111"/>
        <v/>
      </c>
      <c r="B89" s="462" t="str">
        <f t="shared" si="115"/>
        <v/>
      </c>
      <c r="C89" s="426"/>
      <c r="D89" s="575"/>
      <c r="E89" s="463"/>
      <c r="F89" s="464"/>
      <c r="G89" s="465"/>
      <c r="H89" s="465"/>
      <c r="I89" s="466"/>
      <c r="J89" s="463"/>
      <c r="K89" s="465"/>
      <c r="L89" s="465"/>
      <c r="M89" s="466"/>
      <c r="N89" s="573"/>
      <c r="O89" s="467"/>
      <c r="P89" s="518"/>
      <c r="Q89" s="381"/>
      <c r="R89" s="182"/>
      <c r="S89" s="182"/>
      <c r="T89" s="182"/>
      <c r="U89" s="182"/>
      <c r="V89" s="182"/>
      <c r="W89" s="182"/>
      <c r="X89" s="182"/>
      <c r="Y89" s="182"/>
      <c r="Z89" s="182"/>
      <c r="AA89" s="384"/>
      <c r="AB89" s="182" t="str">
        <f t="shared" si="120"/>
        <v/>
      </c>
      <c r="AC89" s="315">
        <f t="shared" si="121"/>
        <v>0</v>
      </c>
      <c r="AD89" s="315" t="str">
        <f t="shared" si="116"/>
        <v/>
      </c>
      <c r="AE89" s="182"/>
      <c r="AF89" s="182"/>
      <c r="AG89" s="182"/>
      <c r="AH89" s="221"/>
      <c r="AI89" s="221"/>
      <c r="AJ89" s="221"/>
      <c r="AK89" s="221"/>
      <c r="AL89" s="221"/>
      <c r="AM89" s="221"/>
      <c r="AN89" s="221"/>
      <c r="AO89" s="221"/>
      <c r="AP89" s="221"/>
      <c r="AQ89" s="182"/>
      <c r="AR89" s="182"/>
      <c r="AS89" s="182"/>
      <c r="AT89" s="182"/>
      <c r="AU89" s="221" t="str">
        <f t="shared" si="122"/>
        <v/>
      </c>
      <c r="AV89" s="221" t="str">
        <f t="shared" si="123"/>
        <v/>
      </c>
      <c r="AW89" s="221"/>
      <c r="AX89" s="221"/>
      <c r="AY89" s="221"/>
      <c r="AZ89" s="221"/>
      <c r="BA89" s="221"/>
      <c r="BB89" s="221"/>
      <c r="BC89" s="221"/>
      <c r="BD89" s="221"/>
      <c r="BE89" s="221"/>
      <c r="BF89" s="469">
        <f t="shared" si="124"/>
        <v>0</v>
      </c>
      <c r="BG89" s="315">
        <f t="shared" si="125"/>
        <v>0</v>
      </c>
      <c r="BH89" s="315" t="str">
        <f t="shared" si="126"/>
        <v/>
      </c>
      <c r="BI89" s="182"/>
      <c r="BJ89" s="182"/>
      <c r="BK89" s="182"/>
      <c r="BL89" s="221"/>
      <c r="BM89" s="221"/>
      <c r="BN89" s="221"/>
      <c r="BO89" s="221"/>
      <c r="BP89" s="221"/>
      <c r="BQ89" s="221"/>
      <c r="BR89" s="221"/>
      <c r="BS89" s="221"/>
      <c r="BT89" s="221"/>
      <c r="BU89" s="182"/>
      <c r="BV89" s="182"/>
      <c r="BW89" s="182"/>
      <c r="BX89" s="182"/>
      <c r="BY89" s="221" t="str">
        <f t="shared" si="127"/>
        <v/>
      </c>
      <c r="BZ89" s="221" t="str">
        <f t="shared" si="128"/>
        <v/>
      </c>
      <c r="CA89" s="221"/>
      <c r="CB89" s="221"/>
      <c r="CC89" s="221"/>
      <c r="CD89" s="221"/>
      <c r="CE89" s="221"/>
      <c r="CF89" s="221"/>
      <c r="CG89" s="221"/>
      <c r="CH89" s="221"/>
      <c r="CI89" s="221"/>
      <c r="CJ89" s="469">
        <f t="shared" si="129"/>
        <v>0</v>
      </c>
      <c r="CK89" s="315">
        <f t="shared" si="130"/>
        <v>0</v>
      </c>
      <c r="CL89" s="315" t="str">
        <f t="shared" si="131"/>
        <v/>
      </c>
      <c r="CM89" s="182"/>
      <c r="CN89" s="182"/>
      <c r="CO89" s="182"/>
      <c r="CP89" s="221"/>
      <c r="CQ89" s="221"/>
      <c r="CR89" s="221"/>
      <c r="CS89" s="221"/>
      <c r="CT89" s="221"/>
      <c r="CU89" s="221"/>
      <c r="CV89" s="221"/>
      <c r="CW89" s="221"/>
      <c r="CX89" s="221"/>
      <c r="CY89" s="221"/>
      <c r="CZ89" s="182"/>
      <c r="DA89" s="182"/>
      <c r="DB89" s="182"/>
      <c r="DC89" s="182"/>
      <c r="DD89" s="221" t="str">
        <f t="shared" si="117"/>
        <v/>
      </c>
      <c r="DE89" s="221" t="str">
        <f t="shared" si="118"/>
        <v/>
      </c>
      <c r="DF89" s="221"/>
      <c r="DG89" s="221"/>
      <c r="DH89" s="221"/>
      <c r="DI89" s="221"/>
      <c r="DJ89" s="221"/>
      <c r="DK89" s="221"/>
      <c r="DL89" s="221"/>
      <c r="DM89" s="221"/>
      <c r="DN89" s="221"/>
      <c r="DO89" s="469" t="str">
        <f t="shared" si="132"/>
        <v/>
      </c>
      <c r="DP89" s="315">
        <f t="shared" si="133"/>
        <v>0</v>
      </c>
      <c r="DQ89" s="315" t="str">
        <f t="shared" si="134"/>
        <v/>
      </c>
      <c r="DR89" s="182"/>
      <c r="DS89" s="182"/>
      <c r="DT89" s="182"/>
      <c r="DU89" s="221"/>
      <c r="DV89" s="221"/>
      <c r="DW89" s="221"/>
      <c r="DX89" s="221"/>
      <c r="DY89" s="221"/>
      <c r="DZ89" s="221"/>
      <c r="EA89" s="221"/>
      <c r="EB89" s="221"/>
      <c r="EC89" s="221"/>
      <c r="ED89" s="182"/>
      <c r="EE89" s="182"/>
      <c r="EF89" s="182"/>
      <c r="EG89" s="182"/>
      <c r="EH89" s="221" t="str">
        <f t="shared" si="135"/>
        <v/>
      </c>
      <c r="EI89" s="221" t="str">
        <f t="shared" si="136"/>
        <v/>
      </c>
      <c r="EJ89" s="221"/>
      <c r="EK89" s="221"/>
      <c r="EL89" s="221"/>
      <c r="EM89" s="221"/>
      <c r="EN89" s="221"/>
      <c r="EO89" s="221"/>
      <c r="EP89" s="221"/>
      <c r="EQ89" s="221"/>
      <c r="ER89" s="221"/>
      <c r="ES89" s="221"/>
      <c r="ET89" s="221"/>
      <c r="EU89" s="315">
        <f t="shared" si="137"/>
        <v>0</v>
      </c>
      <c r="EV89" s="315" t="str">
        <f t="shared" si="138"/>
        <v/>
      </c>
      <c r="EW89" s="182"/>
      <c r="EX89" s="182"/>
      <c r="EY89" s="182"/>
      <c r="EZ89" s="221"/>
      <c r="FA89" s="221"/>
      <c r="FB89" s="221"/>
      <c r="FC89" s="221"/>
      <c r="FD89" s="221"/>
      <c r="FE89" s="221"/>
      <c r="FF89" s="221"/>
      <c r="FG89" s="221"/>
      <c r="FH89" s="221"/>
      <c r="FI89" s="182"/>
      <c r="FJ89" s="182"/>
      <c r="FK89" s="182"/>
      <c r="FL89" s="182"/>
      <c r="FM89" s="221" t="str">
        <f t="shared" si="139"/>
        <v/>
      </c>
      <c r="FN89" s="221" t="str">
        <f t="shared" si="140"/>
        <v/>
      </c>
      <c r="FO89" s="221"/>
      <c r="FP89" s="221"/>
      <c r="FQ89" s="221"/>
      <c r="FR89" s="221"/>
      <c r="FS89" s="221"/>
      <c r="FT89" s="221"/>
      <c r="FU89" s="221"/>
      <c r="FV89" s="221"/>
      <c r="FW89" s="221"/>
      <c r="FX89" s="221"/>
      <c r="FY89" s="221"/>
      <c r="FZ89" s="408"/>
      <c r="GA89" s="315">
        <f t="shared" si="141"/>
        <v>0</v>
      </c>
      <c r="GB89" s="315" t="str">
        <f t="shared" si="142"/>
        <v/>
      </c>
      <c r="GC89" s="302" t="s">
        <v>160</v>
      </c>
      <c r="GG89" s="460"/>
      <c r="GH89" s="460"/>
      <c r="GU89" s="469"/>
      <c r="GV89" s="470" t="str">
        <f t="shared" si="143"/>
        <v/>
      </c>
      <c r="GW89" s="302">
        <f t="shared" si="144"/>
        <v>0</v>
      </c>
      <c r="HA89" s="654"/>
      <c r="HD89" s="379"/>
      <c r="HE89" s="380"/>
      <c r="HH89" s="385"/>
      <c r="HI89" s="411"/>
      <c r="HJ89" s="302" t="str">
        <f t="shared" si="119"/>
        <v/>
      </c>
      <c r="HO89" s="302" t="str">
        <f t="shared" si="112"/>
        <v/>
      </c>
      <c r="HP89" s="302" t="str">
        <f t="shared" si="113"/>
        <v/>
      </c>
      <c r="HQ89" s="302" t="str">
        <f t="shared" si="114"/>
        <v/>
      </c>
      <c r="IT89" s="411"/>
      <c r="IU89" s="411"/>
      <c r="IV89" s="635"/>
    </row>
    <row r="90" spans="1:256" s="302" customFormat="1" ht="12.75" hidden="1" customHeight="1">
      <c r="A90" s="397" t="str">
        <f t="shared" si="111"/>
        <v/>
      </c>
      <c r="B90" s="462" t="str">
        <f t="shared" si="115"/>
        <v/>
      </c>
      <c r="C90" s="426"/>
      <c r="D90" s="575"/>
      <c r="E90" s="463"/>
      <c r="F90" s="464"/>
      <c r="G90" s="465"/>
      <c r="H90" s="465"/>
      <c r="I90" s="466"/>
      <c r="J90" s="463"/>
      <c r="K90" s="465"/>
      <c r="L90" s="465"/>
      <c r="M90" s="466"/>
      <c r="N90" s="573"/>
      <c r="O90" s="467"/>
      <c r="P90" s="518"/>
      <c r="Q90" s="381"/>
      <c r="R90" s="182"/>
      <c r="S90" s="182"/>
      <c r="T90" s="182"/>
      <c r="U90" s="182"/>
      <c r="V90" s="182"/>
      <c r="W90" s="182"/>
      <c r="X90" s="182"/>
      <c r="Y90" s="182"/>
      <c r="Z90" s="182"/>
      <c r="AA90" s="382"/>
      <c r="AB90" s="182" t="str">
        <f t="shared" si="120"/>
        <v/>
      </c>
      <c r="AC90" s="315">
        <f t="shared" si="121"/>
        <v>0</v>
      </c>
      <c r="AD90" s="315" t="str">
        <f t="shared" si="116"/>
        <v/>
      </c>
      <c r="AE90" s="182"/>
      <c r="AF90" s="182"/>
      <c r="AG90" s="182"/>
      <c r="AH90" s="221"/>
      <c r="AI90" s="221"/>
      <c r="AJ90" s="221"/>
      <c r="AK90" s="221"/>
      <c r="AL90" s="221"/>
      <c r="AM90" s="221"/>
      <c r="AN90" s="221"/>
      <c r="AO90" s="221"/>
      <c r="AP90" s="221"/>
      <c r="AQ90" s="182"/>
      <c r="AR90" s="182"/>
      <c r="AS90" s="182"/>
      <c r="AT90" s="224"/>
      <c r="AU90" s="221" t="str">
        <f t="shared" si="122"/>
        <v/>
      </c>
      <c r="AV90" s="221" t="str">
        <f t="shared" si="123"/>
        <v/>
      </c>
      <c r="AW90" s="221"/>
      <c r="AX90" s="221"/>
      <c r="AY90" s="221"/>
      <c r="AZ90" s="221"/>
      <c r="BA90" s="221"/>
      <c r="BB90" s="221"/>
      <c r="BC90" s="221"/>
      <c r="BD90" s="221"/>
      <c r="BE90" s="221"/>
      <c r="BF90" s="468">
        <f t="shared" si="124"/>
        <v>0</v>
      </c>
      <c r="BG90" s="315">
        <f t="shared" si="125"/>
        <v>0</v>
      </c>
      <c r="BH90" s="315" t="str">
        <f t="shared" si="126"/>
        <v/>
      </c>
      <c r="BI90" s="182"/>
      <c r="BJ90" s="182"/>
      <c r="BK90" s="182"/>
      <c r="BL90" s="221"/>
      <c r="BM90" s="221"/>
      <c r="BN90" s="221"/>
      <c r="BO90" s="221"/>
      <c r="BP90" s="221"/>
      <c r="BQ90" s="221"/>
      <c r="BR90" s="221"/>
      <c r="BS90" s="221"/>
      <c r="BT90" s="221"/>
      <c r="BU90" s="182"/>
      <c r="BV90" s="182"/>
      <c r="BW90" s="182"/>
      <c r="BX90" s="182"/>
      <c r="BY90" s="221" t="str">
        <f t="shared" si="127"/>
        <v/>
      </c>
      <c r="BZ90" s="221" t="str">
        <f t="shared" si="128"/>
        <v/>
      </c>
      <c r="CA90" s="221"/>
      <c r="CB90" s="221"/>
      <c r="CC90" s="221"/>
      <c r="CD90" s="221"/>
      <c r="CE90" s="221"/>
      <c r="CF90" s="221"/>
      <c r="CG90" s="221"/>
      <c r="CH90" s="221"/>
      <c r="CI90" s="221"/>
      <c r="CJ90" s="468">
        <f t="shared" si="129"/>
        <v>0</v>
      </c>
      <c r="CK90" s="315">
        <f t="shared" si="130"/>
        <v>0</v>
      </c>
      <c r="CL90" s="315" t="str">
        <f t="shared" si="131"/>
        <v/>
      </c>
      <c r="CM90" s="182"/>
      <c r="CN90" s="182"/>
      <c r="CO90" s="182"/>
      <c r="CP90" s="221"/>
      <c r="CQ90" s="221"/>
      <c r="CR90" s="221"/>
      <c r="CS90" s="221"/>
      <c r="CT90" s="221"/>
      <c r="CU90" s="221"/>
      <c r="CV90" s="221"/>
      <c r="CW90" s="221"/>
      <c r="CX90" s="221"/>
      <c r="CY90" s="221"/>
      <c r="CZ90" s="182"/>
      <c r="DA90" s="182"/>
      <c r="DB90" s="182"/>
      <c r="DC90" s="182"/>
      <c r="DD90" s="221" t="str">
        <f t="shared" si="117"/>
        <v/>
      </c>
      <c r="DE90" s="221" t="str">
        <f t="shared" si="118"/>
        <v/>
      </c>
      <c r="DF90" s="221"/>
      <c r="DG90" s="221"/>
      <c r="DH90" s="221"/>
      <c r="DI90" s="221"/>
      <c r="DJ90" s="221"/>
      <c r="DK90" s="221"/>
      <c r="DL90" s="221"/>
      <c r="DM90" s="221"/>
      <c r="DN90" s="221"/>
      <c r="DO90" s="469" t="str">
        <f t="shared" si="132"/>
        <v/>
      </c>
      <c r="DP90" s="315">
        <f t="shared" si="133"/>
        <v>0</v>
      </c>
      <c r="DQ90" s="315" t="str">
        <f t="shared" si="134"/>
        <v/>
      </c>
      <c r="DR90" s="182"/>
      <c r="DS90" s="182"/>
      <c r="DT90" s="182"/>
      <c r="DU90" s="221"/>
      <c r="DV90" s="221"/>
      <c r="DW90" s="221"/>
      <c r="DX90" s="221"/>
      <c r="DY90" s="221"/>
      <c r="DZ90" s="221"/>
      <c r="EA90" s="221"/>
      <c r="EB90" s="221"/>
      <c r="EC90" s="221"/>
      <c r="ED90" s="182"/>
      <c r="EE90" s="182"/>
      <c r="EF90" s="182"/>
      <c r="EG90" s="182"/>
      <c r="EH90" s="221" t="str">
        <f t="shared" si="135"/>
        <v/>
      </c>
      <c r="EI90" s="221" t="str">
        <f t="shared" si="136"/>
        <v/>
      </c>
      <c r="EJ90" s="221"/>
      <c r="EK90" s="221"/>
      <c r="EL90" s="221"/>
      <c r="EM90" s="221"/>
      <c r="EN90" s="221"/>
      <c r="EO90" s="221"/>
      <c r="EP90" s="221"/>
      <c r="EQ90" s="221"/>
      <c r="ER90" s="221"/>
      <c r="ES90" s="221"/>
      <c r="ET90" s="221"/>
      <c r="EU90" s="315">
        <f t="shared" si="137"/>
        <v>0</v>
      </c>
      <c r="EV90" s="315" t="str">
        <f t="shared" si="138"/>
        <v/>
      </c>
      <c r="EW90" s="182"/>
      <c r="EX90" s="182"/>
      <c r="EY90" s="182"/>
      <c r="EZ90" s="221"/>
      <c r="FA90" s="221"/>
      <c r="FB90" s="221"/>
      <c r="FC90" s="221"/>
      <c r="FD90" s="221"/>
      <c r="FE90" s="221"/>
      <c r="FF90" s="221"/>
      <c r="FG90" s="221"/>
      <c r="FH90" s="221"/>
      <c r="FI90" s="182"/>
      <c r="FJ90" s="182"/>
      <c r="FK90" s="182"/>
      <c r="FL90" s="182"/>
      <c r="FM90" s="221" t="str">
        <f t="shared" si="139"/>
        <v/>
      </c>
      <c r="FN90" s="221" t="str">
        <f t="shared" si="140"/>
        <v/>
      </c>
      <c r="FO90" s="221"/>
      <c r="FP90" s="221"/>
      <c r="FQ90" s="221"/>
      <c r="FR90" s="221"/>
      <c r="FS90" s="221"/>
      <c r="FT90" s="221"/>
      <c r="FU90" s="221"/>
      <c r="FV90" s="221"/>
      <c r="FW90" s="221"/>
      <c r="FX90" s="221"/>
      <c r="FY90" s="221"/>
      <c r="FZ90" s="408"/>
      <c r="GA90" s="315">
        <f t="shared" si="141"/>
        <v>0</v>
      </c>
      <c r="GB90" s="315" t="str">
        <f t="shared" si="142"/>
        <v/>
      </c>
      <c r="GC90" s="182" t="s">
        <v>160</v>
      </c>
      <c r="GD90" s="182"/>
      <c r="GE90" s="182"/>
      <c r="GG90" s="460"/>
      <c r="GH90" s="460"/>
      <c r="GU90" s="469"/>
      <c r="GV90" s="470" t="str">
        <f t="shared" si="143"/>
        <v/>
      </c>
      <c r="GW90" s="302">
        <f t="shared" si="144"/>
        <v>0</v>
      </c>
      <c r="HA90" s="654"/>
      <c r="HD90" s="379"/>
      <c r="HE90" s="380"/>
      <c r="HH90" s="383"/>
      <c r="HI90" s="410"/>
      <c r="HJ90" s="302" t="str">
        <f t="shared" si="119"/>
        <v/>
      </c>
      <c r="HO90" s="302" t="str">
        <f t="shared" si="112"/>
        <v/>
      </c>
      <c r="HP90" s="302" t="str">
        <f t="shared" si="113"/>
        <v/>
      </c>
      <c r="HQ90" s="302" t="str">
        <f t="shared" si="114"/>
        <v/>
      </c>
      <c r="IT90" s="410"/>
      <c r="IU90" s="410"/>
      <c r="IV90" s="635"/>
    </row>
    <row r="91" spans="1:256" s="302" customFormat="1" ht="12.75" hidden="1" customHeight="1">
      <c r="A91" s="397" t="str">
        <f t="shared" si="111"/>
        <v/>
      </c>
      <c r="B91" s="462" t="str">
        <f t="shared" si="115"/>
        <v/>
      </c>
      <c r="C91" s="426"/>
      <c r="D91" s="575"/>
      <c r="E91" s="463"/>
      <c r="F91" s="464"/>
      <c r="G91" s="465"/>
      <c r="H91" s="465"/>
      <c r="I91" s="466"/>
      <c r="J91" s="463"/>
      <c r="K91" s="465"/>
      <c r="L91" s="465"/>
      <c r="M91" s="466"/>
      <c r="N91" s="573"/>
      <c r="O91" s="467"/>
      <c r="P91" s="518"/>
      <c r="Q91" s="381"/>
      <c r="R91" s="182"/>
      <c r="S91" s="182"/>
      <c r="T91" s="182"/>
      <c r="U91" s="182"/>
      <c r="V91" s="182"/>
      <c r="W91" s="182"/>
      <c r="X91" s="182"/>
      <c r="Y91" s="182"/>
      <c r="Z91" s="182"/>
      <c r="AA91" s="384"/>
      <c r="AB91" s="182" t="str">
        <f t="shared" si="120"/>
        <v/>
      </c>
      <c r="AC91" s="315">
        <f t="shared" si="121"/>
        <v>0</v>
      </c>
      <c r="AD91" s="315" t="str">
        <f t="shared" si="116"/>
        <v/>
      </c>
      <c r="AE91" s="182"/>
      <c r="AF91" s="182"/>
      <c r="AG91" s="182"/>
      <c r="AH91" s="221"/>
      <c r="AI91" s="221"/>
      <c r="AJ91" s="221"/>
      <c r="AK91" s="221"/>
      <c r="AL91" s="221"/>
      <c r="AM91" s="221"/>
      <c r="AN91" s="221"/>
      <c r="AO91" s="221"/>
      <c r="AP91" s="221"/>
      <c r="AQ91" s="182"/>
      <c r="AR91" s="182"/>
      <c r="AS91" s="182"/>
      <c r="AT91" s="182"/>
      <c r="AU91" s="221" t="str">
        <f t="shared" si="122"/>
        <v/>
      </c>
      <c r="AV91" s="221" t="str">
        <f t="shared" si="123"/>
        <v/>
      </c>
      <c r="AW91" s="221"/>
      <c r="AX91" s="221"/>
      <c r="AY91" s="221"/>
      <c r="AZ91" s="221"/>
      <c r="BA91" s="221"/>
      <c r="BB91" s="221"/>
      <c r="BC91" s="221"/>
      <c r="BD91" s="221"/>
      <c r="BE91" s="221"/>
      <c r="BF91" s="469">
        <f t="shared" si="124"/>
        <v>0</v>
      </c>
      <c r="BG91" s="315">
        <f t="shared" si="125"/>
        <v>0</v>
      </c>
      <c r="BH91" s="315" t="str">
        <f t="shared" si="126"/>
        <v/>
      </c>
      <c r="BI91" s="182"/>
      <c r="BJ91" s="182"/>
      <c r="BK91" s="182"/>
      <c r="BL91" s="221"/>
      <c r="BM91" s="221"/>
      <c r="BN91" s="221"/>
      <c r="BO91" s="221"/>
      <c r="BP91" s="221"/>
      <c r="BQ91" s="221"/>
      <c r="BR91" s="221"/>
      <c r="BS91" s="221"/>
      <c r="BT91" s="221"/>
      <c r="BU91" s="182"/>
      <c r="BV91" s="182"/>
      <c r="BW91" s="182"/>
      <c r="BX91" s="182"/>
      <c r="BY91" s="221" t="str">
        <f t="shared" si="127"/>
        <v/>
      </c>
      <c r="BZ91" s="221" t="str">
        <f t="shared" si="128"/>
        <v/>
      </c>
      <c r="CA91" s="221"/>
      <c r="CB91" s="221"/>
      <c r="CC91" s="221"/>
      <c r="CD91" s="221"/>
      <c r="CE91" s="221"/>
      <c r="CF91" s="221"/>
      <c r="CG91" s="221"/>
      <c r="CH91" s="221"/>
      <c r="CI91" s="221"/>
      <c r="CJ91" s="469">
        <f t="shared" si="129"/>
        <v>0</v>
      </c>
      <c r="CK91" s="315">
        <f t="shared" si="130"/>
        <v>0</v>
      </c>
      <c r="CL91" s="315" t="str">
        <f t="shared" si="131"/>
        <v/>
      </c>
      <c r="CM91" s="182"/>
      <c r="CN91" s="182"/>
      <c r="CO91" s="182"/>
      <c r="CP91" s="221"/>
      <c r="CQ91" s="221"/>
      <c r="CR91" s="221"/>
      <c r="CS91" s="221"/>
      <c r="CT91" s="221"/>
      <c r="CU91" s="221"/>
      <c r="CV91" s="221"/>
      <c r="CW91" s="221"/>
      <c r="CX91" s="221"/>
      <c r="CY91" s="221"/>
      <c r="CZ91" s="182"/>
      <c r="DA91" s="182"/>
      <c r="DB91" s="182"/>
      <c r="DC91" s="182"/>
      <c r="DD91" s="221" t="str">
        <f t="shared" si="117"/>
        <v/>
      </c>
      <c r="DE91" s="221" t="str">
        <f t="shared" si="118"/>
        <v/>
      </c>
      <c r="DF91" s="221"/>
      <c r="DG91" s="221"/>
      <c r="DH91" s="221"/>
      <c r="DI91" s="221"/>
      <c r="DJ91" s="221"/>
      <c r="DK91" s="221"/>
      <c r="DL91" s="221"/>
      <c r="DM91" s="221"/>
      <c r="DN91" s="221"/>
      <c r="DO91" s="469" t="str">
        <f t="shared" si="132"/>
        <v/>
      </c>
      <c r="DP91" s="315">
        <f t="shared" si="133"/>
        <v>0</v>
      </c>
      <c r="DQ91" s="315" t="str">
        <f t="shared" si="134"/>
        <v/>
      </c>
      <c r="DR91" s="182"/>
      <c r="DS91" s="182"/>
      <c r="DT91" s="182"/>
      <c r="DU91" s="221"/>
      <c r="DV91" s="221"/>
      <c r="DW91" s="221"/>
      <c r="DX91" s="221"/>
      <c r="DY91" s="221"/>
      <c r="DZ91" s="221"/>
      <c r="EA91" s="221"/>
      <c r="EB91" s="221"/>
      <c r="EC91" s="221"/>
      <c r="ED91" s="182"/>
      <c r="EE91" s="182"/>
      <c r="EF91" s="182"/>
      <c r="EG91" s="182"/>
      <c r="EH91" s="221" t="str">
        <f t="shared" si="135"/>
        <v/>
      </c>
      <c r="EI91" s="221" t="str">
        <f t="shared" si="136"/>
        <v/>
      </c>
      <c r="EJ91" s="221"/>
      <c r="EK91" s="221"/>
      <c r="EL91" s="221"/>
      <c r="EM91" s="221"/>
      <c r="EN91" s="221"/>
      <c r="EO91" s="221"/>
      <c r="EP91" s="221"/>
      <c r="EQ91" s="221"/>
      <c r="ER91" s="221"/>
      <c r="ES91" s="221"/>
      <c r="ET91" s="221"/>
      <c r="EU91" s="315">
        <f t="shared" si="137"/>
        <v>0</v>
      </c>
      <c r="EV91" s="315" t="str">
        <f t="shared" si="138"/>
        <v/>
      </c>
      <c r="EW91" s="182"/>
      <c r="EX91" s="182"/>
      <c r="EY91" s="182"/>
      <c r="EZ91" s="221"/>
      <c r="FA91" s="221"/>
      <c r="FB91" s="221"/>
      <c r="FC91" s="221"/>
      <c r="FD91" s="221"/>
      <c r="FE91" s="221"/>
      <c r="FF91" s="221"/>
      <c r="FG91" s="221"/>
      <c r="FH91" s="221"/>
      <c r="FI91" s="182"/>
      <c r="FJ91" s="182"/>
      <c r="FK91" s="182"/>
      <c r="FL91" s="182"/>
      <c r="FM91" s="221" t="str">
        <f t="shared" si="139"/>
        <v/>
      </c>
      <c r="FN91" s="221" t="str">
        <f t="shared" si="140"/>
        <v/>
      </c>
      <c r="FO91" s="221"/>
      <c r="FP91" s="221"/>
      <c r="FQ91" s="221"/>
      <c r="FR91" s="221"/>
      <c r="FS91" s="221"/>
      <c r="FT91" s="221"/>
      <c r="FU91" s="221"/>
      <c r="FV91" s="221"/>
      <c r="FW91" s="221"/>
      <c r="FX91" s="221"/>
      <c r="FY91" s="221"/>
      <c r="FZ91" s="408"/>
      <c r="GA91" s="315">
        <f t="shared" si="141"/>
        <v>0</v>
      </c>
      <c r="GB91" s="315" t="str">
        <f t="shared" si="142"/>
        <v/>
      </c>
      <c r="GC91" s="182" t="s">
        <v>160</v>
      </c>
      <c r="GD91" s="182"/>
      <c r="GE91" s="182"/>
      <c r="GG91" s="460"/>
      <c r="GH91" s="460"/>
      <c r="GU91" s="469"/>
      <c r="GV91" s="470" t="str">
        <f t="shared" si="143"/>
        <v/>
      </c>
      <c r="GW91" s="302">
        <f t="shared" si="144"/>
        <v>0</v>
      </c>
      <c r="HA91" s="654"/>
      <c r="HD91" s="379"/>
      <c r="HE91" s="380"/>
      <c r="HH91" s="385"/>
      <c r="HI91" s="411"/>
      <c r="HJ91" s="302" t="str">
        <f t="shared" si="119"/>
        <v/>
      </c>
      <c r="HO91" s="302" t="str">
        <f t="shared" si="112"/>
        <v/>
      </c>
      <c r="HP91" s="302" t="str">
        <f t="shared" si="113"/>
        <v/>
      </c>
      <c r="HQ91" s="302" t="str">
        <f t="shared" si="114"/>
        <v/>
      </c>
      <c r="IT91" s="411"/>
      <c r="IU91" s="411"/>
      <c r="IV91" s="635"/>
    </row>
    <row r="92" spans="1:256" s="302" customFormat="1" ht="12.75" hidden="1" customHeight="1">
      <c r="A92" s="397" t="str">
        <f t="shared" si="111"/>
        <v/>
      </c>
      <c r="B92" s="462" t="str">
        <f t="shared" si="115"/>
        <v/>
      </c>
      <c r="C92" s="426"/>
      <c r="D92" s="575"/>
      <c r="E92" s="463"/>
      <c r="F92" s="464"/>
      <c r="G92" s="465"/>
      <c r="H92" s="465"/>
      <c r="I92" s="466"/>
      <c r="J92" s="463"/>
      <c r="K92" s="465"/>
      <c r="L92" s="465"/>
      <c r="M92" s="466"/>
      <c r="N92" s="573"/>
      <c r="O92" s="467"/>
      <c r="P92" s="518"/>
      <c r="Q92" s="381"/>
      <c r="R92" s="182"/>
      <c r="S92" s="182"/>
      <c r="T92" s="182"/>
      <c r="U92" s="182"/>
      <c r="V92" s="182"/>
      <c r="W92" s="182"/>
      <c r="X92" s="182"/>
      <c r="Y92" s="182"/>
      <c r="Z92" s="182"/>
      <c r="AA92" s="382"/>
      <c r="AB92" s="182" t="str">
        <f t="shared" si="120"/>
        <v/>
      </c>
      <c r="AC92" s="315">
        <f t="shared" si="121"/>
        <v>0</v>
      </c>
      <c r="AD92" s="315" t="str">
        <f t="shared" si="116"/>
        <v/>
      </c>
      <c r="AE92" s="182"/>
      <c r="AF92" s="182"/>
      <c r="AG92" s="182"/>
      <c r="AH92" s="221"/>
      <c r="AI92" s="221"/>
      <c r="AJ92" s="221"/>
      <c r="AK92" s="221"/>
      <c r="AL92" s="221"/>
      <c r="AM92" s="221"/>
      <c r="AN92" s="221"/>
      <c r="AO92" s="221"/>
      <c r="AP92" s="221"/>
      <c r="AQ92" s="182"/>
      <c r="AR92" s="182"/>
      <c r="AS92" s="182"/>
      <c r="AT92" s="224"/>
      <c r="AU92" s="221" t="str">
        <f t="shared" si="122"/>
        <v/>
      </c>
      <c r="AV92" s="221" t="str">
        <f t="shared" si="123"/>
        <v/>
      </c>
      <c r="AW92" s="221"/>
      <c r="AX92" s="221"/>
      <c r="AY92" s="221"/>
      <c r="AZ92" s="221"/>
      <c r="BA92" s="221"/>
      <c r="BB92" s="221"/>
      <c r="BC92" s="221"/>
      <c r="BD92" s="221"/>
      <c r="BE92" s="221"/>
      <c r="BF92" s="468">
        <f t="shared" si="124"/>
        <v>0</v>
      </c>
      <c r="BG92" s="315">
        <f t="shared" si="125"/>
        <v>0</v>
      </c>
      <c r="BH92" s="315" t="str">
        <f t="shared" si="126"/>
        <v/>
      </c>
      <c r="BI92" s="182"/>
      <c r="BJ92" s="182"/>
      <c r="BK92" s="182"/>
      <c r="BL92" s="221"/>
      <c r="BM92" s="221"/>
      <c r="BN92" s="221"/>
      <c r="BO92" s="221"/>
      <c r="BP92" s="221"/>
      <c r="BQ92" s="221"/>
      <c r="BR92" s="221"/>
      <c r="BS92" s="221"/>
      <c r="BT92" s="221"/>
      <c r="BU92" s="182"/>
      <c r="BV92" s="182"/>
      <c r="BW92" s="182"/>
      <c r="BX92" s="182"/>
      <c r="BY92" s="221" t="str">
        <f t="shared" si="127"/>
        <v/>
      </c>
      <c r="BZ92" s="221" t="str">
        <f t="shared" si="128"/>
        <v/>
      </c>
      <c r="CA92" s="221"/>
      <c r="CB92" s="221"/>
      <c r="CC92" s="221"/>
      <c r="CD92" s="221"/>
      <c r="CE92" s="221"/>
      <c r="CF92" s="221"/>
      <c r="CG92" s="221"/>
      <c r="CH92" s="221"/>
      <c r="CI92" s="221"/>
      <c r="CJ92" s="468">
        <f t="shared" si="129"/>
        <v>0</v>
      </c>
      <c r="CK92" s="315">
        <f t="shared" si="130"/>
        <v>0</v>
      </c>
      <c r="CL92" s="315" t="str">
        <f t="shared" si="131"/>
        <v/>
      </c>
      <c r="CM92" s="182"/>
      <c r="CN92" s="182"/>
      <c r="CO92" s="182"/>
      <c r="CP92" s="221"/>
      <c r="CQ92" s="221"/>
      <c r="CR92" s="221"/>
      <c r="CS92" s="221"/>
      <c r="CT92" s="221"/>
      <c r="CU92" s="221"/>
      <c r="CV92" s="221"/>
      <c r="CW92" s="221"/>
      <c r="CX92" s="221"/>
      <c r="CY92" s="221"/>
      <c r="CZ92" s="182"/>
      <c r="DA92" s="182"/>
      <c r="DB92" s="182"/>
      <c r="DC92" s="182"/>
      <c r="DD92" s="221" t="str">
        <f t="shared" si="117"/>
        <v/>
      </c>
      <c r="DE92" s="221" t="str">
        <f t="shared" si="118"/>
        <v/>
      </c>
      <c r="DF92" s="221"/>
      <c r="DG92" s="221"/>
      <c r="DH92" s="221"/>
      <c r="DI92" s="221"/>
      <c r="DJ92" s="221"/>
      <c r="DK92" s="221"/>
      <c r="DL92" s="221"/>
      <c r="DM92" s="221"/>
      <c r="DN92" s="221"/>
      <c r="DO92" s="469" t="str">
        <f t="shared" si="132"/>
        <v/>
      </c>
      <c r="DP92" s="315">
        <f t="shared" si="133"/>
        <v>0</v>
      </c>
      <c r="DQ92" s="315" t="str">
        <f t="shared" si="134"/>
        <v/>
      </c>
      <c r="DR92" s="182"/>
      <c r="DS92" s="182"/>
      <c r="DT92" s="182"/>
      <c r="DU92" s="221"/>
      <c r="DV92" s="221"/>
      <c r="DW92" s="221"/>
      <c r="DX92" s="221"/>
      <c r="DY92" s="221"/>
      <c r="DZ92" s="221"/>
      <c r="EA92" s="221"/>
      <c r="EB92" s="221"/>
      <c r="EC92" s="221"/>
      <c r="ED92" s="182"/>
      <c r="EE92" s="182"/>
      <c r="EF92" s="182"/>
      <c r="EG92" s="182"/>
      <c r="EH92" s="221" t="str">
        <f t="shared" si="135"/>
        <v/>
      </c>
      <c r="EI92" s="221" t="str">
        <f t="shared" si="136"/>
        <v/>
      </c>
      <c r="EJ92" s="221"/>
      <c r="EK92" s="221"/>
      <c r="EL92" s="221"/>
      <c r="EM92" s="221"/>
      <c r="EN92" s="221"/>
      <c r="EO92" s="221"/>
      <c r="EP92" s="221"/>
      <c r="EQ92" s="221"/>
      <c r="ER92" s="221"/>
      <c r="ES92" s="221"/>
      <c r="ET92" s="221"/>
      <c r="EU92" s="315">
        <f t="shared" si="137"/>
        <v>0</v>
      </c>
      <c r="EV92" s="315" t="str">
        <f t="shared" si="138"/>
        <v/>
      </c>
      <c r="EW92" s="182"/>
      <c r="EX92" s="182"/>
      <c r="EY92" s="182"/>
      <c r="EZ92" s="221"/>
      <c r="FA92" s="221"/>
      <c r="FB92" s="221"/>
      <c r="FC92" s="221"/>
      <c r="FD92" s="221"/>
      <c r="FE92" s="221"/>
      <c r="FF92" s="221"/>
      <c r="FG92" s="221"/>
      <c r="FH92" s="221"/>
      <c r="FI92" s="182"/>
      <c r="FJ92" s="182"/>
      <c r="FK92" s="182"/>
      <c r="FL92" s="182"/>
      <c r="FM92" s="221" t="str">
        <f t="shared" si="139"/>
        <v/>
      </c>
      <c r="FN92" s="221" t="str">
        <f t="shared" si="140"/>
        <v/>
      </c>
      <c r="FO92" s="221"/>
      <c r="FP92" s="221"/>
      <c r="FQ92" s="221"/>
      <c r="FR92" s="221"/>
      <c r="FS92" s="221"/>
      <c r="FT92" s="221"/>
      <c r="FU92" s="221"/>
      <c r="FV92" s="221"/>
      <c r="FW92" s="221"/>
      <c r="FX92" s="221"/>
      <c r="FY92" s="221"/>
      <c r="FZ92" s="408"/>
      <c r="GA92" s="315">
        <f t="shared" si="141"/>
        <v>0</v>
      </c>
      <c r="GB92" s="315" t="str">
        <f t="shared" si="142"/>
        <v/>
      </c>
      <c r="GC92" s="182" t="s">
        <v>160</v>
      </c>
      <c r="GD92" s="182"/>
      <c r="GE92" s="182"/>
      <c r="GG92" s="460"/>
      <c r="GH92" s="460"/>
      <c r="GU92" s="469"/>
      <c r="GV92" s="470" t="str">
        <f t="shared" si="143"/>
        <v/>
      </c>
      <c r="GW92" s="302">
        <f t="shared" si="144"/>
        <v>0</v>
      </c>
      <c r="HA92" s="654"/>
      <c r="HD92" s="379"/>
      <c r="HE92" s="380"/>
      <c r="HH92" s="383"/>
      <c r="HI92" s="410"/>
      <c r="HJ92" s="302" t="str">
        <f t="shared" si="119"/>
        <v/>
      </c>
      <c r="HO92" s="302" t="str">
        <f t="shared" si="112"/>
        <v/>
      </c>
      <c r="HP92" s="302" t="str">
        <f t="shared" si="113"/>
        <v/>
      </c>
      <c r="HQ92" s="302" t="str">
        <f t="shared" si="114"/>
        <v/>
      </c>
      <c r="IT92" s="410"/>
      <c r="IU92" s="410"/>
      <c r="IV92" s="635"/>
    </row>
    <row r="93" spans="1:256" s="302" customFormat="1" ht="12.75" hidden="1" customHeight="1">
      <c r="A93" s="397" t="str">
        <f t="shared" si="111"/>
        <v/>
      </c>
      <c r="B93" s="462" t="str">
        <f t="shared" si="115"/>
        <v/>
      </c>
      <c r="C93" s="426"/>
      <c r="D93" s="575"/>
      <c r="E93" s="463"/>
      <c r="F93" s="464"/>
      <c r="G93" s="465"/>
      <c r="H93" s="465"/>
      <c r="I93" s="466"/>
      <c r="J93" s="463"/>
      <c r="K93" s="465"/>
      <c r="L93" s="465"/>
      <c r="M93" s="466"/>
      <c r="N93" s="573"/>
      <c r="O93" s="467"/>
      <c r="P93" s="518"/>
      <c r="Q93" s="381"/>
      <c r="R93" s="182"/>
      <c r="S93" s="182"/>
      <c r="T93" s="182"/>
      <c r="U93" s="182"/>
      <c r="V93" s="182"/>
      <c r="W93" s="182"/>
      <c r="X93" s="182"/>
      <c r="Y93" s="182"/>
      <c r="Z93" s="182"/>
      <c r="AA93" s="384"/>
      <c r="AB93" s="182" t="str">
        <f t="shared" si="120"/>
        <v/>
      </c>
      <c r="AC93" s="315">
        <f t="shared" si="121"/>
        <v>0</v>
      </c>
      <c r="AD93" s="315" t="str">
        <f t="shared" si="116"/>
        <v/>
      </c>
      <c r="AE93" s="182"/>
      <c r="AF93" s="182"/>
      <c r="AG93" s="182"/>
      <c r="AH93" s="221"/>
      <c r="AI93" s="221"/>
      <c r="AJ93" s="221"/>
      <c r="AK93" s="221"/>
      <c r="AL93" s="221"/>
      <c r="AM93" s="221"/>
      <c r="AN93" s="221"/>
      <c r="AO93" s="221"/>
      <c r="AP93" s="221"/>
      <c r="AQ93" s="182"/>
      <c r="AR93" s="182"/>
      <c r="AS93" s="182"/>
      <c r="AT93" s="182"/>
      <c r="AU93" s="221" t="str">
        <f t="shared" si="122"/>
        <v/>
      </c>
      <c r="AV93" s="221" t="str">
        <f t="shared" si="123"/>
        <v/>
      </c>
      <c r="AW93" s="221"/>
      <c r="AX93" s="221"/>
      <c r="AY93" s="221"/>
      <c r="AZ93" s="221"/>
      <c r="BA93" s="221"/>
      <c r="BB93" s="221"/>
      <c r="BC93" s="221"/>
      <c r="BD93" s="221"/>
      <c r="BE93" s="221"/>
      <c r="BF93" s="469">
        <f t="shared" si="124"/>
        <v>0</v>
      </c>
      <c r="BG93" s="315">
        <f t="shared" si="125"/>
        <v>0</v>
      </c>
      <c r="BH93" s="315" t="str">
        <f t="shared" si="126"/>
        <v/>
      </c>
      <c r="BI93" s="182"/>
      <c r="BJ93" s="182"/>
      <c r="BK93" s="182"/>
      <c r="BL93" s="221"/>
      <c r="BM93" s="221"/>
      <c r="BN93" s="221"/>
      <c r="BO93" s="221"/>
      <c r="BP93" s="221"/>
      <c r="BQ93" s="221"/>
      <c r="BR93" s="221"/>
      <c r="BS93" s="221"/>
      <c r="BT93" s="221"/>
      <c r="BU93" s="182"/>
      <c r="BV93" s="182"/>
      <c r="BW93" s="182"/>
      <c r="BX93" s="182"/>
      <c r="BY93" s="221" t="str">
        <f t="shared" si="127"/>
        <v/>
      </c>
      <c r="BZ93" s="221" t="str">
        <f t="shared" si="128"/>
        <v/>
      </c>
      <c r="CA93" s="221"/>
      <c r="CB93" s="221"/>
      <c r="CC93" s="221"/>
      <c r="CD93" s="221"/>
      <c r="CE93" s="221"/>
      <c r="CF93" s="221"/>
      <c r="CG93" s="221"/>
      <c r="CH93" s="221"/>
      <c r="CI93" s="221"/>
      <c r="CJ93" s="469">
        <f t="shared" si="129"/>
        <v>0</v>
      </c>
      <c r="CK93" s="315">
        <f t="shared" si="130"/>
        <v>0</v>
      </c>
      <c r="CL93" s="315" t="str">
        <f t="shared" si="131"/>
        <v/>
      </c>
      <c r="CM93" s="182"/>
      <c r="CN93" s="182"/>
      <c r="CO93" s="182"/>
      <c r="CP93" s="221"/>
      <c r="CQ93" s="221"/>
      <c r="CR93" s="221"/>
      <c r="CS93" s="221"/>
      <c r="CT93" s="221"/>
      <c r="CU93" s="221"/>
      <c r="CV93" s="221"/>
      <c r="CW93" s="221"/>
      <c r="CX93" s="221"/>
      <c r="CY93" s="221"/>
      <c r="CZ93" s="182"/>
      <c r="DA93" s="182"/>
      <c r="DB93" s="182"/>
      <c r="DC93" s="182"/>
      <c r="DD93" s="221" t="str">
        <f t="shared" si="117"/>
        <v/>
      </c>
      <c r="DE93" s="221" t="str">
        <f t="shared" si="118"/>
        <v/>
      </c>
      <c r="DF93" s="221"/>
      <c r="DG93" s="221"/>
      <c r="DH93" s="221"/>
      <c r="DI93" s="221"/>
      <c r="DJ93" s="221"/>
      <c r="DK93" s="221"/>
      <c r="DL93" s="221"/>
      <c r="DM93" s="221"/>
      <c r="DN93" s="221"/>
      <c r="DO93" s="469" t="str">
        <f t="shared" si="132"/>
        <v/>
      </c>
      <c r="DP93" s="315">
        <f t="shared" si="133"/>
        <v>0</v>
      </c>
      <c r="DQ93" s="315" t="str">
        <f t="shared" si="134"/>
        <v/>
      </c>
      <c r="DR93" s="182"/>
      <c r="DS93" s="182"/>
      <c r="DT93" s="182"/>
      <c r="DU93" s="221"/>
      <c r="DV93" s="221"/>
      <c r="DW93" s="221"/>
      <c r="DX93" s="221"/>
      <c r="DY93" s="221"/>
      <c r="DZ93" s="221"/>
      <c r="EA93" s="221"/>
      <c r="EB93" s="221"/>
      <c r="EC93" s="221"/>
      <c r="ED93" s="182"/>
      <c r="EE93" s="182"/>
      <c r="EF93" s="182"/>
      <c r="EG93" s="182"/>
      <c r="EH93" s="221" t="str">
        <f t="shared" si="135"/>
        <v/>
      </c>
      <c r="EI93" s="221" t="str">
        <f t="shared" si="136"/>
        <v/>
      </c>
      <c r="EJ93" s="221"/>
      <c r="EK93" s="221"/>
      <c r="EL93" s="221"/>
      <c r="EM93" s="221"/>
      <c r="EN93" s="221"/>
      <c r="EO93" s="221"/>
      <c r="EP93" s="221"/>
      <c r="EQ93" s="221"/>
      <c r="ER93" s="221"/>
      <c r="ES93" s="221"/>
      <c r="ET93" s="221"/>
      <c r="EU93" s="315">
        <f t="shared" si="137"/>
        <v>0</v>
      </c>
      <c r="EV93" s="315" t="str">
        <f t="shared" si="138"/>
        <v/>
      </c>
      <c r="EW93" s="182"/>
      <c r="EX93" s="182"/>
      <c r="EY93" s="182"/>
      <c r="EZ93" s="221"/>
      <c r="FA93" s="221"/>
      <c r="FB93" s="221"/>
      <c r="FC93" s="221"/>
      <c r="FD93" s="221"/>
      <c r="FE93" s="221"/>
      <c r="FF93" s="221"/>
      <c r="FG93" s="221"/>
      <c r="FH93" s="221"/>
      <c r="FI93" s="182"/>
      <c r="FJ93" s="182"/>
      <c r="FK93" s="182"/>
      <c r="FL93" s="182"/>
      <c r="FM93" s="221" t="str">
        <f t="shared" si="139"/>
        <v/>
      </c>
      <c r="FN93" s="221" t="str">
        <f t="shared" si="140"/>
        <v/>
      </c>
      <c r="FO93" s="221"/>
      <c r="FP93" s="221"/>
      <c r="FQ93" s="221"/>
      <c r="FR93" s="221"/>
      <c r="FS93" s="221"/>
      <c r="FT93" s="221"/>
      <c r="FU93" s="221"/>
      <c r="FV93" s="221"/>
      <c r="FW93" s="221"/>
      <c r="FX93" s="221"/>
      <c r="FY93" s="221"/>
      <c r="FZ93" s="408"/>
      <c r="GA93" s="315">
        <f t="shared" si="141"/>
        <v>0</v>
      </c>
      <c r="GB93" s="315" t="str">
        <f t="shared" si="142"/>
        <v/>
      </c>
      <c r="GC93" s="182" t="s">
        <v>160</v>
      </c>
      <c r="GD93" s="182"/>
      <c r="GE93" s="182"/>
      <c r="GG93" s="460"/>
      <c r="GH93" s="460"/>
      <c r="GU93" s="469"/>
      <c r="GV93" s="470" t="str">
        <f t="shared" si="143"/>
        <v/>
      </c>
      <c r="GW93" s="302">
        <f t="shared" si="144"/>
        <v>0</v>
      </c>
      <c r="HA93" s="654"/>
      <c r="HD93" s="379"/>
      <c r="HE93" s="380"/>
      <c r="HH93" s="385"/>
      <c r="HI93" s="411"/>
      <c r="HJ93" s="302" t="str">
        <f t="shared" si="119"/>
        <v/>
      </c>
      <c r="HO93" s="302" t="str">
        <f t="shared" si="112"/>
        <v/>
      </c>
      <c r="HP93" s="302" t="str">
        <f t="shared" si="113"/>
        <v/>
      </c>
      <c r="HQ93" s="302" t="str">
        <f t="shared" si="114"/>
        <v/>
      </c>
      <c r="IT93" s="411"/>
      <c r="IU93" s="411"/>
      <c r="IV93" s="635"/>
    </row>
    <row r="94" spans="1:256" s="302" customFormat="1" ht="12.75" hidden="1" customHeight="1">
      <c r="A94" s="397" t="str">
        <f t="shared" si="111"/>
        <v/>
      </c>
      <c r="B94" s="462" t="str">
        <f t="shared" si="115"/>
        <v/>
      </c>
      <c r="C94" s="426"/>
      <c r="D94" s="575"/>
      <c r="E94" s="463"/>
      <c r="F94" s="464"/>
      <c r="G94" s="465"/>
      <c r="H94" s="465"/>
      <c r="I94" s="466"/>
      <c r="J94" s="463"/>
      <c r="K94" s="465"/>
      <c r="L94" s="465"/>
      <c r="M94" s="466"/>
      <c r="N94" s="573"/>
      <c r="O94" s="467"/>
      <c r="P94" s="518"/>
      <c r="Q94" s="381"/>
      <c r="R94" s="182"/>
      <c r="S94" s="182"/>
      <c r="T94" s="182"/>
      <c r="U94" s="182"/>
      <c r="V94" s="182"/>
      <c r="W94" s="182"/>
      <c r="X94" s="182"/>
      <c r="Y94" s="182"/>
      <c r="Z94" s="182"/>
      <c r="AA94" s="382"/>
      <c r="AB94" s="182" t="str">
        <f t="shared" si="120"/>
        <v/>
      </c>
      <c r="AC94" s="315">
        <f t="shared" si="121"/>
        <v>0</v>
      </c>
      <c r="AD94" s="315" t="str">
        <f t="shared" si="116"/>
        <v/>
      </c>
      <c r="AE94" s="182"/>
      <c r="AF94" s="182"/>
      <c r="AG94" s="182"/>
      <c r="AH94" s="221"/>
      <c r="AI94" s="221"/>
      <c r="AJ94" s="221"/>
      <c r="AK94" s="221"/>
      <c r="AL94" s="221"/>
      <c r="AM94" s="221"/>
      <c r="AN94" s="221"/>
      <c r="AO94" s="221"/>
      <c r="AP94" s="221"/>
      <c r="AQ94" s="182"/>
      <c r="AR94" s="182"/>
      <c r="AS94" s="182"/>
      <c r="AT94" s="182"/>
      <c r="AU94" s="221" t="str">
        <f t="shared" si="122"/>
        <v/>
      </c>
      <c r="AV94" s="221" t="str">
        <f t="shared" si="123"/>
        <v/>
      </c>
      <c r="AW94" s="221"/>
      <c r="AX94" s="221"/>
      <c r="AY94" s="221"/>
      <c r="AZ94" s="221"/>
      <c r="BA94" s="221"/>
      <c r="BB94" s="221"/>
      <c r="BC94" s="221"/>
      <c r="BD94" s="221"/>
      <c r="BE94" s="221"/>
      <c r="BF94" s="468">
        <f t="shared" si="124"/>
        <v>0</v>
      </c>
      <c r="BG94" s="315">
        <f t="shared" si="125"/>
        <v>0</v>
      </c>
      <c r="BH94" s="315" t="str">
        <f t="shared" si="126"/>
        <v/>
      </c>
      <c r="BI94" s="182"/>
      <c r="BJ94" s="182"/>
      <c r="BK94" s="182"/>
      <c r="BL94" s="221"/>
      <c r="BM94" s="221"/>
      <c r="BN94" s="221"/>
      <c r="BO94" s="221"/>
      <c r="BP94" s="221"/>
      <c r="BQ94" s="221"/>
      <c r="BR94" s="221"/>
      <c r="BS94" s="221"/>
      <c r="BT94" s="221"/>
      <c r="BU94" s="182"/>
      <c r="BV94" s="182"/>
      <c r="BW94" s="182"/>
      <c r="BX94" s="182"/>
      <c r="BY94" s="221" t="str">
        <f t="shared" si="127"/>
        <v/>
      </c>
      <c r="BZ94" s="221" t="str">
        <f t="shared" si="128"/>
        <v/>
      </c>
      <c r="CA94" s="221"/>
      <c r="CB94" s="221"/>
      <c r="CC94" s="221"/>
      <c r="CD94" s="221"/>
      <c r="CE94" s="221"/>
      <c r="CF94" s="221"/>
      <c r="CG94" s="221"/>
      <c r="CH94" s="221"/>
      <c r="CI94" s="221"/>
      <c r="CJ94" s="468">
        <f t="shared" si="129"/>
        <v>0</v>
      </c>
      <c r="CK94" s="315">
        <f t="shared" si="130"/>
        <v>0</v>
      </c>
      <c r="CL94" s="315" t="str">
        <f t="shared" si="131"/>
        <v/>
      </c>
      <c r="CM94" s="182"/>
      <c r="CN94" s="182"/>
      <c r="CO94" s="182"/>
      <c r="CP94" s="221"/>
      <c r="CQ94" s="221"/>
      <c r="CR94" s="221"/>
      <c r="CS94" s="221"/>
      <c r="CT94" s="221"/>
      <c r="CU94" s="221"/>
      <c r="CV94" s="221"/>
      <c r="CW94" s="221"/>
      <c r="CX94" s="221"/>
      <c r="CY94" s="221"/>
      <c r="CZ94" s="182"/>
      <c r="DA94" s="182"/>
      <c r="DB94" s="182"/>
      <c r="DC94" s="182"/>
      <c r="DD94" s="221" t="str">
        <f t="shared" si="117"/>
        <v/>
      </c>
      <c r="DE94" s="221" t="str">
        <f t="shared" si="118"/>
        <v/>
      </c>
      <c r="DF94" s="221"/>
      <c r="DG94" s="221"/>
      <c r="DH94" s="221"/>
      <c r="DI94" s="221"/>
      <c r="DJ94" s="221"/>
      <c r="DK94" s="221"/>
      <c r="DL94" s="221"/>
      <c r="DM94" s="221"/>
      <c r="DN94" s="221"/>
      <c r="DO94" s="469" t="str">
        <f t="shared" si="132"/>
        <v/>
      </c>
      <c r="DP94" s="315">
        <f t="shared" si="133"/>
        <v>0</v>
      </c>
      <c r="DQ94" s="315" t="str">
        <f t="shared" si="134"/>
        <v/>
      </c>
      <c r="DR94" s="182"/>
      <c r="DS94" s="182"/>
      <c r="DT94" s="182"/>
      <c r="DU94" s="221"/>
      <c r="DV94" s="221"/>
      <c r="DW94" s="221"/>
      <c r="DX94" s="221"/>
      <c r="DY94" s="221"/>
      <c r="DZ94" s="221"/>
      <c r="EA94" s="221"/>
      <c r="EB94" s="221"/>
      <c r="EC94" s="221"/>
      <c r="ED94" s="182"/>
      <c r="EE94" s="182"/>
      <c r="EF94" s="182"/>
      <c r="EG94" s="182"/>
      <c r="EH94" s="221" t="str">
        <f t="shared" si="135"/>
        <v/>
      </c>
      <c r="EI94" s="221" t="str">
        <f t="shared" si="136"/>
        <v/>
      </c>
      <c r="EJ94" s="221"/>
      <c r="EK94" s="221"/>
      <c r="EL94" s="221"/>
      <c r="EM94" s="221"/>
      <c r="EN94" s="221"/>
      <c r="EO94" s="221"/>
      <c r="EP94" s="221"/>
      <c r="EQ94" s="221"/>
      <c r="ER94" s="221"/>
      <c r="ES94" s="221"/>
      <c r="ET94" s="221"/>
      <c r="EU94" s="315">
        <f t="shared" si="137"/>
        <v>0</v>
      </c>
      <c r="EV94" s="315" t="str">
        <f t="shared" si="138"/>
        <v/>
      </c>
      <c r="EW94" s="182"/>
      <c r="EX94" s="182"/>
      <c r="EY94" s="182"/>
      <c r="EZ94" s="221"/>
      <c r="FA94" s="221"/>
      <c r="FB94" s="221"/>
      <c r="FC94" s="221"/>
      <c r="FD94" s="221"/>
      <c r="FE94" s="221"/>
      <c r="FF94" s="221"/>
      <c r="FG94" s="221"/>
      <c r="FH94" s="221"/>
      <c r="FI94" s="182"/>
      <c r="FJ94" s="182"/>
      <c r="FK94" s="182"/>
      <c r="FL94" s="182"/>
      <c r="FM94" s="221" t="str">
        <f t="shared" si="139"/>
        <v/>
      </c>
      <c r="FN94" s="221" t="str">
        <f t="shared" si="140"/>
        <v/>
      </c>
      <c r="FO94" s="221"/>
      <c r="FP94" s="221"/>
      <c r="FQ94" s="221"/>
      <c r="FR94" s="221"/>
      <c r="FS94" s="221"/>
      <c r="FT94" s="221"/>
      <c r="FU94" s="221"/>
      <c r="FV94" s="221"/>
      <c r="FW94" s="221"/>
      <c r="FX94" s="221"/>
      <c r="FY94" s="221"/>
      <c r="FZ94" s="408"/>
      <c r="GA94" s="315">
        <f t="shared" si="141"/>
        <v>0</v>
      </c>
      <c r="GB94" s="315" t="str">
        <f t="shared" si="142"/>
        <v/>
      </c>
      <c r="GC94" s="302" t="s">
        <v>160</v>
      </c>
      <c r="GG94" s="460"/>
      <c r="GH94" s="460"/>
      <c r="GU94" s="469"/>
      <c r="GV94" s="470" t="str">
        <f t="shared" si="143"/>
        <v/>
      </c>
      <c r="GW94" s="302">
        <f t="shared" si="144"/>
        <v>0</v>
      </c>
      <c r="HA94" s="654"/>
      <c r="HD94" s="379"/>
      <c r="HE94" s="380"/>
      <c r="HH94" s="383"/>
      <c r="HI94" s="410"/>
      <c r="HJ94" s="302" t="str">
        <f t="shared" si="119"/>
        <v/>
      </c>
      <c r="HO94" s="302" t="str">
        <f t="shared" si="112"/>
        <v/>
      </c>
      <c r="HP94" s="302" t="str">
        <f t="shared" si="113"/>
        <v/>
      </c>
      <c r="HQ94" s="302" t="str">
        <f t="shared" si="114"/>
        <v/>
      </c>
      <c r="IT94" s="410"/>
      <c r="IU94" s="410"/>
      <c r="IV94" s="635"/>
    </row>
    <row r="95" spans="1:256" s="302" customFormat="1" ht="12.75" hidden="1" customHeight="1">
      <c r="A95" s="397" t="str">
        <f t="shared" si="111"/>
        <v/>
      </c>
      <c r="B95" s="462" t="str">
        <f t="shared" si="115"/>
        <v/>
      </c>
      <c r="C95" s="426"/>
      <c r="D95" s="575"/>
      <c r="E95" s="463"/>
      <c r="F95" s="464"/>
      <c r="G95" s="465"/>
      <c r="H95" s="465"/>
      <c r="I95" s="466"/>
      <c r="J95" s="463"/>
      <c r="K95" s="465"/>
      <c r="L95" s="465"/>
      <c r="M95" s="466"/>
      <c r="N95" s="573"/>
      <c r="O95" s="467"/>
      <c r="P95" s="518"/>
      <c r="Q95" s="381"/>
      <c r="R95" s="182"/>
      <c r="S95" s="182"/>
      <c r="T95" s="182"/>
      <c r="U95" s="182"/>
      <c r="V95" s="182"/>
      <c r="W95" s="182"/>
      <c r="X95" s="182"/>
      <c r="Y95" s="182"/>
      <c r="Z95" s="182"/>
      <c r="AA95" s="384"/>
      <c r="AB95" s="182" t="str">
        <f t="shared" si="120"/>
        <v/>
      </c>
      <c r="AC95" s="315">
        <f t="shared" si="121"/>
        <v>0</v>
      </c>
      <c r="AD95" s="315" t="str">
        <f t="shared" si="116"/>
        <v/>
      </c>
      <c r="AE95" s="182"/>
      <c r="AF95" s="182"/>
      <c r="AG95" s="182"/>
      <c r="AH95" s="221"/>
      <c r="AI95" s="221"/>
      <c r="AJ95" s="221"/>
      <c r="AK95" s="221"/>
      <c r="AL95" s="221"/>
      <c r="AM95" s="221"/>
      <c r="AN95" s="221"/>
      <c r="AO95" s="221"/>
      <c r="AP95" s="221"/>
      <c r="AQ95" s="182"/>
      <c r="AR95" s="182"/>
      <c r="AS95" s="182"/>
      <c r="AT95" s="224"/>
      <c r="AU95" s="221" t="str">
        <f t="shared" si="122"/>
        <v/>
      </c>
      <c r="AV95" s="221" t="str">
        <f t="shared" si="123"/>
        <v/>
      </c>
      <c r="AW95" s="221"/>
      <c r="AX95" s="221"/>
      <c r="AY95" s="221"/>
      <c r="AZ95" s="221"/>
      <c r="BA95" s="221"/>
      <c r="BB95" s="221"/>
      <c r="BC95" s="221"/>
      <c r="BD95" s="221"/>
      <c r="BE95" s="221"/>
      <c r="BF95" s="469">
        <f t="shared" si="124"/>
        <v>0</v>
      </c>
      <c r="BG95" s="315">
        <f t="shared" si="125"/>
        <v>0</v>
      </c>
      <c r="BH95" s="315" t="str">
        <f t="shared" si="126"/>
        <v/>
      </c>
      <c r="BI95" s="182"/>
      <c r="BJ95" s="182"/>
      <c r="BK95" s="182"/>
      <c r="BL95" s="221"/>
      <c r="BM95" s="221"/>
      <c r="BN95" s="221"/>
      <c r="BO95" s="221"/>
      <c r="BP95" s="221"/>
      <c r="BQ95" s="221"/>
      <c r="BR95" s="221"/>
      <c r="BS95" s="221"/>
      <c r="BT95" s="221"/>
      <c r="BU95" s="182"/>
      <c r="BV95" s="182"/>
      <c r="BW95" s="182"/>
      <c r="BX95" s="182"/>
      <c r="BY95" s="221" t="str">
        <f t="shared" si="127"/>
        <v/>
      </c>
      <c r="BZ95" s="221" t="str">
        <f t="shared" si="128"/>
        <v/>
      </c>
      <c r="CA95" s="221"/>
      <c r="CB95" s="221"/>
      <c r="CC95" s="221"/>
      <c r="CD95" s="221"/>
      <c r="CE95" s="221"/>
      <c r="CF95" s="221"/>
      <c r="CG95" s="221"/>
      <c r="CH95" s="221"/>
      <c r="CI95" s="221"/>
      <c r="CJ95" s="469">
        <f t="shared" si="129"/>
        <v>0</v>
      </c>
      <c r="CK95" s="315">
        <f t="shared" si="130"/>
        <v>0</v>
      </c>
      <c r="CL95" s="315" t="str">
        <f t="shared" si="131"/>
        <v/>
      </c>
      <c r="CM95" s="182"/>
      <c r="CN95" s="182"/>
      <c r="CO95" s="182"/>
      <c r="CP95" s="221"/>
      <c r="CQ95" s="221"/>
      <c r="CR95" s="221"/>
      <c r="CS95" s="221"/>
      <c r="CT95" s="221"/>
      <c r="CU95" s="221"/>
      <c r="CV95" s="221"/>
      <c r="CW95" s="221"/>
      <c r="CX95" s="221"/>
      <c r="CY95" s="221"/>
      <c r="CZ95" s="182"/>
      <c r="DA95" s="182"/>
      <c r="DB95" s="182"/>
      <c r="DC95" s="182"/>
      <c r="DD95" s="221" t="str">
        <f t="shared" si="117"/>
        <v/>
      </c>
      <c r="DE95" s="221" t="str">
        <f t="shared" si="118"/>
        <v/>
      </c>
      <c r="DF95" s="221"/>
      <c r="DG95" s="221"/>
      <c r="DH95" s="221"/>
      <c r="DI95" s="221"/>
      <c r="DJ95" s="221"/>
      <c r="DK95" s="221"/>
      <c r="DL95" s="221"/>
      <c r="DM95" s="221"/>
      <c r="DN95" s="221"/>
      <c r="DO95" s="469" t="str">
        <f t="shared" si="132"/>
        <v/>
      </c>
      <c r="DP95" s="315">
        <f t="shared" si="133"/>
        <v>0</v>
      </c>
      <c r="DQ95" s="315" t="str">
        <f t="shared" si="134"/>
        <v/>
      </c>
      <c r="DR95" s="182"/>
      <c r="DS95" s="182"/>
      <c r="DT95" s="182"/>
      <c r="DU95" s="221"/>
      <c r="DV95" s="221"/>
      <c r="DW95" s="221"/>
      <c r="DX95" s="221"/>
      <c r="DY95" s="221"/>
      <c r="DZ95" s="221"/>
      <c r="EA95" s="221"/>
      <c r="EB95" s="221"/>
      <c r="EC95" s="221"/>
      <c r="ED95" s="182"/>
      <c r="EE95" s="182"/>
      <c r="EF95" s="182"/>
      <c r="EG95" s="182"/>
      <c r="EH95" s="221" t="str">
        <f t="shared" si="135"/>
        <v/>
      </c>
      <c r="EI95" s="221" t="str">
        <f t="shared" si="136"/>
        <v/>
      </c>
      <c r="EJ95" s="221"/>
      <c r="EK95" s="221"/>
      <c r="EL95" s="221"/>
      <c r="EM95" s="221"/>
      <c r="EN95" s="221"/>
      <c r="EO95" s="221"/>
      <c r="EP95" s="221"/>
      <c r="EQ95" s="221"/>
      <c r="ER95" s="221"/>
      <c r="ES95" s="221"/>
      <c r="ET95" s="221"/>
      <c r="EU95" s="315">
        <f t="shared" si="137"/>
        <v>0</v>
      </c>
      <c r="EV95" s="315" t="str">
        <f t="shared" si="138"/>
        <v/>
      </c>
      <c r="EW95" s="182"/>
      <c r="EX95" s="182"/>
      <c r="EY95" s="182"/>
      <c r="EZ95" s="221"/>
      <c r="FA95" s="221"/>
      <c r="FB95" s="221"/>
      <c r="FC95" s="221"/>
      <c r="FD95" s="221"/>
      <c r="FE95" s="221"/>
      <c r="FF95" s="221"/>
      <c r="FG95" s="221"/>
      <c r="FH95" s="221"/>
      <c r="FI95" s="182"/>
      <c r="FJ95" s="182"/>
      <c r="FK95" s="182"/>
      <c r="FL95" s="182"/>
      <c r="FM95" s="221" t="str">
        <f t="shared" si="139"/>
        <v/>
      </c>
      <c r="FN95" s="221" t="str">
        <f t="shared" si="140"/>
        <v/>
      </c>
      <c r="FO95" s="221"/>
      <c r="FP95" s="221"/>
      <c r="FQ95" s="221"/>
      <c r="FR95" s="221"/>
      <c r="FS95" s="221"/>
      <c r="FT95" s="221"/>
      <c r="FU95" s="221"/>
      <c r="FV95" s="221"/>
      <c r="FW95" s="221"/>
      <c r="FX95" s="221"/>
      <c r="FY95" s="221"/>
      <c r="FZ95" s="408"/>
      <c r="GA95" s="315">
        <f t="shared" si="141"/>
        <v>0</v>
      </c>
      <c r="GB95" s="315" t="str">
        <f t="shared" si="142"/>
        <v/>
      </c>
      <c r="GC95" s="182" t="s">
        <v>160</v>
      </c>
      <c r="GD95" s="182"/>
      <c r="GE95" s="182"/>
      <c r="GG95" s="460"/>
      <c r="GH95" s="460"/>
      <c r="GU95" s="469"/>
      <c r="GV95" s="470" t="str">
        <f t="shared" si="143"/>
        <v/>
      </c>
      <c r="GW95" s="302">
        <f t="shared" si="144"/>
        <v>0</v>
      </c>
      <c r="HA95" s="654"/>
      <c r="HD95" s="379"/>
      <c r="HE95" s="380"/>
      <c r="HH95" s="385"/>
      <c r="HI95" s="411"/>
      <c r="HJ95" s="302" t="str">
        <f t="shared" si="119"/>
        <v/>
      </c>
      <c r="HO95" s="302" t="str">
        <f t="shared" si="112"/>
        <v/>
      </c>
      <c r="HP95" s="302" t="str">
        <f t="shared" si="113"/>
        <v/>
      </c>
      <c r="HQ95" s="302" t="str">
        <f t="shared" si="114"/>
        <v/>
      </c>
      <c r="IT95" s="411"/>
      <c r="IU95" s="411"/>
      <c r="IV95" s="635"/>
    </row>
    <row r="96" spans="1:256" s="302" customFormat="1" ht="12.75" hidden="1" customHeight="1">
      <c r="A96" s="397" t="str">
        <f t="shared" si="111"/>
        <v/>
      </c>
      <c r="B96" s="462" t="str">
        <f t="shared" si="115"/>
        <v/>
      </c>
      <c r="C96" s="426"/>
      <c r="D96" s="575"/>
      <c r="E96" s="463"/>
      <c r="F96" s="464"/>
      <c r="G96" s="465"/>
      <c r="H96" s="465"/>
      <c r="I96" s="466"/>
      <c r="J96" s="463"/>
      <c r="K96" s="465"/>
      <c r="L96" s="465"/>
      <c r="M96" s="466"/>
      <c r="N96" s="573"/>
      <c r="O96" s="467"/>
      <c r="P96" s="518"/>
      <c r="Q96" s="381"/>
      <c r="R96" s="182"/>
      <c r="S96" s="182"/>
      <c r="T96" s="182"/>
      <c r="U96" s="182"/>
      <c r="V96" s="182"/>
      <c r="W96" s="182"/>
      <c r="X96" s="182"/>
      <c r="Y96" s="182"/>
      <c r="Z96" s="182"/>
      <c r="AA96" s="382"/>
      <c r="AB96" s="182" t="str">
        <f t="shared" si="120"/>
        <v/>
      </c>
      <c r="AC96" s="315">
        <f t="shared" si="121"/>
        <v>0</v>
      </c>
      <c r="AD96" s="315" t="str">
        <f t="shared" si="116"/>
        <v/>
      </c>
      <c r="AE96" s="182"/>
      <c r="AF96" s="182"/>
      <c r="AG96" s="182"/>
      <c r="AH96" s="221"/>
      <c r="AI96" s="221"/>
      <c r="AJ96" s="221"/>
      <c r="AK96" s="221"/>
      <c r="AL96" s="221"/>
      <c r="AM96" s="221"/>
      <c r="AN96" s="221"/>
      <c r="AO96" s="221"/>
      <c r="AP96" s="221"/>
      <c r="AQ96" s="182"/>
      <c r="AR96" s="182"/>
      <c r="AS96" s="182"/>
      <c r="AT96" s="182"/>
      <c r="AU96" s="221" t="str">
        <f t="shared" si="122"/>
        <v/>
      </c>
      <c r="AV96" s="221" t="str">
        <f t="shared" si="123"/>
        <v/>
      </c>
      <c r="AW96" s="221"/>
      <c r="AX96" s="221"/>
      <c r="AY96" s="221"/>
      <c r="AZ96" s="221"/>
      <c r="BA96" s="221"/>
      <c r="BB96" s="221"/>
      <c r="BC96" s="221"/>
      <c r="BD96" s="221"/>
      <c r="BE96" s="221"/>
      <c r="BF96" s="468">
        <f t="shared" si="124"/>
        <v>0</v>
      </c>
      <c r="BG96" s="315">
        <f t="shared" si="125"/>
        <v>0</v>
      </c>
      <c r="BH96" s="315" t="str">
        <f t="shared" si="126"/>
        <v/>
      </c>
      <c r="BI96" s="182"/>
      <c r="BJ96" s="182"/>
      <c r="BK96" s="182"/>
      <c r="BL96" s="221"/>
      <c r="BM96" s="221"/>
      <c r="BN96" s="221"/>
      <c r="BO96" s="221"/>
      <c r="BP96" s="221"/>
      <c r="BQ96" s="221"/>
      <c r="BR96" s="221"/>
      <c r="BS96" s="221"/>
      <c r="BT96" s="221"/>
      <c r="BU96" s="182"/>
      <c r="BV96" s="182"/>
      <c r="BW96" s="182"/>
      <c r="BX96" s="182"/>
      <c r="BY96" s="221" t="str">
        <f t="shared" si="127"/>
        <v/>
      </c>
      <c r="BZ96" s="221" t="str">
        <f t="shared" si="128"/>
        <v/>
      </c>
      <c r="CA96" s="221"/>
      <c r="CB96" s="221"/>
      <c r="CC96" s="221"/>
      <c r="CD96" s="221"/>
      <c r="CE96" s="221"/>
      <c r="CF96" s="221"/>
      <c r="CG96" s="221"/>
      <c r="CH96" s="221"/>
      <c r="CI96" s="221"/>
      <c r="CJ96" s="468">
        <f t="shared" si="129"/>
        <v>0</v>
      </c>
      <c r="CK96" s="315">
        <f t="shared" si="130"/>
        <v>0</v>
      </c>
      <c r="CL96" s="315" t="str">
        <f t="shared" si="131"/>
        <v/>
      </c>
      <c r="CM96" s="182"/>
      <c r="CN96" s="182"/>
      <c r="CO96" s="182"/>
      <c r="CP96" s="221"/>
      <c r="CQ96" s="221"/>
      <c r="CR96" s="221"/>
      <c r="CS96" s="221"/>
      <c r="CT96" s="221"/>
      <c r="CU96" s="221"/>
      <c r="CV96" s="221"/>
      <c r="CW96" s="221"/>
      <c r="CX96" s="221"/>
      <c r="CY96" s="221"/>
      <c r="CZ96" s="182"/>
      <c r="DA96" s="182"/>
      <c r="DB96" s="182"/>
      <c r="DC96" s="182"/>
      <c r="DD96" s="221" t="str">
        <f t="shared" si="117"/>
        <v/>
      </c>
      <c r="DE96" s="221" t="str">
        <f t="shared" si="118"/>
        <v/>
      </c>
      <c r="DF96" s="221"/>
      <c r="DG96" s="221"/>
      <c r="DH96" s="221"/>
      <c r="DI96" s="221"/>
      <c r="DJ96" s="221"/>
      <c r="DK96" s="221"/>
      <c r="DL96" s="221"/>
      <c r="DM96" s="221"/>
      <c r="DN96" s="221"/>
      <c r="DO96" s="469" t="str">
        <f t="shared" si="132"/>
        <v/>
      </c>
      <c r="DP96" s="315">
        <f t="shared" si="133"/>
        <v>0</v>
      </c>
      <c r="DQ96" s="315" t="str">
        <f t="shared" si="134"/>
        <v/>
      </c>
      <c r="DR96" s="182"/>
      <c r="DS96" s="182"/>
      <c r="DT96" s="182"/>
      <c r="DU96" s="221"/>
      <c r="DV96" s="221"/>
      <c r="DW96" s="221"/>
      <c r="DX96" s="221"/>
      <c r="DY96" s="221"/>
      <c r="DZ96" s="221"/>
      <c r="EA96" s="221"/>
      <c r="EB96" s="221"/>
      <c r="EC96" s="221"/>
      <c r="ED96" s="182"/>
      <c r="EE96" s="182"/>
      <c r="EF96" s="182"/>
      <c r="EG96" s="182"/>
      <c r="EH96" s="221" t="str">
        <f t="shared" si="135"/>
        <v/>
      </c>
      <c r="EI96" s="221" t="str">
        <f t="shared" si="136"/>
        <v/>
      </c>
      <c r="EJ96" s="221"/>
      <c r="EK96" s="221"/>
      <c r="EL96" s="221"/>
      <c r="EM96" s="221"/>
      <c r="EN96" s="221"/>
      <c r="EO96" s="221"/>
      <c r="EP96" s="221"/>
      <c r="EQ96" s="221"/>
      <c r="ER96" s="221"/>
      <c r="ES96" s="221"/>
      <c r="ET96" s="221"/>
      <c r="EU96" s="315">
        <f t="shared" si="137"/>
        <v>0</v>
      </c>
      <c r="EV96" s="315" t="str">
        <f t="shared" si="138"/>
        <v/>
      </c>
      <c r="EW96" s="182"/>
      <c r="EX96" s="182"/>
      <c r="EY96" s="182"/>
      <c r="EZ96" s="221"/>
      <c r="FA96" s="221"/>
      <c r="FB96" s="221"/>
      <c r="FC96" s="221"/>
      <c r="FD96" s="221"/>
      <c r="FE96" s="221"/>
      <c r="FF96" s="221"/>
      <c r="FG96" s="221"/>
      <c r="FH96" s="221"/>
      <c r="FI96" s="182"/>
      <c r="FJ96" s="182"/>
      <c r="FK96" s="182"/>
      <c r="FL96" s="182"/>
      <c r="FM96" s="221" t="str">
        <f t="shared" si="139"/>
        <v/>
      </c>
      <c r="FN96" s="221" t="str">
        <f t="shared" si="140"/>
        <v/>
      </c>
      <c r="FO96" s="221"/>
      <c r="FP96" s="221"/>
      <c r="FQ96" s="221"/>
      <c r="FR96" s="221"/>
      <c r="FS96" s="221"/>
      <c r="FT96" s="221"/>
      <c r="FU96" s="221"/>
      <c r="FV96" s="221"/>
      <c r="FW96" s="221"/>
      <c r="FX96" s="221"/>
      <c r="FY96" s="221"/>
      <c r="FZ96" s="408"/>
      <c r="GA96" s="315">
        <f t="shared" si="141"/>
        <v>0</v>
      </c>
      <c r="GB96" s="315" t="str">
        <f t="shared" si="142"/>
        <v/>
      </c>
      <c r="GC96" s="302" t="s">
        <v>160</v>
      </c>
      <c r="GG96" s="460"/>
      <c r="GH96" s="460"/>
      <c r="GU96" s="469"/>
      <c r="GV96" s="470" t="str">
        <f t="shared" si="143"/>
        <v/>
      </c>
      <c r="GW96" s="302">
        <f t="shared" si="144"/>
        <v>0</v>
      </c>
      <c r="HA96" s="654"/>
      <c r="HD96" s="379"/>
      <c r="HE96" s="380"/>
      <c r="HH96" s="383"/>
      <c r="HI96" s="410"/>
      <c r="HJ96" s="302" t="str">
        <f t="shared" si="119"/>
        <v/>
      </c>
      <c r="HO96" s="302" t="str">
        <f t="shared" si="112"/>
        <v/>
      </c>
      <c r="HP96" s="302" t="str">
        <f t="shared" si="113"/>
        <v/>
      </c>
      <c r="HQ96" s="302" t="str">
        <f t="shared" si="114"/>
        <v/>
      </c>
      <c r="IT96" s="410"/>
      <c r="IU96" s="410"/>
      <c r="IV96" s="635"/>
    </row>
    <row r="97" spans="1:256" s="302" customFormat="1" ht="12.75" hidden="1" customHeight="1">
      <c r="A97" s="397" t="str">
        <f t="shared" si="111"/>
        <v/>
      </c>
      <c r="B97" s="462" t="str">
        <f t="shared" si="115"/>
        <v/>
      </c>
      <c r="C97" s="426"/>
      <c r="D97" s="575"/>
      <c r="E97" s="463"/>
      <c r="F97" s="464"/>
      <c r="G97" s="465"/>
      <c r="H97" s="465"/>
      <c r="I97" s="466"/>
      <c r="J97" s="463"/>
      <c r="K97" s="465"/>
      <c r="L97" s="465"/>
      <c r="M97" s="466"/>
      <c r="N97" s="573"/>
      <c r="O97" s="467"/>
      <c r="P97" s="518"/>
      <c r="Q97" s="381"/>
      <c r="R97" s="182"/>
      <c r="S97" s="182"/>
      <c r="T97" s="182"/>
      <c r="U97" s="182"/>
      <c r="V97" s="182"/>
      <c r="W97" s="182"/>
      <c r="X97" s="182"/>
      <c r="Y97" s="182"/>
      <c r="Z97" s="182"/>
      <c r="AA97" s="384"/>
      <c r="AB97" s="182" t="str">
        <f t="shared" si="120"/>
        <v/>
      </c>
      <c r="AC97" s="315">
        <f t="shared" si="121"/>
        <v>0</v>
      </c>
      <c r="AD97" s="315" t="str">
        <f t="shared" si="116"/>
        <v/>
      </c>
      <c r="AE97" s="182"/>
      <c r="AF97" s="182"/>
      <c r="AG97" s="182"/>
      <c r="AH97" s="221"/>
      <c r="AI97" s="221"/>
      <c r="AJ97" s="221"/>
      <c r="AK97" s="221"/>
      <c r="AL97" s="221"/>
      <c r="AM97" s="221"/>
      <c r="AN97" s="221"/>
      <c r="AO97" s="221"/>
      <c r="AP97" s="221"/>
      <c r="AQ97" s="182"/>
      <c r="AR97" s="182"/>
      <c r="AS97" s="182"/>
      <c r="AT97" s="182"/>
      <c r="AU97" s="221" t="str">
        <f t="shared" si="122"/>
        <v/>
      </c>
      <c r="AV97" s="221" t="str">
        <f t="shared" si="123"/>
        <v/>
      </c>
      <c r="AW97" s="221"/>
      <c r="AX97" s="221"/>
      <c r="AY97" s="221"/>
      <c r="AZ97" s="221"/>
      <c r="BA97" s="221"/>
      <c r="BB97" s="221"/>
      <c r="BC97" s="221"/>
      <c r="BD97" s="221"/>
      <c r="BE97" s="221"/>
      <c r="BF97" s="469">
        <f t="shared" si="124"/>
        <v>0</v>
      </c>
      <c r="BG97" s="315">
        <f t="shared" si="125"/>
        <v>0</v>
      </c>
      <c r="BH97" s="315" t="str">
        <f t="shared" si="126"/>
        <v/>
      </c>
      <c r="BI97" s="182"/>
      <c r="BJ97" s="182"/>
      <c r="BK97" s="182"/>
      <c r="BL97" s="221"/>
      <c r="BM97" s="221"/>
      <c r="BN97" s="221"/>
      <c r="BO97" s="221"/>
      <c r="BP97" s="221"/>
      <c r="BQ97" s="221"/>
      <c r="BR97" s="221"/>
      <c r="BS97" s="221"/>
      <c r="BT97" s="221"/>
      <c r="BU97" s="182"/>
      <c r="BV97" s="182"/>
      <c r="BW97" s="182"/>
      <c r="BX97" s="182"/>
      <c r="BY97" s="221" t="str">
        <f t="shared" si="127"/>
        <v/>
      </c>
      <c r="BZ97" s="221" t="str">
        <f t="shared" si="128"/>
        <v/>
      </c>
      <c r="CA97" s="221"/>
      <c r="CB97" s="221"/>
      <c r="CC97" s="221"/>
      <c r="CD97" s="221"/>
      <c r="CE97" s="221"/>
      <c r="CF97" s="221"/>
      <c r="CG97" s="221"/>
      <c r="CH97" s="221"/>
      <c r="CI97" s="221"/>
      <c r="CJ97" s="469">
        <f t="shared" si="129"/>
        <v>0</v>
      </c>
      <c r="CK97" s="315">
        <f t="shared" si="130"/>
        <v>0</v>
      </c>
      <c r="CL97" s="315" t="str">
        <f t="shared" si="131"/>
        <v/>
      </c>
      <c r="CM97" s="182"/>
      <c r="CN97" s="182"/>
      <c r="CO97" s="182"/>
      <c r="CP97" s="221"/>
      <c r="CQ97" s="221"/>
      <c r="CR97" s="221"/>
      <c r="CS97" s="221"/>
      <c r="CT97" s="221"/>
      <c r="CU97" s="221"/>
      <c r="CV97" s="221"/>
      <c r="CW97" s="221"/>
      <c r="CX97" s="221"/>
      <c r="CY97" s="221"/>
      <c r="CZ97" s="182"/>
      <c r="DA97" s="182"/>
      <c r="DB97" s="182"/>
      <c r="DC97" s="182"/>
      <c r="DD97" s="221" t="str">
        <f t="shared" si="117"/>
        <v/>
      </c>
      <c r="DE97" s="221" t="str">
        <f t="shared" si="118"/>
        <v/>
      </c>
      <c r="DF97" s="221"/>
      <c r="DG97" s="221"/>
      <c r="DH97" s="221"/>
      <c r="DI97" s="221"/>
      <c r="DJ97" s="221"/>
      <c r="DK97" s="221"/>
      <c r="DL97" s="221"/>
      <c r="DM97" s="221"/>
      <c r="DN97" s="221"/>
      <c r="DO97" s="469" t="str">
        <f t="shared" si="132"/>
        <v/>
      </c>
      <c r="DP97" s="315">
        <f t="shared" si="133"/>
        <v>0</v>
      </c>
      <c r="DQ97" s="315" t="str">
        <f t="shared" si="134"/>
        <v/>
      </c>
      <c r="DR97" s="182"/>
      <c r="DS97" s="182"/>
      <c r="DT97" s="182"/>
      <c r="DU97" s="221"/>
      <c r="DV97" s="221"/>
      <c r="DW97" s="221"/>
      <c r="DX97" s="221"/>
      <c r="DY97" s="221"/>
      <c r="DZ97" s="221"/>
      <c r="EA97" s="221"/>
      <c r="EB97" s="221"/>
      <c r="EC97" s="221"/>
      <c r="ED97" s="182"/>
      <c r="EE97" s="182"/>
      <c r="EF97" s="182"/>
      <c r="EG97" s="182"/>
      <c r="EH97" s="221" t="str">
        <f t="shared" si="135"/>
        <v/>
      </c>
      <c r="EI97" s="221" t="str">
        <f t="shared" si="136"/>
        <v/>
      </c>
      <c r="EJ97" s="221"/>
      <c r="EK97" s="221"/>
      <c r="EL97" s="221"/>
      <c r="EM97" s="221"/>
      <c r="EN97" s="221"/>
      <c r="EO97" s="221"/>
      <c r="EP97" s="221"/>
      <c r="EQ97" s="221"/>
      <c r="ER97" s="221"/>
      <c r="ES97" s="221"/>
      <c r="ET97" s="221"/>
      <c r="EU97" s="315">
        <f t="shared" si="137"/>
        <v>0</v>
      </c>
      <c r="EV97" s="315" t="str">
        <f t="shared" si="138"/>
        <v/>
      </c>
      <c r="EW97" s="182"/>
      <c r="EX97" s="182"/>
      <c r="EY97" s="182"/>
      <c r="EZ97" s="221"/>
      <c r="FA97" s="221"/>
      <c r="FB97" s="221"/>
      <c r="FC97" s="221"/>
      <c r="FD97" s="221"/>
      <c r="FE97" s="221"/>
      <c r="FF97" s="221"/>
      <c r="FG97" s="221"/>
      <c r="FH97" s="221"/>
      <c r="FI97" s="182"/>
      <c r="FJ97" s="182"/>
      <c r="FK97" s="182"/>
      <c r="FL97" s="182"/>
      <c r="FM97" s="221" t="str">
        <f t="shared" si="139"/>
        <v/>
      </c>
      <c r="FN97" s="221" t="str">
        <f t="shared" si="140"/>
        <v/>
      </c>
      <c r="FO97" s="221"/>
      <c r="FP97" s="221"/>
      <c r="FQ97" s="221"/>
      <c r="FR97" s="221"/>
      <c r="FS97" s="221"/>
      <c r="FT97" s="221"/>
      <c r="FU97" s="221"/>
      <c r="FV97" s="221"/>
      <c r="FW97" s="221"/>
      <c r="FX97" s="221"/>
      <c r="FY97" s="221"/>
      <c r="FZ97" s="408"/>
      <c r="GA97" s="315">
        <f t="shared" si="141"/>
        <v>0</v>
      </c>
      <c r="GB97" s="315" t="str">
        <f t="shared" si="142"/>
        <v/>
      </c>
      <c r="GC97" s="182" t="s">
        <v>160</v>
      </c>
      <c r="GD97" s="182"/>
      <c r="GE97" s="182"/>
      <c r="GG97" s="460"/>
      <c r="GH97" s="460"/>
      <c r="GU97" s="469"/>
      <c r="GV97" s="470" t="str">
        <f t="shared" si="143"/>
        <v/>
      </c>
      <c r="GW97" s="302">
        <f t="shared" si="144"/>
        <v>0</v>
      </c>
      <c r="HA97" s="654"/>
      <c r="HD97" s="379"/>
      <c r="HE97" s="380"/>
      <c r="HH97" s="385"/>
      <c r="HI97" s="411"/>
      <c r="HJ97" s="302" t="str">
        <f t="shared" si="119"/>
        <v/>
      </c>
      <c r="HO97" s="302" t="str">
        <f t="shared" si="112"/>
        <v/>
      </c>
      <c r="HP97" s="302" t="str">
        <f t="shared" si="113"/>
        <v/>
      </c>
      <c r="HQ97" s="302" t="str">
        <f t="shared" si="114"/>
        <v/>
      </c>
      <c r="IT97" s="411"/>
      <c r="IU97" s="411"/>
      <c r="IV97" s="635"/>
    </row>
    <row r="98" spans="1:256" s="302" customFormat="1" ht="12.75" hidden="1" customHeight="1">
      <c r="A98" s="397" t="str">
        <f t="shared" si="111"/>
        <v/>
      </c>
      <c r="B98" s="462" t="str">
        <f t="shared" si="115"/>
        <v/>
      </c>
      <c r="C98" s="426"/>
      <c r="D98" s="575"/>
      <c r="E98" s="463"/>
      <c r="F98" s="464"/>
      <c r="G98" s="465"/>
      <c r="H98" s="465"/>
      <c r="I98" s="466"/>
      <c r="J98" s="463"/>
      <c r="K98" s="465"/>
      <c r="L98" s="465"/>
      <c r="M98" s="466"/>
      <c r="N98" s="573"/>
      <c r="O98" s="467"/>
      <c r="P98" s="518"/>
      <c r="Q98" s="381"/>
      <c r="R98" s="182"/>
      <c r="S98" s="182"/>
      <c r="T98" s="182"/>
      <c r="U98" s="182"/>
      <c r="V98" s="182"/>
      <c r="W98" s="182"/>
      <c r="X98" s="182"/>
      <c r="Y98" s="182"/>
      <c r="Z98" s="182"/>
      <c r="AA98" s="382"/>
      <c r="AB98" s="182" t="str">
        <f t="shared" si="120"/>
        <v/>
      </c>
      <c r="AC98" s="315">
        <f t="shared" si="121"/>
        <v>0</v>
      </c>
      <c r="AD98" s="315" t="str">
        <f t="shared" si="116"/>
        <v/>
      </c>
      <c r="AE98" s="182"/>
      <c r="AF98" s="182"/>
      <c r="AG98" s="182"/>
      <c r="AH98" s="221"/>
      <c r="AI98" s="221"/>
      <c r="AJ98" s="221"/>
      <c r="AK98" s="221"/>
      <c r="AL98" s="221"/>
      <c r="AM98" s="221"/>
      <c r="AN98" s="221"/>
      <c r="AO98" s="221"/>
      <c r="AP98" s="221"/>
      <c r="AQ98" s="182"/>
      <c r="AR98" s="182"/>
      <c r="AS98" s="182"/>
      <c r="AT98" s="182"/>
      <c r="AU98" s="221" t="str">
        <f t="shared" si="122"/>
        <v/>
      </c>
      <c r="AV98" s="221" t="str">
        <f t="shared" si="123"/>
        <v/>
      </c>
      <c r="AW98" s="221"/>
      <c r="AX98" s="221"/>
      <c r="AY98" s="221"/>
      <c r="AZ98" s="221"/>
      <c r="BA98" s="221"/>
      <c r="BB98" s="221"/>
      <c r="BC98" s="221"/>
      <c r="BD98" s="221"/>
      <c r="BE98" s="221"/>
      <c r="BF98" s="468">
        <f t="shared" si="124"/>
        <v>0</v>
      </c>
      <c r="BG98" s="315">
        <f t="shared" si="125"/>
        <v>0</v>
      </c>
      <c r="BH98" s="315" t="str">
        <f t="shared" si="126"/>
        <v/>
      </c>
      <c r="BI98" s="182"/>
      <c r="BJ98" s="182"/>
      <c r="BK98" s="182"/>
      <c r="BL98" s="221"/>
      <c r="BM98" s="221"/>
      <c r="BN98" s="221"/>
      <c r="BO98" s="221"/>
      <c r="BP98" s="221"/>
      <c r="BQ98" s="221"/>
      <c r="BR98" s="221"/>
      <c r="BS98" s="221"/>
      <c r="BT98" s="221"/>
      <c r="BU98" s="182"/>
      <c r="BV98" s="182"/>
      <c r="BW98" s="182"/>
      <c r="BX98" s="182"/>
      <c r="BY98" s="221" t="str">
        <f t="shared" si="127"/>
        <v/>
      </c>
      <c r="BZ98" s="221" t="str">
        <f t="shared" si="128"/>
        <v/>
      </c>
      <c r="CA98" s="221"/>
      <c r="CB98" s="221"/>
      <c r="CC98" s="221"/>
      <c r="CD98" s="221"/>
      <c r="CE98" s="221"/>
      <c r="CF98" s="221"/>
      <c r="CG98" s="221"/>
      <c r="CH98" s="221"/>
      <c r="CI98" s="221"/>
      <c r="CJ98" s="468">
        <f t="shared" si="129"/>
        <v>0</v>
      </c>
      <c r="CK98" s="315">
        <f t="shared" si="130"/>
        <v>0</v>
      </c>
      <c r="CL98" s="315" t="str">
        <f t="shared" si="131"/>
        <v/>
      </c>
      <c r="CM98" s="224"/>
      <c r="CN98" s="224"/>
      <c r="CO98" s="224"/>
      <c r="CP98" s="492"/>
      <c r="CQ98" s="492"/>
      <c r="CR98" s="492"/>
      <c r="CS98" s="492"/>
      <c r="CT98" s="492"/>
      <c r="CU98" s="492"/>
      <c r="CV98" s="492"/>
      <c r="CW98" s="492"/>
      <c r="CX98" s="492"/>
      <c r="CY98" s="492"/>
      <c r="CZ98" s="224"/>
      <c r="DA98" s="224"/>
      <c r="DB98" s="224"/>
      <c r="DC98" s="224"/>
      <c r="DD98" s="221" t="str">
        <f t="shared" si="117"/>
        <v/>
      </c>
      <c r="DE98" s="221" t="str">
        <f t="shared" si="118"/>
        <v/>
      </c>
      <c r="DF98" s="221"/>
      <c r="DG98" s="221"/>
      <c r="DH98" s="221"/>
      <c r="DI98" s="221"/>
      <c r="DJ98" s="221"/>
      <c r="DK98" s="221"/>
      <c r="DL98" s="221"/>
      <c r="DM98" s="221"/>
      <c r="DN98" s="221"/>
      <c r="DO98" s="469" t="str">
        <f t="shared" si="132"/>
        <v/>
      </c>
      <c r="DP98" s="315">
        <f t="shared" si="133"/>
        <v>0</v>
      </c>
      <c r="DQ98" s="315" t="str">
        <f t="shared" si="134"/>
        <v/>
      </c>
      <c r="DR98" s="182"/>
      <c r="DS98" s="182"/>
      <c r="DT98" s="182"/>
      <c r="DU98" s="221"/>
      <c r="DV98" s="221"/>
      <c r="DW98" s="221"/>
      <c r="DX98" s="221"/>
      <c r="DY98" s="221"/>
      <c r="DZ98" s="221"/>
      <c r="EA98" s="221"/>
      <c r="EB98" s="221"/>
      <c r="EC98" s="221"/>
      <c r="ED98" s="182"/>
      <c r="EE98" s="182"/>
      <c r="EF98" s="182"/>
      <c r="EG98" s="182"/>
      <c r="EH98" s="221" t="str">
        <f t="shared" si="135"/>
        <v/>
      </c>
      <c r="EI98" s="221" t="str">
        <f t="shared" si="136"/>
        <v/>
      </c>
      <c r="EJ98" s="221"/>
      <c r="EK98" s="221"/>
      <c r="EL98" s="221"/>
      <c r="EM98" s="221"/>
      <c r="EN98" s="221"/>
      <c r="EO98" s="221"/>
      <c r="EP98" s="221"/>
      <c r="EQ98" s="221"/>
      <c r="ER98" s="221"/>
      <c r="ES98" s="221"/>
      <c r="ET98" s="221"/>
      <c r="EU98" s="315">
        <f t="shared" si="137"/>
        <v>0</v>
      </c>
      <c r="EV98" s="315" t="str">
        <f t="shared" si="138"/>
        <v/>
      </c>
      <c r="EW98" s="182"/>
      <c r="EX98" s="182"/>
      <c r="EY98" s="182"/>
      <c r="EZ98" s="221"/>
      <c r="FA98" s="221"/>
      <c r="FB98" s="221"/>
      <c r="FC98" s="221"/>
      <c r="FD98" s="221"/>
      <c r="FE98" s="221"/>
      <c r="FF98" s="221"/>
      <c r="FG98" s="221"/>
      <c r="FH98" s="221"/>
      <c r="FI98" s="182"/>
      <c r="FJ98" s="182"/>
      <c r="FK98" s="182"/>
      <c r="FL98" s="182"/>
      <c r="FM98" s="221" t="str">
        <f t="shared" si="139"/>
        <v/>
      </c>
      <c r="FN98" s="221" t="str">
        <f t="shared" si="140"/>
        <v/>
      </c>
      <c r="FO98" s="221"/>
      <c r="FP98" s="221"/>
      <c r="FQ98" s="221"/>
      <c r="FR98" s="221"/>
      <c r="FS98" s="221"/>
      <c r="FT98" s="221"/>
      <c r="FU98" s="221"/>
      <c r="FV98" s="221"/>
      <c r="FW98" s="221"/>
      <c r="FX98" s="221"/>
      <c r="FY98" s="221"/>
      <c r="FZ98" s="408"/>
      <c r="GA98" s="315">
        <f t="shared" si="141"/>
        <v>0</v>
      </c>
      <c r="GB98" s="315" t="str">
        <f t="shared" si="142"/>
        <v/>
      </c>
      <c r="GC98" s="182" t="s">
        <v>160</v>
      </c>
      <c r="GD98" s="182"/>
      <c r="GE98" s="182"/>
      <c r="GG98" s="460"/>
      <c r="GH98" s="460"/>
      <c r="GU98" s="469"/>
      <c r="GV98" s="470" t="str">
        <f t="shared" si="143"/>
        <v/>
      </c>
      <c r="GW98" s="302">
        <f t="shared" si="144"/>
        <v>0</v>
      </c>
      <c r="HA98" s="654"/>
      <c r="HD98" s="379"/>
      <c r="HE98" s="380"/>
      <c r="HH98" s="383"/>
      <c r="HI98" s="410"/>
      <c r="HJ98" s="302" t="str">
        <f t="shared" si="119"/>
        <v/>
      </c>
      <c r="HO98" s="302" t="str">
        <f t="shared" si="112"/>
        <v/>
      </c>
      <c r="HP98" s="302" t="str">
        <f t="shared" si="113"/>
        <v/>
      </c>
      <c r="HQ98" s="302" t="str">
        <f t="shared" si="114"/>
        <v/>
      </c>
      <c r="IT98" s="410"/>
      <c r="IU98" s="410"/>
      <c r="IV98" s="635"/>
    </row>
    <row r="99" spans="1:256" s="302" customFormat="1" ht="12.75" hidden="1" customHeight="1">
      <c r="A99" s="397" t="str">
        <f t="shared" si="111"/>
        <v/>
      </c>
      <c r="B99" s="462" t="str">
        <f t="shared" si="115"/>
        <v/>
      </c>
      <c r="C99" s="426"/>
      <c r="D99" s="575"/>
      <c r="E99" s="463"/>
      <c r="F99" s="464"/>
      <c r="G99" s="465"/>
      <c r="H99" s="465"/>
      <c r="I99" s="466"/>
      <c r="J99" s="463"/>
      <c r="K99" s="465"/>
      <c r="L99" s="465"/>
      <c r="M99" s="466"/>
      <c r="N99" s="573"/>
      <c r="O99" s="467"/>
      <c r="P99" s="518"/>
      <c r="Q99" s="381"/>
      <c r="R99" s="182"/>
      <c r="S99" s="182"/>
      <c r="T99" s="182"/>
      <c r="U99" s="182"/>
      <c r="V99" s="182"/>
      <c r="W99" s="182"/>
      <c r="X99" s="182"/>
      <c r="Y99" s="182"/>
      <c r="Z99" s="182"/>
      <c r="AA99" s="384"/>
      <c r="AB99" s="182" t="str">
        <f t="shared" si="120"/>
        <v/>
      </c>
      <c r="AC99" s="315">
        <f t="shared" si="121"/>
        <v>0</v>
      </c>
      <c r="AD99" s="315" t="str">
        <f t="shared" si="116"/>
        <v/>
      </c>
      <c r="AE99" s="182"/>
      <c r="AF99" s="182"/>
      <c r="AG99" s="182"/>
      <c r="AH99" s="221"/>
      <c r="AI99" s="221"/>
      <c r="AJ99" s="221"/>
      <c r="AK99" s="221"/>
      <c r="AL99" s="221"/>
      <c r="AM99" s="221"/>
      <c r="AN99" s="221"/>
      <c r="AO99" s="221"/>
      <c r="AP99" s="221"/>
      <c r="AQ99" s="182"/>
      <c r="AR99" s="182"/>
      <c r="AS99" s="182"/>
      <c r="AT99" s="182"/>
      <c r="AU99" s="221" t="str">
        <f t="shared" si="122"/>
        <v/>
      </c>
      <c r="AV99" s="221" t="str">
        <f t="shared" si="123"/>
        <v/>
      </c>
      <c r="AW99" s="221"/>
      <c r="AX99" s="221"/>
      <c r="AY99" s="221"/>
      <c r="AZ99" s="221"/>
      <c r="BA99" s="221"/>
      <c r="BB99" s="221"/>
      <c r="BC99" s="221"/>
      <c r="BD99" s="221"/>
      <c r="BE99" s="221"/>
      <c r="BF99" s="469">
        <f t="shared" si="124"/>
        <v>0</v>
      </c>
      <c r="BG99" s="315">
        <f t="shared" si="125"/>
        <v>0</v>
      </c>
      <c r="BH99" s="315" t="str">
        <f t="shared" si="126"/>
        <v/>
      </c>
      <c r="BI99" s="182"/>
      <c r="BJ99" s="182"/>
      <c r="BK99" s="182"/>
      <c r="BL99" s="221"/>
      <c r="BM99" s="221"/>
      <c r="BN99" s="221"/>
      <c r="BO99" s="221"/>
      <c r="BP99" s="221"/>
      <c r="BQ99" s="221"/>
      <c r="BR99" s="221"/>
      <c r="BS99" s="221"/>
      <c r="BT99" s="221"/>
      <c r="BU99" s="182"/>
      <c r="BV99" s="182"/>
      <c r="BW99" s="182"/>
      <c r="BX99" s="182"/>
      <c r="BY99" s="221" t="str">
        <f t="shared" si="127"/>
        <v/>
      </c>
      <c r="BZ99" s="221" t="str">
        <f t="shared" si="128"/>
        <v/>
      </c>
      <c r="CA99" s="221"/>
      <c r="CB99" s="221"/>
      <c r="CC99" s="221"/>
      <c r="CD99" s="221"/>
      <c r="CE99" s="221"/>
      <c r="CF99" s="221"/>
      <c r="CG99" s="221"/>
      <c r="CH99" s="221"/>
      <c r="CI99" s="221"/>
      <c r="CJ99" s="469">
        <f t="shared" si="129"/>
        <v>0</v>
      </c>
      <c r="CK99" s="315">
        <f t="shared" si="130"/>
        <v>0</v>
      </c>
      <c r="CL99" s="315" t="str">
        <f t="shared" si="131"/>
        <v/>
      </c>
      <c r="CM99" s="182"/>
      <c r="CN99" s="182"/>
      <c r="CO99" s="182"/>
      <c r="CP99" s="221"/>
      <c r="CQ99" s="221"/>
      <c r="CR99" s="221"/>
      <c r="CS99" s="221"/>
      <c r="CT99" s="221"/>
      <c r="CU99" s="221"/>
      <c r="CV99" s="221"/>
      <c r="CW99" s="221"/>
      <c r="CX99" s="221"/>
      <c r="CY99" s="221"/>
      <c r="CZ99" s="182"/>
      <c r="DA99" s="182"/>
      <c r="DB99" s="182"/>
      <c r="DC99" s="182"/>
      <c r="DD99" s="221" t="str">
        <f t="shared" si="117"/>
        <v/>
      </c>
      <c r="DE99" s="221" t="str">
        <f t="shared" si="118"/>
        <v/>
      </c>
      <c r="DF99" s="221"/>
      <c r="DG99" s="221"/>
      <c r="DH99" s="221"/>
      <c r="DI99" s="221"/>
      <c r="DJ99" s="221"/>
      <c r="DK99" s="221"/>
      <c r="DL99" s="221"/>
      <c r="DM99" s="221"/>
      <c r="DN99" s="221"/>
      <c r="DO99" s="469" t="str">
        <f t="shared" si="132"/>
        <v/>
      </c>
      <c r="DP99" s="315">
        <f t="shared" si="133"/>
        <v>0</v>
      </c>
      <c r="DQ99" s="315" t="str">
        <f t="shared" si="134"/>
        <v/>
      </c>
      <c r="DR99" s="182"/>
      <c r="DS99" s="182"/>
      <c r="DT99" s="182"/>
      <c r="DU99" s="221"/>
      <c r="DV99" s="221"/>
      <c r="DW99" s="221"/>
      <c r="DX99" s="221"/>
      <c r="DY99" s="221"/>
      <c r="DZ99" s="221"/>
      <c r="EA99" s="221"/>
      <c r="EB99" s="221"/>
      <c r="EC99" s="221"/>
      <c r="ED99" s="182"/>
      <c r="EE99" s="182"/>
      <c r="EF99" s="182"/>
      <c r="EG99" s="182"/>
      <c r="EH99" s="221" t="str">
        <f t="shared" si="135"/>
        <v/>
      </c>
      <c r="EI99" s="221" t="str">
        <f t="shared" si="136"/>
        <v/>
      </c>
      <c r="EJ99" s="221"/>
      <c r="EK99" s="221"/>
      <c r="EL99" s="221"/>
      <c r="EM99" s="221"/>
      <c r="EN99" s="221"/>
      <c r="EO99" s="221"/>
      <c r="EP99" s="221"/>
      <c r="EQ99" s="221"/>
      <c r="ER99" s="221"/>
      <c r="ES99" s="221"/>
      <c r="ET99" s="221"/>
      <c r="EU99" s="315">
        <f t="shared" si="137"/>
        <v>0</v>
      </c>
      <c r="EV99" s="315" t="str">
        <f t="shared" si="138"/>
        <v/>
      </c>
      <c r="EW99" s="182"/>
      <c r="EX99" s="182"/>
      <c r="EY99" s="182"/>
      <c r="EZ99" s="221"/>
      <c r="FA99" s="221"/>
      <c r="FB99" s="221"/>
      <c r="FC99" s="221"/>
      <c r="FD99" s="221"/>
      <c r="FE99" s="221"/>
      <c r="FF99" s="221"/>
      <c r="FG99" s="221"/>
      <c r="FH99" s="221"/>
      <c r="FI99" s="182"/>
      <c r="FJ99" s="182"/>
      <c r="FK99" s="182"/>
      <c r="FL99" s="182"/>
      <c r="FM99" s="221" t="str">
        <f t="shared" si="139"/>
        <v/>
      </c>
      <c r="FN99" s="221" t="str">
        <f t="shared" si="140"/>
        <v/>
      </c>
      <c r="FO99" s="221"/>
      <c r="FP99" s="221"/>
      <c r="FQ99" s="221"/>
      <c r="FR99" s="221"/>
      <c r="FS99" s="221"/>
      <c r="FT99" s="221"/>
      <c r="FU99" s="221"/>
      <c r="FV99" s="221"/>
      <c r="FW99" s="221"/>
      <c r="FX99" s="221"/>
      <c r="FY99" s="221"/>
      <c r="FZ99" s="408"/>
      <c r="GA99" s="315">
        <f t="shared" si="141"/>
        <v>0</v>
      </c>
      <c r="GB99" s="315" t="str">
        <f t="shared" si="142"/>
        <v/>
      </c>
      <c r="GC99" s="302" t="s">
        <v>160</v>
      </c>
      <c r="GG99" s="460"/>
      <c r="GH99" s="460"/>
      <c r="GU99" s="469"/>
      <c r="GV99" s="470" t="str">
        <f t="shared" si="143"/>
        <v/>
      </c>
      <c r="GW99" s="302">
        <f t="shared" si="144"/>
        <v>0</v>
      </c>
      <c r="HA99" s="654"/>
      <c r="HD99" s="379"/>
      <c r="HE99" s="380"/>
      <c r="HH99" s="385"/>
      <c r="HI99" s="411"/>
      <c r="HJ99" s="302" t="str">
        <f t="shared" si="119"/>
        <v/>
      </c>
      <c r="HO99" s="302" t="str">
        <f t="shared" si="112"/>
        <v/>
      </c>
      <c r="HP99" s="302" t="str">
        <f t="shared" si="113"/>
        <v/>
      </c>
      <c r="HQ99" s="302" t="str">
        <f t="shared" si="114"/>
        <v/>
      </c>
      <c r="IT99" s="411"/>
      <c r="IU99" s="411"/>
      <c r="IV99" s="635"/>
    </row>
    <row r="100" spans="1:256" s="302" customFormat="1" ht="12.75" hidden="1" customHeight="1">
      <c r="A100" s="397" t="str">
        <f t="shared" si="111"/>
        <v/>
      </c>
      <c r="B100" s="462" t="str">
        <f t="shared" si="115"/>
        <v/>
      </c>
      <c r="C100" s="426"/>
      <c r="D100" s="575"/>
      <c r="E100" s="463"/>
      <c r="F100" s="464"/>
      <c r="G100" s="465"/>
      <c r="H100" s="465"/>
      <c r="I100" s="466"/>
      <c r="J100" s="463"/>
      <c r="K100" s="465"/>
      <c r="L100" s="465"/>
      <c r="M100" s="466"/>
      <c r="N100" s="573"/>
      <c r="O100" s="467"/>
      <c r="P100" s="518"/>
      <c r="Q100" s="381"/>
      <c r="R100" s="182"/>
      <c r="S100" s="182"/>
      <c r="T100" s="182"/>
      <c r="U100" s="182"/>
      <c r="V100" s="182"/>
      <c r="W100" s="182"/>
      <c r="X100" s="182"/>
      <c r="Y100" s="182"/>
      <c r="Z100" s="182"/>
      <c r="AA100" s="382"/>
      <c r="AB100" s="182" t="str">
        <f t="shared" si="120"/>
        <v/>
      </c>
      <c r="AC100" s="315">
        <f t="shared" si="121"/>
        <v>0</v>
      </c>
      <c r="AD100" s="315" t="str">
        <f t="shared" si="116"/>
        <v/>
      </c>
      <c r="AE100" s="182"/>
      <c r="AF100" s="182"/>
      <c r="AG100" s="182"/>
      <c r="AH100" s="221"/>
      <c r="AI100" s="221"/>
      <c r="AJ100" s="221"/>
      <c r="AK100" s="221"/>
      <c r="AL100" s="221"/>
      <c r="AM100" s="221"/>
      <c r="AN100" s="221"/>
      <c r="AO100" s="221"/>
      <c r="AP100" s="221"/>
      <c r="AQ100" s="182"/>
      <c r="AR100" s="182"/>
      <c r="AS100" s="182"/>
      <c r="AT100" s="182"/>
      <c r="AU100" s="221" t="str">
        <f t="shared" si="122"/>
        <v/>
      </c>
      <c r="AV100" s="221" t="str">
        <f t="shared" si="123"/>
        <v/>
      </c>
      <c r="AW100" s="221"/>
      <c r="AX100" s="221"/>
      <c r="AY100" s="221"/>
      <c r="AZ100" s="221"/>
      <c r="BA100" s="221"/>
      <c r="BB100" s="221"/>
      <c r="BC100" s="221"/>
      <c r="BD100" s="221"/>
      <c r="BE100" s="221"/>
      <c r="BF100" s="468">
        <f t="shared" si="124"/>
        <v>0</v>
      </c>
      <c r="BG100" s="315">
        <f t="shared" si="125"/>
        <v>0</v>
      </c>
      <c r="BH100" s="315" t="str">
        <f t="shared" si="126"/>
        <v/>
      </c>
      <c r="BI100" s="182"/>
      <c r="BJ100" s="182"/>
      <c r="BK100" s="182"/>
      <c r="BL100" s="221"/>
      <c r="BM100" s="221"/>
      <c r="BN100" s="221"/>
      <c r="BO100" s="221"/>
      <c r="BP100" s="221"/>
      <c r="BQ100" s="221"/>
      <c r="BR100" s="221"/>
      <c r="BS100" s="221"/>
      <c r="BT100" s="221"/>
      <c r="BU100" s="182"/>
      <c r="BV100" s="182"/>
      <c r="BW100" s="182"/>
      <c r="BX100" s="182"/>
      <c r="BY100" s="221" t="str">
        <f t="shared" si="127"/>
        <v/>
      </c>
      <c r="BZ100" s="221" t="str">
        <f t="shared" si="128"/>
        <v/>
      </c>
      <c r="CA100" s="221"/>
      <c r="CB100" s="221"/>
      <c r="CC100" s="221"/>
      <c r="CD100" s="221"/>
      <c r="CE100" s="221"/>
      <c r="CF100" s="221"/>
      <c r="CG100" s="221"/>
      <c r="CH100" s="221"/>
      <c r="CI100" s="221"/>
      <c r="CJ100" s="468">
        <f t="shared" si="129"/>
        <v>0</v>
      </c>
      <c r="CK100" s="315">
        <f t="shared" si="130"/>
        <v>0</v>
      </c>
      <c r="CL100" s="315" t="str">
        <f t="shared" si="131"/>
        <v/>
      </c>
      <c r="CM100" s="182"/>
      <c r="CN100" s="182"/>
      <c r="CO100" s="182"/>
      <c r="CP100" s="221"/>
      <c r="CQ100" s="221"/>
      <c r="CR100" s="221"/>
      <c r="CS100" s="221"/>
      <c r="CT100" s="221"/>
      <c r="CU100" s="221"/>
      <c r="CV100" s="221"/>
      <c r="CW100" s="221"/>
      <c r="CX100" s="221"/>
      <c r="CY100" s="221"/>
      <c r="CZ100" s="182"/>
      <c r="DA100" s="182"/>
      <c r="DB100" s="182"/>
      <c r="DC100" s="182"/>
      <c r="DD100" s="221" t="str">
        <f t="shared" si="117"/>
        <v/>
      </c>
      <c r="DE100" s="221" t="str">
        <f t="shared" si="118"/>
        <v/>
      </c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469" t="str">
        <f t="shared" si="132"/>
        <v/>
      </c>
      <c r="DP100" s="315">
        <f t="shared" si="133"/>
        <v>0</v>
      </c>
      <c r="DQ100" s="315" t="str">
        <f t="shared" si="134"/>
        <v/>
      </c>
      <c r="DR100" s="182"/>
      <c r="DS100" s="182"/>
      <c r="DT100" s="182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182"/>
      <c r="EE100" s="182"/>
      <c r="EF100" s="182"/>
      <c r="EG100" s="182"/>
      <c r="EH100" s="221" t="str">
        <f t="shared" si="135"/>
        <v/>
      </c>
      <c r="EI100" s="221" t="str">
        <f t="shared" si="136"/>
        <v/>
      </c>
      <c r="EJ100" s="221"/>
      <c r="EK100" s="221"/>
      <c r="EL100" s="221"/>
      <c r="EM100" s="221"/>
      <c r="EN100" s="221"/>
      <c r="EO100" s="221"/>
      <c r="EP100" s="221"/>
      <c r="EQ100" s="221"/>
      <c r="ER100" s="221"/>
      <c r="ES100" s="221"/>
      <c r="ET100" s="221"/>
      <c r="EU100" s="315">
        <f t="shared" si="137"/>
        <v>0</v>
      </c>
      <c r="EV100" s="315" t="str">
        <f t="shared" si="138"/>
        <v/>
      </c>
      <c r="EW100" s="182"/>
      <c r="EX100" s="182"/>
      <c r="EY100" s="182"/>
      <c r="EZ100" s="221"/>
      <c r="FA100" s="221"/>
      <c r="FB100" s="221"/>
      <c r="FC100" s="221"/>
      <c r="FD100" s="221"/>
      <c r="FE100" s="221"/>
      <c r="FF100" s="221"/>
      <c r="FG100" s="221"/>
      <c r="FH100" s="221"/>
      <c r="FI100" s="182"/>
      <c r="FJ100" s="182"/>
      <c r="FK100" s="182"/>
      <c r="FL100" s="182"/>
      <c r="FM100" s="221" t="str">
        <f t="shared" si="139"/>
        <v/>
      </c>
      <c r="FN100" s="221" t="str">
        <f t="shared" si="140"/>
        <v/>
      </c>
      <c r="FO100" s="221"/>
      <c r="FP100" s="221"/>
      <c r="FQ100" s="221"/>
      <c r="FR100" s="221"/>
      <c r="FS100" s="221"/>
      <c r="FT100" s="221"/>
      <c r="FU100" s="221"/>
      <c r="FV100" s="221"/>
      <c r="FW100" s="221"/>
      <c r="FX100" s="221"/>
      <c r="FY100" s="221"/>
      <c r="FZ100" s="408"/>
      <c r="GA100" s="315">
        <f t="shared" si="141"/>
        <v>0</v>
      </c>
      <c r="GB100" s="315" t="str">
        <f t="shared" si="142"/>
        <v/>
      </c>
      <c r="GC100" s="182" t="s">
        <v>160</v>
      </c>
      <c r="GD100" s="182"/>
      <c r="GE100" s="182"/>
      <c r="GG100" s="460"/>
      <c r="GH100" s="460"/>
      <c r="GU100" s="469"/>
      <c r="GV100" s="470" t="str">
        <f t="shared" si="143"/>
        <v/>
      </c>
      <c r="GW100" s="302">
        <f t="shared" si="144"/>
        <v>0</v>
      </c>
      <c r="HA100" s="654"/>
      <c r="HD100" s="379"/>
      <c r="HE100" s="380"/>
      <c r="HH100" s="383"/>
      <c r="HI100" s="410"/>
      <c r="HJ100" s="302" t="str">
        <f t="shared" si="119"/>
        <v/>
      </c>
      <c r="HO100" s="302" t="str">
        <f t="shared" si="112"/>
        <v/>
      </c>
      <c r="HP100" s="302" t="str">
        <f t="shared" si="113"/>
        <v/>
      </c>
      <c r="HQ100" s="302" t="str">
        <f t="shared" si="114"/>
        <v/>
      </c>
      <c r="IT100" s="410"/>
      <c r="IU100" s="410"/>
      <c r="IV100" s="635"/>
    </row>
    <row r="101" spans="1:256" s="302" customFormat="1" ht="12.75" hidden="1" customHeight="1">
      <c r="A101" s="397" t="str">
        <f t="shared" si="111"/>
        <v/>
      </c>
      <c r="B101" s="462" t="str">
        <f t="shared" si="115"/>
        <v/>
      </c>
      <c r="C101" s="426"/>
      <c r="D101" s="575"/>
      <c r="E101" s="463"/>
      <c r="F101" s="464"/>
      <c r="G101" s="465"/>
      <c r="H101" s="465"/>
      <c r="I101" s="466"/>
      <c r="J101" s="463"/>
      <c r="K101" s="465"/>
      <c r="L101" s="465"/>
      <c r="M101" s="466"/>
      <c r="N101" s="573"/>
      <c r="O101" s="467"/>
      <c r="P101" s="518"/>
      <c r="Q101" s="381"/>
      <c r="R101" s="182"/>
      <c r="S101" s="182"/>
      <c r="T101" s="182"/>
      <c r="U101" s="182"/>
      <c r="V101" s="182"/>
      <c r="W101" s="182"/>
      <c r="X101" s="182"/>
      <c r="Y101" s="182"/>
      <c r="Z101" s="182"/>
      <c r="AA101" s="384"/>
      <c r="AB101" s="182" t="str">
        <f t="shared" si="120"/>
        <v/>
      </c>
      <c r="AC101" s="315">
        <f t="shared" si="121"/>
        <v>0</v>
      </c>
      <c r="AD101" s="315" t="str">
        <f t="shared" si="116"/>
        <v/>
      </c>
      <c r="AE101" s="182"/>
      <c r="AF101" s="182"/>
      <c r="AG101" s="182"/>
      <c r="AH101" s="221"/>
      <c r="AI101" s="221"/>
      <c r="AJ101" s="221"/>
      <c r="AK101" s="221"/>
      <c r="AL101" s="221"/>
      <c r="AM101" s="221"/>
      <c r="AN101" s="221"/>
      <c r="AO101" s="221"/>
      <c r="AP101" s="221"/>
      <c r="AQ101" s="182"/>
      <c r="AR101" s="182"/>
      <c r="AS101" s="182"/>
      <c r="AT101" s="182"/>
      <c r="AU101" s="221" t="str">
        <f t="shared" si="122"/>
        <v/>
      </c>
      <c r="AV101" s="221" t="str">
        <f t="shared" si="123"/>
        <v/>
      </c>
      <c r="AW101" s="221"/>
      <c r="AX101" s="221"/>
      <c r="AY101" s="221"/>
      <c r="AZ101" s="221"/>
      <c r="BA101" s="221"/>
      <c r="BB101" s="221"/>
      <c r="BC101" s="221"/>
      <c r="BD101" s="221"/>
      <c r="BE101" s="221"/>
      <c r="BF101" s="469">
        <f t="shared" si="124"/>
        <v>0</v>
      </c>
      <c r="BG101" s="315">
        <f t="shared" si="125"/>
        <v>0</v>
      </c>
      <c r="BH101" s="315" t="str">
        <f t="shared" si="126"/>
        <v/>
      </c>
      <c r="BI101" s="182"/>
      <c r="BJ101" s="182"/>
      <c r="BK101" s="182"/>
      <c r="BL101" s="221"/>
      <c r="BM101" s="221"/>
      <c r="BN101" s="221"/>
      <c r="BO101" s="221"/>
      <c r="BP101" s="221"/>
      <c r="BQ101" s="221"/>
      <c r="BR101" s="221"/>
      <c r="BS101" s="221"/>
      <c r="BT101" s="221"/>
      <c r="BU101" s="182"/>
      <c r="BV101" s="182"/>
      <c r="BW101" s="182"/>
      <c r="BX101" s="182"/>
      <c r="BY101" s="221" t="str">
        <f t="shared" si="127"/>
        <v/>
      </c>
      <c r="BZ101" s="221" t="str">
        <f t="shared" si="128"/>
        <v/>
      </c>
      <c r="CA101" s="221"/>
      <c r="CB101" s="221"/>
      <c r="CC101" s="221"/>
      <c r="CD101" s="221"/>
      <c r="CE101" s="221"/>
      <c r="CF101" s="221"/>
      <c r="CG101" s="221"/>
      <c r="CH101" s="221"/>
      <c r="CI101" s="221"/>
      <c r="CJ101" s="469">
        <f t="shared" si="129"/>
        <v>0</v>
      </c>
      <c r="CK101" s="315">
        <f t="shared" si="130"/>
        <v>0</v>
      </c>
      <c r="CL101" s="315" t="str">
        <f t="shared" si="131"/>
        <v/>
      </c>
      <c r="CM101" s="182"/>
      <c r="CN101" s="182"/>
      <c r="CO101" s="182"/>
      <c r="CP101" s="221"/>
      <c r="CQ101" s="221"/>
      <c r="CR101" s="221"/>
      <c r="CS101" s="221"/>
      <c r="CT101" s="221"/>
      <c r="CU101" s="221"/>
      <c r="CV101" s="221"/>
      <c r="CW101" s="221"/>
      <c r="CX101" s="221"/>
      <c r="CY101" s="221"/>
      <c r="CZ101" s="182"/>
      <c r="DA101" s="182"/>
      <c r="DB101" s="182"/>
      <c r="DC101" s="182"/>
      <c r="DD101" s="221" t="str">
        <f t="shared" si="117"/>
        <v/>
      </c>
      <c r="DE101" s="221" t="str">
        <f t="shared" si="118"/>
        <v/>
      </c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469" t="str">
        <f t="shared" si="132"/>
        <v/>
      </c>
      <c r="DP101" s="315">
        <f t="shared" si="133"/>
        <v>0</v>
      </c>
      <c r="DQ101" s="315" t="str">
        <f t="shared" si="134"/>
        <v/>
      </c>
      <c r="DR101" s="182"/>
      <c r="DS101" s="182"/>
      <c r="DT101" s="182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182"/>
      <c r="EE101" s="182"/>
      <c r="EF101" s="182"/>
      <c r="EG101" s="182"/>
      <c r="EH101" s="221" t="str">
        <f t="shared" si="135"/>
        <v/>
      </c>
      <c r="EI101" s="221" t="str">
        <f t="shared" si="136"/>
        <v/>
      </c>
      <c r="EJ101" s="221"/>
      <c r="EK101" s="221"/>
      <c r="EL101" s="221"/>
      <c r="EM101" s="221"/>
      <c r="EN101" s="221"/>
      <c r="EO101" s="221"/>
      <c r="EP101" s="221"/>
      <c r="EQ101" s="221"/>
      <c r="ER101" s="221"/>
      <c r="ES101" s="221"/>
      <c r="ET101" s="221"/>
      <c r="EU101" s="315">
        <f t="shared" si="137"/>
        <v>0</v>
      </c>
      <c r="EV101" s="315" t="str">
        <f t="shared" si="138"/>
        <v/>
      </c>
      <c r="EW101" s="182"/>
      <c r="EX101" s="182"/>
      <c r="EY101" s="182"/>
      <c r="EZ101" s="221"/>
      <c r="FA101" s="221"/>
      <c r="FB101" s="221"/>
      <c r="FC101" s="221"/>
      <c r="FD101" s="221"/>
      <c r="FE101" s="221"/>
      <c r="FF101" s="221"/>
      <c r="FG101" s="221"/>
      <c r="FH101" s="221"/>
      <c r="FI101" s="182"/>
      <c r="FJ101" s="182"/>
      <c r="FK101" s="182"/>
      <c r="FL101" s="182"/>
      <c r="FM101" s="221" t="str">
        <f t="shared" si="139"/>
        <v/>
      </c>
      <c r="FN101" s="221" t="str">
        <f t="shared" si="140"/>
        <v/>
      </c>
      <c r="FO101" s="221"/>
      <c r="FP101" s="221"/>
      <c r="FQ101" s="221"/>
      <c r="FR101" s="221"/>
      <c r="FS101" s="221"/>
      <c r="FT101" s="221"/>
      <c r="FU101" s="221"/>
      <c r="FV101" s="221"/>
      <c r="FW101" s="221"/>
      <c r="FX101" s="221"/>
      <c r="FY101" s="221"/>
      <c r="FZ101" s="408"/>
      <c r="GA101" s="315">
        <f t="shared" si="141"/>
        <v>0</v>
      </c>
      <c r="GB101" s="315" t="str">
        <f t="shared" si="142"/>
        <v/>
      </c>
      <c r="GC101" s="182" t="s">
        <v>160</v>
      </c>
      <c r="GD101" s="182"/>
      <c r="GE101" s="182"/>
      <c r="GG101" s="460"/>
      <c r="GH101" s="460"/>
      <c r="GU101" s="469"/>
      <c r="GV101" s="470" t="str">
        <f t="shared" si="143"/>
        <v/>
      </c>
      <c r="GW101" s="302">
        <f t="shared" si="144"/>
        <v>0</v>
      </c>
      <c r="HA101" s="654"/>
      <c r="HD101" s="379"/>
      <c r="HE101" s="380"/>
      <c r="HH101" s="385"/>
      <c r="HI101" s="411"/>
      <c r="HJ101" s="302" t="str">
        <f t="shared" si="119"/>
        <v/>
      </c>
      <c r="HO101" s="302" t="str">
        <f t="shared" si="112"/>
        <v/>
      </c>
      <c r="HP101" s="302" t="str">
        <f t="shared" si="113"/>
        <v/>
      </c>
      <c r="HQ101" s="302" t="str">
        <f t="shared" si="114"/>
        <v/>
      </c>
      <c r="IT101" s="411"/>
      <c r="IU101" s="411"/>
      <c r="IV101" s="635"/>
    </row>
    <row r="102" spans="1:256" s="302" customFormat="1" ht="12.75" hidden="1" customHeight="1">
      <c r="A102" s="397" t="str">
        <f t="shared" si="111"/>
        <v/>
      </c>
      <c r="B102" s="462" t="str">
        <f t="shared" si="115"/>
        <v/>
      </c>
      <c r="C102" s="426"/>
      <c r="D102" s="575"/>
      <c r="E102" s="463"/>
      <c r="F102" s="464"/>
      <c r="G102" s="465"/>
      <c r="H102" s="465"/>
      <c r="I102" s="466"/>
      <c r="J102" s="463"/>
      <c r="K102" s="465"/>
      <c r="L102" s="465"/>
      <c r="M102" s="466"/>
      <c r="N102" s="573"/>
      <c r="O102" s="467"/>
      <c r="P102" s="518"/>
      <c r="Q102" s="381"/>
      <c r="R102" s="182"/>
      <c r="S102" s="182"/>
      <c r="T102" s="182"/>
      <c r="U102" s="182"/>
      <c r="V102" s="182"/>
      <c r="W102" s="182"/>
      <c r="X102" s="182"/>
      <c r="Y102" s="182"/>
      <c r="Z102" s="182"/>
      <c r="AA102" s="384"/>
      <c r="AB102" s="182" t="str">
        <f t="shared" si="120"/>
        <v/>
      </c>
      <c r="AC102" s="315">
        <f t="shared" si="121"/>
        <v>0</v>
      </c>
      <c r="AD102" s="315" t="str">
        <f t="shared" si="116"/>
        <v/>
      </c>
      <c r="AE102" s="182"/>
      <c r="AF102" s="182"/>
      <c r="AG102" s="182"/>
      <c r="AH102" s="221"/>
      <c r="AI102" s="221"/>
      <c r="AJ102" s="221"/>
      <c r="AK102" s="221"/>
      <c r="AL102" s="221"/>
      <c r="AM102" s="221"/>
      <c r="AN102" s="221"/>
      <c r="AO102" s="221"/>
      <c r="AP102" s="221"/>
      <c r="AQ102" s="182"/>
      <c r="AR102" s="182"/>
      <c r="AS102" s="182"/>
      <c r="AT102" s="182"/>
      <c r="AU102" s="221" t="str">
        <f t="shared" si="122"/>
        <v/>
      </c>
      <c r="AV102" s="221" t="str">
        <f t="shared" si="123"/>
        <v/>
      </c>
      <c r="AW102" s="221"/>
      <c r="AX102" s="221"/>
      <c r="AY102" s="221"/>
      <c r="AZ102" s="221"/>
      <c r="BA102" s="221"/>
      <c r="BB102" s="221"/>
      <c r="BC102" s="221"/>
      <c r="BD102" s="221"/>
      <c r="BE102" s="221"/>
      <c r="BF102" s="469">
        <f t="shared" si="124"/>
        <v>0</v>
      </c>
      <c r="BG102" s="315">
        <f t="shared" si="125"/>
        <v>0</v>
      </c>
      <c r="BH102" s="315" t="str">
        <f t="shared" si="126"/>
        <v/>
      </c>
      <c r="BI102" s="182"/>
      <c r="BJ102" s="182"/>
      <c r="BK102" s="182"/>
      <c r="BL102" s="221"/>
      <c r="BM102" s="221"/>
      <c r="BN102" s="221"/>
      <c r="BO102" s="221"/>
      <c r="BP102" s="221"/>
      <c r="BQ102" s="221"/>
      <c r="BR102" s="221"/>
      <c r="BS102" s="221"/>
      <c r="BT102" s="221"/>
      <c r="BU102" s="182"/>
      <c r="BV102" s="182"/>
      <c r="BW102" s="182"/>
      <c r="BX102" s="182"/>
      <c r="BY102" s="221" t="str">
        <f t="shared" si="127"/>
        <v/>
      </c>
      <c r="BZ102" s="221" t="str">
        <f t="shared" si="128"/>
        <v/>
      </c>
      <c r="CA102" s="221"/>
      <c r="CB102" s="221"/>
      <c r="CC102" s="221"/>
      <c r="CD102" s="221"/>
      <c r="CE102" s="221"/>
      <c r="CF102" s="221"/>
      <c r="CG102" s="221"/>
      <c r="CH102" s="221"/>
      <c r="CI102" s="221"/>
      <c r="CJ102" s="469">
        <f t="shared" si="129"/>
        <v>0</v>
      </c>
      <c r="CK102" s="315">
        <f t="shared" si="130"/>
        <v>0</v>
      </c>
      <c r="CL102" s="315" t="str">
        <f t="shared" si="131"/>
        <v/>
      </c>
      <c r="CM102" s="182"/>
      <c r="CN102" s="182"/>
      <c r="CO102" s="182"/>
      <c r="CP102" s="221"/>
      <c r="CQ102" s="221"/>
      <c r="CR102" s="221"/>
      <c r="CS102" s="221"/>
      <c r="CT102" s="221"/>
      <c r="CU102" s="221"/>
      <c r="CV102" s="221"/>
      <c r="CW102" s="221"/>
      <c r="CX102" s="221"/>
      <c r="CY102" s="221"/>
      <c r="CZ102" s="182"/>
      <c r="DA102" s="182"/>
      <c r="DB102" s="182"/>
      <c r="DC102" s="182"/>
      <c r="DD102" s="221" t="str">
        <f t="shared" si="117"/>
        <v/>
      </c>
      <c r="DE102" s="221" t="str">
        <f t="shared" si="118"/>
        <v/>
      </c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469" t="str">
        <f t="shared" si="132"/>
        <v/>
      </c>
      <c r="DP102" s="315">
        <f t="shared" si="133"/>
        <v>0</v>
      </c>
      <c r="DQ102" s="315" t="str">
        <f t="shared" si="134"/>
        <v/>
      </c>
      <c r="DR102" s="182"/>
      <c r="DS102" s="182"/>
      <c r="DT102" s="182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182"/>
      <c r="EE102" s="182"/>
      <c r="EF102" s="182"/>
      <c r="EG102" s="182"/>
      <c r="EH102" s="221" t="str">
        <f t="shared" si="135"/>
        <v/>
      </c>
      <c r="EI102" s="221" t="str">
        <f t="shared" si="136"/>
        <v/>
      </c>
      <c r="EJ102" s="221"/>
      <c r="EK102" s="221"/>
      <c r="EL102" s="221"/>
      <c r="EM102" s="221"/>
      <c r="EN102" s="221"/>
      <c r="EO102" s="221"/>
      <c r="EP102" s="221"/>
      <c r="EQ102" s="221"/>
      <c r="ER102" s="221"/>
      <c r="ES102" s="221"/>
      <c r="ET102" s="221"/>
      <c r="EU102" s="315">
        <f t="shared" si="137"/>
        <v>0</v>
      </c>
      <c r="EV102" s="315" t="str">
        <f t="shared" si="138"/>
        <v/>
      </c>
      <c r="EW102" s="182"/>
      <c r="EX102" s="182"/>
      <c r="EY102" s="182"/>
      <c r="EZ102" s="221"/>
      <c r="FA102" s="221"/>
      <c r="FB102" s="221"/>
      <c r="FC102" s="221"/>
      <c r="FD102" s="221"/>
      <c r="FE102" s="221"/>
      <c r="FF102" s="221"/>
      <c r="FG102" s="221"/>
      <c r="FH102" s="221"/>
      <c r="FI102" s="182"/>
      <c r="FJ102" s="182"/>
      <c r="FK102" s="182"/>
      <c r="FL102" s="182"/>
      <c r="FM102" s="221" t="str">
        <f t="shared" si="139"/>
        <v/>
      </c>
      <c r="FN102" s="221" t="str">
        <f t="shared" si="140"/>
        <v/>
      </c>
      <c r="FO102" s="221"/>
      <c r="FP102" s="221"/>
      <c r="FQ102" s="221"/>
      <c r="FR102" s="221"/>
      <c r="FS102" s="221"/>
      <c r="FT102" s="221"/>
      <c r="FU102" s="221"/>
      <c r="FV102" s="221"/>
      <c r="FW102" s="221"/>
      <c r="FX102" s="221"/>
      <c r="FY102" s="221"/>
      <c r="FZ102" s="408"/>
      <c r="GA102" s="315">
        <f t="shared" si="141"/>
        <v>0</v>
      </c>
      <c r="GB102" s="315" t="str">
        <f t="shared" si="142"/>
        <v/>
      </c>
      <c r="GC102" s="302" t="s">
        <v>160</v>
      </c>
      <c r="GG102" s="460"/>
      <c r="GH102" s="460"/>
      <c r="GU102" s="469"/>
      <c r="GV102" s="470" t="str">
        <f t="shared" si="143"/>
        <v/>
      </c>
      <c r="GW102" s="302">
        <f t="shared" si="144"/>
        <v>0</v>
      </c>
      <c r="HA102" s="654"/>
      <c r="HD102" s="379"/>
      <c r="HE102" s="380"/>
      <c r="HH102" s="385"/>
      <c r="HI102" s="411"/>
      <c r="HJ102" s="302" t="str">
        <f t="shared" si="119"/>
        <v/>
      </c>
      <c r="HO102" s="302" t="str">
        <f t="shared" si="112"/>
        <v/>
      </c>
      <c r="HP102" s="302" t="str">
        <f t="shared" si="113"/>
        <v/>
      </c>
      <c r="HQ102" s="302" t="str">
        <f t="shared" si="114"/>
        <v/>
      </c>
      <c r="IT102" s="411"/>
      <c r="IU102" s="411"/>
      <c r="IV102" s="635"/>
    </row>
    <row r="103" spans="1:256" s="302" customFormat="1" ht="12.75" hidden="1" customHeight="1">
      <c r="A103" s="397" t="str">
        <f t="shared" si="111"/>
        <v/>
      </c>
      <c r="B103" s="462" t="str">
        <f t="shared" si="115"/>
        <v/>
      </c>
      <c r="C103" s="426"/>
      <c r="D103" s="575"/>
      <c r="E103" s="463"/>
      <c r="F103" s="464"/>
      <c r="G103" s="465"/>
      <c r="H103" s="465"/>
      <c r="I103" s="466"/>
      <c r="J103" s="463"/>
      <c r="K103" s="465"/>
      <c r="L103" s="465"/>
      <c r="M103" s="466"/>
      <c r="N103" s="573"/>
      <c r="O103" s="467"/>
      <c r="P103" s="518"/>
      <c r="Q103" s="381"/>
      <c r="R103" s="182"/>
      <c r="S103" s="182"/>
      <c r="T103" s="182"/>
      <c r="U103" s="182"/>
      <c r="V103" s="182"/>
      <c r="W103" s="182"/>
      <c r="X103" s="182"/>
      <c r="Y103" s="182"/>
      <c r="Z103" s="182"/>
      <c r="AA103" s="382"/>
      <c r="AB103" s="182" t="str">
        <f t="shared" si="120"/>
        <v/>
      </c>
      <c r="AC103" s="315">
        <f t="shared" si="121"/>
        <v>0</v>
      </c>
      <c r="AD103" s="315" t="str">
        <f t="shared" si="116"/>
        <v/>
      </c>
      <c r="AE103" s="182"/>
      <c r="AF103" s="182"/>
      <c r="AG103" s="182"/>
      <c r="AH103" s="221"/>
      <c r="AI103" s="221"/>
      <c r="AJ103" s="221"/>
      <c r="AK103" s="221"/>
      <c r="AL103" s="221"/>
      <c r="AM103" s="221"/>
      <c r="AN103" s="221"/>
      <c r="AO103" s="221"/>
      <c r="AP103" s="221"/>
      <c r="AQ103" s="182"/>
      <c r="AR103" s="182"/>
      <c r="AS103" s="182"/>
      <c r="AT103" s="182"/>
      <c r="AU103" s="221" t="str">
        <f t="shared" si="122"/>
        <v/>
      </c>
      <c r="AV103" s="221" t="str">
        <f t="shared" si="123"/>
        <v/>
      </c>
      <c r="AW103" s="221"/>
      <c r="AX103" s="221"/>
      <c r="AY103" s="221"/>
      <c r="AZ103" s="221"/>
      <c r="BA103" s="221"/>
      <c r="BB103" s="221"/>
      <c r="BC103" s="221"/>
      <c r="BD103" s="221"/>
      <c r="BE103" s="221"/>
      <c r="BF103" s="468">
        <f t="shared" si="124"/>
        <v>0</v>
      </c>
      <c r="BG103" s="315">
        <f t="shared" si="125"/>
        <v>0</v>
      </c>
      <c r="BH103" s="315" t="str">
        <f t="shared" si="126"/>
        <v/>
      </c>
      <c r="BI103" s="182"/>
      <c r="BJ103" s="182"/>
      <c r="BK103" s="182"/>
      <c r="BL103" s="221"/>
      <c r="BM103" s="221"/>
      <c r="BN103" s="221"/>
      <c r="BO103" s="221"/>
      <c r="BP103" s="221"/>
      <c r="BQ103" s="221"/>
      <c r="BR103" s="221"/>
      <c r="BS103" s="221"/>
      <c r="BT103" s="221"/>
      <c r="BU103" s="182"/>
      <c r="BV103" s="182"/>
      <c r="BW103" s="182"/>
      <c r="BX103" s="182"/>
      <c r="BY103" s="221" t="str">
        <f t="shared" si="127"/>
        <v/>
      </c>
      <c r="BZ103" s="221" t="str">
        <f t="shared" si="128"/>
        <v/>
      </c>
      <c r="CA103" s="221"/>
      <c r="CB103" s="221"/>
      <c r="CC103" s="221"/>
      <c r="CD103" s="221"/>
      <c r="CE103" s="221"/>
      <c r="CF103" s="221"/>
      <c r="CG103" s="221"/>
      <c r="CH103" s="221"/>
      <c r="CI103" s="221"/>
      <c r="CJ103" s="468">
        <f t="shared" si="129"/>
        <v>0</v>
      </c>
      <c r="CK103" s="315">
        <f t="shared" si="130"/>
        <v>0</v>
      </c>
      <c r="CL103" s="315" t="str">
        <f t="shared" si="131"/>
        <v/>
      </c>
      <c r="CM103" s="182"/>
      <c r="CN103" s="182"/>
      <c r="CO103" s="182"/>
      <c r="CP103" s="221"/>
      <c r="CQ103" s="221"/>
      <c r="CR103" s="221"/>
      <c r="CS103" s="221"/>
      <c r="CT103" s="221"/>
      <c r="CU103" s="221"/>
      <c r="CV103" s="221"/>
      <c r="CW103" s="221"/>
      <c r="CX103" s="221"/>
      <c r="CY103" s="221"/>
      <c r="CZ103" s="182"/>
      <c r="DA103" s="182"/>
      <c r="DB103" s="182"/>
      <c r="DC103" s="182"/>
      <c r="DD103" s="221" t="str">
        <f t="shared" si="117"/>
        <v/>
      </c>
      <c r="DE103" s="221" t="str">
        <f t="shared" si="118"/>
        <v/>
      </c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469" t="str">
        <f t="shared" si="132"/>
        <v/>
      </c>
      <c r="DP103" s="315">
        <f t="shared" si="133"/>
        <v>0</v>
      </c>
      <c r="DQ103" s="315" t="str">
        <f t="shared" si="134"/>
        <v/>
      </c>
      <c r="DR103" s="182"/>
      <c r="DS103" s="182"/>
      <c r="DT103" s="182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182"/>
      <c r="EE103" s="182"/>
      <c r="EF103" s="182"/>
      <c r="EG103" s="182"/>
      <c r="EH103" s="221" t="str">
        <f t="shared" si="135"/>
        <v/>
      </c>
      <c r="EI103" s="221" t="str">
        <f t="shared" si="136"/>
        <v/>
      </c>
      <c r="EJ103" s="221"/>
      <c r="EK103" s="221"/>
      <c r="EL103" s="221"/>
      <c r="EM103" s="221"/>
      <c r="EN103" s="221"/>
      <c r="EO103" s="221"/>
      <c r="EP103" s="221"/>
      <c r="EQ103" s="221"/>
      <c r="ER103" s="221"/>
      <c r="ES103" s="221"/>
      <c r="ET103" s="221"/>
      <c r="EU103" s="315">
        <f t="shared" si="137"/>
        <v>0</v>
      </c>
      <c r="EV103" s="315" t="str">
        <f t="shared" si="138"/>
        <v/>
      </c>
      <c r="EW103" s="182"/>
      <c r="EX103" s="182"/>
      <c r="EY103" s="182"/>
      <c r="EZ103" s="221"/>
      <c r="FA103" s="221"/>
      <c r="FB103" s="221"/>
      <c r="FC103" s="221"/>
      <c r="FD103" s="221"/>
      <c r="FE103" s="221"/>
      <c r="FF103" s="221"/>
      <c r="FG103" s="221"/>
      <c r="FH103" s="221"/>
      <c r="FI103" s="182"/>
      <c r="FJ103" s="182"/>
      <c r="FK103" s="182"/>
      <c r="FL103" s="182"/>
      <c r="FM103" s="221" t="str">
        <f t="shared" si="139"/>
        <v/>
      </c>
      <c r="FN103" s="221" t="str">
        <f t="shared" si="140"/>
        <v/>
      </c>
      <c r="FO103" s="221"/>
      <c r="FP103" s="221"/>
      <c r="FQ103" s="221"/>
      <c r="FR103" s="221"/>
      <c r="FS103" s="221"/>
      <c r="FT103" s="221"/>
      <c r="FU103" s="221"/>
      <c r="FV103" s="221"/>
      <c r="FW103" s="221"/>
      <c r="FX103" s="221"/>
      <c r="FY103" s="221"/>
      <c r="FZ103" s="408"/>
      <c r="GA103" s="315">
        <f t="shared" si="141"/>
        <v>0</v>
      </c>
      <c r="GB103" s="315" t="str">
        <f t="shared" si="142"/>
        <v/>
      </c>
      <c r="GC103" s="182" t="s">
        <v>160</v>
      </c>
      <c r="GD103" s="182"/>
      <c r="GE103" s="182"/>
      <c r="GG103" s="460"/>
      <c r="GH103" s="460"/>
      <c r="GU103" s="469"/>
      <c r="GV103" s="470" t="str">
        <f t="shared" si="143"/>
        <v/>
      </c>
      <c r="GW103" s="302">
        <f t="shared" si="144"/>
        <v>0</v>
      </c>
      <c r="HA103" s="654"/>
      <c r="HD103" s="379"/>
      <c r="HE103" s="380"/>
      <c r="HH103" s="383"/>
      <c r="HI103" s="410"/>
      <c r="HJ103" s="302" t="str">
        <f t="shared" si="119"/>
        <v/>
      </c>
      <c r="HO103" s="302" t="str">
        <f t="shared" si="112"/>
        <v/>
      </c>
      <c r="HP103" s="302" t="str">
        <f t="shared" si="113"/>
        <v/>
      </c>
      <c r="HQ103" s="302" t="str">
        <f t="shared" si="114"/>
        <v/>
      </c>
      <c r="IT103" s="410"/>
      <c r="IU103" s="410"/>
      <c r="IV103" s="635"/>
    </row>
    <row r="104" spans="1:256" s="302" customFormat="1" ht="12.75" hidden="1" customHeight="1">
      <c r="A104" s="397" t="str">
        <f t="shared" si="111"/>
        <v/>
      </c>
      <c r="B104" s="462" t="str">
        <f t="shared" si="115"/>
        <v/>
      </c>
      <c r="C104" s="426"/>
      <c r="D104" s="575"/>
      <c r="E104" s="463"/>
      <c r="F104" s="464"/>
      <c r="G104" s="465"/>
      <c r="H104" s="465"/>
      <c r="I104" s="466"/>
      <c r="J104" s="463"/>
      <c r="K104" s="465"/>
      <c r="L104" s="465"/>
      <c r="M104" s="466"/>
      <c r="N104" s="573"/>
      <c r="O104" s="467"/>
      <c r="P104" s="518"/>
      <c r="Q104" s="381"/>
      <c r="R104" s="182"/>
      <c r="S104" s="182"/>
      <c r="T104" s="182"/>
      <c r="U104" s="182"/>
      <c r="V104" s="182"/>
      <c r="W104" s="182"/>
      <c r="X104" s="182"/>
      <c r="Y104" s="182"/>
      <c r="Z104" s="182"/>
      <c r="AA104" s="384"/>
      <c r="AB104" s="182" t="str">
        <f t="shared" si="120"/>
        <v/>
      </c>
      <c r="AC104" s="315">
        <f t="shared" si="121"/>
        <v>0</v>
      </c>
      <c r="AD104" s="315" t="str">
        <f t="shared" si="116"/>
        <v/>
      </c>
      <c r="AE104" s="182"/>
      <c r="AF104" s="182"/>
      <c r="AG104" s="182"/>
      <c r="AH104" s="221"/>
      <c r="AI104" s="221"/>
      <c r="AJ104" s="221"/>
      <c r="AK104" s="221"/>
      <c r="AL104" s="221"/>
      <c r="AM104" s="221"/>
      <c r="AN104" s="221"/>
      <c r="AO104" s="221"/>
      <c r="AP104" s="221"/>
      <c r="AQ104" s="182"/>
      <c r="AR104" s="182"/>
      <c r="AS104" s="182"/>
      <c r="AT104" s="182"/>
      <c r="AU104" s="221" t="str">
        <f t="shared" si="122"/>
        <v/>
      </c>
      <c r="AV104" s="221" t="str">
        <f t="shared" si="123"/>
        <v/>
      </c>
      <c r="AW104" s="221"/>
      <c r="AX104" s="221"/>
      <c r="AY104" s="221"/>
      <c r="AZ104" s="221"/>
      <c r="BA104" s="221"/>
      <c r="BB104" s="221"/>
      <c r="BC104" s="221"/>
      <c r="BD104" s="221"/>
      <c r="BE104" s="221"/>
      <c r="BF104" s="469">
        <f t="shared" si="124"/>
        <v>0</v>
      </c>
      <c r="BG104" s="315">
        <f t="shared" si="125"/>
        <v>0</v>
      </c>
      <c r="BH104" s="315" t="str">
        <f t="shared" si="126"/>
        <v/>
      </c>
      <c r="BI104" s="182"/>
      <c r="BJ104" s="182"/>
      <c r="BK104" s="182"/>
      <c r="BL104" s="221"/>
      <c r="BM104" s="221"/>
      <c r="BN104" s="221"/>
      <c r="BO104" s="221"/>
      <c r="BP104" s="221"/>
      <c r="BQ104" s="221"/>
      <c r="BR104" s="221"/>
      <c r="BS104" s="221"/>
      <c r="BT104" s="221"/>
      <c r="BU104" s="182"/>
      <c r="BV104" s="182"/>
      <c r="BW104" s="182"/>
      <c r="BX104" s="182"/>
      <c r="BY104" s="221" t="str">
        <f t="shared" si="127"/>
        <v/>
      </c>
      <c r="BZ104" s="221" t="str">
        <f t="shared" si="128"/>
        <v/>
      </c>
      <c r="CA104" s="221"/>
      <c r="CB104" s="221"/>
      <c r="CC104" s="221"/>
      <c r="CD104" s="221"/>
      <c r="CE104" s="221"/>
      <c r="CF104" s="221"/>
      <c r="CG104" s="221"/>
      <c r="CH104" s="221"/>
      <c r="CI104" s="221"/>
      <c r="CJ104" s="469">
        <f t="shared" si="129"/>
        <v>0</v>
      </c>
      <c r="CK104" s="315">
        <f t="shared" si="130"/>
        <v>0</v>
      </c>
      <c r="CL104" s="315" t="str">
        <f t="shared" si="131"/>
        <v/>
      </c>
      <c r="CM104" s="182"/>
      <c r="CN104" s="182"/>
      <c r="CO104" s="182"/>
      <c r="CP104" s="221"/>
      <c r="CQ104" s="221"/>
      <c r="CR104" s="221"/>
      <c r="CS104" s="221"/>
      <c r="CT104" s="221"/>
      <c r="CU104" s="221"/>
      <c r="CV104" s="221"/>
      <c r="CW104" s="221"/>
      <c r="CX104" s="221"/>
      <c r="CY104" s="221"/>
      <c r="CZ104" s="182"/>
      <c r="DA104" s="182"/>
      <c r="DB104" s="182"/>
      <c r="DC104" s="182"/>
      <c r="DD104" s="221" t="str">
        <f t="shared" si="117"/>
        <v/>
      </c>
      <c r="DE104" s="221" t="str">
        <f t="shared" si="118"/>
        <v/>
      </c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469" t="str">
        <f t="shared" si="132"/>
        <v/>
      </c>
      <c r="DP104" s="315">
        <f t="shared" si="133"/>
        <v>0</v>
      </c>
      <c r="DQ104" s="315" t="str">
        <f t="shared" si="134"/>
        <v/>
      </c>
      <c r="DR104" s="182"/>
      <c r="DS104" s="182"/>
      <c r="DT104" s="182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182"/>
      <c r="EE104" s="182"/>
      <c r="EF104" s="182"/>
      <c r="EG104" s="182"/>
      <c r="EH104" s="221" t="str">
        <f t="shared" si="135"/>
        <v/>
      </c>
      <c r="EI104" s="221" t="str">
        <f t="shared" si="136"/>
        <v/>
      </c>
      <c r="EJ104" s="221"/>
      <c r="EK104" s="221"/>
      <c r="EL104" s="221"/>
      <c r="EM104" s="221"/>
      <c r="EN104" s="221"/>
      <c r="EO104" s="221"/>
      <c r="EP104" s="221"/>
      <c r="EQ104" s="221"/>
      <c r="ER104" s="221"/>
      <c r="ES104" s="221"/>
      <c r="ET104" s="221"/>
      <c r="EU104" s="315">
        <f t="shared" si="137"/>
        <v>0</v>
      </c>
      <c r="EV104" s="315" t="str">
        <f t="shared" si="138"/>
        <v/>
      </c>
      <c r="EW104" s="182"/>
      <c r="EX104" s="182"/>
      <c r="EY104" s="182"/>
      <c r="EZ104" s="221"/>
      <c r="FA104" s="221"/>
      <c r="FB104" s="221"/>
      <c r="FC104" s="221"/>
      <c r="FD104" s="221"/>
      <c r="FE104" s="221"/>
      <c r="FF104" s="221"/>
      <c r="FG104" s="221"/>
      <c r="FH104" s="221"/>
      <c r="FI104" s="182"/>
      <c r="FJ104" s="182"/>
      <c r="FK104" s="182"/>
      <c r="FL104" s="182"/>
      <c r="FM104" s="221" t="str">
        <f t="shared" si="139"/>
        <v/>
      </c>
      <c r="FN104" s="221" t="str">
        <f t="shared" si="140"/>
        <v/>
      </c>
      <c r="FO104" s="221"/>
      <c r="FP104" s="221"/>
      <c r="FQ104" s="221"/>
      <c r="FR104" s="221"/>
      <c r="FS104" s="221"/>
      <c r="FT104" s="221"/>
      <c r="FU104" s="221"/>
      <c r="FV104" s="221"/>
      <c r="FW104" s="221"/>
      <c r="FX104" s="221"/>
      <c r="FY104" s="221"/>
      <c r="FZ104" s="408"/>
      <c r="GA104" s="315">
        <f t="shared" si="141"/>
        <v>0</v>
      </c>
      <c r="GB104" s="315" t="str">
        <f t="shared" si="142"/>
        <v/>
      </c>
      <c r="GC104" s="182" t="s">
        <v>160</v>
      </c>
      <c r="GD104" s="182"/>
      <c r="GE104" s="182"/>
      <c r="GG104" s="460"/>
      <c r="GH104" s="460"/>
      <c r="GU104" s="469"/>
      <c r="GV104" s="470" t="str">
        <f t="shared" si="143"/>
        <v/>
      </c>
      <c r="GW104" s="302">
        <f t="shared" si="144"/>
        <v>0</v>
      </c>
      <c r="HA104" s="654"/>
      <c r="HD104" s="379"/>
      <c r="HE104" s="380"/>
      <c r="HH104" s="385"/>
      <c r="HI104" s="411"/>
      <c r="HJ104" s="302" t="str">
        <f t="shared" si="119"/>
        <v/>
      </c>
      <c r="HO104" s="302" t="str">
        <f t="shared" si="112"/>
        <v/>
      </c>
      <c r="HP104" s="302" t="str">
        <f t="shared" si="113"/>
        <v/>
      </c>
      <c r="HQ104" s="302" t="str">
        <f t="shared" si="114"/>
        <v/>
      </c>
      <c r="IT104" s="411"/>
      <c r="IU104" s="411"/>
      <c r="IV104" s="635"/>
    </row>
    <row r="105" spans="1:256" s="302" customFormat="1" ht="12.75" hidden="1" customHeight="1">
      <c r="A105" s="397" t="str">
        <f t="shared" si="111"/>
        <v/>
      </c>
      <c r="B105" s="462" t="str">
        <f t="shared" si="115"/>
        <v/>
      </c>
      <c r="C105" s="426"/>
      <c r="D105" s="575"/>
      <c r="E105" s="463"/>
      <c r="F105" s="464"/>
      <c r="G105" s="465"/>
      <c r="H105" s="465"/>
      <c r="I105" s="466"/>
      <c r="J105" s="463"/>
      <c r="K105" s="465"/>
      <c r="L105" s="465"/>
      <c r="M105" s="466"/>
      <c r="N105" s="573"/>
      <c r="O105" s="467"/>
      <c r="P105" s="518"/>
      <c r="Q105" s="381"/>
      <c r="R105" s="182"/>
      <c r="S105" s="182"/>
      <c r="T105" s="182"/>
      <c r="U105" s="182"/>
      <c r="V105" s="182"/>
      <c r="W105" s="182"/>
      <c r="X105" s="182"/>
      <c r="Y105" s="182"/>
      <c r="Z105" s="182"/>
      <c r="AA105" s="382"/>
      <c r="AB105" s="182" t="str">
        <f t="shared" si="120"/>
        <v/>
      </c>
      <c r="AC105" s="315">
        <f t="shared" si="121"/>
        <v>0</v>
      </c>
      <c r="AD105" s="315" t="str">
        <f t="shared" si="116"/>
        <v/>
      </c>
      <c r="AE105" s="182"/>
      <c r="AF105" s="182"/>
      <c r="AG105" s="182"/>
      <c r="AH105" s="221"/>
      <c r="AI105" s="221"/>
      <c r="AJ105" s="221"/>
      <c r="AK105" s="221"/>
      <c r="AL105" s="221"/>
      <c r="AM105" s="221"/>
      <c r="AN105" s="221"/>
      <c r="AO105" s="221"/>
      <c r="AP105" s="221"/>
      <c r="AQ105" s="182"/>
      <c r="AR105" s="182"/>
      <c r="AS105" s="182"/>
      <c r="AT105" s="182"/>
      <c r="AU105" s="221" t="str">
        <f t="shared" si="122"/>
        <v/>
      </c>
      <c r="AV105" s="221" t="str">
        <f t="shared" si="123"/>
        <v/>
      </c>
      <c r="AW105" s="221"/>
      <c r="AX105" s="221"/>
      <c r="AY105" s="221"/>
      <c r="AZ105" s="221"/>
      <c r="BA105" s="221"/>
      <c r="BB105" s="221"/>
      <c r="BC105" s="221"/>
      <c r="BD105" s="221"/>
      <c r="BE105" s="221"/>
      <c r="BF105" s="468">
        <f t="shared" si="124"/>
        <v>0</v>
      </c>
      <c r="BG105" s="315">
        <f t="shared" si="125"/>
        <v>0</v>
      </c>
      <c r="BH105" s="315" t="str">
        <f t="shared" si="126"/>
        <v/>
      </c>
      <c r="BI105" s="182"/>
      <c r="BJ105" s="182"/>
      <c r="BK105" s="182"/>
      <c r="BL105" s="221"/>
      <c r="BM105" s="221"/>
      <c r="BN105" s="221"/>
      <c r="BO105" s="221"/>
      <c r="BP105" s="221"/>
      <c r="BQ105" s="221"/>
      <c r="BR105" s="221"/>
      <c r="BS105" s="221"/>
      <c r="BT105" s="221"/>
      <c r="BU105" s="182"/>
      <c r="BV105" s="182"/>
      <c r="BW105" s="182"/>
      <c r="BX105" s="182"/>
      <c r="BY105" s="221" t="str">
        <f t="shared" si="127"/>
        <v/>
      </c>
      <c r="BZ105" s="221" t="str">
        <f t="shared" si="128"/>
        <v/>
      </c>
      <c r="CA105" s="221"/>
      <c r="CB105" s="221"/>
      <c r="CC105" s="221"/>
      <c r="CD105" s="221"/>
      <c r="CE105" s="221"/>
      <c r="CF105" s="221"/>
      <c r="CG105" s="221"/>
      <c r="CH105" s="221"/>
      <c r="CI105" s="221"/>
      <c r="CJ105" s="468">
        <f t="shared" si="129"/>
        <v>0</v>
      </c>
      <c r="CK105" s="315">
        <f t="shared" si="130"/>
        <v>0</v>
      </c>
      <c r="CL105" s="315" t="str">
        <f t="shared" si="131"/>
        <v/>
      </c>
      <c r="CM105" s="182"/>
      <c r="CN105" s="182"/>
      <c r="CO105" s="182"/>
      <c r="CP105" s="221"/>
      <c r="CQ105" s="221"/>
      <c r="CR105" s="221"/>
      <c r="CS105" s="221"/>
      <c r="CT105" s="221"/>
      <c r="CU105" s="221"/>
      <c r="CV105" s="221"/>
      <c r="CW105" s="221"/>
      <c r="CX105" s="221"/>
      <c r="CY105" s="221"/>
      <c r="CZ105" s="182"/>
      <c r="DA105" s="182"/>
      <c r="DB105" s="182"/>
      <c r="DC105" s="182"/>
      <c r="DD105" s="221" t="str">
        <f t="shared" si="117"/>
        <v/>
      </c>
      <c r="DE105" s="221" t="str">
        <f t="shared" si="118"/>
        <v/>
      </c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469" t="str">
        <f t="shared" si="132"/>
        <v/>
      </c>
      <c r="DP105" s="315">
        <f t="shared" si="133"/>
        <v>0</v>
      </c>
      <c r="DQ105" s="315" t="str">
        <f t="shared" si="134"/>
        <v/>
      </c>
      <c r="DR105" s="182"/>
      <c r="DS105" s="182"/>
      <c r="DT105" s="182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182"/>
      <c r="EE105" s="182"/>
      <c r="EF105" s="182"/>
      <c r="EG105" s="182"/>
      <c r="EH105" s="221" t="str">
        <f t="shared" si="135"/>
        <v/>
      </c>
      <c r="EI105" s="221" t="str">
        <f t="shared" si="136"/>
        <v/>
      </c>
      <c r="EJ105" s="221"/>
      <c r="EK105" s="221"/>
      <c r="EL105" s="221"/>
      <c r="EM105" s="221"/>
      <c r="EN105" s="221"/>
      <c r="EO105" s="221"/>
      <c r="EP105" s="221"/>
      <c r="EQ105" s="221"/>
      <c r="ER105" s="221"/>
      <c r="ES105" s="221"/>
      <c r="ET105" s="221"/>
      <c r="EU105" s="315">
        <f t="shared" si="137"/>
        <v>0</v>
      </c>
      <c r="EV105" s="315" t="str">
        <f t="shared" si="138"/>
        <v/>
      </c>
      <c r="EW105" s="182"/>
      <c r="EX105" s="182"/>
      <c r="EY105" s="182"/>
      <c r="EZ105" s="221"/>
      <c r="FA105" s="221"/>
      <c r="FB105" s="221"/>
      <c r="FC105" s="221"/>
      <c r="FD105" s="221"/>
      <c r="FE105" s="221"/>
      <c r="FF105" s="221"/>
      <c r="FG105" s="221"/>
      <c r="FH105" s="221"/>
      <c r="FI105" s="182"/>
      <c r="FJ105" s="182"/>
      <c r="FK105" s="182"/>
      <c r="FL105" s="182"/>
      <c r="FM105" s="221" t="str">
        <f t="shared" si="139"/>
        <v/>
      </c>
      <c r="FN105" s="221" t="str">
        <f t="shared" si="140"/>
        <v/>
      </c>
      <c r="FO105" s="221"/>
      <c r="FP105" s="221"/>
      <c r="FQ105" s="221"/>
      <c r="FR105" s="221"/>
      <c r="FS105" s="221"/>
      <c r="FT105" s="221"/>
      <c r="FU105" s="221"/>
      <c r="FV105" s="221"/>
      <c r="FW105" s="221"/>
      <c r="FX105" s="221"/>
      <c r="FY105" s="221"/>
      <c r="FZ105" s="408"/>
      <c r="GA105" s="315">
        <f t="shared" si="141"/>
        <v>0</v>
      </c>
      <c r="GB105" s="315" t="str">
        <f t="shared" si="142"/>
        <v/>
      </c>
      <c r="GC105" s="182" t="s">
        <v>160</v>
      </c>
      <c r="GD105" s="182"/>
      <c r="GE105" s="182"/>
      <c r="GG105" s="460"/>
      <c r="GH105" s="460"/>
      <c r="GU105" s="469"/>
      <c r="GV105" s="470" t="str">
        <f t="shared" si="143"/>
        <v/>
      </c>
      <c r="GW105" s="302">
        <f t="shared" si="144"/>
        <v>0</v>
      </c>
      <c r="HA105" s="654"/>
      <c r="HD105" s="379"/>
      <c r="HE105" s="380"/>
      <c r="HH105" s="383"/>
      <c r="HI105" s="410"/>
      <c r="HJ105" s="302" t="str">
        <f t="shared" si="119"/>
        <v/>
      </c>
      <c r="HO105" s="302" t="str">
        <f t="shared" si="112"/>
        <v/>
      </c>
      <c r="HP105" s="302" t="str">
        <f t="shared" si="113"/>
        <v/>
      </c>
      <c r="HQ105" s="302" t="str">
        <f t="shared" si="114"/>
        <v/>
      </c>
      <c r="IT105" s="410"/>
      <c r="IU105" s="410"/>
      <c r="IV105" s="635"/>
    </row>
    <row r="106" spans="1:256" s="302" customFormat="1" ht="12.75" hidden="1" customHeight="1">
      <c r="A106" s="397" t="str">
        <f t="shared" si="111"/>
        <v/>
      </c>
      <c r="B106" s="462" t="str">
        <f t="shared" si="115"/>
        <v/>
      </c>
      <c r="C106" s="426"/>
      <c r="D106" s="575"/>
      <c r="E106" s="463"/>
      <c r="F106" s="464"/>
      <c r="G106" s="465"/>
      <c r="H106" s="465"/>
      <c r="I106" s="466"/>
      <c r="J106" s="463"/>
      <c r="K106" s="465"/>
      <c r="L106" s="465"/>
      <c r="M106" s="466"/>
      <c r="N106" s="573"/>
      <c r="O106" s="467"/>
      <c r="P106" s="518"/>
      <c r="Q106" s="381"/>
      <c r="R106" s="182"/>
      <c r="S106" s="182"/>
      <c r="T106" s="182"/>
      <c r="U106" s="182"/>
      <c r="V106" s="182"/>
      <c r="W106" s="182"/>
      <c r="X106" s="182"/>
      <c r="Y106" s="182"/>
      <c r="Z106" s="182"/>
      <c r="AA106" s="382"/>
      <c r="AB106" s="182" t="str">
        <f t="shared" si="120"/>
        <v/>
      </c>
      <c r="AC106" s="315">
        <f t="shared" si="121"/>
        <v>0</v>
      </c>
      <c r="AD106" s="315" t="str">
        <f t="shared" si="116"/>
        <v/>
      </c>
      <c r="AE106" s="182"/>
      <c r="AF106" s="182"/>
      <c r="AG106" s="182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182"/>
      <c r="AR106" s="182"/>
      <c r="AS106" s="182"/>
      <c r="AT106" s="182"/>
      <c r="AU106" s="221" t="str">
        <f t="shared" si="122"/>
        <v/>
      </c>
      <c r="AV106" s="221" t="str">
        <f t="shared" si="123"/>
        <v/>
      </c>
      <c r="AW106" s="221"/>
      <c r="AX106" s="221"/>
      <c r="AY106" s="221"/>
      <c r="AZ106" s="221"/>
      <c r="BA106" s="221"/>
      <c r="BB106" s="221"/>
      <c r="BC106" s="221"/>
      <c r="BD106" s="221"/>
      <c r="BE106" s="221"/>
      <c r="BF106" s="468">
        <f t="shared" si="124"/>
        <v>0</v>
      </c>
      <c r="BG106" s="315">
        <f t="shared" si="125"/>
        <v>0</v>
      </c>
      <c r="BH106" s="315" t="str">
        <f t="shared" si="126"/>
        <v/>
      </c>
      <c r="BI106" s="182"/>
      <c r="BJ106" s="182"/>
      <c r="BK106" s="182"/>
      <c r="BL106" s="221"/>
      <c r="BM106" s="221"/>
      <c r="BN106" s="221"/>
      <c r="BO106" s="221"/>
      <c r="BP106" s="221"/>
      <c r="BQ106" s="221"/>
      <c r="BR106" s="221"/>
      <c r="BS106" s="221"/>
      <c r="BT106" s="221"/>
      <c r="BU106" s="182"/>
      <c r="BV106" s="182"/>
      <c r="BW106" s="182"/>
      <c r="BX106" s="182"/>
      <c r="BY106" s="221" t="str">
        <f t="shared" si="127"/>
        <v/>
      </c>
      <c r="BZ106" s="221" t="str">
        <f t="shared" si="128"/>
        <v/>
      </c>
      <c r="CA106" s="221"/>
      <c r="CB106" s="221"/>
      <c r="CC106" s="221"/>
      <c r="CD106" s="221"/>
      <c r="CE106" s="221"/>
      <c r="CF106" s="221"/>
      <c r="CG106" s="221"/>
      <c r="CH106" s="221"/>
      <c r="CI106" s="221"/>
      <c r="CJ106" s="468">
        <f t="shared" si="129"/>
        <v>0</v>
      </c>
      <c r="CK106" s="315">
        <f t="shared" si="130"/>
        <v>0</v>
      </c>
      <c r="CL106" s="315" t="str">
        <f t="shared" si="131"/>
        <v/>
      </c>
      <c r="CM106" s="182"/>
      <c r="CN106" s="182"/>
      <c r="CO106" s="182"/>
      <c r="CP106" s="221"/>
      <c r="CQ106" s="221"/>
      <c r="CR106" s="221"/>
      <c r="CS106" s="221"/>
      <c r="CT106" s="221"/>
      <c r="CU106" s="221"/>
      <c r="CV106" s="221"/>
      <c r="CW106" s="221"/>
      <c r="CX106" s="221"/>
      <c r="CY106" s="221"/>
      <c r="CZ106" s="182"/>
      <c r="DA106" s="182"/>
      <c r="DB106" s="182"/>
      <c r="DC106" s="182"/>
      <c r="DD106" s="221" t="str">
        <f t="shared" si="117"/>
        <v/>
      </c>
      <c r="DE106" s="221" t="str">
        <f t="shared" si="118"/>
        <v/>
      </c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469" t="str">
        <f t="shared" si="132"/>
        <v/>
      </c>
      <c r="DP106" s="315">
        <f t="shared" si="133"/>
        <v>0</v>
      </c>
      <c r="DQ106" s="315" t="str">
        <f t="shared" si="134"/>
        <v/>
      </c>
      <c r="DR106" s="182"/>
      <c r="DS106" s="182"/>
      <c r="DT106" s="182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182"/>
      <c r="EE106" s="182"/>
      <c r="EF106" s="182"/>
      <c r="EG106" s="182"/>
      <c r="EH106" s="221" t="str">
        <f t="shared" si="135"/>
        <v/>
      </c>
      <c r="EI106" s="221" t="str">
        <f t="shared" si="136"/>
        <v/>
      </c>
      <c r="EJ106" s="221"/>
      <c r="EK106" s="221"/>
      <c r="EL106" s="221"/>
      <c r="EM106" s="221"/>
      <c r="EN106" s="221"/>
      <c r="EO106" s="221"/>
      <c r="EP106" s="221"/>
      <c r="EQ106" s="221"/>
      <c r="ER106" s="221"/>
      <c r="ES106" s="221"/>
      <c r="ET106" s="221"/>
      <c r="EU106" s="315">
        <f t="shared" si="137"/>
        <v>0</v>
      </c>
      <c r="EV106" s="315" t="str">
        <f t="shared" si="138"/>
        <v/>
      </c>
      <c r="EW106" s="182"/>
      <c r="EX106" s="182"/>
      <c r="EY106" s="182"/>
      <c r="EZ106" s="221"/>
      <c r="FA106" s="221"/>
      <c r="FB106" s="221"/>
      <c r="FC106" s="221"/>
      <c r="FD106" s="221"/>
      <c r="FE106" s="221"/>
      <c r="FF106" s="221"/>
      <c r="FG106" s="221"/>
      <c r="FH106" s="221"/>
      <c r="FI106" s="182"/>
      <c r="FJ106" s="182"/>
      <c r="FK106" s="182"/>
      <c r="FL106" s="182"/>
      <c r="FM106" s="221" t="str">
        <f t="shared" si="139"/>
        <v/>
      </c>
      <c r="FN106" s="221" t="str">
        <f t="shared" si="140"/>
        <v/>
      </c>
      <c r="FO106" s="221"/>
      <c r="FP106" s="221"/>
      <c r="FQ106" s="221"/>
      <c r="FR106" s="221"/>
      <c r="FS106" s="221"/>
      <c r="FT106" s="221"/>
      <c r="FU106" s="221"/>
      <c r="FV106" s="221"/>
      <c r="FW106" s="221"/>
      <c r="FX106" s="221"/>
      <c r="FY106" s="221"/>
      <c r="FZ106" s="408"/>
      <c r="GA106" s="315">
        <f t="shared" si="141"/>
        <v>0</v>
      </c>
      <c r="GB106" s="315" t="str">
        <f t="shared" si="142"/>
        <v/>
      </c>
      <c r="GC106" s="182" t="s">
        <v>160</v>
      </c>
      <c r="GD106" s="182"/>
      <c r="GE106" s="182"/>
      <c r="GG106" s="460"/>
      <c r="GH106" s="460"/>
      <c r="GU106" s="469"/>
      <c r="GV106" s="470" t="str">
        <f t="shared" si="143"/>
        <v/>
      </c>
      <c r="GW106" s="302">
        <f t="shared" si="144"/>
        <v>0</v>
      </c>
      <c r="HA106" s="654"/>
      <c r="HD106" s="379"/>
      <c r="HE106" s="380"/>
      <c r="HH106" s="383"/>
      <c r="HI106" s="410"/>
      <c r="HJ106" s="302" t="str">
        <f t="shared" si="119"/>
        <v/>
      </c>
      <c r="HN106" s="380"/>
      <c r="HO106" s="302" t="str">
        <f t="shared" si="112"/>
        <v/>
      </c>
      <c r="HP106" s="302" t="str">
        <f t="shared" si="113"/>
        <v/>
      </c>
      <c r="HQ106" s="302" t="str">
        <f t="shared" si="114"/>
        <v/>
      </c>
      <c r="IT106" s="410"/>
      <c r="IU106" s="410"/>
      <c r="IV106" s="635"/>
    </row>
    <row r="107" spans="1:256" s="302" customFormat="1" ht="12.75" hidden="1" customHeight="1">
      <c r="A107" s="397" t="str">
        <f t="shared" si="111"/>
        <v/>
      </c>
      <c r="B107" s="462" t="str">
        <f t="shared" si="115"/>
        <v/>
      </c>
      <c r="C107" s="426"/>
      <c r="D107" s="575"/>
      <c r="E107" s="463"/>
      <c r="F107" s="464"/>
      <c r="G107" s="465"/>
      <c r="H107" s="465"/>
      <c r="I107" s="466"/>
      <c r="J107" s="463"/>
      <c r="K107" s="465"/>
      <c r="L107" s="465"/>
      <c r="M107" s="466"/>
      <c r="N107" s="573"/>
      <c r="O107" s="467"/>
      <c r="P107" s="518"/>
      <c r="Q107" s="381"/>
      <c r="R107" s="182"/>
      <c r="S107" s="182"/>
      <c r="T107" s="182"/>
      <c r="U107" s="182"/>
      <c r="V107" s="182"/>
      <c r="W107" s="182"/>
      <c r="X107" s="182"/>
      <c r="Y107" s="182"/>
      <c r="Z107" s="182"/>
      <c r="AA107" s="384"/>
      <c r="AB107" s="182" t="str">
        <f t="shared" si="120"/>
        <v/>
      </c>
      <c r="AC107" s="315">
        <f t="shared" si="121"/>
        <v>0</v>
      </c>
      <c r="AD107" s="315" t="str">
        <f t="shared" si="116"/>
        <v/>
      </c>
      <c r="AE107" s="182"/>
      <c r="AF107" s="182"/>
      <c r="AG107" s="182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182"/>
      <c r="AR107" s="182"/>
      <c r="AS107" s="182"/>
      <c r="AT107" s="182"/>
      <c r="AU107" s="221" t="str">
        <f t="shared" si="122"/>
        <v/>
      </c>
      <c r="AV107" s="221" t="str">
        <f t="shared" si="123"/>
        <v/>
      </c>
      <c r="AW107" s="221"/>
      <c r="AX107" s="221"/>
      <c r="AY107" s="221"/>
      <c r="AZ107" s="221"/>
      <c r="BA107" s="221"/>
      <c r="BB107" s="221"/>
      <c r="BC107" s="221"/>
      <c r="BD107" s="221"/>
      <c r="BE107" s="221"/>
      <c r="BF107" s="469">
        <f t="shared" si="124"/>
        <v>0</v>
      </c>
      <c r="BG107" s="315">
        <f t="shared" si="125"/>
        <v>0</v>
      </c>
      <c r="BH107" s="315" t="str">
        <f t="shared" si="126"/>
        <v/>
      </c>
      <c r="BI107" s="182"/>
      <c r="BJ107" s="182"/>
      <c r="BK107" s="182"/>
      <c r="BL107" s="221"/>
      <c r="BM107" s="221"/>
      <c r="BN107" s="221"/>
      <c r="BO107" s="221"/>
      <c r="BP107" s="221"/>
      <c r="BQ107" s="221"/>
      <c r="BR107" s="221"/>
      <c r="BS107" s="221"/>
      <c r="BT107" s="221"/>
      <c r="BU107" s="182"/>
      <c r="BV107" s="182"/>
      <c r="BW107" s="182"/>
      <c r="BX107" s="182"/>
      <c r="BY107" s="221" t="str">
        <f t="shared" si="127"/>
        <v/>
      </c>
      <c r="BZ107" s="221" t="str">
        <f t="shared" si="128"/>
        <v/>
      </c>
      <c r="CA107" s="221"/>
      <c r="CB107" s="221"/>
      <c r="CC107" s="221"/>
      <c r="CD107" s="221"/>
      <c r="CE107" s="221"/>
      <c r="CF107" s="221"/>
      <c r="CG107" s="221"/>
      <c r="CH107" s="221"/>
      <c r="CI107" s="221"/>
      <c r="CJ107" s="469">
        <f t="shared" si="129"/>
        <v>0</v>
      </c>
      <c r="CK107" s="315">
        <f t="shared" si="130"/>
        <v>0</v>
      </c>
      <c r="CL107" s="315" t="str">
        <f t="shared" si="131"/>
        <v/>
      </c>
      <c r="CM107" s="182"/>
      <c r="CN107" s="182"/>
      <c r="CO107" s="182"/>
      <c r="CP107" s="221"/>
      <c r="CQ107" s="221"/>
      <c r="CR107" s="221"/>
      <c r="CS107" s="221"/>
      <c r="CT107" s="221"/>
      <c r="CU107" s="221"/>
      <c r="CV107" s="221"/>
      <c r="CW107" s="221"/>
      <c r="CX107" s="221"/>
      <c r="CY107" s="221"/>
      <c r="CZ107" s="182"/>
      <c r="DA107" s="182"/>
      <c r="DB107" s="182"/>
      <c r="DC107" s="182"/>
      <c r="DD107" s="221" t="str">
        <f t="shared" si="117"/>
        <v/>
      </c>
      <c r="DE107" s="221" t="str">
        <f t="shared" si="118"/>
        <v/>
      </c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469" t="str">
        <f t="shared" si="132"/>
        <v/>
      </c>
      <c r="DP107" s="315">
        <f t="shared" si="133"/>
        <v>0</v>
      </c>
      <c r="DQ107" s="315" t="str">
        <f t="shared" si="134"/>
        <v/>
      </c>
      <c r="DR107" s="182"/>
      <c r="DS107" s="182"/>
      <c r="DT107" s="182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182"/>
      <c r="EE107" s="182"/>
      <c r="EF107" s="182"/>
      <c r="EG107" s="182"/>
      <c r="EH107" s="221" t="str">
        <f t="shared" si="135"/>
        <v/>
      </c>
      <c r="EI107" s="221" t="str">
        <f t="shared" si="136"/>
        <v/>
      </c>
      <c r="EJ107" s="221"/>
      <c r="EK107" s="221"/>
      <c r="EL107" s="221"/>
      <c r="EM107" s="221"/>
      <c r="EN107" s="221"/>
      <c r="EO107" s="221"/>
      <c r="EP107" s="221"/>
      <c r="EQ107" s="221"/>
      <c r="ER107" s="221"/>
      <c r="ES107" s="221"/>
      <c r="ET107" s="221"/>
      <c r="EU107" s="315">
        <f t="shared" si="137"/>
        <v>0</v>
      </c>
      <c r="EV107" s="315" t="str">
        <f t="shared" si="138"/>
        <v/>
      </c>
      <c r="EW107" s="182"/>
      <c r="EX107" s="182"/>
      <c r="EY107" s="182"/>
      <c r="EZ107" s="221"/>
      <c r="FA107" s="221"/>
      <c r="FB107" s="221"/>
      <c r="FC107" s="221"/>
      <c r="FD107" s="221"/>
      <c r="FE107" s="221"/>
      <c r="FF107" s="221"/>
      <c r="FG107" s="221"/>
      <c r="FH107" s="221"/>
      <c r="FI107" s="182"/>
      <c r="FJ107" s="182"/>
      <c r="FK107" s="182"/>
      <c r="FL107" s="182"/>
      <c r="FM107" s="221" t="str">
        <f t="shared" si="139"/>
        <v/>
      </c>
      <c r="FN107" s="221" t="str">
        <f t="shared" si="140"/>
        <v/>
      </c>
      <c r="FO107" s="221"/>
      <c r="FP107" s="221"/>
      <c r="FQ107" s="221"/>
      <c r="FR107" s="221"/>
      <c r="FS107" s="221"/>
      <c r="FT107" s="221"/>
      <c r="FU107" s="221"/>
      <c r="FV107" s="221"/>
      <c r="FW107" s="221"/>
      <c r="FX107" s="221"/>
      <c r="FY107" s="221"/>
      <c r="FZ107" s="408"/>
      <c r="GA107" s="315">
        <f t="shared" si="141"/>
        <v>0</v>
      </c>
      <c r="GB107" s="315" t="str">
        <f t="shared" si="142"/>
        <v/>
      </c>
      <c r="GC107" s="182" t="s">
        <v>160</v>
      </c>
      <c r="GD107" s="182"/>
      <c r="GE107" s="182"/>
      <c r="GG107" s="460"/>
      <c r="GH107" s="460"/>
      <c r="GU107" s="469"/>
      <c r="GV107" s="470" t="str">
        <f t="shared" si="143"/>
        <v/>
      </c>
      <c r="GW107" s="302">
        <f t="shared" si="144"/>
        <v>0</v>
      </c>
      <c r="HA107" s="654"/>
      <c r="HD107" s="379"/>
      <c r="HE107" s="380"/>
      <c r="HH107" s="385"/>
      <c r="HI107" s="411"/>
      <c r="HJ107" s="302" t="str">
        <f t="shared" si="119"/>
        <v/>
      </c>
      <c r="HO107" s="302" t="str">
        <f t="shared" si="112"/>
        <v/>
      </c>
      <c r="HP107" s="302" t="str">
        <f t="shared" si="113"/>
        <v/>
      </c>
      <c r="HQ107" s="302" t="str">
        <f t="shared" si="114"/>
        <v/>
      </c>
      <c r="IT107" s="411"/>
      <c r="IU107" s="411"/>
      <c r="IV107" s="635"/>
    </row>
    <row r="108" spans="1:256" s="302" customFormat="1" ht="12.75" hidden="1" customHeight="1">
      <c r="A108" s="397" t="str">
        <f t="shared" si="111"/>
        <v/>
      </c>
      <c r="B108" s="462" t="str">
        <f t="shared" si="115"/>
        <v/>
      </c>
      <c r="C108" s="426"/>
      <c r="D108" s="575"/>
      <c r="E108" s="463"/>
      <c r="F108" s="464"/>
      <c r="G108" s="465"/>
      <c r="H108" s="465"/>
      <c r="I108" s="466"/>
      <c r="J108" s="463"/>
      <c r="K108" s="465"/>
      <c r="L108" s="465"/>
      <c r="M108" s="466"/>
      <c r="N108" s="573"/>
      <c r="O108" s="467"/>
      <c r="P108" s="518"/>
      <c r="Q108" s="381"/>
      <c r="R108" s="182"/>
      <c r="S108" s="182"/>
      <c r="T108" s="182"/>
      <c r="U108" s="182"/>
      <c r="V108" s="182"/>
      <c r="W108" s="182"/>
      <c r="X108" s="182"/>
      <c r="Y108" s="182"/>
      <c r="Z108" s="182"/>
      <c r="AA108" s="384"/>
      <c r="AB108" s="182" t="str">
        <f t="shared" si="120"/>
        <v/>
      </c>
      <c r="AC108" s="315">
        <f t="shared" si="121"/>
        <v>0</v>
      </c>
      <c r="AD108" s="315" t="str">
        <f t="shared" si="116"/>
        <v/>
      </c>
      <c r="AE108" s="182"/>
      <c r="AF108" s="182"/>
      <c r="AG108" s="182"/>
      <c r="AH108" s="221"/>
      <c r="AI108" s="221"/>
      <c r="AJ108" s="221"/>
      <c r="AK108" s="221"/>
      <c r="AL108" s="221"/>
      <c r="AM108" s="221"/>
      <c r="AN108" s="221"/>
      <c r="AO108" s="221"/>
      <c r="AP108" s="221"/>
      <c r="AQ108" s="182"/>
      <c r="AR108" s="182"/>
      <c r="AS108" s="182"/>
      <c r="AT108" s="182"/>
      <c r="AU108" s="221" t="str">
        <f t="shared" si="122"/>
        <v/>
      </c>
      <c r="AV108" s="221" t="str">
        <f t="shared" si="123"/>
        <v/>
      </c>
      <c r="AW108" s="221"/>
      <c r="AX108" s="221"/>
      <c r="AY108" s="221"/>
      <c r="AZ108" s="221"/>
      <c r="BA108" s="221"/>
      <c r="BB108" s="221"/>
      <c r="BC108" s="221"/>
      <c r="BD108" s="221"/>
      <c r="BE108" s="221"/>
      <c r="BF108" s="469">
        <f t="shared" si="124"/>
        <v>0</v>
      </c>
      <c r="BG108" s="315">
        <f t="shared" si="125"/>
        <v>0</v>
      </c>
      <c r="BH108" s="315" t="str">
        <f t="shared" si="126"/>
        <v/>
      </c>
      <c r="BI108" s="182"/>
      <c r="BJ108" s="182"/>
      <c r="BK108" s="182"/>
      <c r="BL108" s="221"/>
      <c r="BM108" s="221"/>
      <c r="BN108" s="221"/>
      <c r="BO108" s="221"/>
      <c r="BP108" s="221"/>
      <c r="BQ108" s="221"/>
      <c r="BR108" s="221"/>
      <c r="BS108" s="221"/>
      <c r="BT108" s="221"/>
      <c r="BU108" s="182"/>
      <c r="BV108" s="182"/>
      <c r="BW108" s="182"/>
      <c r="BX108" s="182"/>
      <c r="BY108" s="221" t="str">
        <f t="shared" si="127"/>
        <v/>
      </c>
      <c r="BZ108" s="221" t="str">
        <f t="shared" si="128"/>
        <v/>
      </c>
      <c r="CA108" s="221"/>
      <c r="CB108" s="221"/>
      <c r="CC108" s="221"/>
      <c r="CD108" s="221"/>
      <c r="CE108" s="221"/>
      <c r="CF108" s="221"/>
      <c r="CG108" s="221"/>
      <c r="CH108" s="221"/>
      <c r="CI108" s="221"/>
      <c r="CJ108" s="469">
        <f t="shared" si="129"/>
        <v>0</v>
      </c>
      <c r="CK108" s="315">
        <f t="shared" si="130"/>
        <v>0</v>
      </c>
      <c r="CL108" s="315" t="str">
        <f t="shared" si="131"/>
        <v/>
      </c>
      <c r="CM108" s="182"/>
      <c r="CN108" s="182"/>
      <c r="CO108" s="182"/>
      <c r="CP108" s="221"/>
      <c r="CQ108" s="221"/>
      <c r="CR108" s="221"/>
      <c r="CS108" s="221"/>
      <c r="CT108" s="221"/>
      <c r="CU108" s="221"/>
      <c r="CV108" s="221"/>
      <c r="CW108" s="221"/>
      <c r="CX108" s="221"/>
      <c r="CY108" s="221"/>
      <c r="CZ108" s="182"/>
      <c r="DA108" s="182"/>
      <c r="DB108" s="182"/>
      <c r="DC108" s="182"/>
      <c r="DD108" s="221" t="str">
        <f t="shared" si="117"/>
        <v/>
      </c>
      <c r="DE108" s="221" t="str">
        <f t="shared" si="118"/>
        <v/>
      </c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469" t="str">
        <f t="shared" si="132"/>
        <v/>
      </c>
      <c r="DP108" s="315">
        <f t="shared" si="133"/>
        <v>0</v>
      </c>
      <c r="DQ108" s="315" t="str">
        <f t="shared" si="134"/>
        <v/>
      </c>
      <c r="DR108" s="182"/>
      <c r="DS108" s="182"/>
      <c r="DT108" s="182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182"/>
      <c r="EE108" s="182"/>
      <c r="EF108" s="182"/>
      <c r="EG108" s="182"/>
      <c r="EH108" s="221" t="str">
        <f t="shared" si="135"/>
        <v/>
      </c>
      <c r="EI108" s="221" t="str">
        <f t="shared" si="136"/>
        <v/>
      </c>
      <c r="EJ108" s="221"/>
      <c r="EK108" s="221"/>
      <c r="EL108" s="221"/>
      <c r="EM108" s="221"/>
      <c r="EN108" s="221"/>
      <c r="EO108" s="221"/>
      <c r="EP108" s="221"/>
      <c r="EQ108" s="221"/>
      <c r="ER108" s="221"/>
      <c r="ES108" s="221"/>
      <c r="ET108" s="221"/>
      <c r="EU108" s="315">
        <f t="shared" si="137"/>
        <v>0</v>
      </c>
      <c r="EV108" s="315" t="str">
        <f t="shared" si="138"/>
        <v/>
      </c>
      <c r="EW108" s="182"/>
      <c r="EX108" s="182"/>
      <c r="EY108" s="182"/>
      <c r="EZ108" s="221"/>
      <c r="FA108" s="221"/>
      <c r="FB108" s="221"/>
      <c r="FC108" s="221"/>
      <c r="FD108" s="221"/>
      <c r="FE108" s="221"/>
      <c r="FF108" s="221"/>
      <c r="FG108" s="221"/>
      <c r="FH108" s="221"/>
      <c r="FI108" s="182"/>
      <c r="FJ108" s="182"/>
      <c r="FK108" s="182"/>
      <c r="FL108" s="182"/>
      <c r="FM108" s="221" t="str">
        <f t="shared" si="139"/>
        <v/>
      </c>
      <c r="FN108" s="221" t="str">
        <f t="shared" si="140"/>
        <v/>
      </c>
      <c r="FO108" s="221"/>
      <c r="FP108" s="221"/>
      <c r="FQ108" s="221"/>
      <c r="FR108" s="221"/>
      <c r="FS108" s="221"/>
      <c r="FT108" s="221"/>
      <c r="FU108" s="221"/>
      <c r="FV108" s="221"/>
      <c r="FW108" s="221"/>
      <c r="FX108" s="221"/>
      <c r="FY108" s="221"/>
      <c r="FZ108" s="408"/>
      <c r="GA108" s="315">
        <f t="shared" si="141"/>
        <v>0</v>
      </c>
      <c r="GB108" s="315" t="str">
        <f t="shared" si="142"/>
        <v/>
      </c>
      <c r="GC108" s="302" t="s">
        <v>160</v>
      </c>
      <c r="GG108" s="460"/>
      <c r="GH108" s="460"/>
      <c r="GU108" s="469"/>
      <c r="GV108" s="470" t="str">
        <f t="shared" si="143"/>
        <v/>
      </c>
      <c r="GW108" s="302">
        <f t="shared" si="144"/>
        <v>0</v>
      </c>
      <c r="HA108" s="654"/>
      <c r="HD108" s="379"/>
      <c r="HE108" s="380"/>
      <c r="HH108" s="385"/>
      <c r="HI108" s="411"/>
      <c r="HJ108" s="302" t="str">
        <f t="shared" si="119"/>
        <v/>
      </c>
      <c r="HO108" s="302" t="str">
        <f t="shared" si="112"/>
        <v/>
      </c>
      <c r="HP108" s="302" t="str">
        <f t="shared" si="113"/>
        <v/>
      </c>
      <c r="HQ108" s="302" t="str">
        <f t="shared" si="114"/>
        <v/>
      </c>
      <c r="IT108" s="411"/>
      <c r="IU108" s="411"/>
      <c r="IV108" s="635"/>
    </row>
    <row r="109" spans="1:256" s="302" customFormat="1" ht="12.75" hidden="1" customHeight="1">
      <c r="A109" s="397" t="str">
        <f t="shared" si="111"/>
        <v/>
      </c>
      <c r="B109" s="462" t="str">
        <f t="shared" si="115"/>
        <v/>
      </c>
      <c r="C109" s="426"/>
      <c r="D109" s="575"/>
      <c r="E109" s="463"/>
      <c r="F109" s="464"/>
      <c r="G109" s="465"/>
      <c r="H109" s="465"/>
      <c r="I109" s="466"/>
      <c r="J109" s="463"/>
      <c r="K109" s="465"/>
      <c r="L109" s="465"/>
      <c r="M109" s="466"/>
      <c r="N109" s="573"/>
      <c r="O109" s="467"/>
      <c r="P109" s="518"/>
      <c r="Q109" s="381"/>
      <c r="R109" s="182"/>
      <c r="S109" s="182"/>
      <c r="T109" s="182"/>
      <c r="U109" s="182"/>
      <c r="V109" s="182"/>
      <c r="W109" s="182"/>
      <c r="X109" s="182"/>
      <c r="Y109" s="182"/>
      <c r="Z109" s="182"/>
      <c r="AA109" s="382"/>
      <c r="AB109" s="182" t="str">
        <f t="shared" si="120"/>
        <v/>
      </c>
      <c r="AC109" s="315">
        <f t="shared" si="121"/>
        <v>0</v>
      </c>
      <c r="AD109" s="315" t="str">
        <f t="shared" si="116"/>
        <v/>
      </c>
      <c r="AE109" s="182"/>
      <c r="AF109" s="182"/>
      <c r="AG109" s="182"/>
      <c r="AH109" s="221"/>
      <c r="AI109" s="221"/>
      <c r="AJ109" s="221"/>
      <c r="AK109" s="221"/>
      <c r="AL109" s="221"/>
      <c r="AM109" s="221"/>
      <c r="AN109" s="221"/>
      <c r="AO109" s="221"/>
      <c r="AP109" s="221"/>
      <c r="AQ109" s="182"/>
      <c r="AR109" s="182"/>
      <c r="AS109" s="182"/>
      <c r="AT109" s="224"/>
      <c r="AU109" s="221" t="str">
        <f t="shared" si="122"/>
        <v/>
      </c>
      <c r="AV109" s="221" t="str">
        <f t="shared" si="123"/>
        <v/>
      </c>
      <c r="AW109" s="221"/>
      <c r="AX109" s="221"/>
      <c r="AY109" s="221"/>
      <c r="AZ109" s="221"/>
      <c r="BA109" s="221"/>
      <c r="BB109" s="221"/>
      <c r="BC109" s="221"/>
      <c r="BD109" s="221"/>
      <c r="BE109" s="221"/>
      <c r="BF109" s="468">
        <f t="shared" si="124"/>
        <v>0</v>
      </c>
      <c r="BG109" s="315">
        <f t="shared" si="125"/>
        <v>0</v>
      </c>
      <c r="BH109" s="315" t="str">
        <f t="shared" si="126"/>
        <v/>
      </c>
      <c r="BI109" s="182"/>
      <c r="BJ109" s="182"/>
      <c r="BK109" s="182"/>
      <c r="BL109" s="221"/>
      <c r="BM109" s="221"/>
      <c r="BN109" s="221"/>
      <c r="BO109" s="221"/>
      <c r="BP109" s="221"/>
      <c r="BQ109" s="221"/>
      <c r="BR109" s="221"/>
      <c r="BS109" s="221"/>
      <c r="BT109" s="221"/>
      <c r="BU109" s="182"/>
      <c r="BV109" s="182"/>
      <c r="BW109" s="182"/>
      <c r="BX109" s="182"/>
      <c r="BY109" s="221" t="str">
        <f t="shared" si="127"/>
        <v/>
      </c>
      <c r="BZ109" s="221" t="str">
        <f t="shared" si="128"/>
        <v/>
      </c>
      <c r="CA109" s="221"/>
      <c r="CB109" s="221"/>
      <c r="CC109" s="221"/>
      <c r="CD109" s="221"/>
      <c r="CE109" s="221"/>
      <c r="CF109" s="221"/>
      <c r="CG109" s="221"/>
      <c r="CH109" s="221"/>
      <c r="CI109" s="221"/>
      <c r="CJ109" s="468">
        <f t="shared" si="129"/>
        <v>0</v>
      </c>
      <c r="CK109" s="315">
        <f t="shared" si="130"/>
        <v>0</v>
      </c>
      <c r="CL109" s="315" t="str">
        <f t="shared" si="131"/>
        <v/>
      </c>
      <c r="CM109" s="182"/>
      <c r="CN109" s="182"/>
      <c r="CO109" s="182"/>
      <c r="CP109" s="221"/>
      <c r="CQ109" s="221"/>
      <c r="CR109" s="221"/>
      <c r="CS109" s="221"/>
      <c r="CT109" s="221"/>
      <c r="CU109" s="221"/>
      <c r="CV109" s="221"/>
      <c r="CW109" s="221"/>
      <c r="CX109" s="221"/>
      <c r="CY109" s="221"/>
      <c r="CZ109" s="182"/>
      <c r="DA109" s="182"/>
      <c r="DB109" s="182"/>
      <c r="DC109" s="182"/>
      <c r="DD109" s="221" t="str">
        <f t="shared" si="117"/>
        <v/>
      </c>
      <c r="DE109" s="221" t="str">
        <f t="shared" si="118"/>
        <v/>
      </c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469" t="str">
        <f t="shared" si="132"/>
        <v/>
      </c>
      <c r="DP109" s="315">
        <f t="shared" si="133"/>
        <v>0</v>
      </c>
      <c r="DQ109" s="315" t="str">
        <f t="shared" si="134"/>
        <v/>
      </c>
      <c r="DR109" s="182"/>
      <c r="DS109" s="182"/>
      <c r="DT109" s="182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182"/>
      <c r="EE109" s="182"/>
      <c r="EF109" s="182"/>
      <c r="EG109" s="182"/>
      <c r="EH109" s="221" t="str">
        <f t="shared" si="135"/>
        <v/>
      </c>
      <c r="EI109" s="221" t="str">
        <f t="shared" si="136"/>
        <v/>
      </c>
      <c r="EJ109" s="221"/>
      <c r="EK109" s="221"/>
      <c r="EL109" s="221"/>
      <c r="EM109" s="221"/>
      <c r="EN109" s="221"/>
      <c r="EO109" s="221"/>
      <c r="EP109" s="221"/>
      <c r="EQ109" s="221"/>
      <c r="ER109" s="221"/>
      <c r="ES109" s="221"/>
      <c r="ET109" s="221"/>
      <c r="EU109" s="315">
        <f t="shared" si="137"/>
        <v>0</v>
      </c>
      <c r="EV109" s="315" t="str">
        <f t="shared" si="138"/>
        <v/>
      </c>
      <c r="EW109" s="182"/>
      <c r="EX109" s="182"/>
      <c r="EY109" s="182"/>
      <c r="EZ109" s="221"/>
      <c r="FA109" s="221"/>
      <c r="FB109" s="221"/>
      <c r="FC109" s="221"/>
      <c r="FD109" s="221"/>
      <c r="FE109" s="221"/>
      <c r="FF109" s="221"/>
      <c r="FG109" s="221"/>
      <c r="FH109" s="221"/>
      <c r="FI109" s="182"/>
      <c r="FJ109" s="182"/>
      <c r="FK109" s="182"/>
      <c r="FL109" s="182"/>
      <c r="FM109" s="221" t="str">
        <f t="shared" si="139"/>
        <v/>
      </c>
      <c r="FN109" s="221" t="str">
        <f t="shared" si="140"/>
        <v/>
      </c>
      <c r="FO109" s="221"/>
      <c r="FP109" s="221"/>
      <c r="FQ109" s="221"/>
      <c r="FR109" s="221"/>
      <c r="FS109" s="221"/>
      <c r="FT109" s="221"/>
      <c r="FU109" s="221"/>
      <c r="FV109" s="221"/>
      <c r="FW109" s="221"/>
      <c r="FX109" s="221"/>
      <c r="FY109" s="221"/>
      <c r="FZ109" s="408"/>
      <c r="GA109" s="315">
        <f t="shared" si="141"/>
        <v>0</v>
      </c>
      <c r="GB109" s="315" t="str">
        <f t="shared" si="142"/>
        <v/>
      </c>
      <c r="GC109" s="182" t="s">
        <v>160</v>
      </c>
      <c r="GD109" s="182"/>
      <c r="GE109" s="182"/>
      <c r="GG109" s="460"/>
      <c r="GH109" s="460"/>
      <c r="GU109" s="469"/>
      <c r="GV109" s="470" t="str">
        <f t="shared" si="143"/>
        <v/>
      </c>
      <c r="GW109" s="302">
        <f t="shared" si="144"/>
        <v>0</v>
      </c>
      <c r="HA109" s="654"/>
      <c r="HD109" s="379"/>
      <c r="HE109" s="380"/>
      <c r="HH109" s="383"/>
      <c r="HI109" s="410"/>
      <c r="HJ109" s="302" t="str">
        <f t="shared" si="119"/>
        <v/>
      </c>
      <c r="HO109" s="302" t="str">
        <f t="shared" si="112"/>
        <v/>
      </c>
      <c r="HP109" s="302" t="str">
        <f t="shared" si="113"/>
        <v/>
      </c>
      <c r="HQ109" s="302" t="str">
        <f t="shared" si="114"/>
        <v/>
      </c>
      <c r="IT109" s="410"/>
      <c r="IU109" s="410"/>
      <c r="IV109" s="635"/>
    </row>
    <row r="110" spans="1:256" s="302" customFormat="1" ht="12.75" hidden="1" customHeight="1">
      <c r="A110" s="397" t="str">
        <f t="shared" si="111"/>
        <v/>
      </c>
      <c r="B110" s="462" t="str">
        <f t="shared" si="115"/>
        <v/>
      </c>
      <c r="C110" s="426"/>
      <c r="D110" s="575"/>
      <c r="E110" s="463"/>
      <c r="F110" s="464"/>
      <c r="G110" s="465"/>
      <c r="H110" s="465"/>
      <c r="I110" s="466"/>
      <c r="J110" s="463"/>
      <c r="K110" s="465"/>
      <c r="L110" s="465"/>
      <c r="M110" s="466"/>
      <c r="N110" s="573"/>
      <c r="O110" s="467"/>
      <c r="P110" s="518"/>
      <c r="Q110" s="381"/>
      <c r="R110" s="182"/>
      <c r="S110" s="182"/>
      <c r="T110" s="182"/>
      <c r="U110" s="182"/>
      <c r="V110" s="182"/>
      <c r="W110" s="182"/>
      <c r="X110" s="182"/>
      <c r="Y110" s="182"/>
      <c r="Z110" s="182"/>
      <c r="AA110" s="384"/>
      <c r="AB110" s="182" t="str">
        <f t="shared" si="120"/>
        <v/>
      </c>
      <c r="AC110" s="315">
        <f t="shared" si="121"/>
        <v>0</v>
      </c>
      <c r="AD110" s="315" t="str">
        <f t="shared" si="116"/>
        <v/>
      </c>
      <c r="AE110" s="182"/>
      <c r="AF110" s="182"/>
      <c r="AG110" s="182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182"/>
      <c r="AR110" s="182"/>
      <c r="AS110" s="182"/>
      <c r="AT110" s="182"/>
      <c r="AU110" s="221" t="str">
        <f t="shared" si="122"/>
        <v/>
      </c>
      <c r="AV110" s="221" t="str">
        <f t="shared" si="123"/>
        <v/>
      </c>
      <c r="AW110" s="221"/>
      <c r="AX110" s="221"/>
      <c r="AY110" s="221"/>
      <c r="AZ110" s="221"/>
      <c r="BA110" s="221"/>
      <c r="BB110" s="221"/>
      <c r="BC110" s="221"/>
      <c r="BD110" s="221"/>
      <c r="BE110" s="221"/>
      <c r="BF110" s="469">
        <f t="shared" si="124"/>
        <v>0</v>
      </c>
      <c r="BG110" s="315">
        <f t="shared" si="125"/>
        <v>0</v>
      </c>
      <c r="BH110" s="315" t="str">
        <f t="shared" si="126"/>
        <v/>
      </c>
      <c r="BI110" s="182"/>
      <c r="BJ110" s="182"/>
      <c r="BK110" s="182"/>
      <c r="BL110" s="221"/>
      <c r="BM110" s="221"/>
      <c r="BN110" s="221"/>
      <c r="BO110" s="221"/>
      <c r="BP110" s="221"/>
      <c r="BQ110" s="221"/>
      <c r="BR110" s="221"/>
      <c r="BS110" s="221"/>
      <c r="BT110" s="221"/>
      <c r="BU110" s="182"/>
      <c r="BV110" s="182"/>
      <c r="BW110" s="182"/>
      <c r="BX110" s="182"/>
      <c r="BY110" s="221" t="str">
        <f t="shared" si="127"/>
        <v/>
      </c>
      <c r="BZ110" s="221" t="str">
        <f t="shared" si="128"/>
        <v/>
      </c>
      <c r="CA110" s="221"/>
      <c r="CB110" s="221"/>
      <c r="CC110" s="221"/>
      <c r="CD110" s="221"/>
      <c r="CE110" s="221"/>
      <c r="CF110" s="221"/>
      <c r="CG110" s="221"/>
      <c r="CH110" s="221"/>
      <c r="CI110" s="221"/>
      <c r="CJ110" s="469">
        <f t="shared" si="129"/>
        <v>0</v>
      </c>
      <c r="CK110" s="315">
        <f t="shared" si="130"/>
        <v>0</v>
      </c>
      <c r="CL110" s="315" t="str">
        <f t="shared" si="131"/>
        <v/>
      </c>
      <c r="CM110" s="182"/>
      <c r="CN110" s="182"/>
      <c r="CO110" s="182"/>
      <c r="CP110" s="221"/>
      <c r="CQ110" s="221"/>
      <c r="CR110" s="221"/>
      <c r="CS110" s="221"/>
      <c r="CT110" s="221"/>
      <c r="CU110" s="221"/>
      <c r="CV110" s="221"/>
      <c r="CW110" s="221"/>
      <c r="CX110" s="221"/>
      <c r="CY110" s="221"/>
      <c r="CZ110" s="182"/>
      <c r="DA110" s="182"/>
      <c r="DB110" s="182"/>
      <c r="DC110" s="182"/>
      <c r="DD110" s="221" t="str">
        <f t="shared" si="117"/>
        <v/>
      </c>
      <c r="DE110" s="221" t="str">
        <f t="shared" si="118"/>
        <v/>
      </c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469" t="str">
        <f t="shared" si="132"/>
        <v/>
      </c>
      <c r="DP110" s="315">
        <f t="shared" si="133"/>
        <v>0</v>
      </c>
      <c r="DQ110" s="315" t="str">
        <f t="shared" si="134"/>
        <v/>
      </c>
      <c r="DR110" s="182"/>
      <c r="DS110" s="182"/>
      <c r="DT110" s="182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182"/>
      <c r="EE110" s="182"/>
      <c r="EF110" s="182"/>
      <c r="EG110" s="182"/>
      <c r="EH110" s="221" t="str">
        <f t="shared" si="135"/>
        <v/>
      </c>
      <c r="EI110" s="221" t="str">
        <f t="shared" si="136"/>
        <v/>
      </c>
      <c r="EJ110" s="221"/>
      <c r="EK110" s="221"/>
      <c r="EL110" s="221"/>
      <c r="EM110" s="221"/>
      <c r="EN110" s="221"/>
      <c r="EO110" s="221"/>
      <c r="EP110" s="221"/>
      <c r="EQ110" s="221"/>
      <c r="ER110" s="221"/>
      <c r="ES110" s="221"/>
      <c r="ET110" s="221"/>
      <c r="EU110" s="315">
        <f t="shared" si="137"/>
        <v>0</v>
      </c>
      <c r="EV110" s="315" t="str">
        <f t="shared" si="138"/>
        <v/>
      </c>
      <c r="EW110" s="182"/>
      <c r="EX110" s="182"/>
      <c r="EY110" s="182"/>
      <c r="EZ110" s="221"/>
      <c r="FA110" s="221"/>
      <c r="FB110" s="221"/>
      <c r="FC110" s="221"/>
      <c r="FD110" s="221"/>
      <c r="FE110" s="221"/>
      <c r="FF110" s="221"/>
      <c r="FG110" s="221"/>
      <c r="FH110" s="221"/>
      <c r="FI110" s="182"/>
      <c r="FJ110" s="182"/>
      <c r="FK110" s="182"/>
      <c r="FL110" s="182"/>
      <c r="FM110" s="221" t="str">
        <f t="shared" si="139"/>
        <v/>
      </c>
      <c r="FN110" s="221" t="str">
        <f t="shared" si="140"/>
        <v/>
      </c>
      <c r="FO110" s="221"/>
      <c r="FP110" s="221"/>
      <c r="FQ110" s="221"/>
      <c r="FR110" s="221"/>
      <c r="FS110" s="221"/>
      <c r="FT110" s="221"/>
      <c r="FU110" s="221"/>
      <c r="FV110" s="221"/>
      <c r="FW110" s="221"/>
      <c r="FX110" s="221"/>
      <c r="FY110" s="221"/>
      <c r="FZ110" s="408"/>
      <c r="GA110" s="315">
        <f t="shared" si="141"/>
        <v>0</v>
      </c>
      <c r="GB110" s="315" t="str">
        <f t="shared" si="142"/>
        <v/>
      </c>
      <c r="GC110" s="182" t="s">
        <v>160</v>
      </c>
      <c r="GD110" s="182"/>
      <c r="GE110" s="182"/>
      <c r="GG110" s="460"/>
      <c r="GH110" s="460"/>
      <c r="GU110" s="469"/>
      <c r="GV110" s="470" t="str">
        <f t="shared" si="143"/>
        <v/>
      </c>
      <c r="GW110" s="302">
        <f t="shared" si="144"/>
        <v>0</v>
      </c>
      <c r="HA110" s="654"/>
      <c r="HD110" s="379"/>
      <c r="HE110" s="380"/>
      <c r="HH110" s="385"/>
      <c r="HI110" s="411"/>
      <c r="HJ110" s="302" t="str">
        <f t="shared" si="119"/>
        <v/>
      </c>
      <c r="HO110" s="302" t="str">
        <f t="shared" si="112"/>
        <v/>
      </c>
      <c r="HP110" s="302" t="str">
        <f t="shared" si="113"/>
        <v/>
      </c>
      <c r="HQ110" s="302" t="str">
        <f t="shared" si="114"/>
        <v/>
      </c>
      <c r="IT110" s="411"/>
      <c r="IU110" s="411"/>
      <c r="IV110" s="635"/>
    </row>
    <row r="111" spans="1:256" s="302" customFormat="1" ht="12.75" hidden="1" customHeight="1">
      <c r="A111" s="397" t="str">
        <f t="shared" si="111"/>
        <v/>
      </c>
      <c r="B111" s="462" t="str">
        <f t="shared" si="115"/>
        <v/>
      </c>
      <c r="C111" s="426"/>
      <c r="D111" s="575"/>
      <c r="E111" s="463"/>
      <c r="F111" s="464"/>
      <c r="G111" s="465"/>
      <c r="H111" s="465"/>
      <c r="I111" s="466"/>
      <c r="J111" s="463"/>
      <c r="K111" s="465"/>
      <c r="L111" s="465"/>
      <c r="M111" s="466"/>
      <c r="N111" s="573"/>
      <c r="O111" s="467"/>
      <c r="P111" s="518"/>
      <c r="Q111" s="381"/>
      <c r="R111" s="182"/>
      <c r="S111" s="182"/>
      <c r="T111" s="182"/>
      <c r="U111" s="182"/>
      <c r="V111" s="182"/>
      <c r="W111" s="182"/>
      <c r="X111" s="182"/>
      <c r="Y111" s="182"/>
      <c r="Z111" s="182"/>
      <c r="AA111" s="382"/>
      <c r="AB111" s="182" t="str">
        <f t="shared" si="120"/>
        <v/>
      </c>
      <c r="AC111" s="315">
        <f t="shared" si="121"/>
        <v>0</v>
      </c>
      <c r="AD111" s="315" t="str">
        <f t="shared" si="116"/>
        <v/>
      </c>
      <c r="AE111" s="182"/>
      <c r="AF111" s="182"/>
      <c r="AG111" s="182"/>
      <c r="AH111" s="221"/>
      <c r="AI111" s="221"/>
      <c r="AJ111" s="221"/>
      <c r="AK111" s="221"/>
      <c r="AL111" s="221"/>
      <c r="AM111" s="221"/>
      <c r="AN111" s="221"/>
      <c r="AO111" s="221"/>
      <c r="AP111" s="221"/>
      <c r="AQ111" s="182"/>
      <c r="AR111" s="182"/>
      <c r="AS111" s="182"/>
      <c r="AT111" s="182"/>
      <c r="AU111" s="221" t="str">
        <f t="shared" si="122"/>
        <v/>
      </c>
      <c r="AV111" s="221" t="str">
        <f t="shared" si="123"/>
        <v/>
      </c>
      <c r="AW111" s="221"/>
      <c r="AX111" s="221"/>
      <c r="AY111" s="221"/>
      <c r="AZ111" s="221"/>
      <c r="BA111" s="221"/>
      <c r="BB111" s="221"/>
      <c r="BC111" s="221"/>
      <c r="BD111" s="221"/>
      <c r="BE111" s="221"/>
      <c r="BF111" s="468">
        <f t="shared" si="124"/>
        <v>0</v>
      </c>
      <c r="BG111" s="315">
        <f t="shared" si="125"/>
        <v>0</v>
      </c>
      <c r="BH111" s="315" t="str">
        <f t="shared" si="126"/>
        <v/>
      </c>
      <c r="BI111" s="182"/>
      <c r="BJ111" s="182"/>
      <c r="BK111" s="182"/>
      <c r="BL111" s="221"/>
      <c r="BM111" s="221"/>
      <c r="BN111" s="221"/>
      <c r="BO111" s="221"/>
      <c r="BP111" s="221"/>
      <c r="BQ111" s="221"/>
      <c r="BR111" s="221"/>
      <c r="BS111" s="221"/>
      <c r="BT111" s="221"/>
      <c r="BU111" s="182"/>
      <c r="BV111" s="182"/>
      <c r="BW111" s="182"/>
      <c r="BX111" s="182"/>
      <c r="BY111" s="221" t="str">
        <f t="shared" si="127"/>
        <v/>
      </c>
      <c r="BZ111" s="221" t="str">
        <f t="shared" si="128"/>
        <v/>
      </c>
      <c r="CA111" s="221"/>
      <c r="CB111" s="221"/>
      <c r="CC111" s="221"/>
      <c r="CD111" s="221"/>
      <c r="CE111" s="221"/>
      <c r="CF111" s="221"/>
      <c r="CG111" s="221"/>
      <c r="CH111" s="221"/>
      <c r="CI111" s="221"/>
      <c r="CJ111" s="468">
        <f t="shared" si="129"/>
        <v>0</v>
      </c>
      <c r="CK111" s="315">
        <f t="shared" si="130"/>
        <v>0</v>
      </c>
      <c r="CL111" s="315" t="str">
        <f t="shared" si="131"/>
        <v/>
      </c>
      <c r="CM111" s="182"/>
      <c r="CN111" s="182"/>
      <c r="CO111" s="182"/>
      <c r="CP111" s="221"/>
      <c r="CQ111" s="221"/>
      <c r="CR111" s="221"/>
      <c r="CS111" s="221"/>
      <c r="CT111" s="221"/>
      <c r="CU111" s="221"/>
      <c r="CV111" s="221"/>
      <c r="CW111" s="221"/>
      <c r="CX111" s="221"/>
      <c r="CY111" s="221"/>
      <c r="CZ111" s="182"/>
      <c r="DA111" s="182"/>
      <c r="DB111" s="182"/>
      <c r="DC111" s="182"/>
      <c r="DD111" s="221" t="str">
        <f t="shared" si="117"/>
        <v/>
      </c>
      <c r="DE111" s="221" t="str">
        <f t="shared" si="118"/>
        <v/>
      </c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469" t="str">
        <f t="shared" si="132"/>
        <v/>
      </c>
      <c r="DP111" s="315">
        <f t="shared" si="133"/>
        <v>0</v>
      </c>
      <c r="DQ111" s="315" t="str">
        <f t="shared" si="134"/>
        <v/>
      </c>
      <c r="DR111" s="182"/>
      <c r="DS111" s="182"/>
      <c r="DT111" s="182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182"/>
      <c r="EE111" s="182"/>
      <c r="EF111" s="182"/>
      <c r="EG111" s="182"/>
      <c r="EH111" s="221" t="str">
        <f t="shared" si="135"/>
        <v/>
      </c>
      <c r="EI111" s="221" t="str">
        <f t="shared" si="136"/>
        <v/>
      </c>
      <c r="EJ111" s="221"/>
      <c r="EK111" s="221"/>
      <c r="EL111" s="221"/>
      <c r="EM111" s="221"/>
      <c r="EN111" s="221"/>
      <c r="EO111" s="221"/>
      <c r="EP111" s="221"/>
      <c r="EQ111" s="221"/>
      <c r="ER111" s="221"/>
      <c r="ES111" s="221"/>
      <c r="ET111" s="221"/>
      <c r="EU111" s="315">
        <f t="shared" si="137"/>
        <v>0</v>
      </c>
      <c r="EV111" s="315" t="str">
        <f t="shared" si="138"/>
        <v/>
      </c>
      <c r="EW111" s="182"/>
      <c r="EX111" s="182"/>
      <c r="EY111" s="182"/>
      <c r="EZ111" s="221"/>
      <c r="FA111" s="221"/>
      <c r="FB111" s="221"/>
      <c r="FC111" s="221"/>
      <c r="FD111" s="221"/>
      <c r="FE111" s="221"/>
      <c r="FF111" s="221"/>
      <c r="FG111" s="221"/>
      <c r="FH111" s="221"/>
      <c r="FI111" s="182"/>
      <c r="FJ111" s="182"/>
      <c r="FK111" s="182"/>
      <c r="FL111" s="182"/>
      <c r="FM111" s="221" t="str">
        <f t="shared" si="139"/>
        <v/>
      </c>
      <c r="FN111" s="221" t="str">
        <f t="shared" si="140"/>
        <v/>
      </c>
      <c r="FO111" s="221"/>
      <c r="FP111" s="221"/>
      <c r="FQ111" s="221"/>
      <c r="FR111" s="221"/>
      <c r="FS111" s="221"/>
      <c r="FT111" s="221"/>
      <c r="FU111" s="221"/>
      <c r="FV111" s="221"/>
      <c r="FW111" s="221"/>
      <c r="FX111" s="221"/>
      <c r="FY111" s="221"/>
      <c r="FZ111" s="408"/>
      <c r="GA111" s="315">
        <f t="shared" si="141"/>
        <v>0</v>
      </c>
      <c r="GB111" s="315" t="str">
        <f t="shared" si="142"/>
        <v/>
      </c>
      <c r="GC111" s="182" t="s">
        <v>160</v>
      </c>
      <c r="GD111" s="182"/>
      <c r="GE111" s="182"/>
      <c r="GG111" s="460"/>
      <c r="GH111" s="460"/>
      <c r="GU111" s="469"/>
      <c r="GV111" s="470" t="str">
        <f t="shared" si="143"/>
        <v/>
      </c>
      <c r="GW111" s="302">
        <f t="shared" si="144"/>
        <v>0</v>
      </c>
      <c r="HA111" s="654"/>
      <c r="HD111" s="379"/>
      <c r="HE111" s="380"/>
      <c r="HH111" s="383"/>
      <c r="HI111" s="410"/>
      <c r="HJ111" s="302" t="str">
        <f t="shared" si="119"/>
        <v/>
      </c>
      <c r="HO111" s="302" t="str">
        <f t="shared" si="112"/>
        <v/>
      </c>
      <c r="HP111" s="302" t="str">
        <f t="shared" si="113"/>
        <v/>
      </c>
      <c r="HQ111" s="302" t="str">
        <f t="shared" si="114"/>
        <v/>
      </c>
      <c r="IT111" s="410"/>
      <c r="IU111" s="410"/>
      <c r="IV111" s="635"/>
    </row>
    <row r="112" spans="1:256" s="302" customFormat="1" ht="12.75" hidden="1" customHeight="1">
      <c r="A112" s="397" t="str">
        <f t="shared" si="111"/>
        <v/>
      </c>
      <c r="B112" s="462" t="str">
        <f t="shared" si="115"/>
        <v/>
      </c>
      <c r="C112" s="426"/>
      <c r="D112" s="575"/>
      <c r="E112" s="463"/>
      <c r="F112" s="464"/>
      <c r="G112" s="465"/>
      <c r="H112" s="465"/>
      <c r="I112" s="466"/>
      <c r="J112" s="463"/>
      <c r="K112" s="465"/>
      <c r="L112" s="465"/>
      <c r="M112" s="466"/>
      <c r="N112" s="573"/>
      <c r="O112" s="467"/>
      <c r="P112" s="518"/>
      <c r="Q112" s="381"/>
      <c r="R112" s="182"/>
      <c r="S112" s="182"/>
      <c r="T112" s="182"/>
      <c r="U112" s="182"/>
      <c r="V112" s="182"/>
      <c r="W112" s="182"/>
      <c r="X112" s="182"/>
      <c r="Y112" s="182"/>
      <c r="Z112" s="182"/>
      <c r="AA112" s="382"/>
      <c r="AB112" s="182" t="str">
        <f t="shared" si="120"/>
        <v/>
      </c>
      <c r="AC112" s="315">
        <f t="shared" si="121"/>
        <v>0</v>
      </c>
      <c r="AD112" s="315" t="str">
        <f t="shared" si="116"/>
        <v/>
      </c>
      <c r="AE112" s="182"/>
      <c r="AF112" s="182"/>
      <c r="AG112" s="182"/>
      <c r="AH112" s="221"/>
      <c r="AI112" s="221"/>
      <c r="AJ112" s="221"/>
      <c r="AK112" s="221"/>
      <c r="AL112" s="221"/>
      <c r="AM112" s="221"/>
      <c r="AN112" s="221"/>
      <c r="AO112" s="221"/>
      <c r="AP112" s="221"/>
      <c r="AQ112" s="182"/>
      <c r="AR112" s="182"/>
      <c r="AS112" s="182"/>
      <c r="AT112" s="182"/>
      <c r="AU112" s="221" t="str">
        <f t="shared" si="122"/>
        <v/>
      </c>
      <c r="AV112" s="221" t="str">
        <f t="shared" si="123"/>
        <v/>
      </c>
      <c r="AW112" s="221"/>
      <c r="AX112" s="221"/>
      <c r="AY112" s="221"/>
      <c r="AZ112" s="221"/>
      <c r="BA112" s="221"/>
      <c r="BB112" s="221"/>
      <c r="BC112" s="221"/>
      <c r="BD112" s="221"/>
      <c r="BE112" s="221"/>
      <c r="BF112" s="468">
        <f t="shared" si="124"/>
        <v>0</v>
      </c>
      <c r="BG112" s="315">
        <f t="shared" si="125"/>
        <v>0</v>
      </c>
      <c r="BH112" s="315" t="str">
        <f t="shared" si="126"/>
        <v/>
      </c>
      <c r="BI112" s="182"/>
      <c r="BJ112" s="182"/>
      <c r="BK112" s="182"/>
      <c r="BL112" s="221"/>
      <c r="BM112" s="221"/>
      <c r="BN112" s="221"/>
      <c r="BO112" s="221"/>
      <c r="BP112" s="221"/>
      <c r="BQ112" s="221"/>
      <c r="BR112" s="221"/>
      <c r="BS112" s="221"/>
      <c r="BT112" s="221"/>
      <c r="BU112" s="182"/>
      <c r="BV112" s="182"/>
      <c r="BW112" s="182"/>
      <c r="BX112" s="182"/>
      <c r="BY112" s="221" t="str">
        <f t="shared" si="127"/>
        <v/>
      </c>
      <c r="BZ112" s="221" t="str">
        <f t="shared" si="128"/>
        <v/>
      </c>
      <c r="CA112" s="221"/>
      <c r="CB112" s="221"/>
      <c r="CC112" s="221"/>
      <c r="CD112" s="221"/>
      <c r="CE112" s="221"/>
      <c r="CF112" s="221"/>
      <c r="CG112" s="221"/>
      <c r="CH112" s="221"/>
      <c r="CI112" s="221"/>
      <c r="CJ112" s="468">
        <f t="shared" si="129"/>
        <v>0</v>
      </c>
      <c r="CK112" s="315">
        <f t="shared" si="130"/>
        <v>0</v>
      </c>
      <c r="CL112" s="315" t="str">
        <f t="shared" si="131"/>
        <v/>
      </c>
      <c r="CM112" s="182"/>
      <c r="CN112" s="182"/>
      <c r="CO112" s="182"/>
      <c r="CP112" s="221"/>
      <c r="CQ112" s="221"/>
      <c r="CR112" s="221"/>
      <c r="CS112" s="221"/>
      <c r="CT112" s="221"/>
      <c r="CU112" s="221"/>
      <c r="CV112" s="221"/>
      <c r="CW112" s="221"/>
      <c r="CX112" s="221"/>
      <c r="CY112" s="221"/>
      <c r="CZ112" s="182"/>
      <c r="DA112" s="182"/>
      <c r="DB112" s="182"/>
      <c r="DC112" s="182"/>
      <c r="DD112" s="221" t="str">
        <f t="shared" si="117"/>
        <v/>
      </c>
      <c r="DE112" s="221" t="str">
        <f t="shared" si="118"/>
        <v/>
      </c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469" t="str">
        <f t="shared" si="132"/>
        <v/>
      </c>
      <c r="DP112" s="315">
        <f t="shared" si="133"/>
        <v>0</v>
      </c>
      <c r="DQ112" s="315" t="str">
        <f t="shared" si="134"/>
        <v/>
      </c>
      <c r="DR112" s="182"/>
      <c r="DS112" s="182"/>
      <c r="DT112" s="182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182"/>
      <c r="EE112" s="182"/>
      <c r="EF112" s="182"/>
      <c r="EG112" s="182"/>
      <c r="EH112" s="221" t="str">
        <f t="shared" si="135"/>
        <v/>
      </c>
      <c r="EI112" s="221" t="str">
        <f t="shared" si="136"/>
        <v/>
      </c>
      <c r="EJ112" s="221"/>
      <c r="EK112" s="221"/>
      <c r="EL112" s="221"/>
      <c r="EM112" s="221"/>
      <c r="EN112" s="221"/>
      <c r="EO112" s="221"/>
      <c r="EP112" s="221"/>
      <c r="EQ112" s="221"/>
      <c r="ER112" s="221"/>
      <c r="ES112" s="221"/>
      <c r="ET112" s="221"/>
      <c r="EU112" s="315">
        <f t="shared" si="137"/>
        <v>0</v>
      </c>
      <c r="EV112" s="315" t="str">
        <f t="shared" si="138"/>
        <v/>
      </c>
      <c r="EW112" s="182"/>
      <c r="EX112" s="182"/>
      <c r="EY112" s="182"/>
      <c r="EZ112" s="221"/>
      <c r="FA112" s="221"/>
      <c r="FB112" s="221"/>
      <c r="FC112" s="221"/>
      <c r="FD112" s="221"/>
      <c r="FE112" s="221"/>
      <c r="FF112" s="221"/>
      <c r="FG112" s="221"/>
      <c r="FH112" s="221"/>
      <c r="FI112" s="182"/>
      <c r="FJ112" s="182"/>
      <c r="FK112" s="182"/>
      <c r="FL112" s="182"/>
      <c r="FM112" s="221" t="str">
        <f t="shared" si="139"/>
        <v/>
      </c>
      <c r="FN112" s="221" t="str">
        <f t="shared" si="140"/>
        <v/>
      </c>
      <c r="FO112" s="221"/>
      <c r="FP112" s="221"/>
      <c r="FQ112" s="221"/>
      <c r="FR112" s="221"/>
      <c r="FS112" s="221"/>
      <c r="FT112" s="221"/>
      <c r="FU112" s="221"/>
      <c r="FV112" s="221"/>
      <c r="FW112" s="221"/>
      <c r="FX112" s="221"/>
      <c r="FY112" s="221"/>
      <c r="FZ112" s="408"/>
      <c r="GA112" s="315">
        <f t="shared" si="141"/>
        <v>0</v>
      </c>
      <c r="GB112" s="315" t="str">
        <f t="shared" si="142"/>
        <v/>
      </c>
      <c r="GC112" s="182" t="s">
        <v>160</v>
      </c>
      <c r="GD112" s="182"/>
      <c r="GE112" s="182"/>
      <c r="GG112" s="460"/>
      <c r="GH112" s="460"/>
      <c r="GU112" s="469"/>
      <c r="GV112" s="470" t="str">
        <f t="shared" si="143"/>
        <v/>
      </c>
      <c r="GW112" s="302">
        <f t="shared" si="144"/>
        <v>0</v>
      </c>
      <c r="HA112" s="654"/>
      <c r="HD112" s="379"/>
      <c r="HE112" s="380"/>
      <c r="HH112" s="383"/>
      <c r="HI112" s="410"/>
      <c r="HJ112" s="302" t="str">
        <f t="shared" si="119"/>
        <v/>
      </c>
      <c r="HO112" s="302" t="str">
        <f t="shared" si="112"/>
        <v/>
      </c>
      <c r="HP112" s="302" t="str">
        <f t="shared" si="113"/>
        <v/>
      </c>
      <c r="HQ112" s="302" t="str">
        <f t="shared" si="114"/>
        <v/>
      </c>
      <c r="IT112" s="410"/>
      <c r="IU112" s="410"/>
      <c r="IV112" s="635"/>
    </row>
    <row r="113" spans="1:256" s="302" customFormat="1" ht="12.75" hidden="1" customHeight="1">
      <c r="A113" s="397" t="str">
        <f t="shared" si="111"/>
        <v/>
      </c>
      <c r="B113" s="462" t="str">
        <f t="shared" si="115"/>
        <v/>
      </c>
      <c r="C113" s="426"/>
      <c r="D113" s="575"/>
      <c r="E113" s="463"/>
      <c r="F113" s="464"/>
      <c r="G113" s="465"/>
      <c r="H113" s="465"/>
      <c r="I113" s="466"/>
      <c r="J113" s="463"/>
      <c r="K113" s="465"/>
      <c r="L113" s="465"/>
      <c r="M113" s="466"/>
      <c r="N113" s="573"/>
      <c r="O113" s="467"/>
      <c r="P113" s="518"/>
      <c r="Q113" s="381"/>
      <c r="R113" s="182"/>
      <c r="S113" s="182"/>
      <c r="T113" s="182"/>
      <c r="U113" s="182"/>
      <c r="V113" s="182"/>
      <c r="W113" s="182"/>
      <c r="X113" s="182"/>
      <c r="Y113" s="182"/>
      <c r="Z113" s="182"/>
      <c r="AA113" s="382"/>
      <c r="AB113" s="182" t="str">
        <f t="shared" si="120"/>
        <v/>
      </c>
      <c r="AC113" s="315">
        <f t="shared" si="121"/>
        <v>0</v>
      </c>
      <c r="AD113" s="315" t="str">
        <f t="shared" si="116"/>
        <v/>
      </c>
      <c r="AE113" s="182"/>
      <c r="AF113" s="182"/>
      <c r="AG113" s="182"/>
      <c r="AH113" s="221"/>
      <c r="AI113" s="221"/>
      <c r="AJ113" s="221"/>
      <c r="AK113" s="221"/>
      <c r="AL113" s="221"/>
      <c r="AM113" s="221"/>
      <c r="AN113" s="221"/>
      <c r="AO113" s="221"/>
      <c r="AP113" s="221"/>
      <c r="AQ113" s="182"/>
      <c r="AR113" s="182"/>
      <c r="AS113" s="182"/>
      <c r="AT113" s="182"/>
      <c r="AU113" s="221" t="str">
        <f t="shared" si="122"/>
        <v/>
      </c>
      <c r="AV113" s="221" t="str">
        <f t="shared" si="123"/>
        <v/>
      </c>
      <c r="AW113" s="221"/>
      <c r="AX113" s="221"/>
      <c r="AY113" s="221"/>
      <c r="AZ113" s="221"/>
      <c r="BA113" s="221"/>
      <c r="BB113" s="221"/>
      <c r="BC113" s="221"/>
      <c r="BD113" s="221"/>
      <c r="BE113" s="221"/>
      <c r="BF113" s="468">
        <f t="shared" si="124"/>
        <v>0</v>
      </c>
      <c r="BG113" s="315">
        <f t="shared" si="125"/>
        <v>0</v>
      </c>
      <c r="BH113" s="315" t="str">
        <f t="shared" si="126"/>
        <v/>
      </c>
      <c r="BI113" s="182"/>
      <c r="BJ113" s="182"/>
      <c r="BK113" s="182"/>
      <c r="BL113" s="221"/>
      <c r="BM113" s="221"/>
      <c r="BN113" s="221"/>
      <c r="BO113" s="221"/>
      <c r="BP113" s="221"/>
      <c r="BQ113" s="221"/>
      <c r="BR113" s="221"/>
      <c r="BS113" s="221"/>
      <c r="BT113" s="221"/>
      <c r="BU113" s="182"/>
      <c r="BV113" s="182"/>
      <c r="BW113" s="182"/>
      <c r="BX113" s="182"/>
      <c r="BY113" s="221" t="str">
        <f t="shared" si="127"/>
        <v/>
      </c>
      <c r="BZ113" s="221" t="str">
        <f t="shared" si="128"/>
        <v/>
      </c>
      <c r="CA113" s="221"/>
      <c r="CB113" s="221"/>
      <c r="CC113" s="221"/>
      <c r="CD113" s="221"/>
      <c r="CE113" s="221"/>
      <c r="CF113" s="221"/>
      <c r="CG113" s="221"/>
      <c r="CH113" s="221"/>
      <c r="CI113" s="221"/>
      <c r="CJ113" s="468">
        <f t="shared" si="129"/>
        <v>0</v>
      </c>
      <c r="CK113" s="315">
        <f t="shared" si="130"/>
        <v>0</v>
      </c>
      <c r="CL113" s="315" t="str">
        <f t="shared" si="131"/>
        <v/>
      </c>
      <c r="CM113" s="182"/>
      <c r="CN113" s="182"/>
      <c r="CO113" s="182"/>
      <c r="CP113" s="221"/>
      <c r="CQ113" s="221"/>
      <c r="CR113" s="221"/>
      <c r="CS113" s="221"/>
      <c r="CT113" s="221"/>
      <c r="CU113" s="221"/>
      <c r="CV113" s="221"/>
      <c r="CW113" s="221"/>
      <c r="CX113" s="221"/>
      <c r="CY113" s="221"/>
      <c r="CZ113" s="182"/>
      <c r="DA113" s="182"/>
      <c r="DB113" s="182"/>
      <c r="DC113" s="182"/>
      <c r="DD113" s="221" t="str">
        <f t="shared" si="117"/>
        <v/>
      </c>
      <c r="DE113" s="221" t="str">
        <f t="shared" si="118"/>
        <v/>
      </c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469" t="str">
        <f t="shared" si="132"/>
        <v/>
      </c>
      <c r="DP113" s="315">
        <f t="shared" si="133"/>
        <v>0</v>
      </c>
      <c r="DQ113" s="315" t="str">
        <f t="shared" si="134"/>
        <v/>
      </c>
      <c r="DR113" s="182"/>
      <c r="DS113" s="182"/>
      <c r="DT113" s="182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182"/>
      <c r="EE113" s="182"/>
      <c r="EF113" s="182"/>
      <c r="EG113" s="182"/>
      <c r="EH113" s="221" t="str">
        <f t="shared" si="135"/>
        <v/>
      </c>
      <c r="EI113" s="221" t="str">
        <f t="shared" si="136"/>
        <v/>
      </c>
      <c r="EJ113" s="221"/>
      <c r="EK113" s="221"/>
      <c r="EL113" s="221"/>
      <c r="EM113" s="221"/>
      <c r="EN113" s="221"/>
      <c r="EO113" s="221"/>
      <c r="EP113" s="221"/>
      <c r="EQ113" s="221"/>
      <c r="ER113" s="221"/>
      <c r="ES113" s="221"/>
      <c r="ET113" s="221"/>
      <c r="EU113" s="315">
        <f t="shared" si="137"/>
        <v>0</v>
      </c>
      <c r="EV113" s="315" t="str">
        <f t="shared" si="138"/>
        <v/>
      </c>
      <c r="EW113" s="182"/>
      <c r="EX113" s="182"/>
      <c r="EY113" s="182"/>
      <c r="EZ113" s="221"/>
      <c r="FA113" s="221"/>
      <c r="FB113" s="221"/>
      <c r="FC113" s="221"/>
      <c r="FD113" s="221"/>
      <c r="FE113" s="221"/>
      <c r="FF113" s="221"/>
      <c r="FG113" s="221"/>
      <c r="FH113" s="221"/>
      <c r="FI113" s="182"/>
      <c r="FJ113" s="182"/>
      <c r="FK113" s="182"/>
      <c r="FL113" s="182"/>
      <c r="FM113" s="221" t="str">
        <f t="shared" si="139"/>
        <v/>
      </c>
      <c r="FN113" s="221" t="str">
        <f t="shared" si="140"/>
        <v/>
      </c>
      <c r="FO113" s="221"/>
      <c r="FP113" s="221"/>
      <c r="FQ113" s="221"/>
      <c r="FR113" s="221"/>
      <c r="FS113" s="221"/>
      <c r="FT113" s="221"/>
      <c r="FU113" s="221"/>
      <c r="FV113" s="221"/>
      <c r="FW113" s="221"/>
      <c r="FX113" s="221"/>
      <c r="FY113" s="221"/>
      <c r="FZ113" s="408"/>
      <c r="GA113" s="315">
        <f t="shared" si="141"/>
        <v>0</v>
      </c>
      <c r="GB113" s="315" t="str">
        <f t="shared" si="142"/>
        <v/>
      </c>
      <c r="GC113" s="182" t="s">
        <v>160</v>
      </c>
      <c r="GD113" s="182"/>
      <c r="GE113" s="182"/>
      <c r="GG113" s="460"/>
      <c r="GH113" s="460"/>
      <c r="GU113" s="469"/>
      <c r="GV113" s="470" t="str">
        <f t="shared" si="143"/>
        <v/>
      </c>
      <c r="GW113" s="302">
        <f t="shared" si="144"/>
        <v>0</v>
      </c>
      <c r="HA113" s="654"/>
      <c r="HD113" s="379"/>
      <c r="HE113" s="380"/>
      <c r="HH113" s="383"/>
      <c r="HI113" s="410"/>
      <c r="HJ113" s="302" t="str">
        <f t="shared" si="119"/>
        <v/>
      </c>
      <c r="HO113" s="302" t="str">
        <f t="shared" si="112"/>
        <v/>
      </c>
      <c r="HP113" s="302" t="str">
        <f t="shared" si="113"/>
        <v/>
      </c>
      <c r="HQ113" s="302" t="str">
        <f t="shared" si="114"/>
        <v/>
      </c>
      <c r="IT113" s="410"/>
      <c r="IU113" s="410"/>
      <c r="IV113" s="635"/>
    </row>
    <row r="114" spans="1:256" s="302" customFormat="1" ht="12.75" hidden="1" customHeight="1">
      <c r="A114" s="397" t="str">
        <f t="shared" si="111"/>
        <v/>
      </c>
      <c r="B114" s="462" t="str">
        <f t="shared" si="115"/>
        <v/>
      </c>
      <c r="C114" s="426"/>
      <c r="D114" s="575"/>
      <c r="E114" s="463"/>
      <c r="F114" s="464"/>
      <c r="G114" s="465"/>
      <c r="H114" s="465"/>
      <c r="I114" s="466"/>
      <c r="J114" s="463"/>
      <c r="K114" s="465"/>
      <c r="L114" s="465"/>
      <c r="M114" s="466"/>
      <c r="N114" s="573"/>
      <c r="O114" s="467"/>
      <c r="P114" s="518"/>
      <c r="Q114" s="381"/>
      <c r="R114" s="182"/>
      <c r="S114" s="182"/>
      <c r="T114" s="182"/>
      <c r="U114" s="182"/>
      <c r="V114" s="182"/>
      <c r="W114" s="182"/>
      <c r="X114" s="182"/>
      <c r="Y114" s="182"/>
      <c r="Z114" s="182"/>
      <c r="AA114" s="382"/>
      <c r="AB114" s="182" t="str">
        <f t="shared" si="120"/>
        <v/>
      </c>
      <c r="AC114" s="315">
        <f t="shared" si="121"/>
        <v>0</v>
      </c>
      <c r="AD114" s="315" t="str">
        <f t="shared" si="116"/>
        <v/>
      </c>
      <c r="AE114" s="182"/>
      <c r="AF114" s="182"/>
      <c r="AG114" s="182"/>
      <c r="AH114" s="221"/>
      <c r="AI114" s="221"/>
      <c r="AJ114" s="221"/>
      <c r="AK114" s="221"/>
      <c r="AL114" s="221"/>
      <c r="AM114" s="221"/>
      <c r="AN114" s="221"/>
      <c r="AO114" s="221"/>
      <c r="AP114" s="221"/>
      <c r="AQ114" s="182"/>
      <c r="AR114" s="182"/>
      <c r="AS114" s="182"/>
      <c r="AT114" s="182"/>
      <c r="AU114" s="221" t="str">
        <f t="shared" si="122"/>
        <v/>
      </c>
      <c r="AV114" s="221" t="str">
        <f t="shared" si="123"/>
        <v/>
      </c>
      <c r="AW114" s="221"/>
      <c r="AX114" s="221"/>
      <c r="AY114" s="221"/>
      <c r="AZ114" s="221"/>
      <c r="BA114" s="221"/>
      <c r="BB114" s="221"/>
      <c r="BC114" s="221"/>
      <c r="BD114" s="221"/>
      <c r="BE114" s="221"/>
      <c r="BF114" s="468">
        <f t="shared" si="124"/>
        <v>0</v>
      </c>
      <c r="BG114" s="315">
        <f t="shared" si="125"/>
        <v>0</v>
      </c>
      <c r="BH114" s="315" t="str">
        <f t="shared" si="126"/>
        <v/>
      </c>
      <c r="BI114" s="182"/>
      <c r="BJ114" s="182"/>
      <c r="BK114" s="182"/>
      <c r="BL114" s="221"/>
      <c r="BM114" s="221"/>
      <c r="BN114" s="221"/>
      <c r="BO114" s="221"/>
      <c r="BP114" s="221"/>
      <c r="BQ114" s="221"/>
      <c r="BR114" s="221"/>
      <c r="BS114" s="221"/>
      <c r="BT114" s="221"/>
      <c r="BU114" s="182"/>
      <c r="BV114" s="182"/>
      <c r="BW114" s="182"/>
      <c r="BX114" s="182"/>
      <c r="BY114" s="221" t="str">
        <f t="shared" si="127"/>
        <v/>
      </c>
      <c r="BZ114" s="221" t="str">
        <f t="shared" si="128"/>
        <v/>
      </c>
      <c r="CA114" s="221"/>
      <c r="CB114" s="221"/>
      <c r="CC114" s="221"/>
      <c r="CD114" s="221"/>
      <c r="CE114" s="221"/>
      <c r="CF114" s="221"/>
      <c r="CG114" s="221"/>
      <c r="CH114" s="221"/>
      <c r="CI114" s="221"/>
      <c r="CJ114" s="468">
        <f t="shared" si="129"/>
        <v>0</v>
      </c>
      <c r="CK114" s="315">
        <f t="shared" si="130"/>
        <v>0</v>
      </c>
      <c r="CL114" s="315" t="str">
        <f t="shared" si="131"/>
        <v/>
      </c>
      <c r="CM114" s="182"/>
      <c r="CN114" s="182"/>
      <c r="CO114" s="182"/>
      <c r="CP114" s="221"/>
      <c r="CQ114" s="221"/>
      <c r="CR114" s="221"/>
      <c r="CS114" s="221"/>
      <c r="CT114" s="221"/>
      <c r="CU114" s="221"/>
      <c r="CV114" s="221"/>
      <c r="CW114" s="221"/>
      <c r="CX114" s="221"/>
      <c r="CY114" s="221"/>
      <c r="CZ114" s="182"/>
      <c r="DA114" s="182"/>
      <c r="DB114" s="182"/>
      <c r="DC114" s="182"/>
      <c r="DD114" s="221" t="str">
        <f t="shared" si="117"/>
        <v/>
      </c>
      <c r="DE114" s="221" t="str">
        <f t="shared" si="118"/>
        <v/>
      </c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469" t="str">
        <f t="shared" si="132"/>
        <v/>
      </c>
      <c r="DP114" s="315">
        <f t="shared" si="133"/>
        <v>0</v>
      </c>
      <c r="DQ114" s="315" t="str">
        <f t="shared" si="134"/>
        <v/>
      </c>
      <c r="DR114" s="182"/>
      <c r="DS114" s="182"/>
      <c r="DT114" s="182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182"/>
      <c r="EE114" s="182"/>
      <c r="EF114" s="182"/>
      <c r="EG114" s="182"/>
      <c r="EH114" s="221" t="str">
        <f t="shared" si="135"/>
        <v/>
      </c>
      <c r="EI114" s="221" t="str">
        <f t="shared" si="136"/>
        <v/>
      </c>
      <c r="EJ114" s="221"/>
      <c r="EK114" s="221"/>
      <c r="EL114" s="221"/>
      <c r="EM114" s="221"/>
      <c r="EN114" s="221"/>
      <c r="EO114" s="221"/>
      <c r="EP114" s="221"/>
      <c r="EQ114" s="221"/>
      <c r="ER114" s="221"/>
      <c r="ES114" s="221"/>
      <c r="ET114" s="221"/>
      <c r="EU114" s="315">
        <f t="shared" si="137"/>
        <v>0</v>
      </c>
      <c r="EV114" s="315" t="str">
        <f t="shared" si="138"/>
        <v/>
      </c>
      <c r="EW114" s="182"/>
      <c r="EX114" s="182"/>
      <c r="EY114" s="182"/>
      <c r="EZ114" s="221"/>
      <c r="FA114" s="221"/>
      <c r="FB114" s="221"/>
      <c r="FC114" s="221"/>
      <c r="FD114" s="221"/>
      <c r="FE114" s="221"/>
      <c r="FF114" s="221"/>
      <c r="FG114" s="221"/>
      <c r="FH114" s="221"/>
      <c r="FI114" s="182"/>
      <c r="FJ114" s="182"/>
      <c r="FK114" s="182"/>
      <c r="FL114" s="182"/>
      <c r="FM114" s="221" t="str">
        <f t="shared" si="139"/>
        <v/>
      </c>
      <c r="FN114" s="221" t="str">
        <f t="shared" si="140"/>
        <v/>
      </c>
      <c r="FO114" s="221"/>
      <c r="FP114" s="221"/>
      <c r="FQ114" s="221"/>
      <c r="FR114" s="221"/>
      <c r="FS114" s="221"/>
      <c r="FT114" s="221"/>
      <c r="FU114" s="221"/>
      <c r="FV114" s="221"/>
      <c r="FW114" s="221"/>
      <c r="FX114" s="221"/>
      <c r="FY114" s="221"/>
      <c r="FZ114" s="408"/>
      <c r="GA114" s="315">
        <f t="shared" si="141"/>
        <v>0</v>
      </c>
      <c r="GB114" s="315" t="str">
        <f t="shared" si="142"/>
        <v/>
      </c>
      <c r="GC114" s="182" t="s">
        <v>160</v>
      </c>
      <c r="GD114" s="182"/>
      <c r="GE114" s="182"/>
      <c r="GG114" s="460"/>
      <c r="GH114" s="460"/>
      <c r="GU114" s="469"/>
      <c r="GV114" s="470" t="str">
        <f t="shared" si="143"/>
        <v/>
      </c>
      <c r="GW114" s="302">
        <f t="shared" si="144"/>
        <v>0</v>
      </c>
      <c r="HA114" s="654"/>
      <c r="HD114" s="379"/>
      <c r="HE114" s="380"/>
      <c r="HH114" s="383"/>
      <c r="HI114" s="410"/>
      <c r="HJ114" s="302" t="str">
        <f t="shared" si="119"/>
        <v/>
      </c>
      <c r="HO114" s="302" t="str">
        <f t="shared" si="112"/>
        <v/>
      </c>
      <c r="HP114" s="302" t="str">
        <f t="shared" si="113"/>
        <v/>
      </c>
      <c r="HQ114" s="302" t="str">
        <f t="shared" si="114"/>
        <v/>
      </c>
      <c r="IT114" s="410"/>
      <c r="IU114" s="410"/>
      <c r="IV114" s="635"/>
    </row>
    <row r="115" spans="1:256" s="302" customFormat="1" ht="12.75" hidden="1" customHeight="1">
      <c r="A115" s="397" t="str">
        <f t="shared" si="111"/>
        <v/>
      </c>
      <c r="B115" s="462" t="str">
        <f t="shared" si="115"/>
        <v/>
      </c>
      <c r="C115" s="426"/>
      <c r="D115" s="575"/>
      <c r="E115" s="463"/>
      <c r="F115" s="464"/>
      <c r="G115" s="465"/>
      <c r="H115" s="465"/>
      <c r="I115" s="466"/>
      <c r="J115" s="463"/>
      <c r="K115" s="465"/>
      <c r="L115" s="465"/>
      <c r="M115" s="466"/>
      <c r="N115" s="573"/>
      <c r="O115" s="467"/>
      <c r="P115" s="518"/>
      <c r="Q115" s="381"/>
      <c r="R115" s="182"/>
      <c r="S115" s="182"/>
      <c r="T115" s="182"/>
      <c r="U115" s="182"/>
      <c r="V115" s="182"/>
      <c r="W115" s="182"/>
      <c r="X115" s="182"/>
      <c r="Y115" s="182"/>
      <c r="Z115" s="182"/>
      <c r="AA115" s="384"/>
      <c r="AB115" s="182" t="str">
        <f t="shared" si="120"/>
        <v/>
      </c>
      <c r="AC115" s="315">
        <f t="shared" si="121"/>
        <v>0</v>
      </c>
      <c r="AD115" s="315" t="str">
        <f t="shared" si="116"/>
        <v/>
      </c>
      <c r="AE115" s="182"/>
      <c r="AF115" s="182"/>
      <c r="AG115" s="182"/>
      <c r="AH115" s="221"/>
      <c r="AI115" s="221"/>
      <c r="AJ115" s="221"/>
      <c r="AK115" s="221"/>
      <c r="AL115" s="221"/>
      <c r="AM115" s="221"/>
      <c r="AN115" s="221"/>
      <c r="AO115" s="221"/>
      <c r="AP115" s="221"/>
      <c r="AQ115" s="182"/>
      <c r="AR115" s="182"/>
      <c r="AS115" s="182"/>
      <c r="AT115" s="182"/>
      <c r="AU115" s="221" t="str">
        <f t="shared" si="122"/>
        <v/>
      </c>
      <c r="AV115" s="221" t="str">
        <f t="shared" si="123"/>
        <v/>
      </c>
      <c r="AW115" s="221"/>
      <c r="AX115" s="221"/>
      <c r="AY115" s="221"/>
      <c r="AZ115" s="221"/>
      <c r="BA115" s="221"/>
      <c r="BB115" s="221"/>
      <c r="BC115" s="221"/>
      <c r="BD115" s="221"/>
      <c r="BE115" s="221"/>
      <c r="BF115" s="469">
        <f t="shared" si="124"/>
        <v>0</v>
      </c>
      <c r="BG115" s="315">
        <f t="shared" si="125"/>
        <v>0</v>
      </c>
      <c r="BH115" s="315" t="str">
        <f t="shared" si="126"/>
        <v/>
      </c>
      <c r="BI115" s="182"/>
      <c r="BJ115" s="182"/>
      <c r="BK115" s="182"/>
      <c r="BL115" s="221"/>
      <c r="BM115" s="221"/>
      <c r="BN115" s="221"/>
      <c r="BO115" s="221"/>
      <c r="BP115" s="221"/>
      <c r="BQ115" s="221"/>
      <c r="BR115" s="221"/>
      <c r="BS115" s="221"/>
      <c r="BT115" s="221"/>
      <c r="BU115" s="182"/>
      <c r="BV115" s="182"/>
      <c r="BW115" s="182"/>
      <c r="BX115" s="182"/>
      <c r="BY115" s="221" t="str">
        <f t="shared" si="127"/>
        <v/>
      </c>
      <c r="BZ115" s="221" t="str">
        <f t="shared" si="128"/>
        <v/>
      </c>
      <c r="CA115" s="221"/>
      <c r="CB115" s="221"/>
      <c r="CC115" s="221"/>
      <c r="CD115" s="221"/>
      <c r="CE115" s="221"/>
      <c r="CF115" s="221"/>
      <c r="CG115" s="221"/>
      <c r="CH115" s="221"/>
      <c r="CI115" s="221"/>
      <c r="CJ115" s="469">
        <f t="shared" si="129"/>
        <v>0</v>
      </c>
      <c r="CK115" s="315">
        <f t="shared" si="130"/>
        <v>0</v>
      </c>
      <c r="CL115" s="315" t="str">
        <f t="shared" si="131"/>
        <v/>
      </c>
      <c r="CM115" s="182"/>
      <c r="CN115" s="182"/>
      <c r="CO115" s="182"/>
      <c r="CP115" s="221"/>
      <c r="CQ115" s="221"/>
      <c r="CR115" s="221"/>
      <c r="CS115" s="221"/>
      <c r="CT115" s="221"/>
      <c r="CU115" s="221"/>
      <c r="CV115" s="221"/>
      <c r="CW115" s="221"/>
      <c r="CX115" s="221"/>
      <c r="CY115" s="221"/>
      <c r="CZ115" s="182"/>
      <c r="DA115" s="182"/>
      <c r="DB115" s="182"/>
      <c r="DC115" s="182"/>
      <c r="DD115" s="221" t="str">
        <f t="shared" si="117"/>
        <v/>
      </c>
      <c r="DE115" s="221" t="str">
        <f t="shared" si="118"/>
        <v/>
      </c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469" t="str">
        <f t="shared" si="132"/>
        <v/>
      </c>
      <c r="DP115" s="315">
        <f t="shared" si="133"/>
        <v>0</v>
      </c>
      <c r="DQ115" s="315" t="str">
        <f t="shared" si="134"/>
        <v/>
      </c>
      <c r="DR115" s="182"/>
      <c r="DS115" s="182"/>
      <c r="DT115" s="182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182"/>
      <c r="EE115" s="182"/>
      <c r="EF115" s="182"/>
      <c r="EG115" s="182"/>
      <c r="EH115" s="221" t="str">
        <f t="shared" si="135"/>
        <v/>
      </c>
      <c r="EI115" s="221" t="str">
        <f t="shared" si="136"/>
        <v/>
      </c>
      <c r="EJ115" s="221"/>
      <c r="EK115" s="221"/>
      <c r="EL115" s="221"/>
      <c r="EM115" s="221"/>
      <c r="EN115" s="221"/>
      <c r="EO115" s="221"/>
      <c r="EP115" s="221"/>
      <c r="EQ115" s="221"/>
      <c r="ER115" s="221"/>
      <c r="ES115" s="221"/>
      <c r="ET115" s="221"/>
      <c r="EU115" s="315">
        <f t="shared" si="137"/>
        <v>0</v>
      </c>
      <c r="EV115" s="315" t="str">
        <f t="shared" si="138"/>
        <v/>
      </c>
      <c r="EW115" s="182"/>
      <c r="EX115" s="182"/>
      <c r="EY115" s="182"/>
      <c r="EZ115" s="221"/>
      <c r="FA115" s="221"/>
      <c r="FB115" s="221"/>
      <c r="FC115" s="221"/>
      <c r="FD115" s="221"/>
      <c r="FE115" s="221"/>
      <c r="FF115" s="221"/>
      <c r="FG115" s="221"/>
      <c r="FH115" s="221"/>
      <c r="FI115" s="182"/>
      <c r="FJ115" s="182"/>
      <c r="FK115" s="182"/>
      <c r="FL115" s="182"/>
      <c r="FM115" s="221" t="str">
        <f t="shared" si="139"/>
        <v/>
      </c>
      <c r="FN115" s="221" t="str">
        <f t="shared" si="140"/>
        <v/>
      </c>
      <c r="FO115" s="221"/>
      <c r="FP115" s="221"/>
      <c r="FQ115" s="221"/>
      <c r="FR115" s="221"/>
      <c r="FS115" s="221"/>
      <c r="FT115" s="221"/>
      <c r="FU115" s="221"/>
      <c r="FV115" s="221"/>
      <c r="FW115" s="221"/>
      <c r="FX115" s="221"/>
      <c r="FY115" s="221"/>
      <c r="FZ115" s="408"/>
      <c r="GA115" s="315">
        <f t="shared" si="141"/>
        <v>0</v>
      </c>
      <c r="GB115" s="315" t="str">
        <f t="shared" si="142"/>
        <v/>
      </c>
      <c r="GC115" s="182" t="s">
        <v>160</v>
      </c>
      <c r="GD115" s="182"/>
      <c r="GE115" s="182"/>
      <c r="GG115" s="460"/>
      <c r="GH115" s="460"/>
      <c r="GU115" s="469"/>
      <c r="GV115" s="470" t="str">
        <f t="shared" si="143"/>
        <v/>
      </c>
      <c r="GW115" s="302">
        <f t="shared" si="144"/>
        <v>0</v>
      </c>
      <c r="HA115" s="654"/>
      <c r="HD115" s="379"/>
      <c r="HE115" s="380"/>
      <c r="HH115" s="385"/>
      <c r="HI115" s="411"/>
      <c r="HJ115" s="302" t="str">
        <f t="shared" si="119"/>
        <v/>
      </c>
      <c r="HO115" s="302" t="str">
        <f t="shared" si="112"/>
        <v/>
      </c>
      <c r="HP115" s="302" t="str">
        <f t="shared" si="113"/>
        <v/>
      </c>
      <c r="HQ115" s="302" t="str">
        <f t="shared" si="114"/>
        <v/>
      </c>
      <c r="IT115" s="411"/>
      <c r="IU115" s="411"/>
      <c r="IV115" s="635"/>
    </row>
    <row r="116" spans="1:256" s="302" customFormat="1" ht="12.75" hidden="1" customHeight="1">
      <c r="A116" s="397" t="str">
        <f t="shared" si="111"/>
        <v/>
      </c>
      <c r="B116" s="462" t="str">
        <f t="shared" si="115"/>
        <v/>
      </c>
      <c r="C116" s="426"/>
      <c r="D116" s="575"/>
      <c r="E116" s="463"/>
      <c r="F116" s="464"/>
      <c r="G116" s="465"/>
      <c r="H116" s="465"/>
      <c r="I116" s="466"/>
      <c r="J116" s="463"/>
      <c r="K116" s="465"/>
      <c r="L116" s="465"/>
      <c r="M116" s="466"/>
      <c r="N116" s="573"/>
      <c r="O116" s="467"/>
      <c r="P116" s="518"/>
      <c r="Q116" s="381"/>
      <c r="R116" s="182"/>
      <c r="S116" s="182"/>
      <c r="T116" s="182"/>
      <c r="U116" s="182"/>
      <c r="V116" s="182"/>
      <c r="W116" s="182"/>
      <c r="X116" s="182"/>
      <c r="Y116" s="182"/>
      <c r="Z116" s="182"/>
      <c r="AA116" s="382"/>
      <c r="AB116" s="182" t="str">
        <f t="shared" si="120"/>
        <v/>
      </c>
      <c r="AC116" s="315">
        <f t="shared" si="121"/>
        <v>0</v>
      </c>
      <c r="AD116" s="315" t="str">
        <f t="shared" si="116"/>
        <v/>
      </c>
      <c r="AE116" s="182"/>
      <c r="AF116" s="182"/>
      <c r="AG116" s="182"/>
      <c r="AH116" s="221"/>
      <c r="AI116" s="221"/>
      <c r="AJ116" s="221"/>
      <c r="AK116" s="221"/>
      <c r="AL116" s="221"/>
      <c r="AM116" s="221"/>
      <c r="AN116" s="221"/>
      <c r="AO116" s="221"/>
      <c r="AP116" s="221"/>
      <c r="AQ116" s="182"/>
      <c r="AR116" s="182"/>
      <c r="AS116" s="182"/>
      <c r="AT116" s="182"/>
      <c r="AU116" s="221" t="str">
        <f t="shared" si="122"/>
        <v/>
      </c>
      <c r="AV116" s="221" t="str">
        <f t="shared" si="123"/>
        <v/>
      </c>
      <c r="AW116" s="221"/>
      <c r="AX116" s="221"/>
      <c r="AY116" s="221"/>
      <c r="AZ116" s="221"/>
      <c r="BA116" s="221"/>
      <c r="BB116" s="221"/>
      <c r="BC116" s="221"/>
      <c r="BD116" s="221"/>
      <c r="BE116" s="221"/>
      <c r="BF116" s="468">
        <f t="shared" si="124"/>
        <v>0</v>
      </c>
      <c r="BG116" s="315">
        <f t="shared" si="125"/>
        <v>0</v>
      </c>
      <c r="BH116" s="315" t="str">
        <f t="shared" si="126"/>
        <v/>
      </c>
      <c r="BI116" s="182"/>
      <c r="BJ116" s="182"/>
      <c r="BK116" s="182"/>
      <c r="BL116" s="221"/>
      <c r="BM116" s="221"/>
      <c r="BN116" s="221"/>
      <c r="BO116" s="221"/>
      <c r="BP116" s="221"/>
      <c r="BQ116" s="221"/>
      <c r="BR116" s="221"/>
      <c r="BS116" s="221"/>
      <c r="BT116" s="221"/>
      <c r="BU116" s="182"/>
      <c r="BV116" s="182"/>
      <c r="BW116" s="182"/>
      <c r="BX116" s="182"/>
      <c r="BY116" s="221" t="str">
        <f t="shared" si="127"/>
        <v/>
      </c>
      <c r="BZ116" s="221" t="str">
        <f t="shared" si="128"/>
        <v/>
      </c>
      <c r="CA116" s="221"/>
      <c r="CB116" s="221"/>
      <c r="CC116" s="221"/>
      <c r="CD116" s="221"/>
      <c r="CE116" s="221"/>
      <c r="CF116" s="221"/>
      <c r="CG116" s="221"/>
      <c r="CH116" s="221"/>
      <c r="CI116" s="221"/>
      <c r="CJ116" s="468">
        <f t="shared" si="129"/>
        <v>0</v>
      </c>
      <c r="CK116" s="315">
        <f t="shared" si="130"/>
        <v>0</v>
      </c>
      <c r="CL116" s="315" t="str">
        <f t="shared" si="131"/>
        <v/>
      </c>
      <c r="CM116" s="182"/>
      <c r="CN116" s="182"/>
      <c r="CO116" s="182"/>
      <c r="CP116" s="221"/>
      <c r="CQ116" s="221"/>
      <c r="CR116" s="221"/>
      <c r="CS116" s="221"/>
      <c r="CT116" s="221"/>
      <c r="CU116" s="221"/>
      <c r="CV116" s="221"/>
      <c r="CW116" s="221"/>
      <c r="CX116" s="221"/>
      <c r="CY116" s="221"/>
      <c r="CZ116" s="182"/>
      <c r="DA116" s="182"/>
      <c r="DB116" s="182"/>
      <c r="DC116" s="182"/>
      <c r="DD116" s="221" t="str">
        <f t="shared" si="117"/>
        <v/>
      </c>
      <c r="DE116" s="221" t="str">
        <f t="shared" si="118"/>
        <v/>
      </c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469" t="str">
        <f t="shared" si="132"/>
        <v/>
      </c>
      <c r="DP116" s="315">
        <f t="shared" si="133"/>
        <v>0</v>
      </c>
      <c r="DQ116" s="315" t="str">
        <f t="shared" si="134"/>
        <v/>
      </c>
      <c r="DR116" s="182"/>
      <c r="DS116" s="182"/>
      <c r="DT116" s="182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182"/>
      <c r="EE116" s="182"/>
      <c r="EF116" s="182"/>
      <c r="EG116" s="182"/>
      <c r="EH116" s="221" t="str">
        <f t="shared" si="135"/>
        <v/>
      </c>
      <c r="EI116" s="221" t="str">
        <f t="shared" si="136"/>
        <v/>
      </c>
      <c r="EJ116" s="221"/>
      <c r="EK116" s="221"/>
      <c r="EL116" s="221"/>
      <c r="EM116" s="221"/>
      <c r="EN116" s="221"/>
      <c r="EO116" s="221"/>
      <c r="EP116" s="221"/>
      <c r="EQ116" s="221"/>
      <c r="ER116" s="221"/>
      <c r="ES116" s="221"/>
      <c r="ET116" s="221"/>
      <c r="EU116" s="315">
        <f t="shared" si="137"/>
        <v>0</v>
      </c>
      <c r="EV116" s="315" t="str">
        <f t="shared" si="138"/>
        <v/>
      </c>
      <c r="EW116" s="182"/>
      <c r="EX116" s="182"/>
      <c r="EY116" s="182"/>
      <c r="EZ116" s="221"/>
      <c r="FA116" s="221"/>
      <c r="FB116" s="221"/>
      <c r="FC116" s="221"/>
      <c r="FD116" s="221"/>
      <c r="FE116" s="221"/>
      <c r="FF116" s="221"/>
      <c r="FG116" s="221"/>
      <c r="FH116" s="221"/>
      <c r="FI116" s="182"/>
      <c r="FJ116" s="182"/>
      <c r="FK116" s="182"/>
      <c r="FL116" s="182"/>
      <c r="FM116" s="221" t="str">
        <f t="shared" si="139"/>
        <v/>
      </c>
      <c r="FN116" s="221" t="str">
        <f t="shared" si="140"/>
        <v/>
      </c>
      <c r="FO116" s="221"/>
      <c r="FP116" s="221"/>
      <c r="FQ116" s="221"/>
      <c r="FR116" s="221"/>
      <c r="FS116" s="221"/>
      <c r="FT116" s="221"/>
      <c r="FU116" s="221"/>
      <c r="FV116" s="221"/>
      <c r="FW116" s="221"/>
      <c r="FX116" s="221"/>
      <c r="FY116" s="221"/>
      <c r="FZ116" s="408"/>
      <c r="GA116" s="315">
        <f t="shared" si="141"/>
        <v>0</v>
      </c>
      <c r="GB116" s="315" t="str">
        <f t="shared" si="142"/>
        <v/>
      </c>
      <c r="GC116" s="302" t="s">
        <v>160</v>
      </c>
      <c r="GG116" s="460"/>
      <c r="GH116" s="460"/>
      <c r="GU116" s="469"/>
      <c r="GV116" s="470" t="str">
        <f t="shared" si="143"/>
        <v/>
      </c>
      <c r="GW116" s="302">
        <f t="shared" si="144"/>
        <v>0</v>
      </c>
      <c r="HA116" s="654"/>
      <c r="HD116" s="379"/>
      <c r="HE116" s="380"/>
      <c r="HH116" s="383"/>
      <c r="HI116" s="410"/>
      <c r="HJ116" s="302" t="str">
        <f t="shared" si="119"/>
        <v/>
      </c>
      <c r="HO116" s="302" t="str">
        <f t="shared" si="112"/>
        <v/>
      </c>
      <c r="HP116" s="302" t="str">
        <f t="shared" si="113"/>
        <v/>
      </c>
      <c r="HQ116" s="302" t="str">
        <f t="shared" si="114"/>
        <v/>
      </c>
      <c r="IT116" s="410"/>
      <c r="IU116" s="410"/>
      <c r="IV116" s="635"/>
    </row>
    <row r="117" spans="1:256" s="302" customFormat="1" ht="12.75" hidden="1" customHeight="1">
      <c r="A117" s="397" t="str">
        <f t="shared" si="111"/>
        <v/>
      </c>
      <c r="B117" s="462" t="str">
        <f t="shared" si="115"/>
        <v/>
      </c>
      <c r="C117" s="426"/>
      <c r="D117" s="575"/>
      <c r="E117" s="463"/>
      <c r="F117" s="464"/>
      <c r="G117" s="465"/>
      <c r="H117" s="465"/>
      <c r="I117" s="466"/>
      <c r="J117" s="463"/>
      <c r="K117" s="465"/>
      <c r="L117" s="465"/>
      <c r="M117" s="466"/>
      <c r="N117" s="573"/>
      <c r="O117" s="467"/>
      <c r="P117" s="518"/>
      <c r="Q117" s="381"/>
      <c r="R117" s="182"/>
      <c r="S117" s="182"/>
      <c r="T117" s="182"/>
      <c r="U117" s="182"/>
      <c r="V117" s="182"/>
      <c r="W117" s="182"/>
      <c r="X117" s="182"/>
      <c r="Y117" s="182"/>
      <c r="Z117" s="182"/>
      <c r="AA117" s="384"/>
      <c r="AB117" s="182" t="str">
        <f t="shared" si="120"/>
        <v/>
      </c>
      <c r="AC117" s="315">
        <f t="shared" si="121"/>
        <v>0</v>
      </c>
      <c r="AD117" s="315" t="str">
        <f t="shared" si="116"/>
        <v/>
      </c>
      <c r="AE117" s="182"/>
      <c r="AF117" s="182"/>
      <c r="AG117" s="182"/>
      <c r="AH117" s="221"/>
      <c r="AI117" s="221"/>
      <c r="AJ117" s="221"/>
      <c r="AK117" s="221"/>
      <c r="AL117" s="221"/>
      <c r="AM117" s="221"/>
      <c r="AN117" s="221"/>
      <c r="AO117" s="221"/>
      <c r="AP117" s="221"/>
      <c r="AQ117" s="182"/>
      <c r="AR117" s="182"/>
      <c r="AS117" s="182"/>
      <c r="AT117" s="182"/>
      <c r="AU117" s="221" t="str">
        <f t="shared" si="122"/>
        <v/>
      </c>
      <c r="AV117" s="221" t="str">
        <f t="shared" si="123"/>
        <v/>
      </c>
      <c r="AW117" s="221"/>
      <c r="AX117" s="221"/>
      <c r="AY117" s="221"/>
      <c r="AZ117" s="221"/>
      <c r="BA117" s="221"/>
      <c r="BB117" s="221"/>
      <c r="BC117" s="221"/>
      <c r="BD117" s="221"/>
      <c r="BE117" s="221"/>
      <c r="BF117" s="469">
        <f t="shared" si="124"/>
        <v>0</v>
      </c>
      <c r="BG117" s="315">
        <f t="shared" si="125"/>
        <v>0</v>
      </c>
      <c r="BH117" s="315" t="str">
        <f t="shared" si="126"/>
        <v/>
      </c>
      <c r="BI117" s="182"/>
      <c r="BJ117" s="182"/>
      <c r="BK117" s="182"/>
      <c r="BL117" s="221"/>
      <c r="BM117" s="221"/>
      <c r="BN117" s="221"/>
      <c r="BO117" s="221"/>
      <c r="BP117" s="221"/>
      <c r="BQ117" s="221"/>
      <c r="BR117" s="221"/>
      <c r="BS117" s="221"/>
      <c r="BT117" s="221"/>
      <c r="BU117" s="182"/>
      <c r="BV117" s="182"/>
      <c r="BW117" s="182"/>
      <c r="BX117" s="182"/>
      <c r="BY117" s="221" t="str">
        <f t="shared" si="127"/>
        <v/>
      </c>
      <c r="BZ117" s="221" t="str">
        <f t="shared" si="128"/>
        <v/>
      </c>
      <c r="CA117" s="221"/>
      <c r="CB117" s="221"/>
      <c r="CC117" s="221"/>
      <c r="CD117" s="221"/>
      <c r="CE117" s="221"/>
      <c r="CF117" s="221"/>
      <c r="CG117" s="221"/>
      <c r="CH117" s="221"/>
      <c r="CI117" s="221"/>
      <c r="CJ117" s="469">
        <f t="shared" si="129"/>
        <v>0</v>
      </c>
      <c r="CK117" s="315">
        <f t="shared" si="130"/>
        <v>0</v>
      </c>
      <c r="CL117" s="315" t="str">
        <f t="shared" si="131"/>
        <v/>
      </c>
      <c r="CM117" s="182"/>
      <c r="CN117" s="182"/>
      <c r="CO117" s="182"/>
      <c r="CP117" s="221"/>
      <c r="CQ117" s="221"/>
      <c r="CR117" s="221"/>
      <c r="CS117" s="221"/>
      <c r="CT117" s="221"/>
      <c r="CU117" s="221"/>
      <c r="CV117" s="221"/>
      <c r="CW117" s="221"/>
      <c r="CX117" s="221"/>
      <c r="CY117" s="221"/>
      <c r="CZ117" s="182"/>
      <c r="DA117" s="182"/>
      <c r="DB117" s="182"/>
      <c r="DC117" s="182"/>
      <c r="DD117" s="221" t="str">
        <f t="shared" si="117"/>
        <v/>
      </c>
      <c r="DE117" s="221" t="str">
        <f t="shared" si="118"/>
        <v/>
      </c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469" t="str">
        <f t="shared" si="132"/>
        <v/>
      </c>
      <c r="DP117" s="315">
        <f t="shared" si="133"/>
        <v>0</v>
      </c>
      <c r="DQ117" s="315" t="str">
        <f t="shared" si="134"/>
        <v/>
      </c>
      <c r="DR117" s="182"/>
      <c r="DS117" s="182"/>
      <c r="DT117" s="182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182"/>
      <c r="EE117" s="182"/>
      <c r="EF117" s="182"/>
      <c r="EG117" s="182"/>
      <c r="EH117" s="221" t="str">
        <f t="shared" si="135"/>
        <v/>
      </c>
      <c r="EI117" s="221" t="str">
        <f t="shared" si="136"/>
        <v/>
      </c>
      <c r="EJ117" s="221"/>
      <c r="EK117" s="221"/>
      <c r="EL117" s="221"/>
      <c r="EM117" s="221"/>
      <c r="EN117" s="221"/>
      <c r="EO117" s="221"/>
      <c r="EP117" s="221"/>
      <c r="EQ117" s="221"/>
      <c r="ER117" s="221"/>
      <c r="ES117" s="221"/>
      <c r="ET117" s="221"/>
      <c r="EU117" s="315">
        <f t="shared" si="137"/>
        <v>0</v>
      </c>
      <c r="EV117" s="315" t="str">
        <f t="shared" si="138"/>
        <v/>
      </c>
      <c r="EW117" s="182"/>
      <c r="EX117" s="182"/>
      <c r="EY117" s="182"/>
      <c r="EZ117" s="221"/>
      <c r="FA117" s="221"/>
      <c r="FB117" s="221"/>
      <c r="FC117" s="221"/>
      <c r="FD117" s="221"/>
      <c r="FE117" s="221"/>
      <c r="FF117" s="221"/>
      <c r="FG117" s="221"/>
      <c r="FH117" s="221"/>
      <c r="FI117" s="182"/>
      <c r="FJ117" s="182"/>
      <c r="FK117" s="182"/>
      <c r="FL117" s="182"/>
      <c r="FM117" s="221" t="str">
        <f t="shared" si="139"/>
        <v/>
      </c>
      <c r="FN117" s="221" t="str">
        <f t="shared" si="140"/>
        <v/>
      </c>
      <c r="FO117" s="221"/>
      <c r="FP117" s="221"/>
      <c r="FQ117" s="221"/>
      <c r="FR117" s="221"/>
      <c r="FS117" s="221"/>
      <c r="FT117" s="221"/>
      <c r="FU117" s="221"/>
      <c r="FV117" s="221"/>
      <c r="FW117" s="221"/>
      <c r="FX117" s="221"/>
      <c r="FY117" s="221"/>
      <c r="FZ117" s="408"/>
      <c r="GA117" s="315">
        <f t="shared" si="141"/>
        <v>0</v>
      </c>
      <c r="GB117" s="315" t="str">
        <f t="shared" si="142"/>
        <v/>
      </c>
      <c r="GC117" s="182" t="s">
        <v>160</v>
      </c>
      <c r="GD117" s="182"/>
      <c r="GE117" s="182"/>
      <c r="GG117" s="460"/>
      <c r="GH117" s="460"/>
      <c r="GU117" s="469"/>
      <c r="GV117" s="470" t="str">
        <f t="shared" si="143"/>
        <v/>
      </c>
      <c r="GW117" s="302">
        <f t="shared" si="144"/>
        <v>0</v>
      </c>
      <c r="HA117" s="654"/>
      <c r="HD117" s="379"/>
      <c r="HE117" s="380"/>
      <c r="HH117" s="385"/>
      <c r="HI117" s="411"/>
      <c r="HJ117" s="302" t="str">
        <f t="shared" si="119"/>
        <v/>
      </c>
      <c r="HO117" s="302" t="str">
        <f t="shared" si="112"/>
        <v/>
      </c>
      <c r="HP117" s="302" t="str">
        <f t="shared" si="113"/>
        <v/>
      </c>
      <c r="HQ117" s="302" t="str">
        <f t="shared" si="114"/>
        <v/>
      </c>
      <c r="IT117" s="411"/>
      <c r="IU117" s="411"/>
      <c r="IV117" s="635"/>
    </row>
    <row r="118" spans="1:256" s="302" customFormat="1" ht="12.75" hidden="1" customHeight="1">
      <c r="A118" s="397" t="str">
        <f t="shared" si="111"/>
        <v/>
      </c>
      <c r="B118" s="462" t="str">
        <f t="shared" si="115"/>
        <v/>
      </c>
      <c r="C118" s="426"/>
      <c r="D118" s="575"/>
      <c r="E118" s="463"/>
      <c r="F118" s="464"/>
      <c r="G118" s="465"/>
      <c r="H118" s="465"/>
      <c r="I118" s="466"/>
      <c r="J118" s="463"/>
      <c r="K118" s="465"/>
      <c r="L118" s="465"/>
      <c r="M118" s="466"/>
      <c r="N118" s="573"/>
      <c r="O118" s="467"/>
      <c r="P118" s="518"/>
      <c r="Q118" s="381"/>
      <c r="R118" s="182"/>
      <c r="S118" s="182"/>
      <c r="T118" s="182"/>
      <c r="U118" s="182"/>
      <c r="V118" s="182"/>
      <c r="W118" s="182"/>
      <c r="X118" s="182"/>
      <c r="Y118" s="182"/>
      <c r="Z118" s="182"/>
      <c r="AA118" s="382"/>
      <c r="AB118" s="182" t="str">
        <f t="shared" si="120"/>
        <v/>
      </c>
      <c r="AC118" s="315">
        <f t="shared" si="121"/>
        <v>0</v>
      </c>
      <c r="AD118" s="315" t="str">
        <f t="shared" si="116"/>
        <v/>
      </c>
      <c r="AE118" s="182"/>
      <c r="AF118" s="182"/>
      <c r="AG118" s="182"/>
      <c r="AH118" s="221"/>
      <c r="AI118" s="221"/>
      <c r="AJ118" s="221"/>
      <c r="AK118" s="221"/>
      <c r="AL118" s="221"/>
      <c r="AM118" s="221"/>
      <c r="AN118" s="221"/>
      <c r="AO118" s="221"/>
      <c r="AP118" s="221"/>
      <c r="AQ118" s="182"/>
      <c r="AR118" s="182"/>
      <c r="AS118" s="182"/>
      <c r="AT118" s="224"/>
      <c r="AU118" s="221" t="str">
        <f t="shared" si="122"/>
        <v/>
      </c>
      <c r="AV118" s="221" t="str">
        <f t="shared" si="123"/>
        <v/>
      </c>
      <c r="AW118" s="221"/>
      <c r="AX118" s="221"/>
      <c r="AY118" s="221"/>
      <c r="AZ118" s="221"/>
      <c r="BA118" s="221"/>
      <c r="BB118" s="221"/>
      <c r="BC118" s="221"/>
      <c r="BD118" s="221"/>
      <c r="BE118" s="221"/>
      <c r="BF118" s="468">
        <f t="shared" si="124"/>
        <v>0</v>
      </c>
      <c r="BG118" s="315">
        <f t="shared" si="125"/>
        <v>0</v>
      </c>
      <c r="BH118" s="315" t="str">
        <f t="shared" si="126"/>
        <v/>
      </c>
      <c r="BI118" s="182"/>
      <c r="BJ118" s="182"/>
      <c r="BK118" s="182"/>
      <c r="BL118" s="221"/>
      <c r="BM118" s="221"/>
      <c r="BN118" s="221"/>
      <c r="BO118" s="221"/>
      <c r="BP118" s="221"/>
      <c r="BQ118" s="221"/>
      <c r="BR118" s="221"/>
      <c r="BS118" s="221"/>
      <c r="BT118" s="221"/>
      <c r="BU118" s="182"/>
      <c r="BV118" s="182"/>
      <c r="BW118" s="182"/>
      <c r="BX118" s="182"/>
      <c r="BY118" s="221" t="str">
        <f t="shared" si="127"/>
        <v/>
      </c>
      <c r="BZ118" s="221" t="str">
        <f t="shared" si="128"/>
        <v/>
      </c>
      <c r="CA118" s="221"/>
      <c r="CB118" s="221"/>
      <c r="CC118" s="221"/>
      <c r="CD118" s="221"/>
      <c r="CE118" s="221"/>
      <c r="CF118" s="221"/>
      <c r="CG118" s="221"/>
      <c r="CH118" s="221"/>
      <c r="CI118" s="221"/>
      <c r="CJ118" s="468">
        <f t="shared" si="129"/>
        <v>0</v>
      </c>
      <c r="CK118" s="315">
        <f t="shared" si="130"/>
        <v>0</v>
      </c>
      <c r="CL118" s="315" t="str">
        <f t="shared" si="131"/>
        <v/>
      </c>
      <c r="CM118" s="182"/>
      <c r="CN118" s="182"/>
      <c r="CO118" s="182"/>
      <c r="CP118" s="221"/>
      <c r="CQ118" s="221"/>
      <c r="CR118" s="221"/>
      <c r="CS118" s="221"/>
      <c r="CT118" s="221"/>
      <c r="CU118" s="221"/>
      <c r="CV118" s="221"/>
      <c r="CW118" s="221"/>
      <c r="CX118" s="221"/>
      <c r="CY118" s="221"/>
      <c r="CZ118" s="182"/>
      <c r="DA118" s="182"/>
      <c r="DB118" s="182"/>
      <c r="DC118" s="182"/>
      <c r="DD118" s="221" t="str">
        <f t="shared" si="117"/>
        <v/>
      </c>
      <c r="DE118" s="221" t="str">
        <f t="shared" si="118"/>
        <v/>
      </c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469" t="str">
        <f t="shared" si="132"/>
        <v/>
      </c>
      <c r="DP118" s="315">
        <f t="shared" si="133"/>
        <v>0</v>
      </c>
      <c r="DQ118" s="315" t="str">
        <f t="shared" si="134"/>
        <v/>
      </c>
      <c r="DR118" s="182"/>
      <c r="DS118" s="182"/>
      <c r="DT118" s="182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182"/>
      <c r="EE118" s="182"/>
      <c r="EF118" s="182"/>
      <c r="EG118" s="182"/>
      <c r="EH118" s="221" t="str">
        <f t="shared" si="135"/>
        <v/>
      </c>
      <c r="EI118" s="221" t="str">
        <f t="shared" si="136"/>
        <v/>
      </c>
      <c r="EJ118" s="221"/>
      <c r="EK118" s="221"/>
      <c r="EL118" s="221"/>
      <c r="EM118" s="221"/>
      <c r="EN118" s="221"/>
      <c r="EO118" s="221"/>
      <c r="EP118" s="221"/>
      <c r="EQ118" s="221"/>
      <c r="ER118" s="221"/>
      <c r="ES118" s="221"/>
      <c r="ET118" s="221"/>
      <c r="EU118" s="315">
        <f t="shared" si="137"/>
        <v>0</v>
      </c>
      <c r="EV118" s="315" t="str">
        <f t="shared" si="138"/>
        <v/>
      </c>
      <c r="EW118" s="182"/>
      <c r="EX118" s="182"/>
      <c r="EY118" s="182"/>
      <c r="EZ118" s="221"/>
      <c r="FA118" s="221"/>
      <c r="FB118" s="221"/>
      <c r="FC118" s="221"/>
      <c r="FD118" s="221"/>
      <c r="FE118" s="221"/>
      <c r="FF118" s="221"/>
      <c r="FG118" s="221"/>
      <c r="FH118" s="221"/>
      <c r="FI118" s="182"/>
      <c r="FJ118" s="182"/>
      <c r="FK118" s="182"/>
      <c r="FL118" s="182"/>
      <c r="FM118" s="221" t="str">
        <f t="shared" si="139"/>
        <v/>
      </c>
      <c r="FN118" s="221" t="str">
        <f t="shared" si="140"/>
        <v/>
      </c>
      <c r="FO118" s="221"/>
      <c r="FP118" s="221"/>
      <c r="FQ118" s="221"/>
      <c r="FR118" s="221"/>
      <c r="FS118" s="221"/>
      <c r="FT118" s="221"/>
      <c r="FU118" s="221"/>
      <c r="FV118" s="221"/>
      <c r="FW118" s="221"/>
      <c r="FX118" s="221"/>
      <c r="FY118" s="221"/>
      <c r="FZ118" s="408"/>
      <c r="GA118" s="315">
        <f t="shared" si="141"/>
        <v>0</v>
      </c>
      <c r="GB118" s="315" t="str">
        <f t="shared" si="142"/>
        <v/>
      </c>
      <c r="GC118" s="182" t="s">
        <v>160</v>
      </c>
      <c r="GD118" s="182"/>
      <c r="GE118" s="182"/>
      <c r="GG118" s="460"/>
      <c r="GH118" s="460"/>
      <c r="GU118" s="469"/>
      <c r="GV118" s="470" t="str">
        <f t="shared" si="143"/>
        <v/>
      </c>
      <c r="GW118" s="302">
        <f t="shared" si="144"/>
        <v>0</v>
      </c>
      <c r="HA118" s="654"/>
      <c r="HD118" s="379"/>
      <c r="HE118" s="380"/>
      <c r="HH118" s="383"/>
      <c r="HI118" s="410"/>
      <c r="HJ118" s="302" t="str">
        <f t="shared" si="119"/>
        <v/>
      </c>
      <c r="HO118" s="302" t="str">
        <f t="shared" si="112"/>
        <v/>
      </c>
      <c r="HP118" s="302" t="str">
        <f t="shared" si="113"/>
        <v/>
      </c>
      <c r="HQ118" s="302" t="str">
        <f t="shared" si="114"/>
        <v/>
      </c>
      <c r="IT118" s="410"/>
      <c r="IU118" s="410"/>
      <c r="IV118" s="635"/>
    </row>
    <row r="119" spans="1:256" s="302" customFormat="1" ht="12.75" hidden="1" customHeight="1">
      <c r="A119" s="397" t="str">
        <f t="shared" si="111"/>
        <v/>
      </c>
      <c r="B119" s="462" t="str">
        <f t="shared" si="115"/>
        <v/>
      </c>
      <c r="C119" s="426"/>
      <c r="D119" s="575"/>
      <c r="E119" s="463"/>
      <c r="F119" s="464"/>
      <c r="G119" s="465"/>
      <c r="H119" s="465"/>
      <c r="I119" s="466"/>
      <c r="J119" s="463"/>
      <c r="K119" s="465"/>
      <c r="L119" s="465"/>
      <c r="M119" s="466"/>
      <c r="N119" s="573"/>
      <c r="O119" s="467"/>
      <c r="P119" s="518"/>
      <c r="Q119" s="381"/>
      <c r="R119" s="182"/>
      <c r="S119" s="182"/>
      <c r="T119" s="182"/>
      <c r="U119" s="182"/>
      <c r="V119" s="182"/>
      <c r="W119" s="182"/>
      <c r="X119" s="182"/>
      <c r="Y119" s="182"/>
      <c r="Z119" s="182"/>
      <c r="AA119" s="384"/>
      <c r="AB119" s="182" t="str">
        <f t="shared" si="120"/>
        <v/>
      </c>
      <c r="AC119" s="315">
        <f t="shared" si="121"/>
        <v>0</v>
      </c>
      <c r="AD119" s="315" t="str">
        <f t="shared" si="116"/>
        <v/>
      </c>
      <c r="AE119" s="182"/>
      <c r="AF119" s="182"/>
      <c r="AG119" s="182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182"/>
      <c r="AR119" s="182"/>
      <c r="AS119" s="182"/>
      <c r="AT119" s="182"/>
      <c r="AU119" s="221" t="str">
        <f t="shared" si="122"/>
        <v/>
      </c>
      <c r="AV119" s="221" t="str">
        <f t="shared" si="123"/>
        <v/>
      </c>
      <c r="AW119" s="221"/>
      <c r="AX119" s="221"/>
      <c r="AY119" s="221"/>
      <c r="AZ119" s="221"/>
      <c r="BA119" s="221"/>
      <c r="BB119" s="221"/>
      <c r="BC119" s="221"/>
      <c r="BD119" s="221"/>
      <c r="BE119" s="221"/>
      <c r="BF119" s="469">
        <f t="shared" si="124"/>
        <v>0</v>
      </c>
      <c r="BG119" s="315">
        <f t="shared" si="125"/>
        <v>0</v>
      </c>
      <c r="BH119" s="315" t="str">
        <f t="shared" si="126"/>
        <v/>
      </c>
      <c r="BI119" s="182"/>
      <c r="BJ119" s="182"/>
      <c r="BK119" s="182"/>
      <c r="BL119" s="221"/>
      <c r="BM119" s="221"/>
      <c r="BN119" s="221"/>
      <c r="BO119" s="221"/>
      <c r="BP119" s="221"/>
      <c r="BQ119" s="221"/>
      <c r="BR119" s="221"/>
      <c r="BS119" s="221"/>
      <c r="BT119" s="221"/>
      <c r="BU119" s="182"/>
      <c r="BV119" s="182"/>
      <c r="BW119" s="182"/>
      <c r="BX119" s="182"/>
      <c r="BY119" s="221" t="str">
        <f t="shared" si="127"/>
        <v/>
      </c>
      <c r="BZ119" s="221" t="str">
        <f t="shared" si="128"/>
        <v/>
      </c>
      <c r="CA119" s="221"/>
      <c r="CB119" s="221"/>
      <c r="CC119" s="221"/>
      <c r="CD119" s="221"/>
      <c r="CE119" s="221"/>
      <c r="CF119" s="221"/>
      <c r="CG119" s="221"/>
      <c r="CH119" s="221"/>
      <c r="CI119" s="221"/>
      <c r="CJ119" s="469">
        <f t="shared" si="129"/>
        <v>0</v>
      </c>
      <c r="CK119" s="315">
        <f t="shared" si="130"/>
        <v>0</v>
      </c>
      <c r="CL119" s="315" t="str">
        <f t="shared" si="131"/>
        <v/>
      </c>
      <c r="CM119" s="182"/>
      <c r="CN119" s="182"/>
      <c r="CO119" s="182"/>
      <c r="CP119" s="221"/>
      <c r="CQ119" s="221"/>
      <c r="CR119" s="221"/>
      <c r="CS119" s="221"/>
      <c r="CT119" s="221"/>
      <c r="CU119" s="221"/>
      <c r="CV119" s="221"/>
      <c r="CW119" s="221"/>
      <c r="CX119" s="221"/>
      <c r="CY119" s="221"/>
      <c r="CZ119" s="182"/>
      <c r="DA119" s="182"/>
      <c r="DB119" s="182"/>
      <c r="DC119" s="182"/>
      <c r="DD119" s="221" t="str">
        <f t="shared" si="117"/>
        <v/>
      </c>
      <c r="DE119" s="221" t="str">
        <f t="shared" si="118"/>
        <v/>
      </c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469" t="str">
        <f t="shared" si="132"/>
        <v/>
      </c>
      <c r="DP119" s="315">
        <f t="shared" si="133"/>
        <v>0</v>
      </c>
      <c r="DQ119" s="315" t="str">
        <f t="shared" si="134"/>
        <v/>
      </c>
      <c r="DR119" s="182"/>
      <c r="DS119" s="182"/>
      <c r="DT119" s="182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182"/>
      <c r="EE119" s="182"/>
      <c r="EF119" s="182"/>
      <c r="EG119" s="182"/>
      <c r="EH119" s="221" t="str">
        <f t="shared" si="135"/>
        <v/>
      </c>
      <c r="EI119" s="221" t="str">
        <f t="shared" si="136"/>
        <v/>
      </c>
      <c r="EJ119" s="221"/>
      <c r="EK119" s="221"/>
      <c r="EL119" s="221"/>
      <c r="EM119" s="221"/>
      <c r="EN119" s="221"/>
      <c r="EO119" s="221"/>
      <c r="EP119" s="221"/>
      <c r="EQ119" s="221"/>
      <c r="ER119" s="221"/>
      <c r="ES119" s="221"/>
      <c r="ET119" s="221"/>
      <c r="EU119" s="315">
        <f t="shared" si="137"/>
        <v>0</v>
      </c>
      <c r="EV119" s="315" t="str">
        <f t="shared" si="138"/>
        <v/>
      </c>
      <c r="EW119" s="182"/>
      <c r="EX119" s="182"/>
      <c r="EY119" s="182"/>
      <c r="EZ119" s="221"/>
      <c r="FA119" s="221"/>
      <c r="FB119" s="221"/>
      <c r="FC119" s="221"/>
      <c r="FD119" s="221"/>
      <c r="FE119" s="221"/>
      <c r="FF119" s="221"/>
      <c r="FG119" s="221"/>
      <c r="FH119" s="221"/>
      <c r="FI119" s="182"/>
      <c r="FJ119" s="182"/>
      <c r="FK119" s="182"/>
      <c r="FL119" s="182"/>
      <c r="FM119" s="221" t="str">
        <f t="shared" si="139"/>
        <v/>
      </c>
      <c r="FN119" s="221" t="str">
        <f t="shared" si="140"/>
        <v/>
      </c>
      <c r="FO119" s="221"/>
      <c r="FP119" s="221"/>
      <c r="FQ119" s="221"/>
      <c r="FR119" s="221"/>
      <c r="FS119" s="221"/>
      <c r="FT119" s="221"/>
      <c r="FU119" s="221"/>
      <c r="FV119" s="221"/>
      <c r="FW119" s="221"/>
      <c r="FX119" s="221"/>
      <c r="FY119" s="221"/>
      <c r="FZ119" s="408"/>
      <c r="GA119" s="315">
        <f t="shared" si="141"/>
        <v>0</v>
      </c>
      <c r="GB119" s="315" t="str">
        <f t="shared" si="142"/>
        <v/>
      </c>
      <c r="GC119" s="182" t="s">
        <v>160</v>
      </c>
      <c r="GD119" s="182"/>
      <c r="GE119" s="182"/>
      <c r="GG119" s="460"/>
      <c r="GH119" s="460"/>
      <c r="GU119" s="469"/>
      <c r="GV119" s="470" t="str">
        <f t="shared" si="143"/>
        <v/>
      </c>
      <c r="GW119" s="302">
        <f t="shared" si="144"/>
        <v>0</v>
      </c>
      <c r="HA119" s="654"/>
      <c r="HD119" s="379"/>
      <c r="HE119" s="380"/>
      <c r="HH119" s="385"/>
      <c r="HI119" s="411"/>
      <c r="HJ119" s="302" t="str">
        <f t="shared" si="119"/>
        <v/>
      </c>
      <c r="HO119" s="302" t="str">
        <f t="shared" si="112"/>
        <v/>
      </c>
      <c r="HP119" s="302" t="str">
        <f t="shared" si="113"/>
        <v/>
      </c>
      <c r="HQ119" s="302" t="str">
        <f t="shared" si="114"/>
        <v/>
      </c>
      <c r="IT119" s="411"/>
      <c r="IU119" s="411"/>
      <c r="IV119" s="635"/>
    </row>
    <row r="120" spans="1:256" s="302" customFormat="1" ht="12.75" hidden="1" customHeight="1">
      <c r="A120" s="397" t="str">
        <f t="shared" si="111"/>
        <v/>
      </c>
      <c r="B120" s="462" t="str">
        <f t="shared" si="115"/>
        <v/>
      </c>
      <c r="C120" s="426"/>
      <c r="D120" s="575"/>
      <c r="E120" s="463"/>
      <c r="F120" s="464"/>
      <c r="G120" s="465"/>
      <c r="H120" s="465"/>
      <c r="I120" s="466"/>
      <c r="J120" s="463"/>
      <c r="K120" s="465"/>
      <c r="L120" s="465"/>
      <c r="M120" s="466"/>
      <c r="N120" s="573"/>
      <c r="O120" s="467"/>
      <c r="P120" s="518"/>
      <c r="Q120" s="381"/>
      <c r="R120" s="182"/>
      <c r="S120" s="182"/>
      <c r="T120" s="182"/>
      <c r="U120" s="182"/>
      <c r="V120" s="182"/>
      <c r="W120" s="182"/>
      <c r="X120" s="182"/>
      <c r="Y120" s="182"/>
      <c r="Z120" s="182"/>
      <c r="AA120" s="382"/>
      <c r="AB120" s="182" t="str">
        <f t="shared" si="120"/>
        <v/>
      </c>
      <c r="AC120" s="315">
        <f t="shared" si="121"/>
        <v>0</v>
      </c>
      <c r="AD120" s="315" t="str">
        <f t="shared" si="116"/>
        <v/>
      </c>
      <c r="AE120" s="182"/>
      <c r="AF120" s="182"/>
      <c r="AG120" s="182"/>
      <c r="AH120" s="221"/>
      <c r="AI120" s="221"/>
      <c r="AJ120" s="221"/>
      <c r="AK120" s="221"/>
      <c r="AL120" s="221"/>
      <c r="AM120" s="221"/>
      <c r="AN120" s="221"/>
      <c r="AO120" s="221"/>
      <c r="AP120" s="221"/>
      <c r="AQ120" s="182"/>
      <c r="AR120" s="182"/>
      <c r="AS120" s="182"/>
      <c r="AT120" s="182"/>
      <c r="AU120" s="221" t="str">
        <f t="shared" si="122"/>
        <v/>
      </c>
      <c r="AV120" s="221" t="str">
        <f t="shared" si="123"/>
        <v/>
      </c>
      <c r="AW120" s="221"/>
      <c r="AX120" s="221"/>
      <c r="AY120" s="221"/>
      <c r="AZ120" s="221"/>
      <c r="BA120" s="221"/>
      <c r="BB120" s="221"/>
      <c r="BC120" s="221"/>
      <c r="BD120" s="221"/>
      <c r="BE120" s="221"/>
      <c r="BF120" s="468">
        <f t="shared" si="124"/>
        <v>0</v>
      </c>
      <c r="BG120" s="315">
        <f t="shared" si="125"/>
        <v>0</v>
      </c>
      <c r="BH120" s="315" t="str">
        <f t="shared" si="126"/>
        <v/>
      </c>
      <c r="BI120" s="182"/>
      <c r="BJ120" s="182"/>
      <c r="BK120" s="182"/>
      <c r="BL120" s="221"/>
      <c r="BM120" s="221"/>
      <c r="BN120" s="221"/>
      <c r="BO120" s="221"/>
      <c r="BP120" s="221"/>
      <c r="BQ120" s="221"/>
      <c r="BR120" s="221"/>
      <c r="BS120" s="221"/>
      <c r="BT120" s="221"/>
      <c r="BU120" s="182"/>
      <c r="BV120" s="182"/>
      <c r="BW120" s="182"/>
      <c r="BX120" s="182"/>
      <c r="BY120" s="221" t="str">
        <f t="shared" si="127"/>
        <v/>
      </c>
      <c r="BZ120" s="221" t="str">
        <f t="shared" si="128"/>
        <v/>
      </c>
      <c r="CA120" s="221"/>
      <c r="CB120" s="221"/>
      <c r="CC120" s="221"/>
      <c r="CD120" s="221"/>
      <c r="CE120" s="221"/>
      <c r="CF120" s="221"/>
      <c r="CG120" s="221"/>
      <c r="CH120" s="221"/>
      <c r="CI120" s="221"/>
      <c r="CJ120" s="468">
        <f t="shared" si="129"/>
        <v>0</v>
      </c>
      <c r="CK120" s="315">
        <f t="shared" si="130"/>
        <v>0</v>
      </c>
      <c r="CL120" s="315" t="str">
        <f t="shared" si="131"/>
        <v/>
      </c>
      <c r="CM120" s="182"/>
      <c r="CN120" s="182"/>
      <c r="CO120" s="182"/>
      <c r="CP120" s="221"/>
      <c r="CQ120" s="221"/>
      <c r="CR120" s="221"/>
      <c r="CS120" s="221"/>
      <c r="CT120" s="221"/>
      <c r="CU120" s="221"/>
      <c r="CV120" s="221"/>
      <c r="CW120" s="221"/>
      <c r="CX120" s="221"/>
      <c r="CY120" s="221"/>
      <c r="CZ120" s="182"/>
      <c r="DA120" s="182"/>
      <c r="DB120" s="182"/>
      <c r="DC120" s="182"/>
      <c r="DD120" s="221" t="str">
        <f t="shared" si="117"/>
        <v/>
      </c>
      <c r="DE120" s="221" t="str">
        <f t="shared" si="118"/>
        <v/>
      </c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469" t="str">
        <f t="shared" si="132"/>
        <v/>
      </c>
      <c r="DP120" s="315">
        <f t="shared" si="133"/>
        <v>0</v>
      </c>
      <c r="DQ120" s="315" t="str">
        <f t="shared" si="134"/>
        <v/>
      </c>
      <c r="DR120" s="182"/>
      <c r="DS120" s="182"/>
      <c r="DT120" s="182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182"/>
      <c r="EE120" s="182"/>
      <c r="EF120" s="182"/>
      <c r="EG120" s="182"/>
      <c r="EH120" s="221" t="str">
        <f t="shared" si="135"/>
        <v/>
      </c>
      <c r="EI120" s="221" t="str">
        <f t="shared" si="136"/>
        <v/>
      </c>
      <c r="EJ120" s="221"/>
      <c r="EK120" s="221"/>
      <c r="EL120" s="221"/>
      <c r="EM120" s="221"/>
      <c r="EN120" s="221"/>
      <c r="EO120" s="221"/>
      <c r="EP120" s="221"/>
      <c r="EQ120" s="221"/>
      <c r="ER120" s="221"/>
      <c r="ES120" s="221"/>
      <c r="ET120" s="221"/>
      <c r="EU120" s="315">
        <f t="shared" si="137"/>
        <v>0</v>
      </c>
      <c r="EV120" s="315" t="str">
        <f t="shared" si="138"/>
        <v/>
      </c>
      <c r="EW120" s="182"/>
      <c r="EX120" s="182"/>
      <c r="EY120" s="182"/>
      <c r="EZ120" s="221"/>
      <c r="FA120" s="221"/>
      <c r="FB120" s="221"/>
      <c r="FC120" s="221"/>
      <c r="FD120" s="221"/>
      <c r="FE120" s="221"/>
      <c r="FF120" s="221"/>
      <c r="FG120" s="221"/>
      <c r="FH120" s="221"/>
      <c r="FI120" s="182"/>
      <c r="FJ120" s="182"/>
      <c r="FK120" s="182"/>
      <c r="FL120" s="182"/>
      <c r="FM120" s="221" t="str">
        <f t="shared" si="139"/>
        <v/>
      </c>
      <c r="FN120" s="221" t="str">
        <f t="shared" si="140"/>
        <v/>
      </c>
      <c r="FO120" s="221"/>
      <c r="FP120" s="221"/>
      <c r="FQ120" s="221"/>
      <c r="FR120" s="221"/>
      <c r="FS120" s="221"/>
      <c r="FT120" s="221"/>
      <c r="FU120" s="221"/>
      <c r="FV120" s="221"/>
      <c r="FW120" s="221"/>
      <c r="FX120" s="221"/>
      <c r="FY120" s="221"/>
      <c r="FZ120" s="408"/>
      <c r="GA120" s="315">
        <f t="shared" si="141"/>
        <v>0</v>
      </c>
      <c r="GB120" s="315" t="str">
        <f t="shared" si="142"/>
        <v/>
      </c>
      <c r="GC120" s="182" t="s">
        <v>160</v>
      </c>
      <c r="GD120" s="182"/>
      <c r="GE120" s="182"/>
      <c r="GG120" s="460"/>
      <c r="GH120" s="460"/>
      <c r="GU120" s="469"/>
      <c r="GV120" s="470" t="str">
        <f t="shared" si="143"/>
        <v/>
      </c>
      <c r="GW120" s="302">
        <f t="shared" si="144"/>
        <v>0</v>
      </c>
      <c r="HA120" s="654"/>
      <c r="HD120" s="379"/>
      <c r="HE120" s="380"/>
      <c r="HH120" s="383"/>
      <c r="HI120" s="410"/>
      <c r="HJ120" s="302" t="str">
        <f t="shared" si="119"/>
        <v/>
      </c>
      <c r="HO120" s="302" t="str">
        <f t="shared" si="112"/>
        <v/>
      </c>
      <c r="HP120" s="302" t="str">
        <f t="shared" si="113"/>
        <v/>
      </c>
      <c r="HQ120" s="302" t="str">
        <f t="shared" si="114"/>
        <v/>
      </c>
      <c r="IT120" s="410"/>
      <c r="IU120" s="410"/>
      <c r="IV120" s="635"/>
    </row>
    <row r="121" spans="1:256" s="302" customFormat="1" ht="12.75" hidden="1" customHeight="1">
      <c r="A121" s="397" t="str">
        <f t="shared" si="111"/>
        <v/>
      </c>
      <c r="B121" s="462" t="str">
        <f t="shared" si="115"/>
        <v/>
      </c>
      <c r="C121" s="426"/>
      <c r="D121" s="575"/>
      <c r="E121" s="463"/>
      <c r="F121" s="464"/>
      <c r="G121" s="465"/>
      <c r="H121" s="465"/>
      <c r="I121" s="466"/>
      <c r="J121" s="463"/>
      <c r="K121" s="465"/>
      <c r="L121" s="465"/>
      <c r="M121" s="466"/>
      <c r="N121" s="573"/>
      <c r="O121" s="467"/>
      <c r="P121" s="518"/>
      <c r="Q121" s="381"/>
      <c r="R121" s="182"/>
      <c r="S121" s="182"/>
      <c r="T121" s="182"/>
      <c r="U121" s="182"/>
      <c r="V121" s="182"/>
      <c r="W121" s="182"/>
      <c r="X121" s="182"/>
      <c r="Y121" s="182"/>
      <c r="Z121" s="182"/>
      <c r="AA121" s="382"/>
      <c r="AB121" s="182" t="str">
        <f t="shared" si="120"/>
        <v/>
      </c>
      <c r="AC121" s="315">
        <f t="shared" si="121"/>
        <v>0</v>
      </c>
      <c r="AD121" s="315" t="str">
        <f t="shared" si="116"/>
        <v/>
      </c>
      <c r="AE121" s="182"/>
      <c r="AF121" s="182"/>
      <c r="AG121" s="182"/>
      <c r="AH121" s="221"/>
      <c r="AI121" s="221"/>
      <c r="AJ121" s="221"/>
      <c r="AK121" s="221"/>
      <c r="AL121" s="221"/>
      <c r="AM121" s="221"/>
      <c r="AN121" s="221"/>
      <c r="AO121" s="221"/>
      <c r="AP121" s="221"/>
      <c r="AQ121" s="182"/>
      <c r="AR121" s="182"/>
      <c r="AS121" s="182"/>
      <c r="AT121" s="182"/>
      <c r="AU121" s="221" t="str">
        <f t="shared" si="122"/>
        <v/>
      </c>
      <c r="AV121" s="221" t="str">
        <f t="shared" si="123"/>
        <v/>
      </c>
      <c r="AW121" s="221"/>
      <c r="AX121" s="221"/>
      <c r="AY121" s="221"/>
      <c r="AZ121" s="221"/>
      <c r="BA121" s="221"/>
      <c r="BB121" s="221"/>
      <c r="BC121" s="221"/>
      <c r="BD121" s="221"/>
      <c r="BE121" s="221"/>
      <c r="BF121" s="468">
        <f t="shared" si="124"/>
        <v>0</v>
      </c>
      <c r="BG121" s="315">
        <f t="shared" si="125"/>
        <v>0</v>
      </c>
      <c r="BH121" s="315" t="str">
        <f t="shared" si="126"/>
        <v/>
      </c>
      <c r="BI121" s="182"/>
      <c r="BJ121" s="182"/>
      <c r="BK121" s="182"/>
      <c r="BL121" s="221"/>
      <c r="BM121" s="221"/>
      <c r="BN121" s="221"/>
      <c r="BO121" s="221"/>
      <c r="BP121" s="221"/>
      <c r="BQ121" s="221"/>
      <c r="BR121" s="221"/>
      <c r="BS121" s="221"/>
      <c r="BT121" s="221"/>
      <c r="BU121" s="182"/>
      <c r="BV121" s="182"/>
      <c r="BW121" s="182"/>
      <c r="BX121" s="182"/>
      <c r="BY121" s="221" t="str">
        <f t="shared" si="127"/>
        <v/>
      </c>
      <c r="BZ121" s="221" t="str">
        <f t="shared" si="128"/>
        <v/>
      </c>
      <c r="CA121" s="221"/>
      <c r="CB121" s="221"/>
      <c r="CC121" s="221"/>
      <c r="CD121" s="221"/>
      <c r="CE121" s="221"/>
      <c r="CF121" s="221"/>
      <c r="CG121" s="221"/>
      <c r="CH121" s="221"/>
      <c r="CI121" s="221"/>
      <c r="CJ121" s="468">
        <f t="shared" si="129"/>
        <v>0</v>
      </c>
      <c r="CK121" s="315">
        <f t="shared" si="130"/>
        <v>0</v>
      </c>
      <c r="CL121" s="315" t="str">
        <f t="shared" si="131"/>
        <v/>
      </c>
      <c r="CM121" s="182"/>
      <c r="CN121" s="182"/>
      <c r="CO121" s="182"/>
      <c r="CP121" s="221"/>
      <c r="CQ121" s="221"/>
      <c r="CR121" s="221"/>
      <c r="CS121" s="221"/>
      <c r="CT121" s="221"/>
      <c r="CU121" s="221"/>
      <c r="CV121" s="221"/>
      <c r="CW121" s="221"/>
      <c r="CX121" s="221"/>
      <c r="CY121" s="221"/>
      <c r="CZ121" s="182"/>
      <c r="DA121" s="182"/>
      <c r="DB121" s="182"/>
      <c r="DC121" s="182"/>
      <c r="DD121" s="221" t="str">
        <f t="shared" si="117"/>
        <v/>
      </c>
      <c r="DE121" s="221" t="str">
        <f t="shared" si="118"/>
        <v/>
      </c>
      <c r="DF121" s="221"/>
      <c r="DG121" s="221"/>
      <c r="DH121" s="221"/>
      <c r="DI121" s="221"/>
      <c r="DJ121" s="221"/>
      <c r="DK121" s="221"/>
      <c r="DL121" s="221"/>
      <c r="DM121" s="221"/>
      <c r="DN121" s="221"/>
      <c r="DO121" s="469" t="str">
        <f t="shared" si="132"/>
        <v/>
      </c>
      <c r="DP121" s="315">
        <f t="shared" si="133"/>
        <v>0</v>
      </c>
      <c r="DQ121" s="315" t="str">
        <f t="shared" si="134"/>
        <v/>
      </c>
      <c r="DR121" s="182"/>
      <c r="DS121" s="182"/>
      <c r="DT121" s="182"/>
      <c r="DU121" s="221"/>
      <c r="DV121" s="221"/>
      <c r="DW121" s="221"/>
      <c r="DX121" s="221"/>
      <c r="DY121" s="221"/>
      <c r="DZ121" s="221"/>
      <c r="EA121" s="221"/>
      <c r="EB121" s="221"/>
      <c r="EC121" s="221"/>
      <c r="ED121" s="182"/>
      <c r="EE121" s="182"/>
      <c r="EF121" s="182"/>
      <c r="EG121" s="182"/>
      <c r="EH121" s="221" t="str">
        <f t="shared" si="135"/>
        <v/>
      </c>
      <c r="EI121" s="221" t="str">
        <f t="shared" si="136"/>
        <v/>
      </c>
      <c r="EJ121" s="221"/>
      <c r="EK121" s="221"/>
      <c r="EL121" s="221"/>
      <c r="EM121" s="221"/>
      <c r="EN121" s="221"/>
      <c r="EO121" s="221"/>
      <c r="EP121" s="221"/>
      <c r="EQ121" s="221"/>
      <c r="ER121" s="221"/>
      <c r="ES121" s="221"/>
      <c r="ET121" s="221"/>
      <c r="EU121" s="315">
        <f t="shared" si="137"/>
        <v>0</v>
      </c>
      <c r="EV121" s="315" t="str">
        <f t="shared" si="138"/>
        <v/>
      </c>
      <c r="EW121" s="182"/>
      <c r="EX121" s="182"/>
      <c r="EY121" s="182"/>
      <c r="EZ121" s="221"/>
      <c r="FA121" s="221"/>
      <c r="FB121" s="221"/>
      <c r="FC121" s="221"/>
      <c r="FD121" s="221"/>
      <c r="FE121" s="221"/>
      <c r="FF121" s="221"/>
      <c r="FG121" s="221"/>
      <c r="FH121" s="221"/>
      <c r="FI121" s="182"/>
      <c r="FJ121" s="182"/>
      <c r="FK121" s="182"/>
      <c r="FL121" s="182"/>
      <c r="FM121" s="221" t="str">
        <f t="shared" si="139"/>
        <v/>
      </c>
      <c r="FN121" s="221" t="str">
        <f t="shared" si="140"/>
        <v/>
      </c>
      <c r="FO121" s="221"/>
      <c r="FP121" s="221"/>
      <c r="FQ121" s="221"/>
      <c r="FR121" s="221"/>
      <c r="FS121" s="221"/>
      <c r="FT121" s="221"/>
      <c r="FU121" s="221"/>
      <c r="FV121" s="221"/>
      <c r="FW121" s="221"/>
      <c r="FX121" s="221"/>
      <c r="FY121" s="221"/>
      <c r="FZ121" s="408"/>
      <c r="GA121" s="315">
        <f t="shared" si="141"/>
        <v>0</v>
      </c>
      <c r="GB121" s="315" t="str">
        <f t="shared" si="142"/>
        <v/>
      </c>
      <c r="GC121" s="182" t="s">
        <v>160</v>
      </c>
      <c r="GD121" s="182"/>
      <c r="GE121" s="182"/>
      <c r="GG121" s="460"/>
      <c r="GH121" s="460"/>
      <c r="GU121" s="469"/>
      <c r="GV121" s="470" t="str">
        <f t="shared" si="143"/>
        <v/>
      </c>
      <c r="GW121" s="302">
        <f t="shared" si="144"/>
        <v>0</v>
      </c>
      <c r="HA121" s="654"/>
      <c r="HD121" s="379"/>
      <c r="HE121" s="380"/>
      <c r="HH121" s="383"/>
      <c r="HI121" s="410"/>
      <c r="HJ121" s="302" t="str">
        <f t="shared" si="119"/>
        <v/>
      </c>
      <c r="HO121" s="302" t="str">
        <f t="shared" si="112"/>
        <v/>
      </c>
      <c r="HP121" s="302" t="str">
        <f t="shared" si="113"/>
        <v/>
      </c>
      <c r="HQ121" s="302" t="str">
        <f t="shared" si="114"/>
        <v/>
      </c>
      <c r="IT121" s="410"/>
      <c r="IU121" s="410"/>
      <c r="IV121" s="635"/>
    </row>
    <row r="122" spans="1:256" s="302" customFormat="1" ht="12.75" hidden="1" customHeight="1">
      <c r="A122" s="397" t="str">
        <f t="shared" si="111"/>
        <v/>
      </c>
      <c r="B122" s="462" t="str">
        <f t="shared" si="115"/>
        <v/>
      </c>
      <c r="C122" s="426"/>
      <c r="D122" s="575"/>
      <c r="E122" s="463"/>
      <c r="F122" s="464"/>
      <c r="G122" s="465"/>
      <c r="H122" s="465"/>
      <c r="I122" s="466"/>
      <c r="J122" s="463"/>
      <c r="K122" s="465"/>
      <c r="L122" s="465"/>
      <c r="M122" s="466"/>
      <c r="N122" s="573"/>
      <c r="O122" s="467"/>
      <c r="P122" s="518"/>
      <c r="Q122" s="381"/>
      <c r="R122" s="182"/>
      <c r="S122" s="182"/>
      <c r="T122" s="182"/>
      <c r="U122" s="182"/>
      <c r="V122" s="182"/>
      <c r="W122" s="182"/>
      <c r="X122" s="182"/>
      <c r="Y122" s="182"/>
      <c r="Z122" s="182"/>
      <c r="AA122" s="384"/>
      <c r="AB122" s="182" t="str">
        <f t="shared" si="120"/>
        <v/>
      </c>
      <c r="AC122" s="315">
        <f t="shared" si="121"/>
        <v>0</v>
      </c>
      <c r="AD122" s="315" t="str">
        <f t="shared" si="116"/>
        <v/>
      </c>
      <c r="AE122" s="182"/>
      <c r="AF122" s="182"/>
      <c r="AG122" s="182"/>
      <c r="AH122" s="221"/>
      <c r="AI122" s="221"/>
      <c r="AJ122" s="221"/>
      <c r="AK122" s="221"/>
      <c r="AL122" s="221"/>
      <c r="AM122" s="221"/>
      <c r="AN122" s="221"/>
      <c r="AO122" s="221"/>
      <c r="AP122" s="221"/>
      <c r="AQ122" s="182"/>
      <c r="AR122" s="182"/>
      <c r="AS122" s="182"/>
      <c r="AT122" s="182"/>
      <c r="AU122" s="221" t="str">
        <f t="shared" si="122"/>
        <v/>
      </c>
      <c r="AV122" s="221" t="str">
        <f t="shared" si="123"/>
        <v/>
      </c>
      <c r="AW122" s="221"/>
      <c r="AX122" s="221"/>
      <c r="AY122" s="221"/>
      <c r="AZ122" s="221"/>
      <c r="BA122" s="221"/>
      <c r="BB122" s="221"/>
      <c r="BC122" s="221"/>
      <c r="BD122" s="221"/>
      <c r="BE122" s="221"/>
      <c r="BF122" s="469">
        <f t="shared" si="124"/>
        <v>0</v>
      </c>
      <c r="BG122" s="315">
        <f t="shared" si="125"/>
        <v>0</v>
      </c>
      <c r="BH122" s="315" t="str">
        <f t="shared" si="126"/>
        <v/>
      </c>
      <c r="BI122" s="182"/>
      <c r="BJ122" s="182"/>
      <c r="BK122" s="182"/>
      <c r="BL122" s="221"/>
      <c r="BM122" s="221"/>
      <c r="BN122" s="221"/>
      <c r="BO122" s="221"/>
      <c r="BP122" s="221"/>
      <c r="BQ122" s="221"/>
      <c r="BR122" s="221"/>
      <c r="BS122" s="221"/>
      <c r="BT122" s="221"/>
      <c r="BU122" s="182"/>
      <c r="BV122" s="182"/>
      <c r="BW122" s="182"/>
      <c r="BX122" s="182"/>
      <c r="BY122" s="221" t="str">
        <f t="shared" si="127"/>
        <v/>
      </c>
      <c r="BZ122" s="221" t="str">
        <f t="shared" si="128"/>
        <v/>
      </c>
      <c r="CA122" s="221"/>
      <c r="CB122" s="221"/>
      <c r="CC122" s="221"/>
      <c r="CD122" s="221"/>
      <c r="CE122" s="221"/>
      <c r="CF122" s="221"/>
      <c r="CG122" s="221"/>
      <c r="CH122" s="221"/>
      <c r="CI122" s="221"/>
      <c r="CJ122" s="469">
        <f t="shared" si="129"/>
        <v>0</v>
      </c>
      <c r="CK122" s="315">
        <f t="shared" si="130"/>
        <v>0</v>
      </c>
      <c r="CL122" s="315" t="str">
        <f t="shared" si="131"/>
        <v/>
      </c>
      <c r="CM122" s="182"/>
      <c r="CN122" s="182"/>
      <c r="CO122" s="182"/>
      <c r="CP122" s="221"/>
      <c r="CQ122" s="221"/>
      <c r="CR122" s="221"/>
      <c r="CS122" s="221"/>
      <c r="CT122" s="221"/>
      <c r="CU122" s="221"/>
      <c r="CV122" s="221"/>
      <c r="CW122" s="221"/>
      <c r="CX122" s="221"/>
      <c r="CY122" s="221"/>
      <c r="CZ122" s="182"/>
      <c r="DA122" s="182"/>
      <c r="DB122" s="182"/>
      <c r="DC122" s="182"/>
      <c r="DD122" s="221" t="str">
        <f t="shared" si="117"/>
        <v/>
      </c>
      <c r="DE122" s="221" t="str">
        <f t="shared" si="118"/>
        <v/>
      </c>
      <c r="DF122" s="221"/>
      <c r="DG122" s="221"/>
      <c r="DH122" s="221"/>
      <c r="DI122" s="221"/>
      <c r="DJ122" s="221"/>
      <c r="DK122" s="221"/>
      <c r="DL122" s="221"/>
      <c r="DM122" s="221"/>
      <c r="DN122" s="221"/>
      <c r="DO122" s="469" t="str">
        <f t="shared" si="132"/>
        <v/>
      </c>
      <c r="DP122" s="315">
        <f t="shared" si="133"/>
        <v>0</v>
      </c>
      <c r="DQ122" s="315" t="str">
        <f t="shared" si="134"/>
        <v/>
      </c>
      <c r="DR122" s="182"/>
      <c r="DS122" s="182"/>
      <c r="DT122" s="182"/>
      <c r="DU122" s="221"/>
      <c r="DV122" s="221"/>
      <c r="DW122" s="221"/>
      <c r="DX122" s="221"/>
      <c r="DY122" s="221"/>
      <c r="DZ122" s="221"/>
      <c r="EA122" s="221"/>
      <c r="EB122" s="221"/>
      <c r="EC122" s="221"/>
      <c r="ED122" s="182"/>
      <c r="EE122" s="182"/>
      <c r="EF122" s="182"/>
      <c r="EG122" s="182"/>
      <c r="EH122" s="221" t="str">
        <f t="shared" si="135"/>
        <v/>
      </c>
      <c r="EI122" s="221" t="str">
        <f t="shared" si="136"/>
        <v/>
      </c>
      <c r="EJ122" s="221"/>
      <c r="EK122" s="221"/>
      <c r="EL122" s="221"/>
      <c r="EM122" s="221"/>
      <c r="EN122" s="221"/>
      <c r="EO122" s="221"/>
      <c r="EP122" s="221"/>
      <c r="EQ122" s="221"/>
      <c r="ER122" s="221"/>
      <c r="ES122" s="221"/>
      <c r="ET122" s="221"/>
      <c r="EU122" s="315">
        <f t="shared" si="137"/>
        <v>0</v>
      </c>
      <c r="EV122" s="315" t="str">
        <f t="shared" si="138"/>
        <v/>
      </c>
      <c r="EW122" s="182"/>
      <c r="EX122" s="182"/>
      <c r="EY122" s="182"/>
      <c r="EZ122" s="221"/>
      <c r="FA122" s="221"/>
      <c r="FB122" s="221"/>
      <c r="FC122" s="221"/>
      <c r="FD122" s="221"/>
      <c r="FE122" s="221"/>
      <c r="FF122" s="221"/>
      <c r="FG122" s="221"/>
      <c r="FH122" s="221"/>
      <c r="FI122" s="182"/>
      <c r="FJ122" s="182"/>
      <c r="FK122" s="182"/>
      <c r="FL122" s="182"/>
      <c r="FM122" s="221" t="str">
        <f t="shared" si="139"/>
        <v/>
      </c>
      <c r="FN122" s="221" t="str">
        <f t="shared" si="140"/>
        <v/>
      </c>
      <c r="FO122" s="221"/>
      <c r="FP122" s="221"/>
      <c r="FQ122" s="221"/>
      <c r="FR122" s="221"/>
      <c r="FS122" s="221"/>
      <c r="FT122" s="221"/>
      <c r="FU122" s="221"/>
      <c r="FV122" s="221"/>
      <c r="FW122" s="221"/>
      <c r="FX122" s="221"/>
      <c r="FY122" s="221"/>
      <c r="FZ122" s="408"/>
      <c r="GA122" s="315">
        <f t="shared" si="141"/>
        <v>0</v>
      </c>
      <c r="GB122" s="315" t="str">
        <f t="shared" si="142"/>
        <v/>
      </c>
      <c r="GC122" s="302" t="s">
        <v>160</v>
      </c>
      <c r="GG122" s="460"/>
      <c r="GH122" s="460"/>
      <c r="GU122" s="469"/>
      <c r="GV122" s="470" t="str">
        <f t="shared" si="143"/>
        <v/>
      </c>
      <c r="GW122" s="302">
        <f t="shared" si="144"/>
        <v>0</v>
      </c>
      <c r="HA122" s="654"/>
      <c r="HD122" s="379"/>
      <c r="HE122" s="380"/>
      <c r="HH122" s="385"/>
      <c r="HI122" s="411"/>
      <c r="HJ122" s="302" t="str">
        <f t="shared" si="119"/>
        <v/>
      </c>
      <c r="HO122" s="302" t="str">
        <f t="shared" si="112"/>
        <v/>
      </c>
      <c r="HP122" s="302" t="str">
        <f t="shared" si="113"/>
        <v/>
      </c>
      <c r="HQ122" s="302" t="str">
        <f t="shared" si="114"/>
        <v/>
      </c>
      <c r="IT122" s="411"/>
      <c r="IU122" s="411"/>
      <c r="IV122" s="635"/>
    </row>
    <row r="123" spans="1:256" s="302" customFormat="1" ht="12.75" hidden="1" customHeight="1">
      <c r="A123" s="397" t="str">
        <f t="shared" si="111"/>
        <v/>
      </c>
      <c r="B123" s="462" t="str">
        <f t="shared" si="115"/>
        <v/>
      </c>
      <c r="C123" s="426"/>
      <c r="D123" s="575"/>
      <c r="E123" s="463"/>
      <c r="F123" s="464"/>
      <c r="G123" s="465"/>
      <c r="H123" s="465"/>
      <c r="I123" s="466"/>
      <c r="J123" s="463"/>
      <c r="K123" s="465"/>
      <c r="L123" s="465"/>
      <c r="M123" s="466"/>
      <c r="N123" s="573"/>
      <c r="O123" s="467"/>
      <c r="P123" s="518"/>
      <c r="Q123" s="381"/>
      <c r="R123" s="182"/>
      <c r="S123" s="182"/>
      <c r="T123" s="182"/>
      <c r="U123" s="182"/>
      <c r="V123" s="182"/>
      <c r="W123" s="182"/>
      <c r="X123" s="182"/>
      <c r="Y123" s="182"/>
      <c r="Z123" s="182"/>
      <c r="AA123" s="382"/>
      <c r="AB123" s="182" t="str">
        <f t="shared" si="120"/>
        <v/>
      </c>
      <c r="AC123" s="315">
        <f t="shared" si="121"/>
        <v>0</v>
      </c>
      <c r="AD123" s="315" t="str">
        <f t="shared" si="116"/>
        <v/>
      </c>
      <c r="AE123" s="182"/>
      <c r="AF123" s="182"/>
      <c r="AG123" s="182"/>
      <c r="AH123" s="221"/>
      <c r="AI123" s="221"/>
      <c r="AJ123" s="221"/>
      <c r="AK123" s="221"/>
      <c r="AL123" s="221"/>
      <c r="AM123" s="221"/>
      <c r="AN123" s="221"/>
      <c r="AO123" s="221"/>
      <c r="AP123" s="221"/>
      <c r="AQ123" s="182"/>
      <c r="AR123" s="182"/>
      <c r="AS123" s="182"/>
      <c r="AT123" s="182"/>
      <c r="AU123" s="221" t="str">
        <f t="shared" si="122"/>
        <v/>
      </c>
      <c r="AV123" s="221" t="str">
        <f t="shared" si="123"/>
        <v/>
      </c>
      <c r="AW123" s="221"/>
      <c r="AX123" s="221"/>
      <c r="AY123" s="221"/>
      <c r="AZ123" s="221"/>
      <c r="BA123" s="221"/>
      <c r="BB123" s="221"/>
      <c r="BC123" s="221"/>
      <c r="BD123" s="221"/>
      <c r="BE123" s="221"/>
      <c r="BF123" s="468">
        <f t="shared" si="124"/>
        <v>0</v>
      </c>
      <c r="BG123" s="315">
        <f t="shared" si="125"/>
        <v>0</v>
      </c>
      <c r="BH123" s="315" t="str">
        <f t="shared" si="126"/>
        <v/>
      </c>
      <c r="BI123" s="182"/>
      <c r="BJ123" s="182"/>
      <c r="BK123" s="182"/>
      <c r="BL123" s="221"/>
      <c r="BM123" s="221"/>
      <c r="BN123" s="221"/>
      <c r="BO123" s="221"/>
      <c r="BP123" s="221"/>
      <c r="BQ123" s="221"/>
      <c r="BR123" s="221"/>
      <c r="BS123" s="221"/>
      <c r="BT123" s="221"/>
      <c r="BU123" s="182"/>
      <c r="BV123" s="182"/>
      <c r="BW123" s="182"/>
      <c r="BX123" s="182"/>
      <c r="BY123" s="221" t="str">
        <f t="shared" si="127"/>
        <v/>
      </c>
      <c r="BZ123" s="221" t="str">
        <f t="shared" si="128"/>
        <v/>
      </c>
      <c r="CA123" s="221"/>
      <c r="CB123" s="221"/>
      <c r="CC123" s="221"/>
      <c r="CD123" s="221"/>
      <c r="CE123" s="221"/>
      <c r="CF123" s="221"/>
      <c r="CG123" s="221"/>
      <c r="CH123" s="221"/>
      <c r="CI123" s="221"/>
      <c r="CJ123" s="468">
        <f t="shared" si="129"/>
        <v>0</v>
      </c>
      <c r="CK123" s="315">
        <f t="shared" si="130"/>
        <v>0</v>
      </c>
      <c r="CL123" s="315" t="str">
        <f t="shared" si="131"/>
        <v/>
      </c>
      <c r="CM123" s="182"/>
      <c r="CN123" s="182"/>
      <c r="CO123" s="182"/>
      <c r="CP123" s="221"/>
      <c r="CQ123" s="221"/>
      <c r="CR123" s="221"/>
      <c r="CS123" s="221"/>
      <c r="CT123" s="221"/>
      <c r="CU123" s="221"/>
      <c r="CV123" s="221"/>
      <c r="CW123" s="221"/>
      <c r="CX123" s="221"/>
      <c r="CY123" s="221"/>
      <c r="CZ123" s="182"/>
      <c r="DA123" s="182"/>
      <c r="DB123" s="182"/>
      <c r="DC123" s="182"/>
      <c r="DD123" s="221" t="str">
        <f t="shared" si="117"/>
        <v/>
      </c>
      <c r="DE123" s="221" t="str">
        <f t="shared" si="118"/>
        <v/>
      </c>
      <c r="DF123" s="221"/>
      <c r="DG123" s="221"/>
      <c r="DH123" s="221"/>
      <c r="DI123" s="221"/>
      <c r="DJ123" s="221"/>
      <c r="DK123" s="221"/>
      <c r="DL123" s="221"/>
      <c r="DM123" s="221"/>
      <c r="DN123" s="221"/>
      <c r="DO123" s="469" t="str">
        <f t="shared" si="132"/>
        <v/>
      </c>
      <c r="DP123" s="315">
        <f t="shared" si="133"/>
        <v>0</v>
      </c>
      <c r="DQ123" s="315" t="str">
        <f t="shared" si="134"/>
        <v/>
      </c>
      <c r="DR123" s="182"/>
      <c r="DS123" s="182"/>
      <c r="DT123" s="182"/>
      <c r="DU123" s="221"/>
      <c r="DV123" s="221"/>
      <c r="DW123" s="221"/>
      <c r="DX123" s="221"/>
      <c r="DY123" s="221"/>
      <c r="DZ123" s="221"/>
      <c r="EA123" s="221"/>
      <c r="EB123" s="221"/>
      <c r="EC123" s="221"/>
      <c r="ED123" s="182"/>
      <c r="EE123" s="182"/>
      <c r="EF123" s="182"/>
      <c r="EG123" s="182"/>
      <c r="EH123" s="221" t="str">
        <f t="shared" si="135"/>
        <v/>
      </c>
      <c r="EI123" s="221" t="str">
        <f t="shared" si="136"/>
        <v/>
      </c>
      <c r="EJ123" s="221"/>
      <c r="EK123" s="221"/>
      <c r="EL123" s="221"/>
      <c r="EM123" s="221"/>
      <c r="EN123" s="221"/>
      <c r="EO123" s="221"/>
      <c r="EP123" s="221"/>
      <c r="EQ123" s="221"/>
      <c r="ER123" s="221"/>
      <c r="ES123" s="221"/>
      <c r="ET123" s="221"/>
      <c r="EU123" s="315">
        <f t="shared" si="137"/>
        <v>0</v>
      </c>
      <c r="EV123" s="315" t="str">
        <f t="shared" si="138"/>
        <v/>
      </c>
      <c r="EW123" s="182"/>
      <c r="EX123" s="182"/>
      <c r="EY123" s="182"/>
      <c r="EZ123" s="221"/>
      <c r="FA123" s="221"/>
      <c r="FB123" s="221"/>
      <c r="FC123" s="221"/>
      <c r="FD123" s="221"/>
      <c r="FE123" s="221"/>
      <c r="FF123" s="221"/>
      <c r="FG123" s="221"/>
      <c r="FH123" s="221"/>
      <c r="FI123" s="182"/>
      <c r="FJ123" s="182"/>
      <c r="FK123" s="182"/>
      <c r="FL123" s="182"/>
      <c r="FM123" s="221" t="str">
        <f t="shared" si="139"/>
        <v/>
      </c>
      <c r="FN123" s="221" t="str">
        <f t="shared" si="140"/>
        <v/>
      </c>
      <c r="FO123" s="221"/>
      <c r="FP123" s="221"/>
      <c r="FQ123" s="221"/>
      <c r="FR123" s="221"/>
      <c r="FS123" s="221"/>
      <c r="FT123" s="221"/>
      <c r="FU123" s="221"/>
      <c r="FV123" s="221"/>
      <c r="FW123" s="221"/>
      <c r="FX123" s="221"/>
      <c r="FY123" s="221"/>
      <c r="FZ123" s="408"/>
      <c r="GA123" s="315">
        <f t="shared" si="141"/>
        <v>0</v>
      </c>
      <c r="GB123" s="315" t="str">
        <f t="shared" si="142"/>
        <v/>
      </c>
      <c r="GC123" s="182" t="s">
        <v>160</v>
      </c>
      <c r="GD123" s="182"/>
      <c r="GE123" s="182"/>
      <c r="GG123" s="460"/>
      <c r="GH123" s="460"/>
      <c r="GU123" s="469"/>
      <c r="GV123" s="470" t="str">
        <f t="shared" si="143"/>
        <v/>
      </c>
      <c r="GW123" s="302">
        <f t="shared" si="144"/>
        <v>0</v>
      </c>
      <c r="HA123" s="654"/>
      <c r="HD123" s="379"/>
      <c r="HE123" s="380"/>
      <c r="HH123" s="383"/>
      <c r="HI123" s="410"/>
      <c r="HJ123" s="302" t="str">
        <f t="shared" si="119"/>
        <v/>
      </c>
      <c r="HO123" s="302" t="str">
        <f t="shared" si="112"/>
        <v/>
      </c>
      <c r="HP123" s="302" t="str">
        <f t="shared" si="113"/>
        <v/>
      </c>
      <c r="HQ123" s="302" t="str">
        <f t="shared" si="114"/>
        <v/>
      </c>
      <c r="IT123" s="410"/>
      <c r="IU123" s="410"/>
      <c r="IV123" s="635"/>
    </row>
    <row r="124" spans="1:256" s="302" customFormat="1" ht="12.75" hidden="1" customHeight="1">
      <c r="A124" s="397" t="str">
        <f t="shared" si="111"/>
        <v/>
      </c>
      <c r="B124" s="462" t="str">
        <f t="shared" si="115"/>
        <v/>
      </c>
      <c r="C124" s="426"/>
      <c r="D124" s="575"/>
      <c r="E124" s="463"/>
      <c r="F124" s="464"/>
      <c r="G124" s="465"/>
      <c r="H124" s="465"/>
      <c r="I124" s="466"/>
      <c r="J124" s="463"/>
      <c r="K124" s="465"/>
      <c r="L124" s="465"/>
      <c r="M124" s="466"/>
      <c r="N124" s="573"/>
      <c r="O124" s="467"/>
      <c r="P124" s="518"/>
      <c r="Q124" s="381"/>
      <c r="R124" s="182"/>
      <c r="S124" s="182"/>
      <c r="T124" s="182"/>
      <c r="U124" s="182"/>
      <c r="V124" s="182"/>
      <c r="W124" s="182"/>
      <c r="X124" s="182"/>
      <c r="Y124" s="182"/>
      <c r="Z124" s="182"/>
      <c r="AA124" s="382"/>
      <c r="AB124" s="182" t="str">
        <f t="shared" si="120"/>
        <v/>
      </c>
      <c r="AC124" s="315">
        <f t="shared" si="121"/>
        <v>0</v>
      </c>
      <c r="AD124" s="315" t="str">
        <f t="shared" si="116"/>
        <v/>
      </c>
      <c r="AE124" s="182"/>
      <c r="AF124" s="182"/>
      <c r="AG124" s="182"/>
      <c r="AH124" s="221"/>
      <c r="AI124" s="221"/>
      <c r="AJ124" s="221"/>
      <c r="AK124" s="221"/>
      <c r="AL124" s="221"/>
      <c r="AM124" s="221"/>
      <c r="AN124" s="221"/>
      <c r="AO124" s="221"/>
      <c r="AP124" s="221"/>
      <c r="AQ124" s="182"/>
      <c r="AR124" s="182"/>
      <c r="AS124" s="182"/>
      <c r="AT124" s="182"/>
      <c r="AU124" s="221" t="str">
        <f t="shared" si="122"/>
        <v/>
      </c>
      <c r="AV124" s="221" t="str">
        <f t="shared" si="123"/>
        <v/>
      </c>
      <c r="AW124" s="221"/>
      <c r="AX124" s="221"/>
      <c r="AY124" s="221"/>
      <c r="AZ124" s="221"/>
      <c r="BA124" s="221"/>
      <c r="BB124" s="221"/>
      <c r="BC124" s="221"/>
      <c r="BD124" s="221"/>
      <c r="BE124" s="221"/>
      <c r="BF124" s="468">
        <f t="shared" si="124"/>
        <v>0</v>
      </c>
      <c r="BG124" s="315">
        <f t="shared" si="125"/>
        <v>0</v>
      </c>
      <c r="BH124" s="315" t="str">
        <f t="shared" si="126"/>
        <v/>
      </c>
      <c r="BI124" s="182"/>
      <c r="BJ124" s="182"/>
      <c r="BK124" s="182"/>
      <c r="BL124" s="221"/>
      <c r="BM124" s="221"/>
      <c r="BN124" s="221"/>
      <c r="BO124" s="221"/>
      <c r="BP124" s="221"/>
      <c r="BQ124" s="221"/>
      <c r="BR124" s="221"/>
      <c r="BS124" s="221"/>
      <c r="BT124" s="221"/>
      <c r="BU124" s="182"/>
      <c r="BV124" s="182"/>
      <c r="BW124" s="182"/>
      <c r="BX124" s="182"/>
      <c r="BY124" s="221" t="str">
        <f t="shared" si="127"/>
        <v/>
      </c>
      <c r="BZ124" s="221" t="str">
        <f t="shared" si="128"/>
        <v/>
      </c>
      <c r="CA124" s="221"/>
      <c r="CB124" s="221"/>
      <c r="CC124" s="221"/>
      <c r="CD124" s="221"/>
      <c r="CE124" s="221"/>
      <c r="CF124" s="221"/>
      <c r="CG124" s="221"/>
      <c r="CH124" s="221"/>
      <c r="CI124" s="221"/>
      <c r="CJ124" s="468">
        <f t="shared" si="129"/>
        <v>0</v>
      </c>
      <c r="CK124" s="315">
        <f t="shared" si="130"/>
        <v>0</v>
      </c>
      <c r="CL124" s="315" t="str">
        <f t="shared" si="131"/>
        <v/>
      </c>
      <c r="CM124" s="182"/>
      <c r="CN124" s="182"/>
      <c r="CO124" s="182"/>
      <c r="CP124" s="221"/>
      <c r="CQ124" s="221"/>
      <c r="CR124" s="221"/>
      <c r="CS124" s="221"/>
      <c r="CT124" s="221"/>
      <c r="CU124" s="221"/>
      <c r="CV124" s="221"/>
      <c r="CW124" s="221"/>
      <c r="CX124" s="221"/>
      <c r="CY124" s="221"/>
      <c r="CZ124" s="182"/>
      <c r="DA124" s="182"/>
      <c r="DB124" s="182"/>
      <c r="DC124" s="182"/>
      <c r="DD124" s="221" t="str">
        <f t="shared" si="117"/>
        <v/>
      </c>
      <c r="DE124" s="221" t="str">
        <f t="shared" si="118"/>
        <v/>
      </c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469" t="str">
        <f t="shared" si="132"/>
        <v/>
      </c>
      <c r="DP124" s="315">
        <f t="shared" si="133"/>
        <v>0</v>
      </c>
      <c r="DQ124" s="315" t="str">
        <f t="shared" si="134"/>
        <v/>
      </c>
      <c r="DR124" s="182"/>
      <c r="DS124" s="182"/>
      <c r="DT124" s="182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182"/>
      <c r="EE124" s="182"/>
      <c r="EF124" s="182"/>
      <c r="EG124" s="182"/>
      <c r="EH124" s="221" t="str">
        <f t="shared" si="135"/>
        <v/>
      </c>
      <c r="EI124" s="221" t="str">
        <f t="shared" si="136"/>
        <v/>
      </c>
      <c r="EJ124" s="221"/>
      <c r="EK124" s="221"/>
      <c r="EL124" s="221"/>
      <c r="EM124" s="221"/>
      <c r="EN124" s="221"/>
      <c r="EO124" s="221"/>
      <c r="EP124" s="221"/>
      <c r="EQ124" s="221"/>
      <c r="ER124" s="221"/>
      <c r="ES124" s="221"/>
      <c r="ET124" s="221"/>
      <c r="EU124" s="315">
        <f t="shared" si="137"/>
        <v>0</v>
      </c>
      <c r="EV124" s="315" t="str">
        <f t="shared" si="138"/>
        <v/>
      </c>
      <c r="EW124" s="182"/>
      <c r="EX124" s="182"/>
      <c r="EY124" s="182"/>
      <c r="EZ124" s="221"/>
      <c r="FA124" s="221"/>
      <c r="FB124" s="221"/>
      <c r="FC124" s="221"/>
      <c r="FD124" s="221"/>
      <c r="FE124" s="221"/>
      <c r="FF124" s="221"/>
      <c r="FG124" s="221"/>
      <c r="FH124" s="221"/>
      <c r="FI124" s="182"/>
      <c r="FJ124" s="182"/>
      <c r="FK124" s="182"/>
      <c r="FL124" s="182"/>
      <c r="FM124" s="221" t="str">
        <f t="shared" si="139"/>
        <v/>
      </c>
      <c r="FN124" s="221" t="str">
        <f t="shared" si="140"/>
        <v/>
      </c>
      <c r="FO124" s="221"/>
      <c r="FP124" s="221"/>
      <c r="FQ124" s="221"/>
      <c r="FR124" s="221"/>
      <c r="FS124" s="221"/>
      <c r="FT124" s="221"/>
      <c r="FU124" s="221"/>
      <c r="FV124" s="221"/>
      <c r="FW124" s="221"/>
      <c r="FX124" s="221"/>
      <c r="FY124" s="221"/>
      <c r="FZ124" s="408"/>
      <c r="GA124" s="315">
        <f t="shared" si="141"/>
        <v>0</v>
      </c>
      <c r="GB124" s="315" t="str">
        <f t="shared" si="142"/>
        <v/>
      </c>
      <c r="GC124" s="182" t="s">
        <v>160</v>
      </c>
      <c r="GD124" s="182"/>
      <c r="GE124" s="182"/>
      <c r="GG124" s="460"/>
      <c r="GH124" s="460"/>
      <c r="GU124" s="469"/>
      <c r="GV124" s="470" t="str">
        <f t="shared" si="143"/>
        <v/>
      </c>
      <c r="GW124" s="302">
        <f t="shared" si="144"/>
        <v>0</v>
      </c>
      <c r="HA124" s="654"/>
      <c r="HD124" s="379"/>
      <c r="HE124" s="380"/>
      <c r="HH124" s="383"/>
      <c r="HI124" s="410"/>
      <c r="HJ124" s="302" t="str">
        <f t="shared" si="119"/>
        <v/>
      </c>
      <c r="HO124" s="302" t="str">
        <f t="shared" si="112"/>
        <v/>
      </c>
      <c r="HP124" s="302" t="str">
        <f t="shared" si="113"/>
        <v/>
      </c>
      <c r="HQ124" s="302" t="str">
        <f t="shared" si="114"/>
        <v/>
      </c>
      <c r="IT124" s="410"/>
      <c r="IU124" s="410"/>
      <c r="IV124" s="635"/>
    </row>
    <row r="125" spans="1:256" s="302" customFormat="1" ht="12.75" hidden="1" customHeight="1">
      <c r="A125" s="397" t="str">
        <f t="shared" si="111"/>
        <v/>
      </c>
      <c r="B125" s="462" t="str">
        <f t="shared" si="115"/>
        <v/>
      </c>
      <c r="C125" s="426"/>
      <c r="D125" s="575"/>
      <c r="E125" s="463"/>
      <c r="F125" s="464"/>
      <c r="G125" s="465"/>
      <c r="H125" s="465"/>
      <c r="I125" s="466"/>
      <c r="J125" s="463"/>
      <c r="K125" s="465"/>
      <c r="L125" s="465"/>
      <c r="M125" s="466"/>
      <c r="N125" s="573"/>
      <c r="O125" s="467"/>
      <c r="P125" s="518"/>
      <c r="Q125" s="381"/>
      <c r="R125" s="182"/>
      <c r="S125" s="182"/>
      <c r="T125" s="182"/>
      <c r="U125" s="182"/>
      <c r="V125" s="182"/>
      <c r="W125" s="182"/>
      <c r="X125" s="182"/>
      <c r="Y125" s="182"/>
      <c r="Z125" s="182"/>
      <c r="AA125" s="384"/>
      <c r="AB125" s="182" t="str">
        <f t="shared" si="120"/>
        <v/>
      </c>
      <c r="AC125" s="315">
        <f t="shared" si="121"/>
        <v>0</v>
      </c>
      <c r="AD125" s="315" t="str">
        <f t="shared" si="116"/>
        <v/>
      </c>
      <c r="AE125" s="182"/>
      <c r="AF125" s="182"/>
      <c r="AG125" s="182"/>
      <c r="AH125" s="221"/>
      <c r="AI125" s="221"/>
      <c r="AJ125" s="221"/>
      <c r="AK125" s="221"/>
      <c r="AL125" s="221"/>
      <c r="AM125" s="221"/>
      <c r="AN125" s="221"/>
      <c r="AO125" s="221"/>
      <c r="AP125" s="221"/>
      <c r="AQ125" s="182"/>
      <c r="AR125" s="182"/>
      <c r="AS125" s="182"/>
      <c r="AT125" s="182"/>
      <c r="AU125" s="221" t="str">
        <f t="shared" si="122"/>
        <v/>
      </c>
      <c r="AV125" s="221" t="str">
        <f t="shared" si="123"/>
        <v/>
      </c>
      <c r="AW125" s="221"/>
      <c r="AX125" s="221"/>
      <c r="AY125" s="221"/>
      <c r="AZ125" s="221"/>
      <c r="BA125" s="221"/>
      <c r="BB125" s="221"/>
      <c r="BC125" s="221"/>
      <c r="BD125" s="221"/>
      <c r="BE125" s="221"/>
      <c r="BF125" s="469">
        <f t="shared" si="124"/>
        <v>0</v>
      </c>
      <c r="BG125" s="315">
        <f t="shared" si="125"/>
        <v>0</v>
      </c>
      <c r="BH125" s="315" t="str">
        <f t="shared" si="126"/>
        <v/>
      </c>
      <c r="BI125" s="182"/>
      <c r="BJ125" s="182"/>
      <c r="BK125" s="182"/>
      <c r="BL125" s="221"/>
      <c r="BM125" s="221"/>
      <c r="BN125" s="221"/>
      <c r="BO125" s="221"/>
      <c r="BP125" s="221"/>
      <c r="BQ125" s="221"/>
      <c r="BR125" s="221"/>
      <c r="BS125" s="221"/>
      <c r="BT125" s="221"/>
      <c r="BU125" s="182"/>
      <c r="BV125" s="182"/>
      <c r="BW125" s="182"/>
      <c r="BX125" s="182"/>
      <c r="BY125" s="221" t="str">
        <f t="shared" si="127"/>
        <v/>
      </c>
      <c r="BZ125" s="221" t="str">
        <f t="shared" si="128"/>
        <v/>
      </c>
      <c r="CA125" s="221"/>
      <c r="CB125" s="221"/>
      <c r="CC125" s="221"/>
      <c r="CD125" s="221"/>
      <c r="CE125" s="221"/>
      <c r="CF125" s="221"/>
      <c r="CG125" s="221"/>
      <c r="CH125" s="221"/>
      <c r="CI125" s="221"/>
      <c r="CJ125" s="469">
        <f t="shared" si="129"/>
        <v>0</v>
      </c>
      <c r="CK125" s="315">
        <f t="shared" si="130"/>
        <v>0</v>
      </c>
      <c r="CL125" s="315" t="str">
        <f t="shared" si="131"/>
        <v/>
      </c>
      <c r="CM125" s="182"/>
      <c r="CN125" s="182"/>
      <c r="CO125" s="182"/>
      <c r="CP125" s="221"/>
      <c r="CQ125" s="221"/>
      <c r="CR125" s="221"/>
      <c r="CS125" s="221"/>
      <c r="CT125" s="221"/>
      <c r="CU125" s="221"/>
      <c r="CV125" s="221"/>
      <c r="CW125" s="221"/>
      <c r="CX125" s="221"/>
      <c r="CY125" s="221"/>
      <c r="CZ125" s="182"/>
      <c r="DA125" s="182"/>
      <c r="DB125" s="182"/>
      <c r="DC125" s="182"/>
      <c r="DD125" s="221" t="str">
        <f t="shared" si="117"/>
        <v/>
      </c>
      <c r="DE125" s="221" t="str">
        <f t="shared" si="118"/>
        <v/>
      </c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469" t="str">
        <f t="shared" si="132"/>
        <v/>
      </c>
      <c r="DP125" s="315">
        <f t="shared" si="133"/>
        <v>0</v>
      </c>
      <c r="DQ125" s="315" t="str">
        <f t="shared" si="134"/>
        <v/>
      </c>
      <c r="DR125" s="182"/>
      <c r="DS125" s="182"/>
      <c r="DT125" s="182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182"/>
      <c r="EE125" s="182"/>
      <c r="EF125" s="182"/>
      <c r="EG125" s="182"/>
      <c r="EH125" s="221" t="str">
        <f t="shared" si="135"/>
        <v/>
      </c>
      <c r="EI125" s="221" t="str">
        <f t="shared" si="136"/>
        <v/>
      </c>
      <c r="EJ125" s="221"/>
      <c r="EK125" s="221"/>
      <c r="EL125" s="221"/>
      <c r="EM125" s="221"/>
      <c r="EN125" s="221"/>
      <c r="EO125" s="221"/>
      <c r="EP125" s="221"/>
      <c r="EQ125" s="221"/>
      <c r="ER125" s="221"/>
      <c r="ES125" s="221"/>
      <c r="ET125" s="221"/>
      <c r="EU125" s="315">
        <f t="shared" si="137"/>
        <v>0</v>
      </c>
      <c r="EV125" s="315" t="str">
        <f t="shared" si="138"/>
        <v/>
      </c>
      <c r="EW125" s="182"/>
      <c r="EX125" s="182"/>
      <c r="EY125" s="182"/>
      <c r="EZ125" s="221"/>
      <c r="FA125" s="221"/>
      <c r="FB125" s="221"/>
      <c r="FC125" s="221"/>
      <c r="FD125" s="221"/>
      <c r="FE125" s="221"/>
      <c r="FF125" s="221"/>
      <c r="FG125" s="221"/>
      <c r="FH125" s="221"/>
      <c r="FI125" s="182"/>
      <c r="FJ125" s="182"/>
      <c r="FK125" s="182"/>
      <c r="FL125" s="182"/>
      <c r="FM125" s="221" t="str">
        <f t="shared" si="139"/>
        <v/>
      </c>
      <c r="FN125" s="221" t="str">
        <f t="shared" si="140"/>
        <v/>
      </c>
      <c r="FO125" s="221"/>
      <c r="FP125" s="221"/>
      <c r="FQ125" s="221"/>
      <c r="FR125" s="221"/>
      <c r="FS125" s="221"/>
      <c r="FT125" s="221"/>
      <c r="FU125" s="221"/>
      <c r="FV125" s="221"/>
      <c r="FW125" s="221"/>
      <c r="FX125" s="221"/>
      <c r="FY125" s="221"/>
      <c r="FZ125" s="408"/>
      <c r="GA125" s="315">
        <f t="shared" si="141"/>
        <v>0</v>
      </c>
      <c r="GB125" s="315" t="str">
        <f t="shared" si="142"/>
        <v/>
      </c>
      <c r="GC125" s="182" t="s">
        <v>160</v>
      </c>
      <c r="GD125" s="182"/>
      <c r="GE125" s="182"/>
      <c r="GG125" s="460"/>
      <c r="GH125" s="460"/>
      <c r="GU125" s="469"/>
      <c r="GV125" s="470" t="str">
        <f t="shared" si="143"/>
        <v/>
      </c>
      <c r="GW125" s="302">
        <f t="shared" si="144"/>
        <v>0</v>
      </c>
      <c r="HA125" s="654"/>
      <c r="HD125" s="379"/>
      <c r="HE125" s="380"/>
      <c r="HH125" s="385"/>
      <c r="HI125" s="411"/>
      <c r="HJ125" s="302" t="str">
        <f t="shared" si="119"/>
        <v/>
      </c>
      <c r="HO125" s="302" t="str">
        <f t="shared" si="112"/>
        <v/>
      </c>
      <c r="HP125" s="302" t="str">
        <f t="shared" si="113"/>
        <v/>
      </c>
      <c r="HQ125" s="302" t="str">
        <f t="shared" si="114"/>
        <v/>
      </c>
      <c r="IT125" s="411"/>
      <c r="IU125" s="411"/>
      <c r="IV125" s="635"/>
    </row>
    <row r="126" spans="1:256" s="302" customFormat="1" ht="12.75" hidden="1" customHeight="1">
      <c r="A126" s="397" t="str">
        <f t="shared" si="111"/>
        <v/>
      </c>
      <c r="B126" s="462" t="str">
        <f t="shared" si="115"/>
        <v/>
      </c>
      <c r="C126" s="426"/>
      <c r="D126" s="575"/>
      <c r="E126" s="463"/>
      <c r="F126" s="464"/>
      <c r="G126" s="465"/>
      <c r="H126" s="465"/>
      <c r="I126" s="466"/>
      <c r="J126" s="463"/>
      <c r="K126" s="465"/>
      <c r="L126" s="465"/>
      <c r="M126" s="466"/>
      <c r="N126" s="573"/>
      <c r="O126" s="467"/>
      <c r="P126" s="518"/>
      <c r="Q126" s="381"/>
      <c r="R126" s="182"/>
      <c r="S126" s="182"/>
      <c r="T126" s="182"/>
      <c r="U126" s="182"/>
      <c r="V126" s="182"/>
      <c r="W126" s="182"/>
      <c r="X126" s="182"/>
      <c r="Y126" s="182"/>
      <c r="Z126" s="182"/>
      <c r="AA126" s="382"/>
      <c r="AB126" s="182" t="str">
        <f t="shared" si="120"/>
        <v/>
      </c>
      <c r="AC126" s="315">
        <f t="shared" si="121"/>
        <v>0</v>
      </c>
      <c r="AD126" s="315" t="str">
        <f t="shared" si="116"/>
        <v/>
      </c>
      <c r="AE126" s="182"/>
      <c r="AF126" s="182"/>
      <c r="AG126" s="182"/>
      <c r="AH126" s="221"/>
      <c r="AI126" s="221"/>
      <c r="AJ126" s="221"/>
      <c r="AK126" s="221"/>
      <c r="AL126" s="221"/>
      <c r="AM126" s="221"/>
      <c r="AN126" s="221"/>
      <c r="AO126" s="221"/>
      <c r="AP126" s="221"/>
      <c r="AQ126" s="182"/>
      <c r="AR126" s="182"/>
      <c r="AS126" s="182"/>
      <c r="AT126" s="182"/>
      <c r="AU126" s="221" t="str">
        <f t="shared" si="122"/>
        <v/>
      </c>
      <c r="AV126" s="221" t="str">
        <f t="shared" si="123"/>
        <v/>
      </c>
      <c r="AW126" s="221"/>
      <c r="AX126" s="221"/>
      <c r="AY126" s="221"/>
      <c r="AZ126" s="221"/>
      <c r="BA126" s="221"/>
      <c r="BB126" s="221"/>
      <c r="BC126" s="221"/>
      <c r="BD126" s="221"/>
      <c r="BE126" s="221"/>
      <c r="BF126" s="468">
        <f t="shared" si="124"/>
        <v>0</v>
      </c>
      <c r="BG126" s="315">
        <f t="shared" si="125"/>
        <v>0</v>
      </c>
      <c r="BH126" s="315" t="str">
        <f t="shared" si="126"/>
        <v/>
      </c>
      <c r="BI126" s="182"/>
      <c r="BJ126" s="182"/>
      <c r="BK126" s="182"/>
      <c r="BL126" s="221"/>
      <c r="BM126" s="221"/>
      <c r="BN126" s="221"/>
      <c r="BO126" s="221"/>
      <c r="BP126" s="221"/>
      <c r="BQ126" s="221"/>
      <c r="BR126" s="221"/>
      <c r="BS126" s="221"/>
      <c r="BT126" s="221"/>
      <c r="BU126" s="182"/>
      <c r="BV126" s="182"/>
      <c r="BW126" s="182"/>
      <c r="BX126" s="182"/>
      <c r="BY126" s="221" t="str">
        <f t="shared" si="127"/>
        <v/>
      </c>
      <c r="BZ126" s="221" t="str">
        <f t="shared" si="128"/>
        <v/>
      </c>
      <c r="CA126" s="221"/>
      <c r="CB126" s="221"/>
      <c r="CC126" s="221"/>
      <c r="CD126" s="221"/>
      <c r="CE126" s="221"/>
      <c r="CF126" s="221"/>
      <c r="CG126" s="221"/>
      <c r="CH126" s="221"/>
      <c r="CI126" s="221"/>
      <c r="CJ126" s="468">
        <f t="shared" si="129"/>
        <v>0</v>
      </c>
      <c r="CK126" s="315">
        <f t="shared" si="130"/>
        <v>0</v>
      </c>
      <c r="CL126" s="315" t="str">
        <f t="shared" si="131"/>
        <v/>
      </c>
      <c r="CM126" s="182"/>
      <c r="CN126" s="182"/>
      <c r="CO126" s="182"/>
      <c r="CP126" s="221"/>
      <c r="CQ126" s="221"/>
      <c r="CR126" s="221"/>
      <c r="CS126" s="221"/>
      <c r="CT126" s="221"/>
      <c r="CU126" s="221"/>
      <c r="CV126" s="221"/>
      <c r="CW126" s="221"/>
      <c r="CX126" s="221"/>
      <c r="CY126" s="221"/>
      <c r="CZ126" s="182"/>
      <c r="DA126" s="182"/>
      <c r="DB126" s="182"/>
      <c r="DC126" s="182"/>
      <c r="DD126" s="221" t="str">
        <f t="shared" si="117"/>
        <v/>
      </c>
      <c r="DE126" s="221" t="str">
        <f t="shared" si="118"/>
        <v/>
      </c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469" t="str">
        <f t="shared" si="132"/>
        <v/>
      </c>
      <c r="DP126" s="315">
        <f t="shared" si="133"/>
        <v>0</v>
      </c>
      <c r="DQ126" s="315" t="str">
        <f t="shared" si="134"/>
        <v/>
      </c>
      <c r="DR126" s="182"/>
      <c r="DS126" s="182"/>
      <c r="DT126" s="182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182"/>
      <c r="EE126" s="182"/>
      <c r="EF126" s="182"/>
      <c r="EG126" s="182"/>
      <c r="EH126" s="221" t="str">
        <f t="shared" si="135"/>
        <v/>
      </c>
      <c r="EI126" s="221" t="str">
        <f t="shared" si="136"/>
        <v/>
      </c>
      <c r="EJ126" s="221"/>
      <c r="EK126" s="221"/>
      <c r="EL126" s="221"/>
      <c r="EM126" s="221"/>
      <c r="EN126" s="221"/>
      <c r="EO126" s="221"/>
      <c r="EP126" s="221"/>
      <c r="EQ126" s="221"/>
      <c r="ER126" s="221"/>
      <c r="ES126" s="221"/>
      <c r="ET126" s="221"/>
      <c r="EU126" s="315">
        <f t="shared" si="137"/>
        <v>0</v>
      </c>
      <c r="EV126" s="315" t="str">
        <f t="shared" si="138"/>
        <v/>
      </c>
      <c r="EW126" s="182"/>
      <c r="EX126" s="182"/>
      <c r="EY126" s="182"/>
      <c r="EZ126" s="221"/>
      <c r="FA126" s="221"/>
      <c r="FB126" s="221"/>
      <c r="FC126" s="221"/>
      <c r="FD126" s="221"/>
      <c r="FE126" s="221"/>
      <c r="FF126" s="221"/>
      <c r="FG126" s="221"/>
      <c r="FH126" s="221"/>
      <c r="FI126" s="182"/>
      <c r="FJ126" s="182"/>
      <c r="FK126" s="182"/>
      <c r="FL126" s="182"/>
      <c r="FM126" s="221" t="str">
        <f t="shared" si="139"/>
        <v/>
      </c>
      <c r="FN126" s="221" t="str">
        <f t="shared" si="140"/>
        <v/>
      </c>
      <c r="FO126" s="221"/>
      <c r="FP126" s="221"/>
      <c r="FQ126" s="221"/>
      <c r="FR126" s="221"/>
      <c r="FS126" s="221"/>
      <c r="FT126" s="221"/>
      <c r="FU126" s="221"/>
      <c r="FV126" s="221"/>
      <c r="FW126" s="221"/>
      <c r="FX126" s="221"/>
      <c r="FY126" s="221"/>
      <c r="FZ126" s="408"/>
      <c r="GA126" s="315">
        <f t="shared" si="141"/>
        <v>0</v>
      </c>
      <c r="GB126" s="315" t="str">
        <f t="shared" si="142"/>
        <v/>
      </c>
      <c r="GC126" s="182" t="s">
        <v>160</v>
      </c>
      <c r="GD126" s="182"/>
      <c r="GE126" s="182"/>
      <c r="GG126" s="460"/>
      <c r="GH126" s="460"/>
      <c r="GU126" s="469"/>
      <c r="GV126" s="470" t="str">
        <f t="shared" si="143"/>
        <v/>
      </c>
      <c r="GW126" s="302">
        <f t="shared" si="144"/>
        <v>0</v>
      </c>
      <c r="HA126" s="654"/>
      <c r="HD126" s="379"/>
      <c r="HE126" s="380"/>
      <c r="HH126" s="383"/>
      <c r="HI126" s="410"/>
      <c r="HJ126" s="302" t="str">
        <f t="shared" si="119"/>
        <v/>
      </c>
      <c r="HO126" s="302" t="str">
        <f t="shared" si="112"/>
        <v/>
      </c>
      <c r="HP126" s="302" t="str">
        <f t="shared" si="113"/>
        <v/>
      </c>
      <c r="HQ126" s="302" t="str">
        <f t="shared" si="114"/>
        <v/>
      </c>
      <c r="IT126" s="410"/>
      <c r="IU126" s="410"/>
      <c r="IV126" s="635"/>
    </row>
    <row r="127" spans="1:256" s="302" customFormat="1" ht="12.75" hidden="1" customHeight="1">
      <c r="A127" s="397" t="str">
        <f t="shared" si="111"/>
        <v/>
      </c>
      <c r="B127" s="462" t="str">
        <f t="shared" si="115"/>
        <v/>
      </c>
      <c r="C127" s="426"/>
      <c r="D127" s="575"/>
      <c r="E127" s="463"/>
      <c r="F127" s="464"/>
      <c r="G127" s="465"/>
      <c r="H127" s="465"/>
      <c r="I127" s="466"/>
      <c r="J127" s="463"/>
      <c r="K127" s="465"/>
      <c r="L127" s="465"/>
      <c r="M127" s="466"/>
      <c r="N127" s="573"/>
      <c r="O127" s="467"/>
      <c r="P127" s="518"/>
      <c r="Q127" s="381"/>
      <c r="R127" s="182"/>
      <c r="S127" s="182"/>
      <c r="T127" s="182"/>
      <c r="U127" s="182"/>
      <c r="V127" s="182"/>
      <c r="W127" s="182"/>
      <c r="X127" s="182"/>
      <c r="Y127" s="182"/>
      <c r="Z127" s="182"/>
      <c r="AA127" s="384"/>
      <c r="AB127" s="182" t="str">
        <f t="shared" si="120"/>
        <v/>
      </c>
      <c r="AC127" s="315">
        <f t="shared" si="121"/>
        <v>0</v>
      </c>
      <c r="AD127" s="315" t="str">
        <f t="shared" si="116"/>
        <v/>
      </c>
      <c r="AE127" s="182"/>
      <c r="AF127" s="182"/>
      <c r="AG127" s="182"/>
      <c r="AH127" s="221"/>
      <c r="AI127" s="221"/>
      <c r="AJ127" s="221"/>
      <c r="AK127" s="221"/>
      <c r="AL127" s="221"/>
      <c r="AM127" s="221"/>
      <c r="AN127" s="221"/>
      <c r="AO127" s="221"/>
      <c r="AP127" s="221"/>
      <c r="AQ127" s="182"/>
      <c r="AR127" s="182"/>
      <c r="AS127" s="182"/>
      <c r="AT127" s="182"/>
      <c r="AU127" s="221" t="str">
        <f t="shared" si="122"/>
        <v/>
      </c>
      <c r="AV127" s="221" t="str">
        <f t="shared" si="123"/>
        <v/>
      </c>
      <c r="AW127" s="221"/>
      <c r="AX127" s="221"/>
      <c r="AY127" s="221"/>
      <c r="AZ127" s="221"/>
      <c r="BA127" s="221"/>
      <c r="BB127" s="221"/>
      <c r="BC127" s="221"/>
      <c r="BD127" s="221"/>
      <c r="BE127" s="221"/>
      <c r="BF127" s="469">
        <f t="shared" si="124"/>
        <v>0</v>
      </c>
      <c r="BG127" s="315">
        <f t="shared" si="125"/>
        <v>0</v>
      </c>
      <c r="BH127" s="315" t="str">
        <f t="shared" si="126"/>
        <v/>
      </c>
      <c r="BI127" s="182"/>
      <c r="BJ127" s="182"/>
      <c r="BK127" s="182"/>
      <c r="BL127" s="221"/>
      <c r="BM127" s="221"/>
      <c r="BN127" s="221"/>
      <c r="BO127" s="221"/>
      <c r="BP127" s="221"/>
      <c r="BQ127" s="221"/>
      <c r="BR127" s="221"/>
      <c r="BS127" s="221"/>
      <c r="BT127" s="221"/>
      <c r="BU127" s="182"/>
      <c r="BV127" s="182"/>
      <c r="BW127" s="182"/>
      <c r="BX127" s="182"/>
      <c r="BY127" s="221" t="str">
        <f t="shared" si="127"/>
        <v/>
      </c>
      <c r="BZ127" s="221" t="str">
        <f t="shared" si="128"/>
        <v/>
      </c>
      <c r="CA127" s="221"/>
      <c r="CB127" s="221"/>
      <c r="CC127" s="221"/>
      <c r="CD127" s="221"/>
      <c r="CE127" s="221"/>
      <c r="CF127" s="221"/>
      <c r="CG127" s="221"/>
      <c r="CH127" s="221"/>
      <c r="CI127" s="221"/>
      <c r="CJ127" s="469">
        <f t="shared" si="129"/>
        <v>0</v>
      </c>
      <c r="CK127" s="315">
        <f t="shared" si="130"/>
        <v>0</v>
      </c>
      <c r="CL127" s="315" t="str">
        <f t="shared" si="131"/>
        <v/>
      </c>
      <c r="CM127" s="182"/>
      <c r="CN127" s="182"/>
      <c r="CO127" s="182"/>
      <c r="CP127" s="221"/>
      <c r="CQ127" s="221"/>
      <c r="CR127" s="221"/>
      <c r="CS127" s="221"/>
      <c r="CT127" s="221"/>
      <c r="CU127" s="221"/>
      <c r="CV127" s="221"/>
      <c r="CW127" s="221"/>
      <c r="CX127" s="221"/>
      <c r="CY127" s="221"/>
      <c r="CZ127" s="182"/>
      <c r="DA127" s="182"/>
      <c r="DB127" s="182"/>
      <c r="DC127" s="182"/>
      <c r="DD127" s="221" t="str">
        <f t="shared" si="117"/>
        <v/>
      </c>
      <c r="DE127" s="221" t="str">
        <f t="shared" si="118"/>
        <v/>
      </c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469" t="str">
        <f t="shared" si="132"/>
        <v/>
      </c>
      <c r="DP127" s="315">
        <f t="shared" si="133"/>
        <v>0</v>
      </c>
      <c r="DQ127" s="315" t="str">
        <f t="shared" si="134"/>
        <v/>
      </c>
      <c r="DR127" s="182"/>
      <c r="DS127" s="182"/>
      <c r="DT127" s="182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182"/>
      <c r="EE127" s="182"/>
      <c r="EF127" s="182"/>
      <c r="EG127" s="182"/>
      <c r="EH127" s="221" t="str">
        <f t="shared" si="135"/>
        <v/>
      </c>
      <c r="EI127" s="221" t="str">
        <f t="shared" si="136"/>
        <v/>
      </c>
      <c r="EJ127" s="221"/>
      <c r="EK127" s="221"/>
      <c r="EL127" s="221"/>
      <c r="EM127" s="221"/>
      <c r="EN127" s="221"/>
      <c r="EO127" s="221"/>
      <c r="EP127" s="221"/>
      <c r="EQ127" s="221"/>
      <c r="ER127" s="221"/>
      <c r="ES127" s="221"/>
      <c r="ET127" s="221"/>
      <c r="EU127" s="315">
        <f t="shared" si="137"/>
        <v>0</v>
      </c>
      <c r="EV127" s="315" t="str">
        <f t="shared" si="138"/>
        <v/>
      </c>
      <c r="EW127" s="182"/>
      <c r="EX127" s="182"/>
      <c r="EY127" s="182"/>
      <c r="EZ127" s="221"/>
      <c r="FA127" s="221"/>
      <c r="FB127" s="221"/>
      <c r="FC127" s="221"/>
      <c r="FD127" s="221"/>
      <c r="FE127" s="221"/>
      <c r="FF127" s="221"/>
      <c r="FG127" s="221"/>
      <c r="FH127" s="221"/>
      <c r="FI127" s="182"/>
      <c r="FJ127" s="182"/>
      <c r="FK127" s="182"/>
      <c r="FL127" s="182"/>
      <c r="FM127" s="221" t="str">
        <f t="shared" si="139"/>
        <v/>
      </c>
      <c r="FN127" s="221" t="str">
        <f t="shared" si="140"/>
        <v/>
      </c>
      <c r="FO127" s="221"/>
      <c r="FP127" s="221"/>
      <c r="FQ127" s="221"/>
      <c r="FR127" s="221"/>
      <c r="FS127" s="221"/>
      <c r="FT127" s="221"/>
      <c r="FU127" s="221"/>
      <c r="FV127" s="221"/>
      <c r="FW127" s="221"/>
      <c r="FX127" s="221"/>
      <c r="FY127" s="221"/>
      <c r="FZ127" s="408"/>
      <c r="GA127" s="315">
        <f t="shared" si="141"/>
        <v>0</v>
      </c>
      <c r="GB127" s="315" t="str">
        <f t="shared" si="142"/>
        <v/>
      </c>
      <c r="GC127" s="182" t="s">
        <v>160</v>
      </c>
      <c r="GD127" s="182"/>
      <c r="GE127" s="182"/>
      <c r="GG127" s="460"/>
      <c r="GH127" s="460"/>
      <c r="GU127" s="469"/>
      <c r="GV127" s="470" t="str">
        <f t="shared" si="143"/>
        <v/>
      </c>
      <c r="GW127" s="302">
        <f t="shared" si="144"/>
        <v>0</v>
      </c>
      <c r="HA127" s="654"/>
      <c r="HD127" s="379"/>
      <c r="HE127" s="380"/>
      <c r="HH127" s="385"/>
      <c r="HI127" s="411"/>
      <c r="HJ127" s="302" t="str">
        <f t="shared" si="119"/>
        <v/>
      </c>
      <c r="HO127" s="302" t="str">
        <f t="shared" si="112"/>
        <v/>
      </c>
      <c r="HP127" s="302" t="str">
        <f t="shared" si="113"/>
        <v/>
      </c>
      <c r="HQ127" s="302" t="str">
        <f t="shared" si="114"/>
        <v/>
      </c>
      <c r="IT127" s="411"/>
      <c r="IU127" s="411"/>
      <c r="IV127" s="635"/>
    </row>
    <row r="128" spans="1:256" s="302" customFormat="1" ht="12.75" hidden="1" customHeight="1">
      <c r="A128" s="397" t="str">
        <f t="shared" si="111"/>
        <v/>
      </c>
      <c r="B128" s="462" t="str">
        <f t="shared" si="115"/>
        <v/>
      </c>
      <c r="C128" s="426"/>
      <c r="D128" s="576"/>
      <c r="E128" s="463"/>
      <c r="F128" s="464"/>
      <c r="G128" s="465"/>
      <c r="H128" s="465"/>
      <c r="I128" s="466"/>
      <c r="J128" s="463"/>
      <c r="K128" s="465"/>
      <c r="L128" s="465"/>
      <c r="M128" s="466"/>
      <c r="N128" s="573"/>
      <c r="O128" s="467"/>
      <c r="P128" s="518"/>
      <c r="Q128" s="381"/>
      <c r="R128" s="182"/>
      <c r="S128" s="182"/>
      <c r="T128" s="182"/>
      <c r="U128" s="182"/>
      <c r="V128" s="182"/>
      <c r="W128" s="182"/>
      <c r="X128" s="182"/>
      <c r="Y128" s="182"/>
      <c r="Z128" s="182"/>
      <c r="AA128" s="382"/>
      <c r="AB128" s="182" t="str">
        <f t="shared" si="120"/>
        <v/>
      </c>
      <c r="AC128" s="315">
        <f t="shared" si="121"/>
        <v>0</v>
      </c>
      <c r="AD128" s="315" t="str">
        <f t="shared" si="116"/>
        <v/>
      </c>
      <c r="AE128" s="182"/>
      <c r="AF128" s="182"/>
      <c r="AG128" s="182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182"/>
      <c r="AR128" s="182"/>
      <c r="AS128" s="182"/>
      <c r="AT128" s="182"/>
      <c r="AU128" s="221" t="str">
        <f t="shared" si="122"/>
        <v/>
      </c>
      <c r="AV128" s="221" t="str">
        <f t="shared" si="123"/>
        <v/>
      </c>
      <c r="AW128" s="221"/>
      <c r="AX128" s="221"/>
      <c r="AY128" s="221"/>
      <c r="AZ128" s="221"/>
      <c r="BA128" s="221"/>
      <c r="BB128" s="221"/>
      <c r="BC128" s="221"/>
      <c r="BD128" s="221"/>
      <c r="BE128" s="221"/>
      <c r="BF128" s="468">
        <f t="shared" si="124"/>
        <v>0</v>
      </c>
      <c r="BG128" s="315">
        <f t="shared" si="125"/>
        <v>0</v>
      </c>
      <c r="BH128" s="315" t="str">
        <f t="shared" si="126"/>
        <v/>
      </c>
      <c r="BI128" s="182"/>
      <c r="BJ128" s="182"/>
      <c r="BK128" s="182"/>
      <c r="BL128" s="221"/>
      <c r="BM128" s="221"/>
      <c r="BN128" s="221"/>
      <c r="BO128" s="221"/>
      <c r="BP128" s="221"/>
      <c r="BQ128" s="221"/>
      <c r="BR128" s="221"/>
      <c r="BS128" s="221"/>
      <c r="BT128" s="221"/>
      <c r="BU128" s="182"/>
      <c r="BV128" s="182"/>
      <c r="BW128" s="182"/>
      <c r="BX128" s="182"/>
      <c r="BY128" s="221" t="str">
        <f t="shared" si="127"/>
        <v/>
      </c>
      <c r="BZ128" s="221" t="str">
        <f t="shared" si="128"/>
        <v/>
      </c>
      <c r="CA128" s="221"/>
      <c r="CB128" s="221"/>
      <c r="CC128" s="221"/>
      <c r="CD128" s="221"/>
      <c r="CE128" s="221"/>
      <c r="CF128" s="221"/>
      <c r="CG128" s="221"/>
      <c r="CH128" s="221"/>
      <c r="CI128" s="221"/>
      <c r="CJ128" s="468">
        <f t="shared" si="129"/>
        <v>0</v>
      </c>
      <c r="CK128" s="315">
        <f t="shared" si="130"/>
        <v>0</v>
      </c>
      <c r="CL128" s="315" t="str">
        <f t="shared" si="131"/>
        <v/>
      </c>
      <c r="CM128" s="182"/>
      <c r="CN128" s="182"/>
      <c r="CO128" s="182"/>
      <c r="CP128" s="221"/>
      <c r="CQ128" s="221"/>
      <c r="CR128" s="221"/>
      <c r="CS128" s="221"/>
      <c r="CT128" s="221"/>
      <c r="CU128" s="221"/>
      <c r="CV128" s="221"/>
      <c r="CW128" s="221"/>
      <c r="CX128" s="221"/>
      <c r="CY128" s="221"/>
      <c r="CZ128" s="182"/>
      <c r="DA128" s="182"/>
      <c r="DB128" s="182"/>
      <c r="DC128" s="182"/>
      <c r="DD128" s="221" t="str">
        <f t="shared" si="117"/>
        <v/>
      </c>
      <c r="DE128" s="221" t="str">
        <f t="shared" si="118"/>
        <v/>
      </c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469" t="str">
        <f t="shared" si="132"/>
        <v/>
      </c>
      <c r="DP128" s="315">
        <f t="shared" si="133"/>
        <v>0</v>
      </c>
      <c r="DQ128" s="315" t="str">
        <f t="shared" si="134"/>
        <v/>
      </c>
      <c r="DR128" s="182"/>
      <c r="DS128" s="182"/>
      <c r="DT128" s="182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182"/>
      <c r="EE128" s="182"/>
      <c r="EF128" s="182"/>
      <c r="EG128" s="182"/>
      <c r="EH128" s="221" t="str">
        <f t="shared" si="135"/>
        <v/>
      </c>
      <c r="EI128" s="221" t="str">
        <f t="shared" si="136"/>
        <v/>
      </c>
      <c r="EJ128" s="221"/>
      <c r="EK128" s="221"/>
      <c r="EL128" s="221"/>
      <c r="EM128" s="221"/>
      <c r="EN128" s="221"/>
      <c r="EO128" s="221"/>
      <c r="EP128" s="221"/>
      <c r="EQ128" s="221"/>
      <c r="ER128" s="221"/>
      <c r="ES128" s="221"/>
      <c r="ET128" s="221"/>
      <c r="EU128" s="315">
        <f t="shared" si="137"/>
        <v>0</v>
      </c>
      <c r="EV128" s="315" t="str">
        <f t="shared" si="138"/>
        <v/>
      </c>
      <c r="EW128" s="182"/>
      <c r="EX128" s="182"/>
      <c r="EY128" s="182"/>
      <c r="EZ128" s="221"/>
      <c r="FA128" s="221"/>
      <c r="FB128" s="221"/>
      <c r="FC128" s="221"/>
      <c r="FD128" s="221"/>
      <c r="FE128" s="221"/>
      <c r="FF128" s="221"/>
      <c r="FG128" s="221"/>
      <c r="FH128" s="221"/>
      <c r="FI128" s="182"/>
      <c r="FJ128" s="182"/>
      <c r="FK128" s="182"/>
      <c r="FL128" s="182"/>
      <c r="FM128" s="221" t="str">
        <f t="shared" si="139"/>
        <v/>
      </c>
      <c r="FN128" s="221" t="str">
        <f t="shared" si="140"/>
        <v/>
      </c>
      <c r="FO128" s="221"/>
      <c r="FP128" s="221"/>
      <c r="FQ128" s="221"/>
      <c r="FR128" s="221"/>
      <c r="FS128" s="221"/>
      <c r="FT128" s="221"/>
      <c r="FU128" s="221"/>
      <c r="FV128" s="221"/>
      <c r="FW128" s="221"/>
      <c r="FX128" s="221"/>
      <c r="FY128" s="221"/>
      <c r="FZ128" s="408"/>
      <c r="GA128" s="315">
        <f t="shared" si="141"/>
        <v>0</v>
      </c>
      <c r="GB128" s="315" t="str">
        <f t="shared" si="142"/>
        <v/>
      </c>
      <c r="GC128" s="182" t="s">
        <v>160</v>
      </c>
      <c r="GD128" s="182"/>
      <c r="GE128" s="182"/>
      <c r="GG128" s="460"/>
      <c r="GH128" s="460"/>
      <c r="GU128" s="469"/>
      <c r="GV128" s="470" t="str">
        <f t="shared" si="143"/>
        <v/>
      </c>
      <c r="GW128" s="302">
        <f t="shared" si="144"/>
        <v>0</v>
      </c>
      <c r="HA128" s="654"/>
      <c r="HD128" s="379"/>
      <c r="HE128" s="380"/>
      <c r="HH128" s="383"/>
      <c r="HI128" s="410"/>
      <c r="HJ128" s="302" t="str">
        <f t="shared" si="119"/>
        <v/>
      </c>
      <c r="HO128" s="302" t="str">
        <f t="shared" si="112"/>
        <v/>
      </c>
      <c r="HP128" s="302" t="str">
        <f t="shared" si="113"/>
        <v/>
      </c>
      <c r="HQ128" s="302" t="str">
        <f t="shared" si="114"/>
        <v/>
      </c>
      <c r="IT128" s="410"/>
      <c r="IU128" s="410"/>
      <c r="IV128" s="635"/>
    </row>
    <row r="129" spans="1:256" s="302" customFormat="1" ht="12.75" hidden="1" customHeight="1">
      <c r="A129" s="397" t="str">
        <f t="shared" si="111"/>
        <v/>
      </c>
      <c r="B129" s="462" t="str">
        <f t="shared" si="115"/>
        <v/>
      </c>
      <c r="C129" s="426"/>
      <c r="D129" s="575"/>
      <c r="E129" s="463"/>
      <c r="F129" s="464"/>
      <c r="G129" s="465"/>
      <c r="H129" s="465"/>
      <c r="I129" s="466"/>
      <c r="J129" s="463"/>
      <c r="K129" s="465"/>
      <c r="L129" s="465"/>
      <c r="M129" s="466"/>
      <c r="N129" s="573"/>
      <c r="O129" s="467"/>
      <c r="P129" s="518"/>
      <c r="Q129" s="381"/>
      <c r="R129" s="182"/>
      <c r="S129" s="182"/>
      <c r="T129" s="182"/>
      <c r="U129" s="182"/>
      <c r="V129" s="182"/>
      <c r="W129" s="182"/>
      <c r="X129" s="182"/>
      <c r="Y129" s="182"/>
      <c r="Z129" s="182"/>
      <c r="AA129" s="382"/>
      <c r="AB129" s="182" t="str">
        <f t="shared" si="120"/>
        <v/>
      </c>
      <c r="AC129" s="315">
        <f t="shared" si="121"/>
        <v>0</v>
      </c>
      <c r="AD129" s="315" t="str">
        <f t="shared" si="116"/>
        <v/>
      </c>
      <c r="AE129" s="182"/>
      <c r="AF129" s="182"/>
      <c r="AG129" s="182"/>
      <c r="AH129" s="221"/>
      <c r="AI129" s="221"/>
      <c r="AJ129" s="221"/>
      <c r="AK129" s="221"/>
      <c r="AL129" s="221"/>
      <c r="AM129" s="221"/>
      <c r="AN129" s="221"/>
      <c r="AO129" s="221"/>
      <c r="AP129" s="221"/>
      <c r="AQ129" s="182"/>
      <c r="AR129" s="182"/>
      <c r="AS129" s="182"/>
      <c r="AT129" s="182"/>
      <c r="AU129" s="221" t="str">
        <f t="shared" si="122"/>
        <v/>
      </c>
      <c r="AV129" s="221" t="str">
        <f t="shared" si="123"/>
        <v/>
      </c>
      <c r="AW129" s="221"/>
      <c r="AX129" s="221"/>
      <c r="AY129" s="221"/>
      <c r="AZ129" s="221"/>
      <c r="BA129" s="221"/>
      <c r="BB129" s="221"/>
      <c r="BC129" s="221"/>
      <c r="BD129" s="221"/>
      <c r="BE129" s="221"/>
      <c r="BF129" s="468">
        <f t="shared" si="124"/>
        <v>0</v>
      </c>
      <c r="BG129" s="315">
        <f t="shared" si="125"/>
        <v>0</v>
      </c>
      <c r="BH129" s="315" t="str">
        <f t="shared" si="126"/>
        <v/>
      </c>
      <c r="BI129" s="182"/>
      <c r="BJ129" s="182"/>
      <c r="BK129" s="182"/>
      <c r="BL129" s="221"/>
      <c r="BM129" s="221"/>
      <c r="BN129" s="221"/>
      <c r="BO129" s="221"/>
      <c r="BP129" s="221"/>
      <c r="BQ129" s="221"/>
      <c r="BR129" s="221"/>
      <c r="BS129" s="221"/>
      <c r="BT129" s="221"/>
      <c r="BU129" s="182"/>
      <c r="BV129" s="182"/>
      <c r="BW129" s="182"/>
      <c r="BX129" s="182"/>
      <c r="BY129" s="221" t="str">
        <f t="shared" si="127"/>
        <v/>
      </c>
      <c r="BZ129" s="221" t="str">
        <f t="shared" si="128"/>
        <v/>
      </c>
      <c r="CA129" s="221"/>
      <c r="CB129" s="221"/>
      <c r="CC129" s="221"/>
      <c r="CD129" s="221"/>
      <c r="CE129" s="221"/>
      <c r="CF129" s="221"/>
      <c r="CG129" s="221"/>
      <c r="CH129" s="221"/>
      <c r="CI129" s="221"/>
      <c r="CJ129" s="468">
        <f t="shared" si="129"/>
        <v>0</v>
      </c>
      <c r="CK129" s="315">
        <f t="shared" si="130"/>
        <v>0</v>
      </c>
      <c r="CL129" s="315" t="str">
        <f t="shared" si="131"/>
        <v/>
      </c>
      <c r="CM129" s="182"/>
      <c r="CN129" s="182"/>
      <c r="CO129" s="182"/>
      <c r="CP129" s="221"/>
      <c r="CQ129" s="221"/>
      <c r="CR129" s="221"/>
      <c r="CS129" s="221"/>
      <c r="CT129" s="221"/>
      <c r="CU129" s="221"/>
      <c r="CV129" s="221"/>
      <c r="CW129" s="221"/>
      <c r="CX129" s="221"/>
      <c r="CY129" s="221"/>
      <c r="CZ129" s="182"/>
      <c r="DA129" s="182"/>
      <c r="DB129" s="182"/>
      <c r="DC129" s="182"/>
      <c r="DD129" s="221" t="str">
        <f t="shared" si="117"/>
        <v/>
      </c>
      <c r="DE129" s="221" t="str">
        <f t="shared" si="118"/>
        <v/>
      </c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469" t="str">
        <f t="shared" si="132"/>
        <v/>
      </c>
      <c r="DP129" s="315">
        <f t="shared" si="133"/>
        <v>0</v>
      </c>
      <c r="DQ129" s="315" t="str">
        <f t="shared" si="134"/>
        <v/>
      </c>
      <c r="DR129" s="182"/>
      <c r="DS129" s="182"/>
      <c r="DT129" s="182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182"/>
      <c r="EE129" s="182"/>
      <c r="EF129" s="182"/>
      <c r="EG129" s="182"/>
      <c r="EH129" s="221" t="str">
        <f t="shared" si="135"/>
        <v/>
      </c>
      <c r="EI129" s="221" t="str">
        <f t="shared" si="136"/>
        <v/>
      </c>
      <c r="EJ129" s="221"/>
      <c r="EK129" s="221"/>
      <c r="EL129" s="221"/>
      <c r="EM129" s="221"/>
      <c r="EN129" s="221"/>
      <c r="EO129" s="221"/>
      <c r="EP129" s="221"/>
      <c r="EQ129" s="221"/>
      <c r="ER129" s="221"/>
      <c r="ES129" s="221"/>
      <c r="ET129" s="221"/>
      <c r="EU129" s="315">
        <f t="shared" si="137"/>
        <v>0</v>
      </c>
      <c r="EV129" s="315" t="str">
        <f t="shared" si="138"/>
        <v/>
      </c>
      <c r="EW129" s="182"/>
      <c r="EX129" s="182"/>
      <c r="EY129" s="182"/>
      <c r="EZ129" s="221"/>
      <c r="FA129" s="221"/>
      <c r="FB129" s="221"/>
      <c r="FC129" s="221"/>
      <c r="FD129" s="221"/>
      <c r="FE129" s="221"/>
      <c r="FF129" s="221"/>
      <c r="FG129" s="221"/>
      <c r="FH129" s="221"/>
      <c r="FI129" s="182"/>
      <c r="FJ129" s="182"/>
      <c r="FK129" s="182"/>
      <c r="FL129" s="182"/>
      <c r="FM129" s="221" t="str">
        <f t="shared" si="139"/>
        <v/>
      </c>
      <c r="FN129" s="221" t="str">
        <f t="shared" si="140"/>
        <v/>
      </c>
      <c r="FO129" s="221"/>
      <c r="FP129" s="221"/>
      <c r="FQ129" s="221"/>
      <c r="FR129" s="221"/>
      <c r="FS129" s="221"/>
      <c r="FT129" s="221"/>
      <c r="FU129" s="221"/>
      <c r="FV129" s="221"/>
      <c r="FW129" s="221"/>
      <c r="FX129" s="221"/>
      <c r="FY129" s="221"/>
      <c r="FZ129" s="408"/>
      <c r="GA129" s="315">
        <f t="shared" si="141"/>
        <v>0</v>
      </c>
      <c r="GB129" s="315" t="str">
        <f t="shared" si="142"/>
        <v/>
      </c>
      <c r="GC129" s="182" t="s">
        <v>160</v>
      </c>
      <c r="GD129" s="182"/>
      <c r="GE129" s="182"/>
      <c r="GG129" s="460"/>
      <c r="GH129" s="460"/>
      <c r="GU129" s="469"/>
      <c r="GV129" s="470" t="str">
        <f t="shared" si="143"/>
        <v/>
      </c>
      <c r="GW129" s="302">
        <f t="shared" si="144"/>
        <v>0</v>
      </c>
      <c r="HA129" s="654"/>
      <c r="HD129" s="379"/>
      <c r="HE129" s="380"/>
      <c r="HH129" s="383"/>
      <c r="HI129" s="410"/>
      <c r="HJ129" s="302" t="str">
        <f t="shared" si="119"/>
        <v/>
      </c>
      <c r="HO129" s="302" t="str">
        <f t="shared" si="112"/>
        <v/>
      </c>
      <c r="HP129" s="302" t="str">
        <f t="shared" si="113"/>
        <v/>
      </c>
      <c r="HQ129" s="302" t="str">
        <f t="shared" si="114"/>
        <v/>
      </c>
      <c r="IT129" s="410"/>
      <c r="IU129" s="410"/>
      <c r="IV129" s="635"/>
    </row>
    <row r="130" spans="1:256" s="302" customFormat="1" ht="12.75" hidden="1" customHeight="1">
      <c r="A130" s="397" t="str">
        <f t="shared" si="111"/>
        <v/>
      </c>
      <c r="B130" s="462" t="str">
        <f t="shared" si="115"/>
        <v/>
      </c>
      <c r="C130" s="426"/>
      <c r="D130" s="575"/>
      <c r="E130" s="463"/>
      <c r="F130" s="464"/>
      <c r="G130" s="465"/>
      <c r="H130" s="465"/>
      <c r="I130" s="466"/>
      <c r="J130" s="463"/>
      <c r="K130" s="465"/>
      <c r="L130" s="465"/>
      <c r="M130" s="466"/>
      <c r="N130" s="573"/>
      <c r="O130" s="467"/>
      <c r="P130" s="518"/>
      <c r="Q130" s="381"/>
      <c r="R130" s="182"/>
      <c r="S130" s="182"/>
      <c r="T130" s="182"/>
      <c r="U130" s="182"/>
      <c r="V130" s="182"/>
      <c r="W130" s="182"/>
      <c r="X130" s="182"/>
      <c r="Y130" s="182"/>
      <c r="Z130" s="182"/>
      <c r="AA130" s="384"/>
      <c r="AB130" s="182" t="str">
        <f t="shared" si="120"/>
        <v/>
      </c>
      <c r="AC130" s="315">
        <f t="shared" si="121"/>
        <v>0</v>
      </c>
      <c r="AD130" s="315" t="str">
        <f t="shared" si="116"/>
        <v/>
      </c>
      <c r="AH130" s="380"/>
      <c r="AI130" s="380"/>
      <c r="AJ130" s="380"/>
      <c r="AK130" s="380"/>
      <c r="AL130" s="380"/>
      <c r="AM130" s="380"/>
      <c r="AN130" s="380"/>
      <c r="AO130" s="380"/>
      <c r="AP130" s="380"/>
      <c r="AU130" s="221" t="str">
        <f t="shared" si="122"/>
        <v/>
      </c>
      <c r="AV130" s="221" t="str">
        <f t="shared" si="123"/>
        <v/>
      </c>
      <c r="AW130" s="221"/>
      <c r="AX130" s="221"/>
      <c r="AY130" s="221"/>
      <c r="AZ130" s="221"/>
      <c r="BA130" s="221"/>
      <c r="BB130" s="221"/>
      <c r="BC130" s="221"/>
      <c r="BD130" s="221"/>
      <c r="BE130" s="221"/>
      <c r="BF130" s="469">
        <f t="shared" si="124"/>
        <v>0</v>
      </c>
      <c r="BG130" s="315">
        <f t="shared" si="125"/>
        <v>0</v>
      </c>
      <c r="BH130" s="315" t="str">
        <f t="shared" si="126"/>
        <v/>
      </c>
      <c r="BI130" s="182"/>
      <c r="BJ130" s="182"/>
      <c r="BK130" s="182"/>
      <c r="BL130" s="221"/>
      <c r="BM130" s="221"/>
      <c r="BN130" s="221"/>
      <c r="BO130" s="221"/>
      <c r="BP130" s="221"/>
      <c r="BQ130" s="221"/>
      <c r="BR130" s="221"/>
      <c r="BS130" s="221"/>
      <c r="BT130" s="221"/>
      <c r="BU130" s="182"/>
      <c r="BV130" s="182"/>
      <c r="BW130" s="182"/>
      <c r="BX130" s="182"/>
      <c r="BY130" s="221" t="str">
        <f t="shared" si="127"/>
        <v/>
      </c>
      <c r="BZ130" s="221" t="str">
        <f t="shared" si="128"/>
        <v/>
      </c>
      <c r="CA130" s="221"/>
      <c r="CB130" s="221"/>
      <c r="CC130" s="221"/>
      <c r="CD130" s="221"/>
      <c r="CE130" s="221"/>
      <c r="CF130" s="221"/>
      <c r="CG130" s="221"/>
      <c r="CH130" s="221"/>
      <c r="CI130" s="221"/>
      <c r="CJ130" s="469">
        <f t="shared" si="129"/>
        <v>0</v>
      </c>
      <c r="CK130" s="315">
        <f t="shared" si="130"/>
        <v>0</v>
      </c>
      <c r="CL130" s="315" t="str">
        <f t="shared" si="131"/>
        <v/>
      </c>
      <c r="CM130" s="182"/>
      <c r="CN130" s="182"/>
      <c r="CO130" s="182"/>
      <c r="CP130" s="221"/>
      <c r="CQ130" s="221"/>
      <c r="CR130" s="221"/>
      <c r="CS130" s="221"/>
      <c r="CT130" s="221"/>
      <c r="CU130" s="221"/>
      <c r="CV130" s="221"/>
      <c r="CW130" s="221"/>
      <c r="CX130" s="221"/>
      <c r="CY130" s="221"/>
      <c r="CZ130" s="182"/>
      <c r="DA130" s="182"/>
      <c r="DB130" s="182"/>
      <c r="DC130" s="182"/>
      <c r="DD130" s="221" t="str">
        <f t="shared" si="117"/>
        <v/>
      </c>
      <c r="DE130" s="221" t="str">
        <f t="shared" si="118"/>
        <v/>
      </c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469" t="str">
        <f t="shared" si="132"/>
        <v/>
      </c>
      <c r="DP130" s="315">
        <f t="shared" si="133"/>
        <v>0</v>
      </c>
      <c r="DQ130" s="315" t="str">
        <f t="shared" si="134"/>
        <v/>
      </c>
      <c r="DR130" s="182"/>
      <c r="DS130" s="182"/>
      <c r="DT130" s="182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182"/>
      <c r="EE130" s="182"/>
      <c r="EF130" s="182"/>
      <c r="EG130" s="182"/>
      <c r="EH130" s="221" t="str">
        <f t="shared" si="135"/>
        <v/>
      </c>
      <c r="EI130" s="221" t="str">
        <f t="shared" si="136"/>
        <v/>
      </c>
      <c r="EJ130" s="221"/>
      <c r="EK130" s="221"/>
      <c r="EL130" s="221"/>
      <c r="EM130" s="221"/>
      <c r="EN130" s="221"/>
      <c r="EO130" s="221"/>
      <c r="EP130" s="221"/>
      <c r="EQ130" s="221"/>
      <c r="ER130" s="221"/>
      <c r="ES130" s="221"/>
      <c r="ET130" s="221"/>
      <c r="EU130" s="315">
        <f t="shared" si="137"/>
        <v>0</v>
      </c>
      <c r="EV130" s="315" t="str">
        <f t="shared" si="138"/>
        <v/>
      </c>
      <c r="EW130" s="182"/>
      <c r="EX130" s="182"/>
      <c r="EY130" s="182"/>
      <c r="EZ130" s="221"/>
      <c r="FA130" s="221"/>
      <c r="FB130" s="221"/>
      <c r="FC130" s="221"/>
      <c r="FD130" s="221"/>
      <c r="FE130" s="221"/>
      <c r="FF130" s="221"/>
      <c r="FG130" s="221"/>
      <c r="FH130" s="221"/>
      <c r="FI130" s="182"/>
      <c r="FJ130" s="182"/>
      <c r="FK130" s="182"/>
      <c r="FL130" s="182"/>
      <c r="FM130" s="221" t="str">
        <f t="shared" si="139"/>
        <v/>
      </c>
      <c r="FN130" s="221" t="str">
        <f t="shared" si="140"/>
        <v/>
      </c>
      <c r="FO130" s="221"/>
      <c r="FP130" s="221"/>
      <c r="FQ130" s="221"/>
      <c r="FR130" s="221"/>
      <c r="FS130" s="221"/>
      <c r="FT130" s="221"/>
      <c r="FU130" s="221"/>
      <c r="FV130" s="221"/>
      <c r="FW130" s="221"/>
      <c r="FX130" s="221"/>
      <c r="FY130" s="221"/>
      <c r="FZ130" s="408"/>
      <c r="GA130" s="315">
        <f t="shared" si="141"/>
        <v>0</v>
      </c>
      <c r="GB130" s="315" t="str">
        <f t="shared" si="142"/>
        <v/>
      </c>
      <c r="GC130" s="182" t="s">
        <v>160</v>
      </c>
      <c r="GD130" s="182"/>
      <c r="GE130" s="182"/>
      <c r="GG130" s="460"/>
      <c r="GH130" s="460"/>
      <c r="GU130" s="469"/>
      <c r="GV130" s="470" t="str">
        <f t="shared" si="143"/>
        <v/>
      </c>
      <c r="GW130" s="302">
        <f t="shared" si="144"/>
        <v>0</v>
      </c>
      <c r="HA130" s="654"/>
      <c r="HD130" s="379"/>
      <c r="HE130" s="380"/>
      <c r="HH130" s="385"/>
      <c r="HI130" s="411"/>
      <c r="HJ130" s="302" t="str">
        <f t="shared" si="119"/>
        <v/>
      </c>
      <c r="HO130" s="302" t="str">
        <f t="shared" si="112"/>
        <v/>
      </c>
      <c r="HP130" s="302" t="str">
        <f t="shared" si="113"/>
        <v/>
      </c>
      <c r="HQ130" s="302" t="str">
        <f t="shared" si="114"/>
        <v/>
      </c>
      <c r="IT130" s="411"/>
      <c r="IU130" s="411"/>
      <c r="IV130" s="635"/>
    </row>
    <row r="131" spans="1:256" s="302" customFormat="1" ht="12.75" hidden="1" customHeight="1">
      <c r="A131" s="397" t="str">
        <f t="shared" si="111"/>
        <v/>
      </c>
      <c r="B131" s="462" t="str">
        <f t="shared" si="115"/>
        <v/>
      </c>
      <c r="C131" s="426"/>
      <c r="D131" s="575"/>
      <c r="E131" s="463"/>
      <c r="F131" s="464"/>
      <c r="G131" s="465"/>
      <c r="H131" s="465"/>
      <c r="I131" s="466"/>
      <c r="J131" s="463"/>
      <c r="K131" s="465"/>
      <c r="L131" s="465"/>
      <c r="M131" s="466"/>
      <c r="N131" s="573"/>
      <c r="O131" s="467"/>
      <c r="P131" s="518"/>
      <c r="Q131" s="381"/>
      <c r="R131" s="182"/>
      <c r="S131" s="182"/>
      <c r="T131" s="182"/>
      <c r="U131" s="182"/>
      <c r="V131" s="182"/>
      <c r="W131" s="182"/>
      <c r="X131" s="182"/>
      <c r="Y131" s="182"/>
      <c r="Z131" s="182"/>
      <c r="AA131" s="382"/>
      <c r="AB131" s="182" t="str">
        <f t="shared" si="120"/>
        <v/>
      </c>
      <c r="AC131" s="315">
        <f t="shared" si="121"/>
        <v>0</v>
      </c>
      <c r="AD131" s="315" t="str">
        <f t="shared" si="116"/>
        <v/>
      </c>
      <c r="AE131" s="182"/>
      <c r="AF131" s="182"/>
      <c r="AG131" s="182"/>
      <c r="AH131" s="221"/>
      <c r="AI131" s="221"/>
      <c r="AJ131" s="221"/>
      <c r="AK131" s="221"/>
      <c r="AL131" s="221"/>
      <c r="AM131" s="221"/>
      <c r="AN131" s="221"/>
      <c r="AO131" s="221"/>
      <c r="AP131" s="221"/>
      <c r="AQ131" s="182"/>
      <c r="AR131" s="182"/>
      <c r="AS131" s="182"/>
      <c r="AT131" s="224"/>
      <c r="AU131" s="221" t="str">
        <f t="shared" si="122"/>
        <v/>
      </c>
      <c r="AV131" s="221" t="str">
        <f t="shared" si="123"/>
        <v/>
      </c>
      <c r="AW131" s="221"/>
      <c r="AX131" s="221"/>
      <c r="AY131" s="221"/>
      <c r="AZ131" s="221"/>
      <c r="BA131" s="221"/>
      <c r="BB131" s="221"/>
      <c r="BC131" s="221"/>
      <c r="BD131" s="221"/>
      <c r="BE131" s="221"/>
      <c r="BF131" s="468">
        <f t="shared" si="124"/>
        <v>0</v>
      </c>
      <c r="BG131" s="315">
        <f t="shared" si="125"/>
        <v>0</v>
      </c>
      <c r="BH131" s="315" t="str">
        <f t="shared" si="126"/>
        <v/>
      </c>
      <c r="BI131" s="182"/>
      <c r="BJ131" s="182"/>
      <c r="BK131" s="182"/>
      <c r="BL131" s="221"/>
      <c r="BM131" s="221"/>
      <c r="BN131" s="221"/>
      <c r="BO131" s="221"/>
      <c r="BP131" s="221"/>
      <c r="BQ131" s="221"/>
      <c r="BR131" s="221"/>
      <c r="BS131" s="221"/>
      <c r="BT131" s="221"/>
      <c r="BU131" s="182"/>
      <c r="BV131" s="182"/>
      <c r="BW131" s="182"/>
      <c r="BX131" s="182"/>
      <c r="BY131" s="221" t="str">
        <f t="shared" si="127"/>
        <v/>
      </c>
      <c r="BZ131" s="221" t="str">
        <f t="shared" si="128"/>
        <v/>
      </c>
      <c r="CA131" s="221"/>
      <c r="CB131" s="221"/>
      <c r="CC131" s="221"/>
      <c r="CD131" s="221"/>
      <c r="CE131" s="221"/>
      <c r="CF131" s="221"/>
      <c r="CG131" s="221"/>
      <c r="CH131" s="221"/>
      <c r="CI131" s="221"/>
      <c r="CJ131" s="468">
        <f t="shared" si="129"/>
        <v>0</v>
      </c>
      <c r="CK131" s="315">
        <f t="shared" si="130"/>
        <v>0</v>
      </c>
      <c r="CL131" s="315" t="str">
        <f t="shared" si="131"/>
        <v/>
      </c>
      <c r="CM131" s="182"/>
      <c r="CN131" s="182"/>
      <c r="CO131" s="182"/>
      <c r="CP131" s="221"/>
      <c r="CQ131" s="221"/>
      <c r="CR131" s="221"/>
      <c r="CS131" s="221"/>
      <c r="CT131" s="221"/>
      <c r="CU131" s="221"/>
      <c r="CV131" s="221"/>
      <c r="CW131" s="221"/>
      <c r="CX131" s="221"/>
      <c r="CY131" s="221"/>
      <c r="CZ131" s="182"/>
      <c r="DA131" s="182"/>
      <c r="DB131" s="182"/>
      <c r="DC131" s="182"/>
      <c r="DD131" s="221" t="str">
        <f t="shared" si="117"/>
        <v/>
      </c>
      <c r="DE131" s="221" t="str">
        <f t="shared" si="118"/>
        <v/>
      </c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469" t="str">
        <f t="shared" si="132"/>
        <v/>
      </c>
      <c r="DP131" s="315">
        <f t="shared" si="133"/>
        <v>0</v>
      </c>
      <c r="DQ131" s="315" t="str">
        <f t="shared" si="134"/>
        <v/>
      </c>
      <c r="DR131" s="182"/>
      <c r="DS131" s="182"/>
      <c r="DT131" s="182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182"/>
      <c r="EE131" s="182"/>
      <c r="EF131" s="182"/>
      <c r="EG131" s="182"/>
      <c r="EH131" s="221" t="str">
        <f t="shared" si="135"/>
        <v/>
      </c>
      <c r="EI131" s="221" t="str">
        <f t="shared" si="136"/>
        <v/>
      </c>
      <c r="EJ131" s="221"/>
      <c r="EK131" s="221"/>
      <c r="EL131" s="221"/>
      <c r="EM131" s="221"/>
      <c r="EN131" s="221"/>
      <c r="EO131" s="221"/>
      <c r="EP131" s="221"/>
      <c r="EQ131" s="221"/>
      <c r="ER131" s="221"/>
      <c r="ES131" s="221"/>
      <c r="ET131" s="221"/>
      <c r="EU131" s="315">
        <f t="shared" si="137"/>
        <v>0</v>
      </c>
      <c r="EV131" s="315" t="str">
        <f t="shared" si="138"/>
        <v/>
      </c>
      <c r="EW131" s="182"/>
      <c r="EX131" s="182"/>
      <c r="EY131" s="182"/>
      <c r="EZ131" s="221"/>
      <c r="FA131" s="221"/>
      <c r="FB131" s="221"/>
      <c r="FC131" s="221"/>
      <c r="FD131" s="221"/>
      <c r="FE131" s="221"/>
      <c r="FF131" s="221"/>
      <c r="FG131" s="221"/>
      <c r="FH131" s="221"/>
      <c r="FI131" s="182"/>
      <c r="FJ131" s="182"/>
      <c r="FK131" s="182"/>
      <c r="FL131" s="182"/>
      <c r="FM131" s="221" t="str">
        <f t="shared" si="139"/>
        <v/>
      </c>
      <c r="FN131" s="221" t="str">
        <f t="shared" si="140"/>
        <v/>
      </c>
      <c r="FO131" s="221"/>
      <c r="FP131" s="221"/>
      <c r="FQ131" s="221"/>
      <c r="FR131" s="221"/>
      <c r="FS131" s="221"/>
      <c r="FT131" s="221"/>
      <c r="FU131" s="221"/>
      <c r="FV131" s="221"/>
      <c r="FW131" s="221"/>
      <c r="FX131" s="221"/>
      <c r="FY131" s="221"/>
      <c r="FZ131" s="408"/>
      <c r="GA131" s="315">
        <f t="shared" si="141"/>
        <v>0</v>
      </c>
      <c r="GB131" s="315" t="str">
        <f t="shared" si="142"/>
        <v/>
      </c>
      <c r="GC131" s="302" t="s">
        <v>160</v>
      </c>
      <c r="GG131" s="460"/>
      <c r="GH131" s="460"/>
      <c r="GU131" s="469"/>
      <c r="GV131" s="470" t="str">
        <f t="shared" si="143"/>
        <v/>
      </c>
      <c r="GW131" s="302">
        <f t="shared" si="144"/>
        <v>0</v>
      </c>
      <c r="HA131" s="654"/>
      <c r="HD131" s="379"/>
      <c r="HE131" s="380"/>
      <c r="HH131" s="383"/>
      <c r="HI131" s="410"/>
      <c r="HJ131" s="302" t="str">
        <f t="shared" si="119"/>
        <v/>
      </c>
      <c r="HO131" s="302" t="str">
        <f t="shared" si="112"/>
        <v/>
      </c>
      <c r="HP131" s="302" t="str">
        <f t="shared" si="113"/>
        <v/>
      </c>
      <c r="HQ131" s="302" t="str">
        <f t="shared" si="114"/>
        <v/>
      </c>
      <c r="IT131" s="410"/>
      <c r="IU131" s="410"/>
      <c r="IV131" s="635"/>
    </row>
    <row r="132" spans="1:256" s="302" customFormat="1" ht="12.75" hidden="1" customHeight="1">
      <c r="A132" s="397" t="str">
        <f t="shared" si="111"/>
        <v/>
      </c>
      <c r="B132" s="462" t="str">
        <f t="shared" si="115"/>
        <v/>
      </c>
      <c r="C132" s="426"/>
      <c r="D132" s="575"/>
      <c r="E132" s="463"/>
      <c r="F132" s="464"/>
      <c r="G132" s="465"/>
      <c r="H132" s="465"/>
      <c r="I132" s="466"/>
      <c r="J132" s="463"/>
      <c r="K132" s="465"/>
      <c r="L132" s="465"/>
      <c r="M132" s="466"/>
      <c r="N132" s="573"/>
      <c r="O132" s="467"/>
      <c r="P132" s="518"/>
      <c r="Q132" s="381"/>
      <c r="R132" s="182"/>
      <c r="S132" s="182"/>
      <c r="T132" s="182"/>
      <c r="U132" s="182"/>
      <c r="V132" s="182"/>
      <c r="W132" s="182"/>
      <c r="X132" s="182"/>
      <c r="Y132" s="182"/>
      <c r="Z132" s="182"/>
      <c r="AA132" s="384"/>
      <c r="AB132" s="182" t="str">
        <f t="shared" si="120"/>
        <v/>
      </c>
      <c r="AC132" s="315">
        <f t="shared" si="121"/>
        <v>0</v>
      </c>
      <c r="AD132" s="315" t="str">
        <f t="shared" si="116"/>
        <v/>
      </c>
      <c r="AE132" s="182"/>
      <c r="AF132" s="182"/>
      <c r="AG132" s="182"/>
      <c r="AH132" s="221"/>
      <c r="AI132" s="221"/>
      <c r="AJ132" s="221"/>
      <c r="AK132" s="221"/>
      <c r="AL132" s="221"/>
      <c r="AM132" s="221"/>
      <c r="AN132" s="221"/>
      <c r="AO132" s="221"/>
      <c r="AP132" s="221"/>
      <c r="AQ132" s="182"/>
      <c r="AR132" s="182"/>
      <c r="AS132" s="182"/>
      <c r="AT132" s="182"/>
      <c r="AU132" s="221" t="str">
        <f t="shared" si="122"/>
        <v/>
      </c>
      <c r="AV132" s="221" t="str">
        <f t="shared" si="123"/>
        <v/>
      </c>
      <c r="AW132" s="221"/>
      <c r="AX132" s="221"/>
      <c r="AY132" s="221"/>
      <c r="AZ132" s="221"/>
      <c r="BA132" s="221"/>
      <c r="BB132" s="221"/>
      <c r="BC132" s="221"/>
      <c r="BD132" s="221"/>
      <c r="BE132" s="221"/>
      <c r="BF132" s="469">
        <f t="shared" si="124"/>
        <v>0</v>
      </c>
      <c r="BG132" s="315">
        <f t="shared" si="125"/>
        <v>0</v>
      </c>
      <c r="BH132" s="315" t="str">
        <f t="shared" si="126"/>
        <v/>
      </c>
      <c r="BI132" s="182"/>
      <c r="BJ132" s="182"/>
      <c r="BK132" s="182"/>
      <c r="BL132" s="221"/>
      <c r="BM132" s="221"/>
      <c r="BN132" s="221"/>
      <c r="BO132" s="221"/>
      <c r="BP132" s="221"/>
      <c r="BQ132" s="221"/>
      <c r="BR132" s="221"/>
      <c r="BS132" s="221"/>
      <c r="BT132" s="221"/>
      <c r="BU132" s="182"/>
      <c r="BV132" s="182"/>
      <c r="BW132" s="182"/>
      <c r="BX132" s="182"/>
      <c r="BY132" s="221" t="str">
        <f t="shared" si="127"/>
        <v/>
      </c>
      <c r="BZ132" s="221" t="str">
        <f t="shared" si="128"/>
        <v/>
      </c>
      <c r="CA132" s="221"/>
      <c r="CB132" s="221"/>
      <c r="CC132" s="221"/>
      <c r="CD132" s="221"/>
      <c r="CE132" s="221"/>
      <c r="CF132" s="221"/>
      <c r="CG132" s="221"/>
      <c r="CH132" s="221"/>
      <c r="CI132" s="221"/>
      <c r="CJ132" s="469">
        <f t="shared" si="129"/>
        <v>0</v>
      </c>
      <c r="CK132" s="315">
        <f t="shared" si="130"/>
        <v>0</v>
      </c>
      <c r="CL132" s="315" t="str">
        <f t="shared" si="131"/>
        <v/>
      </c>
      <c r="CM132" s="182"/>
      <c r="CN132" s="182"/>
      <c r="CO132" s="182"/>
      <c r="CP132" s="221"/>
      <c r="CQ132" s="221"/>
      <c r="CR132" s="221"/>
      <c r="CS132" s="221"/>
      <c r="CT132" s="221"/>
      <c r="CU132" s="221"/>
      <c r="CV132" s="221"/>
      <c r="CW132" s="221"/>
      <c r="CX132" s="221"/>
      <c r="CY132" s="221"/>
      <c r="CZ132" s="182"/>
      <c r="DA132" s="182"/>
      <c r="DB132" s="182"/>
      <c r="DC132" s="182"/>
      <c r="DD132" s="221" t="str">
        <f t="shared" si="117"/>
        <v/>
      </c>
      <c r="DE132" s="221" t="str">
        <f t="shared" si="118"/>
        <v/>
      </c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469" t="str">
        <f t="shared" si="132"/>
        <v/>
      </c>
      <c r="DP132" s="315">
        <f t="shared" si="133"/>
        <v>0</v>
      </c>
      <c r="DQ132" s="315" t="str">
        <f t="shared" si="134"/>
        <v/>
      </c>
      <c r="DR132" s="182"/>
      <c r="DS132" s="182"/>
      <c r="DT132" s="182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182"/>
      <c r="EE132" s="182"/>
      <c r="EF132" s="182"/>
      <c r="EG132" s="182"/>
      <c r="EH132" s="221" t="str">
        <f t="shared" si="135"/>
        <v/>
      </c>
      <c r="EI132" s="221" t="str">
        <f t="shared" si="136"/>
        <v/>
      </c>
      <c r="EJ132" s="221"/>
      <c r="EK132" s="221"/>
      <c r="EL132" s="221"/>
      <c r="EM132" s="221"/>
      <c r="EN132" s="221"/>
      <c r="EO132" s="221"/>
      <c r="EP132" s="221"/>
      <c r="EQ132" s="221"/>
      <c r="ER132" s="221"/>
      <c r="ES132" s="221"/>
      <c r="ET132" s="221"/>
      <c r="EU132" s="315">
        <f t="shared" si="137"/>
        <v>0</v>
      </c>
      <c r="EV132" s="315" t="str">
        <f t="shared" si="138"/>
        <v/>
      </c>
      <c r="EW132" s="182"/>
      <c r="EX132" s="182"/>
      <c r="EY132" s="182"/>
      <c r="EZ132" s="221"/>
      <c r="FA132" s="221"/>
      <c r="FB132" s="221"/>
      <c r="FC132" s="221"/>
      <c r="FD132" s="221"/>
      <c r="FE132" s="221"/>
      <c r="FF132" s="221"/>
      <c r="FG132" s="221"/>
      <c r="FH132" s="221"/>
      <c r="FI132" s="182"/>
      <c r="FJ132" s="182"/>
      <c r="FK132" s="182"/>
      <c r="FL132" s="182"/>
      <c r="FM132" s="221" t="str">
        <f t="shared" si="139"/>
        <v/>
      </c>
      <c r="FN132" s="221" t="str">
        <f t="shared" si="140"/>
        <v/>
      </c>
      <c r="FO132" s="221"/>
      <c r="FP132" s="221"/>
      <c r="FQ132" s="221"/>
      <c r="FR132" s="221"/>
      <c r="FS132" s="221"/>
      <c r="FT132" s="221"/>
      <c r="FU132" s="221"/>
      <c r="FV132" s="221"/>
      <c r="FW132" s="221"/>
      <c r="FX132" s="221"/>
      <c r="FY132" s="221"/>
      <c r="FZ132" s="408"/>
      <c r="GA132" s="315">
        <f t="shared" si="141"/>
        <v>0</v>
      </c>
      <c r="GB132" s="315" t="str">
        <f t="shared" si="142"/>
        <v/>
      </c>
      <c r="GC132" s="302" t="s">
        <v>160</v>
      </c>
      <c r="GG132" s="460"/>
      <c r="GH132" s="460"/>
      <c r="GU132" s="469"/>
      <c r="GV132" s="470" t="str">
        <f t="shared" si="143"/>
        <v/>
      </c>
      <c r="GW132" s="302">
        <f t="shared" si="144"/>
        <v>0</v>
      </c>
      <c r="HA132" s="654"/>
      <c r="HD132" s="379"/>
      <c r="HE132" s="380"/>
      <c r="HH132" s="385"/>
      <c r="HI132" s="411"/>
      <c r="HJ132" s="302" t="str">
        <f t="shared" si="119"/>
        <v/>
      </c>
      <c r="HO132" s="302" t="str">
        <f t="shared" si="112"/>
        <v/>
      </c>
      <c r="HP132" s="302" t="str">
        <f t="shared" si="113"/>
        <v/>
      </c>
      <c r="HQ132" s="302" t="str">
        <f t="shared" si="114"/>
        <v/>
      </c>
      <c r="IT132" s="411"/>
      <c r="IU132" s="411"/>
      <c r="IV132" s="635"/>
    </row>
    <row r="133" spans="1:256" s="302" customFormat="1" ht="12.75" hidden="1" customHeight="1">
      <c r="A133" s="397" t="str">
        <f t="shared" ref="A133:A196" si="145">IF(B133="","",IF(F133="BLOQUEADO",0,F133+K133))</f>
        <v/>
      </c>
      <c r="B133" s="462" t="str">
        <f t="shared" si="115"/>
        <v/>
      </c>
      <c r="C133" s="426"/>
      <c r="D133" s="575"/>
      <c r="E133" s="463"/>
      <c r="F133" s="464"/>
      <c r="G133" s="465"/>
      <c r="H133" s="465"/>
      <c r="I133" s="466"/>
      <c r="J133" s="463"/>
      <c r="K133" s="465"/>
      <c r="L133" s="465"/>
      <c r="M133" s="466"/>
      <c r="N133" s="573"/>
      <c r="O133" s="467"/>
      <c r="P133" s="518"/>
      <c r="Q133" s="381"/>
      <c r="R133" s="182"/>
      <c r="S133" s="182"/>
      <c r="T133" s="182"/>
      <c r="U133" s="182"/>
      <c r="V133" s="182"/>
      <c r="W133" s="182"/>
      <c r="X133" s="182"/>
      <c r="Y133" s="182"/>
      <c r="Z133" s="182"/>
      <c r="AA133" s="382"/>
      <c r="AB133" s="182" t="str">
        <f t="shared" si="120"/>
        <v/>
      </c>
      <c r="AC133" s="315">
        <f t="shared" si="121"/>
        <v>0</v>
      </c>
      <c r="AD133" s="315" t="str">
        <f t="shared" si="116"/>
        <v/>
      </c>
      <c r="AE133" s="182"/>
      <c r="AF133" s="182"/>
      <c r="AG133" s="182"/>
      <c r="AH133" s="221"/>
      <c r="AI133" s="221"/>
      <c r="AJ133" s="221"/>
      <c r="AK133" s="221"/>
      <c r="AL133" s="221"/>
      <c r="AM133" s="221"/>
      <c r="AN133" s="221"/>
      <c r="AO133" s="221"/>
      <c r="AP133" s="221"/>
      <c r="AQ133" s="182"/>
      <c r="AR133" s="182"/>
      <c r="AS133" s="182"/>
      <c r="AT133" s="182"/>
      <c r="AU133" s="221" t="str">
        <f t="shared" si="122"/>
        <v/>
      </c>
      <c r="AV133" s="221" t="str">
        <f t="shared" si="123"/>
        <v/>
      </c>
      <c r="AW133" s="221"/>
      <c r="AX133" s="221"/>
      <c r="AY133" s="221"/>
      <c r="AZ133" s="221"/>
      <c r="BA133" s="221"/>
      <c r="BB133" s="221"/>
      <c r="BC133" s="221"/>
      <c r="BD133" s="221"/>
      <c r="BE133" s="221"/>
      <c r="BF133" s="468">
        <f t="shared" si="124"/>
        <v>0</v>
      </c>
      <c r="BG133" s="315">
        <f t="shared" si="125"/>
        <v>0</v>
      </c>
      <c r="BH133" s="315" t="str">
        <f t="shared" si="126"/>
        <v/>
      </c>
      <c r="BL133" s="380"/>
      <c r="BM133" s="380"/>
      <c r="BN133" s="380"/>
      <c r="BO133" s="380"/>
      <c r="BP133" s="380"/>
      <c r="BQ133" s="380"/>
      <c r="BR133" s="380"/>
      <c r="BS133" s="380"/>
      <c r="BT133" s="380"/>
      <c r="BY133" s="221" t="str">
        <f t="shared" si="127"/>
        <v/>
      </c>
      <c r="BZ133" s="221" t="str">
        <f t="shared" si="128"/>
        <v/>
      </c>
      <c r="CA133" s="221"/>
      <c r="CB133" s="221"/>
      <c r="CC133" s="221"/>
      <c r="CD133" s="221"/>
      <c r="CE133" s="221"/>
      <c r="CF133" s="221"/>
      <c r="CG133" s="221"/>
      <c r="CH133" s="221"/>
      <c r="CI133" s="221"/>
      <c r="CJ133" s="468">
        <f t="shared" si="129"/>
        <v>0</v>
      </c>
      <c r="CK133" s="315">
        <f t="shared" si="130"/>
        <v>0</v>
      </c>
      <c r="CL133" s="315" t="str">
        <f t="shared" si="131"/>
        <v/>
      </c>
      <c r="CM133" s="182"/>
      <c r="CN133" s="182"/>
      <c r="CO133" s="182"/>
      <c r="CP133" s="221"/>
      <c r="CQ133" s="221"/>
      <c r="CR133" s="221"/>
      <c r="CS133" s="221"/>
      <c r="CT133" s="221"/>
      <c r="CU133" s="221"/>
      <c r="CV133" s="221"/>
      <c r="CW133" s="221"/>
      <c r="CX133" s="221"/>
      <c r="CY133" s="221"/>
      <c r="CZ133" s="182"/>
      <c r="DA133" s="182"/>
      <c r="DB133" s="182"/>
      <c r="DC133" s="182"/>
      <c r="DD133" s="221" t="str">
        <f t="shared" si="117"/>
        <v/>
      </c>
      <c r="DE133" s="221" t="str">
        <f t="shared" si="118"/>
        <v/>
      </c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469" t="str">
        <f t="shared" si="132"/>
        <v/>
      </c>
      <c r="DP133" s="315">
        <f t="shared" si="133"/>
        <v>0</v>
      </c>
      <c r="DQ133" s="315" t="str">
        <f t="shared" si="134"/>
        <v/>
      </c>
      <c r="DR133" s="182"/>
      <c r="DS133" s="182"/>
      <c r="DT133" s="182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182"/>
      <c r="EE133" s="182"/>
      <c r="EF133" s="182"/>
      <c r="EG133" s="182"/>
      <c r="EH133" s="221" t="str">
        <f t="shared" si="135"/>
        <v/>
      </c>
      <c r="EI133" s="221" t="str">
        <f t="shared" si="136"/>
        <v/>
      </c>
      <c r="EJ133" s="221"/>
      <c r="EK133" s="221"/>
      <c r="EL133" s="221"/>
      <c r="EM133" s="221"/>
      <c r="EN133" s="221"/>
      <c r="EO133" s="221"/>
      <c r="EP133" s="221"/>
      <c r="EQ133" s="221"/>
      <c r="ER133" s="221"/>
      <c r="ES133" s="221"/>
      <c r="ET133" s="221"/>
      <c r="EU133" s="315">
        <f t="shared" si="137"/>
        <v>0</v>
      </c>
      <c r="EV133" s="315" t="str">
        <f t="shared" si="138"/>
        <v/>
      </c>
      <c r="EW133" s="182"/>
      <c r="EX133" s="182"/>
      <c r="EY133" s="182"/>
      <c r="EZ133" s="221"/>
      <c r="FA133" s="221"/>
      <c r="FB133" s="221"/>
      <c r="FC133" s="221"/>
      <c r="FD133" s="221"/>
      <c r="FE133" s="221"/>
      <c r="FF133" s="221"/>
      <c r="FG133" s="221"/>
      <c r="FH133" s="221"/>
      <c r="FI133" s="182"/>
      <c r="FJ133" s="182"/>
      <c r="FK133" s="182"/>
      <c r="FL133" s="182"/>
      <c r="FM133" s="221" t="str">
        <f t="shared" si="139"/>
        <v/>
      </c>
      <c r="FN133" s="221" t="str">
        <f t="shared" si="140"/>
        <v/>
      </c>
      <c r="FO133" s="221"/>
      <c r="FP133" s="221"/>
      <c r="FQ133" s="221"/>
      <c r="FR133" s="221"/>
      <c r="FS133" s="221"/>
      <c r="FT133" s="221"/>
      <c r="FU133" s="221"/>
      <c r="FV133" s="221"/>
      <c r="FW133" s="221"/>
      <c r="FX133" s="221"/>
      <c r="FY133" s="221"/>
      <c r="FZ133" s="408"/>
      <c r="GA133" s="315">
        <f t="shared" si="141"/>
        <v>0</v>
      </c>
      <c r="GB133" s="315" t="str">
        <f t="shared" si="142"/>
        <v/>
      </c>
      <c r="GC133" s="182" t="s">
        <v>160</v>
      </c>
      <c r="GD133" s="182"/>
      <c r="GE133" s="182"/>
      <c r="GG133" s="460"/>
      <c r="GH133" s="460"/>
      <c r="GU133" s="469"/>
      <c r="GV133" s="470" t="str">
        <f t="shared" si="143"/>
        <v/>
      </c>
      <c r="GW133" s="302">
        <f t="shared" si="144"/>
        <v>0</v>
      </c>
      <c r="HA133" s="654"/>
      <c r="HD133" s="379"/>
      <c r="HE133" s="380"/>
      <c r="HH133" s="383"/>
      <c r="HI133" s="410"/>
      <c r="HJ133" s="302" t="str">
        <f t="shared" si="119"/>
        <v/>
      </c>
      <c r="HO133" s="302" t="str">
        <f t="shared" ref="HO133:HO196" si="146">IF(HM133="","",$HM$2&amp;HM133)</f>
        <v/>
      </c>
      <c r="HP133" s="302" t="str">
        <f t="shared" ref="HP133:HP196" si="147">IF(HN133="","",$HN$2&amp;HN133)</f>
        <v/>
      </c>
      <c r="HQ133" s="302" t="str">
        <f t="shared" ref="HQ133:HQ196" si="148">IF(HM133="","",$HM$2&amp;HM133&amp;$HO$2&amp;$HN$2&amp;HN133&amp;$HP$2)</f>
        <v/>
      </c>
      <c r="IT133" s="410"/>
      <c r="IU133" s="410"/>
      <c r="IV133" s="635"/>
    </row>
    <row r="134" spans="1:256" s="302" customFormat="1" ht="12.75" hidden="1" customHeight="1">
      <c r="A134" s="397" t="str">
        <f t="shared" si="145"/>
        <v/>
      </c>
      <c r="B134" s="462" t="str">
        <f t="shared" si="115"/>
        <v/>
      </c>
      <c r="C134" s="426"/>
      <c r="D134" s="575"/>
      <c r="E134" s="463"/>
      <c r="F134" s="464"/>
      <c r="G134" s="465"/>
      <c r="H134" s="465"/>
      <c r="I134" s="466"/>
      <c r="J134" s="463"/>
      <c r="K134" s="465"/>
      <c r="L134" s="465"/>
      <c r="M134" s="466"/>
      <c r="N134" s="573"/>
      <c r="O134" s="467"/>
      <c r="P134" s="518"/>
      <c r="Q134" s="381"/>
      <c r="R134" s="182"/>
      <c r="S134" s="182"/>
      <c r="T134" s="182"/>
      <c r="U134" s="182"/>
      <c r="V134" s="182"/>
      <c r="W134" s="182"/>
      <c r="X134" s="182"/>
      <c r="Y134" s="182"/>
      <c r="Z134" s="182"/>
      <c r="AA134" s="384"/>
      <c r="AB134" s="182" t="str">
        <f t="shared" si="120"/>
        <v/>
      </c>
      <c r="AC134" s="315">
        <f t="shared" si="121"/>
        <v>0</v>
      </c>
      <c r="AD134" s="315" t="str">
        <f t="shared" si="116"/>
        <v/>
      </c>
      <c r="AE134" s="182"/>
      <c r="AF134" s="182"/>
      <c r="AG134" s="182"/>
      <c r="AH134" s="221"/>
      <c r="AI134" s="221"/>
      <c r="AJ134" s="221"/>
      <c r="AK134" s="221"/>
      <c r="AL134" s="221"/>
      <c r="AM134" s="221"/>
      <c r="AN134" s="221"/>
      <c r="AO134" s="221"/>
      <c r="AP134" s="221"/>
      <c r="AQ134" s="182"/>
      <c r="AR134" s="182"/>
      <c r="AS134" s="182"/>
      <c r="AT134" s="182"/>
      <c r="AU134" s="221" t="str">
        <f t="shared" si="122"/>
        <v/>
      </c>
      <c r="AV134" s="221" t="str">
        <f t="shared" si="123"/>
        <v/>
      </c>
      <c r="AW134" s="221"/>
      <c r="AX134" s="221"/>
      <c r="AY134" s="221"/>
      <c r="AZ134" s="221"/>
      <c r="BA134" s="221"/>
      <c r="BB134" s="221"/>
      <c r="BC134" s="221"/>
      <c r="BD134" s="221"/>
      <c r="BE134" s="221"/>
      <c r="BF134" s="469">
        <f t="shared" si="124"/>
        <v>0</v>
      </c>
      <c r="BG134" s="315">
        <f t="shared" si="125"/>
        <v>0</v>
      </c>
      <c r="BH134" s="315" t="str">
        <f t="shared" si="126"/>
        <v/>
      </c>
      <c r="BI134" s="182"/>
      <c r="BJ134" s="182"/>
      <c r="BK134" s="182"/>
      <c r="BL134" s="221"/>
      <c r="BM134" s="221"/>
      <c r="BN134" s="221"/>
      <c r="BO134" s="221"/>
      <c r="BP134" s="221"/>
      <c r="BQ134" s="221"/>
      <c r="BR134" s="221"/>
      <c r="BS134" s="221"/>
      <c r="BT134" s="221"/>
      <c r="BU134" s="182"/>
      <c r="BV134" s="182"/>
      <c r="BW134" s="182"/>
      <c r="BX134" s="182"/>
      <c r="BY134" s="221" t="str">
        <f t="shared" si="127"/>
        <v/>
      </c>
      <c r="BZ134" s="221" t="str">
        <f t="shared" si="128"/>
        <v/>
      </c>
      <c r="CA134" s="221"/>
      <c r="CB134" s="221"/>
      <c r="CC134" s="221"/>
      <c r="CD134" s="221"/>
      <c r="CE134" s="221"/>
      <c r="CF134" s="221"/>
      <c r="CG134" s="221"/>
      <c r="CH134" s="221"/>
      <c r="CI134" s="221"/>
      <c r="CJ134" s="469">
        <f t="shared" si="129"/>
        <v>0</v>
      </c>
      <c r="CK134" s="315">
        <f t="shared" si="130"/>
        <v>0</v>
      </c>
      <c r="CL134" s="315" t="str">
        <f t="shared" si="131"/>
        <v/>
      </c>
      <c r="CM134" s="182"/>
      <c r="CN134" s="182"/>
      <c r="CO134" s="182"/>
      <c r="CP134" s="221"/>
      <c r="CQ134" s="221"/>
      <c r="CR134" s="221"/>
      <c r="CS134" s="221"/>
      <c r="CT134" s="221"/>
      <c r="CU134" s="221"/>
      <c r="CV134" s="221"/>
      <c r="CW134" s="221"/>
      <c r="CX134" s="221"/>
      <c r="CY134" s="221"/>
      <c r="CZ134" s="182"/>
      <c r="DA134" s="182"/>
      <c r="DB134" s="182"/>
      <c r="DC134" s="182"/>
      <c r="DD134" s="221" t="str">
        <f t="shared" si="117"/>
        <v/>
      </c>
      <c r="DE134" s="221" t="str">
        <f t="shared" si="118"/>
        <v/>
      </c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469" t="str">
        <f t="shared" si="132"/>
        <v/>
      </c>
      <c r="DP134" s="315">
        <f t="shared" si="133"/>
        <v>0</v>
      </c>
      <c r="DQ134" s="315" t="str">
        <f t="shared" si="134"/>
        <v/>
      </c>
      <c r="DR134" s="182"/>
      <c r="DS134" s="182"/>
      <c r="DT134" s="182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182"/>
      <c r="EE134" s="182"/>
      <c r="EF134" s="182"/>
      <c r="EG134" s="182"/>
      <c r="EH134" s="221" t="str">
        <f t="shared" si="135"/>
        <v/>
      </c>
      <c r="EI134" s="221" t="str">
        <f t="shared" si="136"/>
        <v/>
      </c>
      <c r="EJ134" s="221"/>
      <c r="EK134" s="221"/>
      <c r="EL134" s="221"/>
      <c r="EM134" s="221"/>
      <c r="EN134" s="221"/>
      <c r="EO134" s="221"/>
      <c r="EP134" s="221"/>
      <c r="EQ134" s="221"/>
      <c r="ER134" s="221"/>
      <c r="ES134" s="221"/>
      <c r="ET134" s="221"/>
      <c r="EU134" s="315">
        <f t="shared" si="137"/>
        <v>0</v>
      </c>
      <c r="EV134" s="315" t="str">
        <f t="shared" si="138"/>
        <v/>
      </c>
      <c r="EW134" s="182"/>
      <c r="EX134" s="182"/>
      <c r="EY134" s="182"/>
      <c r="EZ134" s="221"/>
      <c r="FA134" s="221"/>
      <c r="FB134" s="221"/>
      <c r="FC134" s="221"/>
      <c r="FD134" s="221"/>
      <c r="FE134" s="221"/>
      <c r="FF134" s="221"/>
      <c r="FG134" s="221"/>
      <c r="FH134" s="221"/>
      <c r="FI134" s="182"/>
      <c r="FJ134" s="182"/>
      <c r="FK134" s="182"/>
      <c r="FL134" s="182"/>
      <c r="FM134" s="221" t="str">
        <f t="shared" si="139"/>
        <v/>
      </c>
      <c r="FN134" s="221" t="str">
        <f t="shared" si="140"/>
        <v/>
      </c>
      <c r="FO134" s="221"/>
      <c r="FP134" s="221"/>
      <c r="FQ134" s="221"/>
      <c r="FR134" s="221"/>
      <c r="FS134" s="221"/>
      <c r="FT134" s="221"/>
      <c r="FU134" s="221"/>
      <c r="FV134" s="221"/>
      <c r="FW134" s="221"/>
      <c r="FX134" s="221"/>
      <c r="FY134" s="221"/>
      <c r="FZ134" s="408"/>
      <c r="GA134" s="315">
        <f t="shared" si="141"/>
        <v>0</v>
      </c>
      <c r="GB134" s="315" t="str">
        <f t="shared" si="142"/>
        <v/>
      </c>
      <c r="GC134" s="182" t="s">
        <v>160</v>
      </c>
      <c r="GD134" s="182"/>
      <c r="GE134" s="182"/>
      <c r="GG134" s="460"/>
      <c r="GH134" s="460"/>
      <c r="GU134" s="469"/>
      <c r="GV134" s="470" t="str">
        <f t="shared" si="143"/>
        <v/>
      </c>
      <c r="GW134" s="302">
        <f t="shared" si="144"/>
        <v>0</v>
      </c>
      <c r="HA134" s="654"/>
      <c r="HD134" s="379"/>
      <c r="HE134" s="380"/>
      <c r="HH134" s="385"/>
      <c r="HI134" s="411"/>
      <c r="HJ134" s="302" t="str">
        <f t="shared" si="119"/>
        <v/>
      </c>
      <c r="HO134" s="302" t="str">
        <f t="shared" si="146"/>
        <v/>
      </c>
      <c r="HP134" s="302" t="str">
        <f t="shared" si="147"/>
        <v/>
      </c>
      <c r="HQ134" s="302" t="str">
        <f t="shared" si="148"/>
        <v/>
      </c>
      <c r="IT134" s="411"/>
      <c r="IU134" s="411"/>
      <c r="IV134" s="635"/>
    </row>
    <row r="135" spans="1:256" s="302" customFormat="1" ht="12.75" hidden="1" customHeight="1">
      <c r="A135" s="397" t="str">
        <f t="shared" si="145"/>
        <v/>
      </c>
      <c r="B135" s="462" t="str">
        <f t="shared" si="115"/>
        <v/>
      </c>
      <c r="C135" s="426"/>
      <c r="D135" s="575"/>
      <c r="E135" s="463"/>
      <c r="F135" s="464"/>
      <c r="G135" s="465"/>
      <c r="H135" s="465"/>
      <c r="I135" s="466"/>
      <c r="J135" s="463"/>
      <c r="K135" s="465"/>
      <c r="L135" s="465"/>
      <c r="M135" s="466"/>
      <c r="N135" s="573"/>
      <c r="O135" s="467"/>
      <c r="P135" s="518"/>
      <c r="Q135" s="381"/>
      <c r="R135" s="182"/>
      <c r="S135" s="182"/>
      <c r="T135" s="182"/>
      <c r="U135" s="182"/>
      <c r="V135" s="182"/>
      <c r="W135" s="182"/>
      <c r="X135" s="182"/>
      <c r="Y135" s="182"/>
      <c r="Z135" s="182"/>
      <c r="AA135" s="382"/>
      <c r="AB135" s="182" t="str">
        <f t="shared" si="120"/>
        <v/>
      </c>
      <c r="AC135" s="315">
        <f t="shared" si="121"/>
        <v>0</v>
      </c>
      <c r="AD135" s="315" t="str">
        <f t="shared" si="116"/>
        <v/>
      </c>
      <c r="AE135" s="182"/>
      <c r="AF135" s="182"/>
      <c r="AG135" s="182"/>
      <c r="AH135" s="221"/>
      <c r="AI135" s="221"/>
      <c r="AJ135" s="221"/>
      <c r="AK135" s="221"/>
      <c r="AL135" s="221"/>
      <c r="AM135" s="221"/>
      <c r="AN135" s="221"/>
      <c r="AO135" s="221"/>
      <c r="AP135" s="221"/>
      <c r="AQ135" s="182"/>
      <c r="AR135" s="182"/>
      <c r="AS135" s="182"/>
      <c r="AT135" s="182"/>
      <c r="AU135" s="221" t="str">
        <f t="shared" si="122"/>
        <v/>
      </c>
      <c r="AV135" s="221" t="str">
        <f t="shared" si="123"/>
        <v/>
      </c>
      <c r="AW135" s="221"/>
      <c r="AX135" s="221"/>
      <c r="AY135" s="221"/>
      <c r="AZ135" s="221"/>
      <c r="BA135" s="221"/>
      <c r="BB135" s="221"/>
      <c r="BC135" s="221"/>
      <c r="BD135" s="221"/>
      <c r="BE135" s="221"/>
      <c r="BF135" s="468">
        <f t="shared" si="124"/>
        <v>0</v>
      </c>
      <c r="BG135" s="315">
        <f t="shared" si="125"/>
        <v>0</v>
      </c>
      <c r="BH135" s="315" t="str">
        <f t="shared" si="126"/>
        <v/>
      </c>
      <c r="BI135" s="182"/>
      <c r="BJ135" s="182"/>
      <c r="BK135" s="182"/>
      <c r="BL135" s="221"/>
      <c r="BM135" s="221"/>
      <c r="BN135" s="221"/>
      <c r="BO135" s="221"/>
      <c r="BP135" s="221"/>
      <c r="BQ135" s="221"/>
      <c r="BR135" s="221"/>
      <c r="BS135" s="221"/>
      <c r="BT135" s="221"/>
      <c r="BU135" s="182"/>
      <c r="BV135" s="182"/>
      <c r="BW135" s="182"/>
      <c r="BX135" s="182"/>
      <c r="BY135" s="221" t="str">
        <f t="shared" si="127"/>
        <v/>
      </c>
      <c r="BZ135" s="221" t="str">
        <f t="shared" si="128"/>
        <v/>
      </c>
      <c r="CA135" s="221"/>
      <c r="CB135" s="221"/>
      <c r="CC135" s="221"/>
      <c r="CD135" s="221"/>
      <c r="CE135" s="221"/>
      <c r="CF135" s="221"/>
      <c r="CG135" s="221"/>
      <c r="CH135" s="221"/>
      <c r="CI135" s="221"/>
      <c r="CJ135" s="468">
        <f t="shared" si="129"/>
        <v>0</v>
      </c>
      <c r="CK135" s="315">
        <f t="shared" si="130"/>
        <v>0</v>
      </c>
      <c r="CL135" s="315" t="str">
        <f t="shared" si="131"/>
        <v/>
      </c>
      <c r="CM135" s="182"/>
      <c r="CN135" s="182"/>
      <c r="CO135" s="182"/>
      <c r="CP135" s="221"/>
      <c r="CQ135" s="221"/>
      <c r="CR135" s="221"/>
      <c r="CS135" s="221"/>
      <c r="CT135" s="221"/>
      <c r="CU135" s="221"/>
      <c r="CV135" s="221"/>
      <c r="CW135" s="221"/>
      <c r="CX135" s="221"/>
      <c r="CY135" s="221"/>
      <c r="CZ135" s="182"/>
      <c r="DA135" s="182"/>
      <c r="DB135" s="182"/>
      <c r="DC135" s="182"/>
      <c r="DD135" s="221" t="str">
        <f t="shared" si="117"/>
        <v/>
      </c>
      <c r="DE135" s="221" t="str">
        <f t="shared" si="118"/>
        <v/>
      </c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469" t="str">
        <f t="shared" si="132"/>
        <v/>
      </c>
      <c r="DP135" s="315">
        <f t="shared" si="133"/>
        <v>0</v>
      </c>
      <c r="DQ135" s="315" t="str">
        <f t="shared" si="134"/>
        <v/>
      </c>
      <c r="DR135" s="182"/>
      <c r="DS135" s="182"/>
      <c r="DT135" s="182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182"/>
      <c r="EE135" s="182"/>
      <c r="EF135" s="182"/>
      <c r="EG135" s="182"/>
      <c r="EH135" s="221" t="str">
        <f t="shared" si="135"/>
        <v/>
      </c>
      <c r="EI135" s="221" t="str">
        <f t="shared" si="136"/>
        <v/>
      </c>
      <c r="EJ135" s="221"/>
      <c r="EK135" s="221"/>
      <c r="EL135" s="221"/>
      <c r="EM135" s="221"/>
      <c r="EN135" s="221"/>
      <c r="EO135" s="221"/>
      <c r="EP135" s="221"/>
      <c r="EQ135" s="221"/>
      <c r="ER135" s="221"/>
      <c r="ES135" s="221"/>
      <c r="ET135" s="221"/>
      <c r="EU135" s="315">
        <f t="shared" si="137"/>
        <v>0</v>
      </c>
      <c r="EV135" s="315" t="str">
        <f t="shared" si="138"/>
        <v/>
      </c>
      <c r="EW135" s="182"/>
      <c r="EX135" s="182"/>
      <c r="EY135" s="182"/>
      <c r="EZ135" s="221"/>
      <c r="FA135" s="221"/>
      <c r="FB135" s="221"/>
      <c r="FC135" s="221"/>
      <c r="FD135" s="221"/>
      <c r="FE135" s="221"/>
      <c r="FF135" s="221"/>
      <c r="FG135" s="221"/>
      <c r="FH135" s="221"/>
      <c r="FI135" s="182"/>
      <c r="FJ135" s="182"/>
      <c r="FK135" s="182"/>
      <c r="FL135" s="182"/>
      <c r="FM135" s="221" t="str">
        <f t="shared" si="139"/>
        <v/>
      </c>
      <c r="FN135" s="221" t="str">
        <f t="shared" si="140"/>
        <v/>
      </c>
      <c r="FO135" s="221"/>
      <c r="FP135" s="221"/>
      <c r="FQ135" s="221"/>
      <c r="FR135" s="221"/>
      <c r="FS135" s="221"/>
      <c r="FT135" s="221"/>
      <c r="FU135" s="221"/>
      <c r="FV135" s="221"/>
      <c r="FW135" s="221"/>
      <c r="FX135" s="221"/>
      <c r="FY135" s="221"/>
      <c r="FZ135" s="408"/>
      <c r="GA135" s="315">
        <f t="shared" si="141"/>
        <v>0</v>
      </c>
      <c r="GB135" s="315" t="str">
        <f t="shared" si="142"/>
        <v/>
      </c>
      <c r="GC135" s="302" t="s">
        <v>160</v>
      </c>
      <c r="GG135" s="460"/>
      <c r="GH135" s="460"/>
      <c r="GU135" s="469"/>
      <c r="GV135" s="470" t="str">
        <f t="shared" si="143"/>
        <v/>
      </c>
      <c r="GW135" s="302">
        <f t="shared" si="144"/>
        <v>0</v>
      </c>
      <c r="HA135" s="654"/>
      <c r="HD135" s="379"/>
      <c r="HE135" s="380"/>
      <c r="HH135" s="383"/>
      <c r="HI135" s="410"/>
      <c r="HJ135" s="302" t="str">
        <f t="shared" si="119"/>
        <v/>
      </c>
      <c r="HN135" s="380"/>
      <c r="HO135" s="302" t="str">
        <f t="shared" si="146"/>
        <v/>
      </c>
      <c r="HP135" s="302" t="str">
        <f t="shared" si="147"/>
        <v/>
      </c>
      <c r="HQ135" s="302" t="str">
        <f t="shared" si="148"/>
        <v/>
      </c>
      <c r="IT135" s="410"/>
      <c r="IU135" s="410"/>
      <c r="IV135" s="635"/>
    </row>
    <row r="136" spans="1:256" s="302" customFormat="1" ht="12.75" hidden="1" customHeight="1">
      <c r="A136" s="397" t="str">
        <f t="shared" si="145"/>
        <v/>
      </c>
      <c r="B136" s="462" t="str">
        <f t="shared" ref="B136:B199" si="149">IF(D136="","",B135+1)</f>
        <v/>
      </c>
      <c r="C136" s="426"/>
      <c r="D136" s="575"/>
      <c r="E136" s="463"/>
      <c r="F136" s="464"/>
      <c r="G136" s="465"/>
      <c r="H136" s="465"/>
      <c r="I136" s="466"/>
      <c r="J136" s="463"/>
      <c r="K136" s="465"/>
      <c r="L136" s="465"/>
      <c r="M136" s="466"/>
      <c r="N136" s="573"/>
      <c r="O136" s="467"/>
      <c r="P136" s="518"/>
      <c r="Q136" s="381"/>
      <c r="R136" s="182"/>
      <c r="S136" s="182"/>
      <c r="T136" s="182"/>
      <c r="U136" s="182"/>
      <c r="V136" s="182"/>
      <c r="W136" s="182"/>
      <c r="X136" s="182"/>
      <c r="Y136" s="182"/>
      <c r="Z136" s="182"/>
      <c r="AA136" s="382"/>
      <c r="AB136" s="182" t="str">
        <f t="shared" si="120"/>
        <v/>
      </c>
      <c r="AC136" s="315">
        <f t="shared" si="121"/>
        <v>0</v>
      </c>
      <c r="AD136" s="315" t="str">
        <f t="shared" ref="AD136:AD199" si="150">IF(AE136&lt;&gt;"",ROW(AE136)-3,"")</f>
        <v/>
      </c>
      <c r="AE136" s="182"/>
      <c r="AF136" s="182"/>
      <c r="AG136" s="182"/>
      <c r="AH136" s="221"/>
      <c r="AI136" s="221"/>
      <c r="AJ136" s="221"/>
      <c r="AK136" s="221"/>
      <c r="AL136" s="221"/>
      <c r="AM136" s="221"/>
      <c r="AN136" s="221"/>
      <c r="AO136" s="221"/>
      <c r="AP136" s="221"/>
      <c r="AQ136" s="182"/>
      <c r="AR136" s="182"/>
      <c r="AS136" s="182"/>
      <c r="AT136" s="182"/>
      <c r="AU136" s="221" t="str">
        <f t="shared" si="122"/>
        <v/>
      </c>
      <c r="AV136" s="221" t="str">
        <f t="shared" si="123"/>
        <v/>
      </c>
      <c r="AW136" s="221"/>
      <c r="AX136" s="221"/>
      <c r="AY136" s="221"/>
      <c r="AZ136" s="221"/>
      <c r="BA136" s="221"/>
      <c r="BB136" s="221"/>
      <c r="BC136" s="221"/>
      <c r="BD136" s="221"/>
      <c r="BE136" s="221"/>
      <c r="BF136" s="468">
        <f t="shared" si="124"/>
        <v>0</v>
      </c>
      <c r="BG136" s="315">
        <f t="shared" si="125"/>
        <v>0</v>
      </c>
      <c r="BH136" s="315" t="str">
        <f t="shared" si="126"/>
        <v/>
      </c>
      <c r="BI136" s="182"/>
      <c r="BJ136" s="182"/>
      <c r="BK136" s="182"/>
      <c r="BL136" s="221"/>
      <c r="BM136" s="221"/>
      <c r="BN136" s="221"/>
      <c r="BO136" s="221"/>
      <c r="BP136" s="221"/>
      <c r="BQ136" s="221"/>
      <c r="BR136" s="221"/>
      <c r="BS136" s="221"/>
      <c r="BT136" s="221"/>
      <c r="BU136" s="182"/>
      <c r="BV136" s="182"/>
      <c r="BW136" s="182"/>
      <c r="BX136" s="182"/>
      <c r="BY136" s="221" t="str">
        <f t="shared" si="127"/>
        <v/>
      </c>
      <c r="BZ136" s="221" t="str">
        <f t="shared" si="128"/>
        <v/>
      </c>
      <c r="CA136" s="221"/>
      <c r="CB136" s="221"/>
      <c r="CC136" s="221"/>
      <c r="CD136" s="221"/>
      <c r="CE136" s="221"/>
      <c r="CF136" s="221"/>
      <c r="CG136" s="221"/>
      <c r="CH136" s="221"/>
      <c r="CI136" s="221"/>
      <c r="CJ136" s="468">
        <f t="shared" si="129"/>
        <v>0</v>
      </c>
      <c r="CK136" s="315">
        <f t="shared" si="130"/>
        <v>0</v>
      </c>
      <c r="CL136" s="315" t="str">
        <f t="shared" si="131"/>
        <v/>
      </c>
      <c r="CM136" s="182"/>
      <c r="CN136" s="182"/>
      <c r="CO136" s="182"/>
      <c r="CP136" s="221"/>
      <c r="CQ136" s="221"/>
      <c r="CR136" s="221"/>
      <c r="CS136" s="221"/>
      <c r="CT136" s="221"/>
      <c r="CU136" s="221"/>
      <c r="CV136" s="221"/>
      <c r="CW136" s="221"/>
      <c r="CX136" s="221"/>
      <c r="CY136" s="221"/>
      <c r="CZ136" s="182"/>
      <c r="DA136" s="182"/>
      <c r="DB136" s="182"/>
      <c r="DC136" s="182"/>
      <c r="DD136" s="221" t="str">
        <f t="shared" ref="DD136:DD199" si="151">IF(SUM(CP136:CR136)=0,"",SUM(CP136:CR136))</f>
        <v/>
      </c>
      <c r="DE136" s="221" t="str">
        <f t="shared" ref="DE136:DE199" si="152">IF(B136="","",IF(SUM(CU136:CV136)=0,0,SUM(CU136:CV136)))</f>
        <v/>
      </c>
      <c r="DF136" s="221"/>
      <c r="DG136" s="221"/>
      <c r="DH136" s="221"/>
      <c r="DI136" s="221"/>
      <c r="DJ136" s="221"/>
      <c r="DK136" s="221"/>
      <c r="DL136" s="221"/>
      <c r="DM136" s="221"/>
      <c r="DN136" s="221"/>
      <c r="DO136" s="469" t="str">
        <f t="shared" si="132"/>
        <v/>
      </c>
      <c r="DP136" s="315">
        <f t="shared" si="133"/>
        <v>0</v>
      </c>
      <c r="DQ136" s="315" t="str">
        <f t="shared" si="134"/>
        <v/>
      </c>
      <c r="DR136" s="182"/>
      <c r="DS136" s="182"/>
      <c r="DT136" s="182"/>
      <c r="DU136" s="221"/>
      <c r="DV136" s="221"/>
      <c r="DW136" s="221"/>
      <c r="DX136" s="221"/>
      <c r="DY136" s="221"/>
      <c r="DZ136" s="221"/>
      <c r="EA136" s="221"/>
      <c r="EB136" s="221"/>
      <c r="EC136" s="221"/>
      <c r="ED136" s="182"/>
      <c r="EE136" s="182"/>
      <c r="EF136" s="182"/>
      <c r="EG136" s="182"/>
      <c r="EH136" s="221" t="str">
        <f t="shared" si="135"/>
        <v/>
      </c>
      <c r="EI136" s="221" t="str">
        <f t="shared" si="136"/>
        <v/>
      </c>
      <c r="EJ136" s="221"/>
      <c r="EK136" s="221"/>
      <c r="EL136" s="221"/>
      <c r="EM136" s="221"/>
      <c r="EN136" s="221"/>
      <c r="EO136" s="221"/>
      <c r="EP136" s="221"/>
      <c r="EQ136" s="221"/>
      <c r="ER136" s="221"/>
      <c r="ES136" s="221"/>
      <c r="ET136" s="221"/>
      <c r="EU136" s="315">
        <f t="shared" si="137"/>
        <v>0</v>
      </c>
      <c r="EV136" s="315" t="str">
        <f t="shared" si="138"/>
        <v/>
      </c>
      <c r="EW136" s="182"/>
      <c r="EX136" s="182"/>
      <c r="EY136" s="182"/>
      <c r="EZ136" s="221"/>
      <c r="FA136" s="221"/>
      <c r="FB136" s="221"/>
      <c r="FC136" s="221"/>
      <c r="FD136" s="221"/>
      <c r="FE136" s="221"/>
      <c r="FF136" s="221"/>
      <c r="FG136" s="221"/>
      <c r="FH136" s="221"/>
      <c r="FI136" s="182"/>
      <c r="FJ136" s="182"/>
      <c r="FK136" s="182"/>
      <c r="FL136" s="182"/>
      <c r="FM136" s="221" t="str">
        <f t="shared" si="139"/>
        <v/>
      </c>
      <c r="FN136" s="221" t="str">
        <f t="shared" si="140"/>
        <v/>
      </c>
      <c r="FO136" s="221"/>
      <c r="FP136" s="221"/>
      <c r="FQ136" s="221"/>
      <c r="FR136" s="221"/>
      <c r="FS136" s="221"/>
      <c r="FT136" s="221"/>
      <c r="FU136" s="221"/>
      <c r="FV136" s="221"/>
      <c r="FW136" s="221"/>
      <c r="FX136" s="221"/>
      <c r="FY136" s="221"/>
      <c r="FZ136" s="408"/>
      <c r="GA136" s="315">
        <f t="shared" si="141"/>
        <v>0</v>
      </c>
      <c r="GB136" s="315" t="str">
        <f t="shared" si="142"/>
        <v/>
      </c>
      <c r="GC136" s="182" t="s">
        <v>160</v>
      </c>
      <c r="GD136" s="182"/>
      <c r="GE136" s="182"/>
      <c r="GG136" s="460"/>
      <c r="GH136" s="460"/>
      <c r="GU136" s="469"/>
      <c r="GV136" s="470" t="str">
        <f t="shared" si="143"/>
        <v/>
      </c>
      <c r="GW136" s="302">
        <f t="shared" si="144"/>
        <v>0</v>
      </c>
      <c r="HA136" s="654"/>
      <c r="HD136" s="379"/>
      <c r="HE136" s="380"/>
      <c r="HH136" s="383"/>
      <c r="HI136" s="410"/>
      <c r="HJ136" s="302" t="str">
        <f t="shared" ref="HJ136:HJ199" si="153">IF(HH136="","",MID(HH136,1,15))</f>
        <v/>
      </c>
      <c r="HO136" s="302" t="str">
        <f t="shared" si="146"/>
        <v/>
      </c>
      <c r="HP136" s="302" t="str">
        <f t="shared" si="147"/>
        <v/>
      </c>
      <c r="HQ136" s="302" t="str">
        <f t="shared" si="148"/>
        <v/>
      </c>
      <c r="IT136" s="410"/>
      <c r="IU136" s="410"/>
      <c r="IV136" s="635"/>
    </row>
    <row r="137" spans="1:256" s="302" customFormat="1" ht="12.75" hidden="1" customHeight="1">
      <c r="A137" s="397" t="str">
        <f t="shared" si="145"/>
        <v/>
      </c>
      <c r="B137" s="462" t="str">
        <f t="shared" si="149"/>
        <v/>
      </c>
      <c r="C137" s="426"/>
      <c r="D137" s="575"/>
      <c r="E137" s="463"/>
      <c r="F137" s="464"/>
      <c r="G137" s="465"/>
      <c r="H137" s="465"/>
      <c r="I137" s="466"/>
      <c r="J137" s="463"/>
      <c r="K137" s="465"/>
      <c r="L137" s="465"/>
      <c r="M137" s="466"/>
      <c r="N137" s="573"/>
      <c r="O137" s="467"/>
      <c r="P137" s="518"/>
      <c r="Q137" s="381"/>
      <c r="R137" s="182"/>
      <c r="S137" s="182"/>
      <c r="T137" s="182"/>
      <c r="U137" s="182"/>
      <c r="V137" s="182"/>
      <c r="W137" s="182"/>
      <c r="X137" s="182"/>
      <c r="Y137" s="182"/>
      <c r="Z137" s="182"/>
      <c r="AA137" s="384"/>
      <c r="AB137" s="182" t="str">
        <f t="shared" ref="AB137:AB200" si="154">IF(C137="","",IF(AND(F137=0,K137=0),"X",(F137+K137)))</f>
        <v/>
      </c>
      <c r="AC137" s="315">
        <f t="shared" ref="AC137:AC200" si="155">IF(AE137&lt;&gt;"",1,0)</f>
        <v>0</v>
      </c>
      <c r="AD137" s="315" t="str">
        <f t="shared" si="150"/>
        <v/>
      </c>
      <c r="AE137" s="182"/>
      <c r="AF137" s="182"/>
      <c r="AG137" s="182"/>
      <c r="AH137" s="221"/>
      <c r="AI137" s="221"/>
      <c r="AJ137" s="221"/>
      <c r="AK137" s="221"/>
      <c r="AL137" s="221"/>
      <c r="AM137" s="221"/>
      <c r="AN137" s="221"/>
      <c r="AO137" s="221"/>
      <c r="AP137" s="221"/>
      <c r="AQ137" s="182"/>
      <c r="AR137" s="182"/>
      <c r="AS137" s="182"/>
      <c r="AT137" s="182"/>
      <c r="AU137" s="221" t="str">
        <f t="shared" ref="AU137:AU200" si="156">IF(SUM(AH137:AJ137)=0,"",SUM(AH137:AJ137))</f>
        <v/>
      </c>
      <c r="AV137" s="221" t="str">
        <f t="shared" ref="AV137:AV200" si="157">IF(SUM(AM137:AN137)=0,"",SUM(AM137:AN137))</f>
        <v/>
      </c>
      <c r="AW137" s="221"/>
      <c r="AX137" s="221"/>
      <c r="AY137" s="221"/>
      <c r="AZ137" s="221"/>
      <c r="BA137" s="221"/>
      <c r="BB137" s="221"/>
      <c r="BC137" s="221"/>
      <c r="BD137" s="221"/>
      <c r="BE137" s="221"/>
      <c r="BF137" s="469">
        <f t="shared" ref="BF137:BF200" si="158">IF(OR($P137=2,$P137=1),0,IF(OR($P137=3,$P137=""),IX137))</f>
        <v>0</v>
      </c>
      <c r="BG137" s="315">
        <f t="shared" ref="BG137:BG200" si="159">IF(BI137&lt;&gt;"",1,0)</f>
        <v>0</v>
      </c>
      <c r="BH137" s="315" t="str">
        <f t="shared" ref="BH137:BH200" si="160">IF(BI137&lt;&gt;"",ROW(BI137)-3,"")</f>
        <v/>
      </c>
      <c r="BI137" s="182"/>
      <c r="BJ137" s="182"/>
      <c r="BK137" s="182"/>
      <c r="BL137" s="221"/>
      <c r="BM137" s="221"/>
      <c r="BN137" s="221"/>
      <c r="BO137" s="221"/>
      <c r="BP137" s="221"/>
      <c r="BQ137" s="221"/>
      <c r="BR137" s="221"/>
      <c r="BS137" s="221"/>
      <c r="BT137" s="221"/>
      <c r="BU137" s="182"/>
      <c r="BV137" s="182"/>
      <c r="BW137" s="182"/>
      <c r="BX137" s="182"/>
      <c r="BY137" s="221" t="str">
        <f t="shared" ref="BY137:BY200" si="161">IF(SUM(BL137:BN137)=0,"",SUM(BL137:BN137))</f>
        <v/>
      </c>
      <c r="BZ137" s="221" t="str">
        <f t="shared" ref="BZ137:BZ200" si="162">IF(SUM(BQ137:BR137)=0,"",SUM(BQ137:BR137))</f>
        <v/>
      </c>
      <c r="CA137" s="221"/>
      <c r="CB137" s="221"/>
      <c r="CC137" s="221"/>
      <c r="CD137" s="221"/>
      <c r="CE137" s="221"/>
      <c r="CF137" s="221"/>
      <c r="CG137" s="221"/>
      <c r="CH137" s="221"/>
      <c r="CI137" s="221"/>
      <c r="CJ137" s="469">
        <f t="shared" ref="CJ137:CJ200" si="163">IF(OR($P137=2,$P137=1),0,IF(OR($P137=3,$P137=""),IY137))</f>
        <v>0</v>
      </c>
      <c r="CK137" s="315">
        <f t="shared" ref="CK137:CK200" si="164">IF(CM137&lt;&gt;"",1,0)</f>
        <v>0</v>
      </c>
      <c r="CL137" s="315" t="str">
        <f t="shared" ref="CL137:CL200" si="165">IF(CM137&lt;&gt;"",ROW(CM137)-3,"")</f>
        <v/>
      </c>
      <c r="CM137" s="182"/>
      <c r="CN137" s="182"/>
      <c r="CO137" s="182"/>
      <c r="CP137" s="221"/>
      <c r="CQ137" s="221"/>
      <c r="CR137" s="221"/>
      <c r="CS137" s="221"/>
      <c r="CT137" s="221"/>
      <c r="CU137" s="221"/>
      <c r="CV137" s="221"/>
      <c r="CW137" s="221"/>
      <c r="CX137" s="221"/>
      <c r="CY137" s="221"/>
      <c r="CZ137" s="182"/>
      <c r="DA137" s="182"/>
      <c r="DB137" s="182"/>
      <c r="DC137" s="182"/>
      <c r="DD137" s="221" t="str">
        <f t="shared" si="151"/>
        <v/>
      </c>
      <c r="DE137" s="221" t="str">
        <f t="shared" si="152"/>
        <v/>
      </c>
      <c r="DF137" s="221"/>
      <c r="DG137" s="221"/>
      <c r="DH137" s="221"/>
      <c r="DI137" s="221"/>
      <c r="DJ137" s="221"/>
      <c r="DK137" s="221"/>
      <c r="DL137" s="221"/>
      <c r="DM137" s="221"/>
      <c r="DN137" s="221"/>
      <c r="DO137" s="469" t="str">
        <f t="shared" ref="DO137:DO200" si="166">IF(AND(BF137=0,CJ137=0),"",IF(AND(BF137=0,CJ137=""),"",IF(AND(BF137="",CJ137=""),"",SUM(BF137,CJ137))))</f>
        <v/>
      </c>
      <c r="DP137" s="315">
        <f t="shared" ref="DP137:DP200" si="167">IF(DR137&lt;&gt;"",1,0)</f>
        <v>0</v>
      </c>
      <c r="DQ137" s="315" t="str">
        <f t="shared" ref="DQ137:DQ200" si="168">IF(DR137&lt;&gt;"",ROW(DR137)-3,"")</f>
        <v/>
      </c>
      <c r="DR137" s="182"/>
      <c r="DS137" s="182"/>
      <c r="DT137" s="182"/>
      <c r="DU137" s="221"/>
      <c r="DV137" s="221"/>
      <c r="DW137" s="221"/>
      <c r="DX137" s="221"/>
      <c r="DY137" s="221"/>
      <c r="DZ137" s="221"/>
      <c r="EA137" s="221"/>
      <c r="EB137" s="221"/>
      <c r="EC137" s="221"/>
      <c r="ED137" s="182"/>
      <c r="EE137" s="182"/>
      <c r="EF137" s="182"/>
      <c r="EG137" s="182"/>
      <c r="EH137" s="221" t="str">
        <f t="shared" ref="EH137:EH200" si="169">IF(SUM(DU137:DW137)=0,"",SUM(DU137:DW137))</f>
        <v/>
      </c>
      <c r="EI137" s="221" t="str">
        <f t="shared" ref="EI137:EI200" si="170">IF(SUM(DZ137:EA137)=0,"",SUM(DZ137:EA137))</f>
        <v/>
      </c>
      <c r="EJ137" s="221"/>
      <c r="EK137" s="221"/>
      <c r="EL137" s="221"/>
      <c r="EM137" s="221"/>
      <c r="EN137" s="221"/>
      <c r="EO137" s="221"/>
      <c r="EP137" s="221"/>
      <c r="EQ137" s="221"/>
      <c r="ER137" s="221"/>
      <c r="ES137" s="221"/>
      <c r="ET137" s="221"/>
      <c r="EU137" s="315">
        <f t="shared" ref="EU137:EU200" si="171">IF(EW137&lt;&gt;"",1,0)</f>
        <v>0</v>
      </c>
      <c r="EV137" s="315" t="str">
        <f t="shared" ref="EV137:EV200" si="172">IF(EW137&lt;&gt;"",ROW(EW137)-3,"")</f>
        <v/>
      </c>
      <c r="EW137" s="182"/>
      <c r="EX137" s="182"/>
      <c r="EY137" s="182"/>
      <c r="EZ137" s="221"/>
      <c r="FA137" s="221"/>
      <c r="FB137" s="221"/>
      <c r="FC137" s="221"/>
      <c r="FD137" s="221"/>
      <c r="FE137" s="221"/>
      <c r="FF137" s="221"/>
      <c r="FG137" s="221"/>
      <c r="FH137" s="221"/>
      <c r="FI137" s="182"/>
      <c r="FJ137" s="182"/>
      <c r="FK137" s="182"/>
      <c r="FL137" s="182"/>
      <c r="FM137" s="221" t="str">
        <f t="shared" ref="FM137:FM200" si="173">IF(SUM(EZ137:FB137)=0,"",SUM(EZ137:FB137))</f>
        <v/>
      </c>
      <c r="FN137" s="221" t="str">
        <f t="shared" ref="FN137:FN200" si="174">IF(AND(FE137="",FF137=""),"",SUM(FE137:FF137))</f>
        <v/>
      </c>
      <c r="FO137" s="221"/>
      <c r="FP137" s="221"/>
      <c r="FQ137" s="221"/>
      <c r="FR137" s="221"/>
      <c r="FS137" s="221"/>
      <c r="FT137" s="221"/>
      <c r="FU137" s="221"/>
      <c r="FV137" s="221"/>
      <c r="FW137" s="221"/>
      <c r="FX137" s="221"/>
      <c r="FY137" s="221"/>
      <c r="FZ137" s="408"/>
      <c r="GA137" s="315">
        <f t="shared" ref="GA137:GA200" si="175">IF(GC137&lt;&gt;"",1,0)</f>
        <v>0</v>
      </c>
      <c r="GB137" s="315" t="str">
        <f t="shared" ref="GB137:GB200" si="176">IF(GC137&lt;&gt;"",ROW(GC137)-3,"")</f>
        <v/>
      </c>
      <c r="GC137" s="182" t="s">
        <v>160</v>
      </c>
      <c r="GD137" s="182"/>
      <c r="GE137" s="182"/>
      <c r="GG137" s="460"/>
      <c r="GH137" s="460"/>
      <c r="GU137" s="469"/>
      <c r="GV137" s="470" t="str">
        <f t="shared" ref="GV137:GV200" si="177">IF(L137="","",IF(OR(SUM(GU137,FZ137,GW137)=L137,SUM(L137,FZ137,GW137)=GU137),"OK",IF(SUM(GU137,FZ137,GW137)&lt;&gt;L137,"STOP")))</f>
        <v/>
      </c>
      <c r="GW137" s="302">
        <f t="shared" ref="GW137:GW200" si="178">IF(CJ137="",0,CJ137)</f>
        <v>0</v>
      </c>
      <c r="HA137" s="654"/>
      <c r="HD137" s="379"/>
      <c r="HE137" s="380"/>
      <c r="HH137" s="385"/>
      <c r="HI137" s="411"/>
      <c r="HJ137" s="302" t="str">
        <f t="shared" si="153"/>
        <v/>
      </c>
      <c r="HO137" s="302" t="str">
        <f t="shared" si="146"/>
        <v/>
      </c>
      <c r="HP137" s="302" t="str">
        <f t="shared" si="147"/>
        <v/>
      </c>
      <c r="HQ137" s="302" t="str">
        <f t="shared" si="148"/>
        <v/>
      </c>
      <c r="IT137" s="411"/>
      <c r="IU137" s="411"/>
      <c r="IV137" s="635"/>
    </row>
    <row r="138" spans="1:256" s="302" customFormat="1" ht="12.75" hidden="1" customHeight="1">
      <c r="A138" s="397" t="str">
        <f t="shared" si="145"/>
        <v/>
      </c>
      <c r="B138" s="462" t="str">
        <f t="shared" si="149"/>
        <v/>
      </c>
      <c r="C138" s="426"/>
      <c r="D138" s="575"/>
      <c r="E138" s="463"/>
      <c r="F138" s="464"/>
      <c r="G138" s="465"/>
      <c r="H138" s="465"/>
      <c r="I138" s="466"/>
      <c r="J138" s="463"/>
      <c r="K138" s="465"/>
      <c r="L138" s="465"/>
      <c r="M138" s="466"/>
      <c r="N138" s="573"/>
      <c r="O138" s="467"/>
      <c r="P138" s="518"/>
      <c r="Q138" s="381"/>
      <c r="R138" s="182"/>
      <c r="S138" s="182"/>
      <c r="T138" s="182"/>
      <c r="U138" s="182"/>
      <c r="V138" s="182"/>
      <c r="W138" s="182"/>
      <c r="X138" s="182"/>
      <c r="Y138" s="182"/>
      <c r="Z138" s="182"/>
      <c r="AA138" s="382"/>
      <c r="AB138" s="182" t="str">
        <f t="shared" si="154"/>
        <v/>
      </c>
      <c r="AC138" s="315">
        <f t="shared" si="155"/>
        <v>0</v>
      </c>
      <c r="AD138" s="315" t="str">
        <f t="shared" si="150"/>
        <v/>
      </c>
      <c r="AE138" s="182"/>
      <c r="AF138" s="182"/>
      <c r="AG138" s="182"/>
      <c r="AH138" s="221"/>
      <c r="AI138" s="221"/>
      <c r="AJ138" s="221"/>
      <c r="AK138" s="221"/>
      <c r="AL138" s="221"/>
      <c r="AM138" s="221"/>
      <c r="AN138" s="221"/>
      <c r="AO138" s="221"/>
      <c r="AP138" s="221"/>
      <c r="AQ138" s="182"/>
      <c r="AR138" s="182"/>
      <c r="AS138" s="182"/>
      <c r="AT138" s="182"/>
      <c r="AU138" s="221" t="str">
        <f t="shared" si="156"/>
        <v/>
      </c>
      <c r="AV138" s="221" t="str">
        <f t="shared" si="157"/>
        <v/>
      </c>
      <c r="AW138" s="221"/>
      <c r="AX138" s="221"/>
      <c r="AY138" s="221"/>
      <c r="AZ138" s="221"/>
      <c r="BA138" s="221"/>
      <c r="BB138" s="221"/>
      <c r="BC138" s="221"/>
      <c r="BD138" s="221"/>
      <c r="BE138" s="221"/>
      <c r="BF138" s="468">
        <f t="shared" si="158"/>
        <v>0</v>
      </c>
      <c r="BG138" s="315">
        <f t="shared" si="159"/>
        <v>0</v>
      </c>
      <c r="BH138" s="315" t="str">
        <f t="shared" si="160"/>
        <v/>
      </c>
      <c r="BI138" s="182"/>
      <c r="BJ138" s="182"/>
      <c r="BK138" s="182"/>
      <c r="BL138" s="221"/>
      <c r="BM138" s="221"/>
      <c r="BN138" s="221"/>
      <c r="BO138" s="221"/>
      <c r="BP138" s="221"/>
      <c r="BQ138" s="221"/>
      <c r="BR138" s="221"/>
      <c r="BS138" s="221"/>
      <c r="BT138" s="221"/>
      <c r="BU138" s="182"/>
      <c r="BV138" s="182"/>
      <c r="BW138" s="182"/>
      <c r="BX138" s="182"/>
      <c r="BY138" s="221" t="str">
        <f t="shared" si="161"/>
        <v/>
      </c>
      <c r="BZ138" s="221" t="str">
        <f t="shared" si="162"/>
        <v/>
      </c>
      <c r="CA138" s="221"/>
      <c r="CB138" s="221"/>
      <c r="CC138" s="221"/>
      <c r="CD138" s="221"/>
      <c r="CE138" s="221"/>
      <c r="CF138" s="221"/>
      <c r="CG138" s="221"/>
      <c r="CH138" s="221"/>
      <c r="CI138" s="221"/>
      <c r="CJ138" s="468">
        <f t="shared" si="163"/>
        <v>0</v>
      </c>
      <c r="CK138" s="315">
        <f t="shared" si="164"/>
        <v>0</v>
      </c>
      <c r="CL138" s="315" t="str">
        <f t="shared" si="165"/>
        <v/>
      </c>
      <c r="CM138" s="182"/>
      <c r="CN138" s="182"/>
      <c r="CO138" s="182"/>
      <c r="CP138" s="221"/>
      <c r="CQ138" s="221"/>
      <c r="CR138" s="221"/>
      <c r="CS138" s="221"/>
      <c r="CT138" s="221"/>
      <c r="CU138" s="221"/>
      <c r="CV138" s="221"/>
      <c r="CW138" s="221"/>
      <c r="CX138" s="221"/>
      <c r="CY138" s="221"/>
      <c r="CZ138" s="182"/>
      <c r="DA138" s="182"/>
      <c r="DB138" s="182"/>
      <c r="DC138" s="182"/>
      <c r="DD138" s="221" t="str">
        <f t="shared" si="151"/>
        <v/>
      </c>
      <c r="DE138" s="221" t="str">
        <f t="shared" si="152"/>
        <v/>
      </c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469" t="str">
        <f t="shared" si="166"/>
        <v/>
      </c>
      <c r="DP138" s="315">
        <f t="shared" si="167"/>
        <v>0</v>
      </c>
      <c r="DQ138" s="315" t="str">
        <f t="shared" si="168"/>
        <v/>
      </c>
      <c r="DR138" s="182"/>
      <c r="DS138" s="182"/>
      <c r="DT138" s="182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182"/>
      <c r="EE138" s="182"/>
      <c r="EF138" s="182"/>
      <c r="EG138" s="182"/>
      <c r="EH138" s="221" t="str">
        <f t="shared" si="169"/>
        <v/>
      </c>
      <c r="EI138" s="221" t="str">
        <f t="shared" si="170"/>
        <v/>
      </c>
      <c r="EJ138" s="221"/>
      <c r="EK138" s="221"/>
      <c r="EL138" s="221"/>
      <c r="EM138" s="221"/>
      <c r="EN138" s="221"/>
      <c r="EO138" s="221"/>
      <c r="EP138" s="221"/>
      <c r="EQ138" s="221"/>
      <c r="ER138" s="221"/>
      <c r="ES138" s="221"/>
      <c r="ET138" s="221"/>
      <c r="EU138" s="315">
        <f t="shared" si="171"/>
        <v>0</v>
      </c>
      <c r="EV138" s="315" t="str">
        <f t="shared" si="172"/>
        <v/>
      </c>
      <c r="EW138" s="182"/>
      <c r="EX138" s="182"/>
      <c r="EY138" s="182"/>
      <c r="EZ138" s="221"/>
      <c r="FA138" s="221"/>
      <c r="FB138" s="221"/>
      <c r="FC138" s="221"/>
      <c r="FD138" s="221"/>
      <c r="FE138" s="221"/>
      <c r="FF138" s="221"/>
      <c r="FG138" s="221"/>
      <c r="FH138" s="221"/>
      <c r="FI138" s="182"/>
      <c r="FJ138" s="182"/>
      <c r="FK138" s="182"/>
      <c r="FL138" s="182"/>
      <c r="FM138" s="221" t="str">
        <f t="shared" si="173"/>
        <v/>
      </c>
      <c r="FN138" s="221" t="str">
        <f t="shared" si="174"/>
        <v/>
      </c>
      <c r="FO138" s="221"/>
      <c r="FP138" s="221"/>
      <c r="FQ138" s="221"/>
      <c r="FR138" s="221"/>
      <c r="FS138" s="221"/>
      <c r="FT138" s="221"/>
      <c r="FU138" s="221"/>
      <c r="FV138" s="221"/>
      <c r="FW138" s="221"/>
      <c r="FX138" s="221"/>
      <c r="FY138" s="221"/>
      <c r="FZ138" s="408"/>
      <c r="GA138" s="315">
        <f t="shared" si="175"/>
        <v>0</v>
      </c>
      <c r="GB138" s="315" t="str">
        <f t="shared" si="176"/>
        <v/>
      </c>
      <c r="GC138" s="182" t="s">
        <v>160</v>
      </c>
      <c r="GD138" s="182"/>
      <c r="GE138" s="182"/>
      <c r="GG138" s="460"/>
      <c r="GH138" s="460"/>
      <c r="GU138" s="469"/>
      <c r="GV138" s="470" t="str">
        <f t="shared" si="177"/>
        <v/>
      </c>
      <c r="GW138" s="302">
        <f t="shared" si="178"/>
        <v>0</v>
      </c>
      <c r="HA138" s="654"/>
      <c r="HD138" s="379"/>
      <c r="HE138" s="380"/>
      <c r="HH138" s="383"/>
      <c r="HI138" s="410"/>
      <c r="HJ138" s="302" t="str">
        <f t="shared" si="153"/>
        <v/>
      </c>
      <c r="HO138" s="302" t="str">
        <f t="shared" si="146"/>
        <v/>
      </c>
      <c r="HP138" s="302" t="str">
        <f t="shared" si="147"/>
        <v/>
      </c>
      <c r="HQ138" s="302" t="str">
        <f t="shared" si="148"/>
        <v/>
      </c>
      <c r="IT138" s="410"/>
      <c r="IU138" s="410"/>
      <c r="IV138" s="635"/>
    </row>
    <row r="139" spans="1:256" s="302" customFormat="1" ht="12.75" hidden="1" customHeight="1">
      <c r="A139" s="397" t="str">
        <f t="shared" si="145"/>
        <v/>
      </c>
      <c r="B139" s="462" t="str">
        <f t="shared" si="149"/>
        <v/>
      </c>
      <c r="C139" s="426"/>
      <c r="D139" s="575"/>
      <c r="E139" s="463"/>
      <c r="F139" s="464"/>
      <c r="G139" s="465"/>
      <c r="H139" s="465"/>
      <c r="I139" s="466"/>
      <c r="J139" s="463"/>
      <c r="K139" s="465"/>
      <c r="L139" s="465"/>
      <c r="M139" s="466"/>
      <c r="N139" s="573"/>
      <c r="O139" s="467"/>
      <c r="P139" s="518"/>
      <c r="Q139" s="381"/>
      <c r="R139" s="182"/>
      <c r="S139" s="182"/>
      <c r="T139" s="182"/>
      <c r="U139" s="182"/>
      <c r="V139" s="182"/>
      <c r="W139" s="182"/>
      <c r="X139" s="182"/>
      <c r="Y139" s="182"/>
      <c r="Z139" s="182"/>
      <c r="AA139" s="384"/>
      <c r="AB139" s="182" t="str">
        <f t="shared" si="154"/>
        <v/>
      </c>
      <c r="AC139" s="315">
        <f t="shared" si="155"/>
        <v>0</v>
      </c>
      <c r="AD139" s="315" t="str">
        <f t="shared" si="150"/>
        <v/>
      </c>
      <c r="AE139" s="182"/>
      <c r="AF139" s="182"/>
      <c r="AG139" s="182"/>
      <c r="AH139" s="221"/>
      <c r="AI139" s="221"/>
      <c r="AJ139" s="221"/>
      <c r="AK139" s="221"/>
      <c r="AL139" s="221"/>
      <c r="AM139" s="221"/>
      <c r="AN139" s="221"/>
      <c r="AO139" s="221"/>
      <c r="AP139" s="221"/>
      <c r="AQ139" s="182"/>
      <c r="AR139" s="182"/>
      <c r="AS139" s="182"/>
      <c r="AT139" s="182"/>
      <c r="AU139" s="221" t="str">
        <f t="shared" si="156"/>
        <v/>
      </c>
      <c r="AV139" s="221" t="str">
        <f t="shared" si="157"/>
        <v/>
      </c>
      <c r="AW139" s="221"/>
      <c r="AX139" s="221"/>
      <c r="AY139" s="221"/>
      <c r="AZ139" s="221"/>
      <c r="BA139" s="221"/>
      <c r="BB139" s="221"/>
      <c r="BC139" s="221"/>
      <c r="BD139" s="221"/>
      <c r="BE139" s="221"/>
      <c r="BF139" s="469">
        <f t="shared" si="158"/>
        <v>0</v>
      </c>
      <c r="BG139" s="315">
        <f t="shared" si="159"/>
        <v>0</v>
      </c>
      <c r="BH139" s="315" t="str">
        <f t="shared" si="160"/>
        <v/>
      </c>
      <c r="BI139" s="182"/>
      <c r="BJ139" s="182"/>
      <c r="BK139" s="182"/>
      <c r="BL139" s="221"/>
      <c r="BM139" s="221"/>
      <c r="BN139" s="221"/>
      <c r="BO139" s="221"/>
      <c r="BP139" s="221"/>
      <c r="BQ139" s="221"/>
      <c r="BR139" s="221"/>
      <c r="BS139" s="221"/>
      <c r="BT139" s="221"/>
      <c r="BU139" s="182"/>
      <c r="BV139" s="182"/>
      <c r="BW139" s="182"/>
      <c r="BX139" s="182"/>
      <c r="BY139" s="221" t="str">
        <f t="shared" si="161"/>
        <v/>
      </c>
      <c r="BZ139" s="221" t="str">
        <f t="shared" si="162"/>
        <v/>
      </c>
      <c r="CA139" s="221"/>
      <c r="CB139" s="221"/>
      <c r="CC139" s="221"/>
      <c r="CD139" s="221"/>
      <c r="CE139" s="221"/>
      <c r="CF139" s="221"/>
      <c r="CG139" s="221"/>
      <c r="CH139" s="221"/>
      <c r="CI139" s="221"/>
      <c r="CJ139" s="469">
        <f t="shared" si="163"/>
        <v>0</v>
      </c>
      <c r="CK139" s="315">
        <f t="shared" si="164"/>
        <v>0</v>
      </c>
      <c r="CL139" s="315" t="str">
        <f t="shared" si="165"/>
        <v/>
      </c>
      <c r="CM139" s="182"/>
      <c r="CN139" s="182"/>
      <c r="CO139" s="182"/>
      <c r="CP139" s="221"/>
      <c r="CQ139" s="221"/>
      <c r="CR139" s="221"/>
      <c r="CS139" s="221"/>
      <c r="CT139" s="221"/>
      <c r="CU139" s="221"/>
      <c r="CV139" s="221"/>
      <c r="CW139" s="221"/>
      <c r="CX139" s="221"/>
      <c r="CY139" s="221"/>
      <c r="CZ139" s="182"/>
      <c r="DA139" s="182"/>
      <c r="DB139" s="182"/>
      <c r="DC139" s="182"/>
      <c r="DD139" s="221" t="str">
        <f t="shared" si="151"/>
        <v/>
      </c>
      <c r="DE139" s="221" t="str">
        <f t="shared" si="152"/>
        <v/>
      </c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469" t="str">
        <f t="shared" si="166"/>
        <v/>
      </c>
      <c r="DP139" s="315">
        <f t="shared" si="167"/>
        <v>0</v>
      </c>
      <c r="DQ139" s="315" t="str">
        <f t="shared" si="168"/>
        <v/>
      </c>
      <c r="DR139" s="182"/>
      <c r="DS139" s="182"/>
      <c r="DT139" s="182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182"/>
      <c r="EE139" s="182"/>
      <c r="EF139" s="182"/>
      <c r="EG139" s="182"/>
      <c r="EH139" s="221" t="str">
        <f t="shared" si="169"/>
        <v/>
      </c>
      <c r="EI139" s="221" t="str">
        <f t="shared" si="170"/>
        <v/>
      </c>
      <c r="EJ139" s="221"/>
      <c r="EK139" s="221"/>
      <c r="EL139" s="221"/>
      <c r="EM139" s="221"/>
      <c r="EN139" s="221"/>
      <c r="EO139" s="221"/>
      <c r="EP139" s="221"/>
      <c r="EQ139" s="221"/>
      <c r="ER139" s="221"/>
      <c r="ES139" s="221"/>
      <c r="ET139" s="221"/>
      <c r="EU139" s="315">
        <f t="shared" si="171"/>
        <v>0</v>
      </c>
      <c r="EV139" s="315" t="str">
        <f t="shared" si="172"/>
        <v/>
      </c>
      <c r="EW139" s="182"/>
      <c r="EX139" s="182"/>
      <c r="EY139" s="182"/>
      <c r="EZ139" s="221"/>
      <c r="FA139" s="221"/>
      <c r="FB139" s="221"/>
      <c r="FC139" s="221"/>
      <c r="FD139" s="221"/>
      <c r="FE139" s="221"/>
      <c r="FF139" s="221"/>
      <c r="FG139" s="221"/>
      <c r="FH139" s="221"/>
      <c r="FI139" s="182"/>
      <c r="FJ139" s="182"/>
      <c r="FK139" s="182"/>
      <c r="FL139" s="182"/>
      <c r="FM139" s="221" t="str">
        <f t="shared" si="173"/>
        <v/>
      </c>
      <c r="FN139" s="221" t="str">
        <f t="shared" si="174"/>
        <v/>
      </c>
      <c r="FO139" s="221"/>
      <c r="FP139" s="221"/>
      <c r="FQ139" s="221"/>
      <c r="FR139" s="221"/>
      <c r="FS139" s="221"/>
      <c r="FT139" s="221"/>
      <c r="FU139" s="221"/>
      <c r="FV139" s="221"/>
      <c r="FW139" s="221"/>
      <c r="FX139" s="221"/>
      <c r="FY139" s="221"/>
      <c r="FZ139" s="408"/>
      <c r="GA139" s="315">
        <f t="shared" si="175"/>
        <v>0</v>
      </c>
      <c r="GB139" s="315" t="str">
        <f t="shared" si="176"/>
        <v/>
      </c>
      <c r="GC139" s="182" t="s">
        <v>160</v>
      </c>
      <c r="GD139" s="182"/>
      <c r="GE139" s="182"/>
      <c r="GG139" s="460"/>
      <c r="GH139" s="460"/>
      <c r="GU139" s="469"/>
      <c r="GV139" s="470" t="str">
        <f t="shared" si="177"/>
        <v/>
      </c>
      <c r="GW139" s="302">
        <f t="shared" si="178"/>
        <v>0</v>
      </c>
      <c r="HA139" s="654"/>
      <c r="HD139" s="379"/>
      <c r="HE139" s="380"/>
      <c r="HH139" s="385"/>
      <c r="HI139" s="411"/>
      <c r="HJ139" s="302" t="str">
        <f t="shared" si="153"/>
        <v/>
      </c>
      <c r="HO139" s="302" t="str">
        <f t="shared" si="146"/>
        <v/>
      </c>
      <c r="HP139" s="302" t="str">
        <f t="shared" si="147"/>
        <v/>
      </c>
      <c r="HQ139" s="302" t="str">
        <f t="shared" si="148"/>
        <v/>
      </c>
      <c r="IT139" s="411"/>
      <c r="IU139" s="411"/>
      <c r="IV139" s="635"/>
    </row>
    <row r="140" spans="1:256" s="302" customFormat="1" ht="12.75" hidden="1" customHeight="1">
      <c r="A140" s="397" t="str">
        <f t="shared" si="145"/>
        <v/>
      </c>
      <c r="B140" s="462" t="str">
        <f t="shared" si="149"/>
        <v/>
      </c>
      <c r="C140" s="426"/>
      <c r="D140" s="575"/>
      <c r="E140" s="463"/>
      <c r="F140" s="464"/>
      <c r="G140" s="465"/>
      <c r="H140" s="465"/>
      <c r="I140" s="466"/>
      <c r="J140" s="463"/>
      <c r="K140" s="465"/>
      <c r="L140" s="465"/>
      <c r="M140" s="466"/>
      <c r="N140" s="573"/>
      <c r="O140" s="467"/>
      <c r="P140" s="518"/>
      <c r="Q140" s="381"/>
      <c r="R140" s="182"/>
      <c r="S140" s="182"/>
      <c r="T140" s="182"/>
      <c r="U140" s="182"/>
      <c r="V140" s="182"/>
      <c r="W140" s="182"/>
      <c r="X140" s="182"/>
      <c r="Y140" s="182"/>
      <c r="Z140" s="182"/>
      <c r="AA140" s="382"/>
      <c r="AB140" s="182" t="str">
        <f t="shared" si="154"/>
        <v/>
      </c>
      <c r="AC140" s="315">
        <f t="shared" si="155"/>
        <v>0</v>
      </c>
      <c r="AD140" s="315" t="str">
        <f t="shared" si="150"/>
        <v/>
      </c>
      <c r="AE140" s="182"/>
      <c r="AF140" s="182"/>
      <c r="AG140" s="182"/>
      <c r="AH140" s="221"/>
      <c r="AI140" s="221"/>
      <c r="AJ140" s="221"/>
      <c r="AK140" s="221"/>
      <c r="AL140" s="221"/>
      <c r="AM140" s="221"/>
      <c r="AN140" s="221"/>
      <c r="AO140" s="221"/>
      <c r="AP140" s="221"/>
      <c r="AQ140" s="182"/>
      <c r="AR140" s="182"/>
      <c r="AS140" s="182"/>
      <c r="AT140" s="182"/>
      <c r="AU140" s="221" t="str">
        <f t="shared" si="156"/>
        <v/>
      </c>
      <c r="AV140" s="221" t="str">
        <f t="shared" si="157"/>
        <v/>
      </c>
      <c r="AW140" s="221"/>
      <c r="AX140" s="221"/>
      <c r="AY140" s="221"/>
      <c r="AZ140" s="221"/>
      <c r="BA140" s="221"/>
      <c r="BB140" s="221"/>
      <c r="BC140" s="221"/>
      <c r="BD140" s="221"/>
      <c r="BE140" s="221"/>
      <c r="BF140" s="468">
        <f t="shared" si="158"/>
        <v>0</v>
      </c>
      <c r="BG140" s="315">
        <f t="shared" si="159"/>
        <v>0</v>
      </c>
      <c r="BH140" s="315" t="str">
        <f t="shared" si="160"/>
        <v/>
      </c>
      <c r="BI140" s="182"/>
      <c r="BJ140" s="182"/>
      <c r="BK140" s="182"/>
      <c r="BL140" s="221"/>
      <c r="BM140" s="221"/>
      <c r="BN140" s="221"/>
      <c r="BO140" s="221"/>
      <c r="BP140" s="221"/>
      <c r="BQ140" s="221"/>
      <c r="BR140" s="221"/>
      <c r="BS140" s="221"/>
      <c r="BT140" s="221"/>
      <c r="BU140" s="182"/>
      <c r="BV140" s="182"/>
      <c r="BW140" s="182"/>
      <c r="BX140" s="182"/>
      <c r="BY140" s="221" t="str">
        <f t="shared" si="161"/>
        <v/>
      </c>
      <c r="BZ140" s="221" t="str">
        <f t="shared" si="162"/>
        <v/>
      </c>
      <c r="CA140" s="221"/>
      <c r="CB140" s="221"/>
      <c r="CC140" s="221"/>
      <c r="CD140" s="221"/>
      <c r="CE140" s="221"/>
      <c r="CF140" s="221"/>
      <c r="CG140" s="221"/>
      <c r="CH140" s="221"/>
      <c r="CI140" s="221"/>
      <c r="CJ140" s="468">
        <f t="shared" si="163"/>
        <v>0</v>
      </c>
      <c r="CK140" s="315">
        <f t="shared" si="164"/>
        <v>0</v>
      </c>
      <c r="CL140" s="315" t="str">
        <f t="shared" si="165"/>
        <v/>
      </c>
      <c r="CM140" s="182"/>
      <c r="CN140" s="182"/>
      <c r="CO140" s="182"/>
      <c r="CP140" s="221"/>
      <c r="CQ140" s="221"/>
      <c r="CR140" s="221"/>
      <c r="CS140" s="221"/>
      <c r="CT140" s="221"/>
      <c r="CU140" s="221"/>
      <c r="CV140" s="221"/>
      <c r="CW140" s="221"/>
      <c r="CX140" s="221"/>
      <c r="CY140" s="221"/>
      <c r="CZ140" s="182"/>
      <c r="DA140" s="182"/>
      <c r="DB140" s="182"/>
      <c r="DC140" s="182"/>
      <c r="DD140" s="221" t="str">
        <f t="shared" si="151"/>
        <v/>
      </c>
      <c r="DE140" s="221" t="str">
        <f t="shared" si="152"/>
        <v/>
      </c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469" t="str">
        <f t="shared" si="166"/>
        <v/>
      </c>
      <c r="DP140" s="315">
        <f t="shared" si="167"/>
        <v>0</v>
      </c>
      <c r="DQ140" s="315" t="str">
        <f t="shared" si="168"/>
        <v/>
      </c>
      <c r="DR140" s="182"/>
      <c r="DS140" s="182"/>
      <c r="DT140" s="182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182"/>
      <c r="EE140" s="182"/>
      <c r="EF140" s="182"/>
      <c r="EG140" s="182"/>
      <c r="EH140" s="221" t="str">
        <f t="shared" si="169"/>
        <v/>
      </c>
      <c r="EI140" s="221" t="str">
        <f t="shared" si="170"/>
        <v/>
      </c>
      <c r="EJ140" s="221"/>
      <c r="EK140" s="221"/>
      <c r="EL140" s="221"/>
      <c r="EM140" s="221"/>
      <c r="EN140" s="221"/>
      <c r="EO140" s="221"/>
      <c r="EP140" s="221"/>
      <c r="EQ140" s="221"/>
      <c r="ER140" s="221"/>
      <c r="ES140" s="221"/>
      <c r="ET140" s="221"/>
      <c r="EU140" s="315">
        <f t="shared" si="171"/>
        <v>0</v>
      </c>
      <c r="EV140" s="315" t="str">
        <f t="shared" si="172"/>
        <v/>
      </c>
      <c r="EW140" s="182"/>
      <c r="EX140" s="182"/>
      <c r="EY140" s="182"/>
      <c r="EZ140" s="221"/>
      <c r="FA140" s="221"/>
      <c r="FB140" s="221"/>
      <c r="FC140" s="221"/>
      <c r="FD140" s="221"/>
      <c r="FE140" s="221"/>
      <c r="FF140" s="221"/>
      <c r="FG140" s="221"/>
      <c r="FH140" s="221"/>
      <c r="FI140" s="182"/>
      <c r="FJ140" s="182"/>
      <c r="FK140" s="182"/>
      <c r="FL140" s="182"/>
      <c r="FM140" s="221" t="str">
        <f t="shared" si="173"/>
        <v/>
      </c>
      <c r="FN140" s="221" t="str">
        <f t="shared" si="174"/>
        <v/>
      </c>
      <c r="FO140" s="221"/>
      <c r="FP140" s="221"/>
      <c r="FQ140" s="221"/>
      <c r="FR140" s="221"/>
      <c r="FS140" s="221"/>
      <c r="FT140" s="221"/>
      <c r="FU140" s="221"/>
      <c r="FV140" s="221"/>
      <c r="FW140" s="221"/>
      <c r="FX140" s="221"/>
      <c r="FY140" s="221"/>
      <c r="FZ140" s="408"/>
      <c r="GA140" s="315">
        <f t="shared" si="175"/>
        <v>0</v>
      </c>
      <c r="GB140" s="315" t="str">
        <f t="shared" si="176"/>
        <v/>
      </c>
      <c r="GC140" s="302" t="s">
        <v>160</v>
      </c>
      <c r="GG140" s="460"/>
      <c r="GH140" s="460"/>
      <c r="GU140" s="469"/>
      <c r="GV140" s="470" t="str">
        <f t="shared" si="177"/>
        <v/>
      </c>
      <c r="GW140" s="302">
        <f t="shared" si="178"/>
        <v>0</v>
      </c>
      <c r="HA140" s="654"/>
      <c r="HD140" s="379"/>
      <c r="HE140" s="380"/>
      <c r="HH140" s="383"/>
      <c r="HI140" s="410"/>
      <c r="HJ140" s="302" t="str">
        <f t="shared" si="153"/>
        <v/>
      </c>
      <c r="HO140" s="302" t="str">
        <f t="shared" si="146"/>
        <v/>
      </c>
      <c r="HP140" s="302" t="str">
        <f t="shared" si="147"/>
        <v/>
      </c>
      <c r="HQ140" s="302" t="str">
        <f t="shared" si="148"/>
        <v/>
      </c>
      <c r="IT140" s="410"/>
      <c r="IU140" s="410"/>
      <c r="IV140" s="635"/>
    </row>
    <row r="141" spans="1:256" s="302" customFormat="1" ht="12.75" hidden="1" customHeight="1">
      <c r="A141" s="397" t="str">
        <f t="shared" si="145"/>
        <v/>
      </c>
      <c r="B141" s="462" t="str">
        <f t="shared" si="149"/>
        <v/>
      </c>
      <c r="C141" s="426"/>
      <c r="D141" s="575"/>
      <c r="E141" s="463"/>
      <c r="F141" s="464"/>
      <c r="G141" s="465"/>
      <c r="H141" s="465"/>
      <c r="I141" s="466"/>
      <c r="J141" s="463"/>
      <c r="K141" s="465"/>
      <c r="L141" s="465"/>
      <c r="M141" s="466"/>
      <c r="N141" s="573"/>
      <c r="O141" s="467"/>
      <c r="P141" s="518"/>
      <c r="Q141" s="381"/>
      <c r="R141" s="182"/>
      <c r="S141" s="182"/>
      <c r="T141" s="182"/>
      <c r="U141" s="182"/>
      <c r="V141" s="182"/>
      <c r="W141" s="182"/>
      <c r="X141" s="182"/>
      <c r="Y141" s="182"/>
      <c r="Z141" s="182"/>
      <c r="AA141" s="384"/>
      <c r="AB141" s="182" t="str">
        <f t="shared" si="154"/>
        <v/>
      </c>
      <c r="AC141" s="315">
        <f t="shared" si="155"/>
        <v>0</v>
      </c>
      <c r="AD141" s="315" t="str">
        <f t="shared" si="150"/>
        <v/>
      </c>
      <c r="AE141" s="182"/>
      <c r="AF141" s="182"/>
      <c r="AG141" s="182"/>
      <c r="AH141" s="221"/>
      <c r="AI141" s="221"/>
      <c r="AJ141" s="221"/>
      <c r="AK141" s="221"/>
      <c r="AL141" s="221"/>
      <c r="AM141" s="221"/>
      <c r="AN141" s="221"/>
      <c r="AO141" s="221"/>
      <c r="AP141" s="221"/>
      <c r="AQ141" s="182"/>
      <c r="AR141" s="182"/>
      <c r="AS141" s="182"/>
      <c r="AT141" s="182"/>
      <c r="AU141" s="221" t="str">
        <f t="shared" si="156"/>
        <v/>
      </c>
      <c r="AV141" s="221" t="str">
        <f t="shared" si="157"/>
        <v/>
      </c>
      <c r="AW141" s="221"/>
      <c r="AX141" s="221"/>
      <c r="AY141" s="221"/>
      <c r="AZ141" s="221"/>
      <c r="BA141" s="221"/>
      <c r="BB141" s="221"/>
      <c r="BC141" s="221"/>
      <c r="BD141" s="221"/>
      <c r="BE141" s="221"/>
      <c r="BF141" s="469">
        <f t="shared" si="158"/>
        <v>0</v>
      </c>
      <c r="BG141" s="315">
        <f t="shared" si="159"/>
        <v>0</v>
      </c>
      <c r="BH141" s="315" t="str">
        <f t="shared" si="160"/>
        <v/>
      </c>
      <c r="BI141" s="182"/>
      <c r="BJ141" s="182"/>
      <c r="BK141" s="182"/>
      <c r="BL141" s="221"/>
      <c r="BM141" s="221"/>
      <c r="BN141" s="221"/>
      <c r="BO141" s="221"/>
      <c r="BP141" s="221"/>
      <c r="BQ141" s="221"/>
      <c r="BR141" s="221"/>
      <c r="BS141" s="221"/>
      <c r="BT141" s="221"/>
      <c r="BU141" s="182"/>
      <c r="BV141" s="182"/>
      <c r="BW141" s="182"/>
      <c r="BX141" s="182"/>
      <c r="BY141" s="221" t="str">
        <f t="shared" si="161"/>
        <v/>
      </c>
      <c r="BZ141" s="221" t="str">
        <f t="shared" si="162"/>
        <v/>
      </c>
      <c r="CA141" s="221"/>
      <c r="CB141" s="221"/>
      <c r="CC141" s="221"/>
      <c r="CD141" s="221"/>
      <c r="CE141" s="221"/>
      <c r="CF141" s="221"/>
      <c r="CG141" s="221"/>
      <c r="CH141" s="221"/>
      <c r="CI141" s="221"/>
      <c r="CJ141" s="469">
        <f t="shared" si="163"/>
        <v>0</v>
      </c>
      <c r="CK141" s="315">
        <f t="shared" si="164"/>
        <v>0</v>
      </c>
      <c r="CL141" s="315" t="str">
        <f t="shared" si="165"/>
        <v/>
      </c>
      <c r="CM141" s="182"/>
      <c r="CN141" s="182"/>
      <c r="CO141" s="182"/>
      <c r="CP141" s="221"/>
      <c r="CQ141" s="221"/>
      <c r="CR141" s="221"/>
      <c r="CS141" s="221"/>
      <c r="CT141" s="221"/>
      <c r="CU141" s="221"/>
      <c r="CV141" s="221"/>
      <c r="CW141" s="221"/>
      <c r="CX141" s="221"/>
      <c r="CY141" s="221"/>
      <c r="CZ141" s="182"/>
      <c r="DA141" s="182"/>
      <c r="DB141" s="182"/>
      <c r="DC141" s="182"/>
      <c r="DD141" s="221" t="str">
        <f t="shared" si="151"/>
        <v/>
      </c>
      <c r="DE141" s="221" t="str">
        <f t="shared" si="152"/>
        <v/>
      </c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469" t="str">
        <f t="shared" si="166"/>
        <v/>
      </c>
      <c r="DP141" s="315">
        <f t="shared" si="167"/>
        <v>0</v>
      </c>
      <c r="DQ141" s="315" t="str">
        <f t="shared" si="168"/>
        <v/>
      </c>
      <c r="DR141" s="182"/>
      <c r="DS141" s="182"/>
      <c r="DT141" s="182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182"/>
      <c r="EE141" s="182"/>
      <c r="EF141" s="182"/>
      <c r="EG141" s="182"/>
      <c r="EH141" s="221" t="str">
        <f t="shared" si="169"/>
        <v/>
      </c>
      <c r="EI141" s="221" t="str">
        <f t="shared" si="170"/>
        <v/>
      </c>
      <c r="EJ141" s="221"/>
      <c r="EK141" s="221"/>
      <c r="EL141" s="221"/>
      <c r="EM141" s="221"/>
      <c r="EN141" s="221"/>
      <c r="EO141" s="221"/>
      <c r="EP141" s="221"/>
      <c r="EQ141" s="221"/>
      <c r="ER141" s="221"/>
      <c r="ES141" s="221"/>
      <c r="ET141" s="221"/>
      <c r="EU141" s="315">
        <f t="shared" si="171"/>
        <v>0</v>
      </c>
      <c r="EV141" s="315" t="str">
        <f t="shared" si="172"/>
        <v/>
      </c>
      <c r="EW141" s="182"/>
      <c r="EX141" s="182"/>
      <c r="EY141" s="182"/>
      <c r="EZ141" s="221"/>
      <c r="FA141" s="221"/>
      <c r="FB141" s="221"/>
      <c r="FC141" s="221"/>
      <c r="FD141" s="221"/>
      <c r="FE141" s="221"/>
      <c r="FF141" s="221"/>
      <c r="FG141" s="221"/>
      <c r="FH141" s="221"/>
      <c r="FI141" s="182"/>
      <c r="FJ141" s="182"/>
      <c r="FK141" s="182"/>
      <c r="FL141" s="182"/>
      <c r="FM141" s="221" t="str">
        <f t="shared" si="173"/>
        <v/>
      </c>
      <c r="FN141" s="221" t="str">
        <f t="shared" si="174"/>
        <v/>
      </c>
      <c r="FO141" s="221"/>
      <c r="FP141" s="221"/>
      <c r="FQ141" s="221"/>
      <c r="FR141" s="221"/>
      <c r="FS141" s="221"/>
      <c r="FT141" s="221"/>
      <c r="FU141" s="221"/>
      <c r="FV141" s="221"/>
      <c r="FW141" s="221"/>
      <c r="FX141" s="221"/>
      <c r="FY141" s="221"/>
      <c r="FZ141" s="408"/>
      <c r="GA141" s="315">
        <f t="shared" si="175"/>
        <v>0</v>
      </c>
      <c r="GB141" s="315" t="str">
        <f t="shared" si="176"/>
        <v/>
      </c>
      <c r="GC141" s="302" t="s">
        <v>160</v>
      </c>
      <c r="GG141" s="460"/>
      <c r="GH141" s="460"/>
      <c r="GU141" s="469"/>
      <c r="GV141" s="470" t="str">
        <f t="shared" si="177"/>
        <v/>
      </c>
      <c r="GW141" s="302">
        <f t="shared" si="178"/>
        <v>0</v>
      </c>
      <c r="HA141" s="654"/>
      <c r="HD141" s="379"/>
      <c r="HE141" s="380"/>
      <c r="HH141" s="385"/>
      <c r="HI141" s="411"/>
      <c r="HJ141" s="302" t="str">
        <f t="shared" si="153"/>
        <v/>
      </c>
      <c r="HO141" s="302" t="str">
        <f t="shared" si="146"/>
        <v/>
      </c>
      <c r="HP141" s="302" t="str">
        <f t="shared" si="147"/>
        <v/>
      </c>
      <c r="HQ141" s="302" t="str">
        <f t="shared" si="148"/>
        <v/>
      </c>
      <c r="IT141" s="411"/>
      <c r="IU141" s="411"/>
      <c r="IV141" s="635"/>
    </row>
    <row r="142" spans="1:256" s="302" customFormat="1" ht="12.75" hidden="1" customHeight="1">
      <c r="A142" s="397" t="str">
        <f t="shared" si="145"/>
        <v/>
      </c>
      <c r="B142" s="462" t="str">
        <f t="shared" si="149"/>
        <v/>
      </c>
      <c r="C142" s="426"/>
      <c r="D142" s="575"/>
      <c r="E142" s="463"/>
      <c r="F142" s="464"/>
      <c r="G142" s="465"/>
      <c r="H142" s="465"/>
      <c r="I142" s="466"/>
      <c r="J142" s="463"/>
      <c r="K142" s="465"/>
      <c r="L142" s="465"/>
      <c r="M142" s="466"/>
      <c r="N142" s="573"/>
      <c r="O142" s="467"/>
      <c r="P142" s="518"/>
      <c r="Q142" s="381"/>
      <c r="R142" s="182"/>
      <c r="S142" s="182"/>
      <c r="T142" s="182"/>
      <c r="U142" s="182"/>
      <c r="V142" s="182"/>
      <c r="W142" s="182"/>
      <c r="X142" s="182"/>
      <c r="Y142" s="182"/>
      <c r="Z142" s="182"/>
      <c r="AA142" s="382"/>
      <c r="AB142" s="182" t="str">
        <f t="shared" si="154"/>
        <v/>
      </c>
      <c r="AC142" s="315">
        <f t="shared" si="155"/>
        <v>0</v>
      </c>
      <c r="AD142" s="315" t="str">
        <f t="shared" si="150"/>
        <v/>
      </c>
      <c r="AE142" s="182"/>
      <c r="AF142" s="182"/>
      <c r="AG142" s="182"/>
      <c r="AH142" s="221"/>
      <c r="AI142" s="221"/>
      <c r="AJ142" s="221"/>
      <c r="AK142" s="221"/>
      <c r="AL142" s="221"/>
      <c r="AM142" s="221"/>
      <c r="AN142" s="221"/>
      <c r="AO142" s="221"/>
      <c r="AP142" s="221"/>
      <c r="AQ142" s="182"/>
      <c r="AR142" s="182"/>
      <c r="AS142" s="182"/>
      <c r="AT142" s="182"/>
      <c r="AU142" s="221" t="str">
        <f t="shared" si="156"/>
        <v/>
      </c>
      <c r="AV142" s="221" t="str">
        <f t="shared" si="157"/>
        <v/>
      </c>
      <c r="AW142" s="221"/>
      <c r="AX142" s="221"/>
      <c r="AY142" s="221"/>
      <c r="AZ142" s="221"/>
      <c r="BA142" s="221"/>
      <c r="BB142" s="221"/>
      <c r="BC142" s="221"/>
      <c r="BD142" s="221"/>
      <c r="BE142" s="221"/>
      <c r="BF142" s="468">
        <f t="shared" si="158"/>
        <v>0</v>
      </c>
      <c r="BG142" s="315">
        <f t="shared" si="159"/>
        <v>0</v>
      </c>
      <c r="BH142" s="315" t="str">
        <f t="shared" si="160"/>
        <v/>
      </c>
      <c r="BI142" s="182"/>
      <c r="BJ142" s="182"/>
      <c r="BK142" s="182"/>
      <c r="BL142" s="221"/>
      <c r="BM142" s="221"/>
      <c r="BN142" s="221"/>
      <c r="BO142" s="221"/>
      <c r="BP142" s="221"/>
      <c r="BQ142" s="221"/>
      <c r="BR142" s="221"/>
      <c r="BS142" s="221"/>
      <c r="BT142" s="221"/>
      <c r="BU142" s="182"/>
      <c r="BV142" s="182"/>
      <c r="BW142" s="182"/>
      <c r="BX142" s="182"/>
      <c r="BY142" s="221" t="str">
        <f t="shared" si="161"/>
        <v/>
      </c>
      <c r="BZ142" s="221" t="str">
        <f t="shared" si="162"/>
        <v/>
      </c>
      <c r="CA142" s="221"/>
      <c r="CB142" s="221"/>
      <c r="CC142" s="221"/>
      <c r="CD142" s="221"/>
      <c r="CE142" s="221"/>
      <c r="CF142" s="221"/>
      <c r="CG142" s="221"/>
      <c r="CH142" s="221"/>
      <c r="CI142" s="221"/>
      <c r="CJ142" s="468">
        <f t="shared" si="163"/>
        <v>0</v>
      </c>
      <c r="CK142" s="315">
        <f t="shared" si="164"/>
        <v>0</v>
      </c>
      <c r="CL142" s="315" t="str">
        <f t="shared" si="165"/>
        <v/>
      </c>
      <c r="CM142" s="182"/>
      <c r="CN142" s="182"/>
      <c r="CO142" s="182"/>
      <c r="CP142" s="221"/>
      <c r="CQ142" s="221"/>
      <c r="CR142" s="221"/>
      <c r="CS142" s="221"/>
      <c r="CT142" s="221"/>
      <c r="CU142" s="221"/>
      <c r="CV142" s="221"/>
      <c r="CW142" s="221"/>
      <c r="CX142" s="221"/>
      <c r="CY142" s="221"/>
      <c r="CZ142" s="182"/>
      <c r="DA142" s="182"/>
      <c r="DB142" s="182"/>
      <c r="DC142" s="182"/>
      <c r="DD142" s="221" t="str">
        <f t="shared" si="151"/>
        <v/>
      </c>
      <c r="DE142" s="221" t="str">
        <f t="shared" si="152"/>
        <v/>
      </c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469" t="str">
        <f t="shared" si="166"/>
        <v/>
      </c>
      <c r="DP142" s="315">
        <f t="shared" si="167"/>
        <v>0</v>
      </c>
      <c r="DQ142" s="315" t="str">
        <f t="shared" si="168"/>
        <v/>
      </c>
      <c r="DR142" s="182"/>
      <c r="DS142" s="182"/>
      <c r="DT142" s="182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182"/>
      <c r="EE142" s="182"/>
      <c r="EF142" s="182"/>
      <c r="EG142" s="182"/>
      <c r="EH142" s="221" t="str">
        <f t="shared" si="169"/>
        <v/>
      </c>
      <c r="EI142" s="221" t="str">
        <f t="shared" si="170"/>
        <v/>
      </c>
      <c r="EJ142" s="221"/>
      <c r="EK142" s="221"/>
      <c r="EL142" s="221"/>
      <c r="EM142" s="221"/>
      <c r="EN142" s="221"/>
      <c r="EO142" s="221"/>
      <c r="EP142" s="221"/>
      <c r="EQ142" s="221"/>
      <c r="ER142" s="221"/>
      <c r="ES142" s="221"/>
      <c r="ET142" s="221"/>
      <c r="EU142" s="315">
        <f t="shared" si="171"/>
        <v>0</v>
      </c>
      <c r="EV142" s="315" t="str">
        <f t="shared" si="172"/>
        <v/>
      </c>
      <c r="EW142" s="182"/>
      <c r="EX142" s="182"/>
      <c r="EY142" s="182"/>
      <c r="EZ142" s="221"/>
      <c r="FA142" s="221"/>
      <c r="FB142" s="221"/>
      <c r="FC142" s="221"/>
      <c r="FD142" s="221"/>
      <c r="FE142" s="221"/>
      <c r="FF142" s="221"/>
      <c r="FG142" s="221"/>
      <c r="FH142" s="221"/>
      <c r="FI142" s="182"/>
      <c r="FJ142" s="182"/>
      <c r="FK142" s="182"/>
      <c r="FL142" s="182"/>
      <c r="FM142" s="221" t="str">
        <f t="shared" si="173"/>
        <v/>
      </c>
      <c r="FN142" s="221" t="str">
        <f t="shared" si="174"/>
        <v/>
      </c>
      <c r="FO142" s="221"/>
      <c r="FP142" s="221"/>
      <c r="FQ142" s="221"/>
      <c r="FR142" s="221"/>
      <c r="FS142" s="221"/>
      <c r="FT142" s="221"/>
      <c r="FU142" s="221"/>
      <c r="FV142" s="221"/>
      <c r="FW142" s="221"/>
      <c r="FX142" s="221"/>
      <c r="FY142" s="221"/>
      <c r="FZ142" s="408"/>
      <c r="GA142" s="315">
        <f t="shared" si="175"/>
        <v>0</v>
      </c>
      <c r="GB142" s="315" t="str">
        <f t="shared" si="176"/>
        <v/>
      </c>
      <c r="GC142" s="182" t="s">
        <v>160</v>
      </c>
      <c r="GD142" s="182"/>
      <c r="GE142" s="182"/>
      <c r="GG142" s="460"/>
      <c r="GH142" s="460"/>
      <c r="GU142" s="469"/>
      <c r="GV142" s="470" t="str">
        <f t="shared" si="177"/>
        <v/>
      </c>
      <c r="GW142" s="302">
        <f t="shared" si="178"/>
        <v>0</v>
      </c>
      <c r="HA142" s="654"/>
      <c r="HD142" s="379"/>
      <c r="HE142" s="380"/>
      <c r="HH142" s="383"/>
      <c r="HI142" s="410"/>
      <c r="HJ142" s="302" t="str">
        <f t="shared" si="153"/>
        <v/>
      </c>
      <c r="HO142" s="302" t="str">
        <f t="shared" si="146"/>
        <v/>
      </c>
      <c r="HP142" s="302" t="str">
        <f t="shared" si="147"/>
        <v/>
      </c>
      <c r="HQ142" s="302" t="str">
        <f t="shared" si="148"/>
        <v/>
      </c>
      <c r="IT142" s="410"/>
      <c r="IU142" s="410"/>
      <c r="IV142" s="635"/>
    </row>
    <row r="143" spans="1:256" s="302" customFormat="1" ht="12.75" hidden="1" customHeight="1">
      <c r="A143" s="397" t="str">
        <f t="shared" si="145"/>
        <v/>
      </c>
      <c r="B143" s="462" t="str">
        <f t="shared" si="149"/>
        <v/>
      </c>
      <c r="C143" s="426"/>
      <c r="D143" s="575"/>
      <c r="E143" s="463"/>
      <c r="F143" s="464"/>
      <c r="G143" s="465"/>
      <c r="H143" s="465"/>
      <c r="I143" s="466"/>
      <c r="J143" s="463"/>
      <c r="K143" s="465"/>
      <c r="L143" s="465"/>
      <c r="M143" s="466"/>
      <c r="N143" s="573"/>
      <c r="O143" s="467"/>
      <c r="P143" s="518"/>
      <c r="Q143" s="381"/>
      <c r="R143" s="182"/>
      <c r="S143" s="182"/>
      <c r="T143" s="182"/>
      <c r="U143" s="182"/>
      <c r="V143" s="182"/>
      <c r="W143" s="182"/>
      <c r="X143" s="182"/>
      <c r="Y143" s="182"/>
      <c r="Z143" s="182"/>
      <c r="AA143" s="384"/>
      <c r="AB143" s="182" t="str">
        <f t="shared" si="154"/>
        <v/>
      </c>
      <c r="AC143" s="315">
        <f t="shared" si="155"/>
        <v>0</v>
      </c>
      <c r="AD143" s="315" t="str">
        <f t="shared" si="150"/>
        <v/>
      </c>
      <c r="AE143" s="182"/>
      <c r="AF143" s="182"/>
      <c r="AG143" s="182"/>
      <c r="AH143" s="221"/>
      <c r="AI143" s="221"/>
      <c r="AJ143" s="221"/>
      <c r="AK143" s="221"/>
      <c r="AL143" s="221"/>
      <c r="AM143" s="221"/>
      <c r="AN143" s="221"/>
      <c r="AO143" s="221"/>
      <c r="AP143" s="221"/>
      <c r="AQ143" s="182"/>
      <c r="AR143" s="182"/>
      <c r="AS143" s="182"/>
      <c r="AT143" s="182"/>
      <c r="AU143" s="221" t="str">
        <f t="shared" si="156"/>
        <v/>
      </c>
      <c r="AV143" s="221" t="str">
        <f t="shared" si="157"/>
        <v/>
      </c>
      <c r="AW143" s="221"/>
      <c r="AX143" s="221"/>
      <c r="AY143" s="221"/>
      <c r="AZ143" s="221"/>
      <c r="BA143" s="221"/>
      <c r="BB143" s="221"/>
      <c r="BC143" s="221"/>
      <c r="BD143" s="221"/>
      <c r="BE143" s="221"/>
      <c r="BF143" s="469">
        <f t="shared" si="158"/>
        <v>0</v>
      </c>
      <c r="BG143" s="315">
        <f t="shared" si="159"/>
        <v>0</v>
      </c>
      <c r="BH143" s="315" t="str">
        <f t="shared" si="160"/>
        <v/>
      </c>
      <c r="BI143" s="182"/>
      <c r="BJ143" s="182"/>
      <c r="BK143" s="182"/>
      <c r="BL143" s="221"/>
      <c r="BM143" s="221"/>
      <c r="BN143" s="221"/>
      <c r="BO143" s="221"/>
      <c r="BP143" s="221"/>
      <c r="BQ143" s="221"/>
      <c r="BR143" s="221"/>
      <c r="BS143" s="221"/>
      <c r="BT143" s="221"/>
      <c r="BU143" s="182"/>
      <c r="BV143" s="182"/>
      <c r="BW143" s="182"/>
      <c r="BX143" s="182"/>
      <c r="BY143" s="221" t="str">
        <f t="shared" si="161"/>
        <v/>
      </c>
      <c r="BZ143" s="221" t="str">
        <f t="shared" si="162"/>
        <v/>
      </c>
      <c r="CA143" s="221"/>
      <c r="CB143" s="221"/>
      <c r="CC143" s="221"/>
      <c r="CD143" s="221"/>
      <c r="CE143" s="221"/>
      <c r="CF143" s="221"/>
      <c r="CG143" s="221"/>
      <c r="CH143" s="221"/>
      <c r="CI143" s="221"/>
      <c r="CJ143" s="469">
        <f t="shared" si="163"/>
        <v>0</v>
      </c>
      <c r="CK143" s="315">
        <f t="shared" si="164"/>
        <v>0</v>
      </c>
      <c r="CL143" s="315" t="str">
        <f t="shared" si="165"/>
        <v/>
      </c>
      <c r="CM143" s="182"/>
      <c r="CN143" s="182"/>
      <c r="CO143" s="182"/>
      <c r="CP143" s="221"/>
      <c r="CQ143" s="221"/>
      <c r="CR143" s="221"/>
      <c r="CS143" s="221"/>
      <c r="CT143" s="221"/>
      <c r="CU143" s="221"/>
      <c r="CV143" s="221"/>
      <c r="CW143" s="221"/>
      <c r="CX143" s="221"/>
      <c r="CY143" s="221"/>
      <c r="CZ143" s="182"/>
      <c r="DA143" s="182"/>
      <c r="DB143" s="182"/>
      <c r="DC143" s="182"/>
      <c r="DD143" s="221" t="str">
        <f t="shared" si="151"/>
        <v/>
      </c>
      <c r="DE143" s="221" t="str">
        <f t="shared" si="152"/>
        <v/>
      </c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469" t="str">
        <f t="shared" si="166"/>
        <v/>
      </c>
      <c r="DP143" s="315">
        <f t="shared" si="167"/>
        <v>0</v>
      </c>
      <c r="DQ143" s="315" t="str">
        <f t="shared" si="168"/>
        <v/>
      </c>
      <c r="DR143" s="182"/>
      <c r="DS143" s="182"/>
      <c r="DT143" s="182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182"/>
      <c r="EE143" s="182"/>
      <c r="EF143" s="182"/>
      <c r="EG143" s="182"/>
      <c r="EH143" s="221" t="str">
        <f t="shared" si="169"/>
        <v/>
      </c>
      <c r="EI143" s="221" t="str">
        <f t="shared" si="170"/>
        <v/>
      </c>
      <c r="EJ143" s="221"/>
      <c r="EK143" s="221"/>
      <c r="EL143" s="221"/>
      <c r="EM143" s="221"/>
      <c r="EN143" s="221"/>
      <c r="EO143" s="221"/>
      <c r="EP143" s="221"/>
      <c r="EQ143" s="221"/>
      <c r="ER143" s="221"/>
      <c r="ES143" s="221"/>
      <c r="ET143" s="221"/>
      <c r="EU143" s="315">
        <f t="shared" si="171"/>
        <v>0</v>
      </c>
      <c r="EV143" s="315" t="str">
        <f t="shared" si="172"/>
        <v/>
      </c>
      <c r="EW143" s="182"/>
      <c r="EX143" s="182"/>
      <c r="EY143" s="182"/>
      <c r="EZ143" s="221"/>
      <c r="FA143" s="221"/>
      <c r="FB143" s="221"/>
      <c r="FC143" s="221"/>
      <c r="FD143" s="221"/>
      <c r="FE143" s="221"/>
      <c r="FF143" s="221"/>
      <c r="FG143" s="221"/>
      <c r="FH143" s="221"/>
      <c r="FI143" s="182"/>
      <c r="FJ143" s="182"/>
      <c r="FK143" s="182"/>
      <c r="FL143" s="182"/>
      <c r="FM143" s="221" t="str">
        <f t="shared" si="173"/>
        <v/>
      </c>
      <c r="FN143" s="221" t="str">
        <f t="shared" si="174"/>
        <v/>
      </c>
      <c r="FO143" s="221"/>
      <c r="FP143" s="221"/>
      <c r="FQ143" s="221"/>
      <c r="FR143" s="221"/>
      <c r="FS143" s="221"/>
      <c r="FT143" s="221"/>
      <c r="FU143" s="221"/>
      <c r="FV143" s="221"/>
      <c r="FW143" s="221"/>
      <c r="FX143" s="221"/>
      <c r="FY143" s="221"/>
      <c r="FZ143" s="408"/>
      <c r="GA143" s="315">
        <f t="shared" si="175"/>
        <v>0</v>
      </c>
      <c r="GB143" s="315" t="str">
        <f t="shared" si="176"/>
        <v/>
      </c>
      <c r="GC143" s="182" t="s">
        <v>160</v>
      </c>
      <c r="GD143" s="182"/>
      <c r="GE143" s="182"/>
      <c r="GG143" s="460"/>
      <c r="GH143" s="460"/>
      <c r="GU143" s="469"/>
      <c r="GV143" s="470" t="str">
        <f t="shared" si="177"/>
        <v/>
      </c>
      <c r="GW143" s="302">
        <f t="shared" si="178"/>
        <v>0</v>
      </c>
      <c r="HA143" s="654"/>
      <c r="HD143" s="379"/>
      <c r="HE143" s="380"/>
      <c r="HH143" s="385"/>
      <c r="HI143" s="411"/>
      <c r="HJ143" s="302" t="str">
        <f t="shared" si="153"/>
        <v/>
      </c>
      <c r="HO143" s="302" t="str">
        <f t="shared" si="146"/>
        <v/>
      </c>
      <c r="HP143" s="302" t="str">
        <f t="shared" si="147"/>
        <v/>
      </c>
      <c r="HQ143" s="302" t="str">
        <f t="shared" si="148"/>
        <v/>
      </c>
      <c r="IT143" s="411"/>
      <c r="IU143" s="411"/>
      <c r="IV143" s="635"/>
    </row>
    <row r="144" spans="1:256" s="302" customFormat="1" ht="12.75" hidden="1" customHeight="1">
      <c r="A144" s="397" t="str">
        <f t="shared" si="145"/>
        <v/>
      </c>
      <c r="B144" s="462" t="str">
        <f t="shared" si="149"/>
        <v/>
      </c>
      <c r="C144" s="426"/>
      <c r="D144" s="575"/>
      <c r="E144" s="463"/>
      <c r="F144" s="464"/>
      <c r="G144" s="465"/>
      <c r="H144" s="465"/>
      <c r="I144" s="466"/>
      <c r="J144" s="463"/>
      <c r="K144" s="465"/>
      <c r="L144" s="465"/>
      <c r="M144" s="466"/>
      <c r="N144" s="573"/>
      <c r="O144" s="467"/>
      <c r="P144" s="518"/>
      <c r="Q144" s="381"/>
      <c r="R144" s="182"/>
      <c r="S144" s="182"/>
      <c r="T144" s="182"/>
      <c r="U144" s="182"/>
      <c r="V144" s="182"/>
      <c r="W144" s="182"/>
      <c r="X144" s="182"/>
      <c r="Y144" s="182"/>
      <c r="Z144" s="182"/>
      <c r="AA144" s="382"/>
      <c r="AB144" s="182" t="str">
        <f t="shared" si="154"/>
        <v/>
      </c>
      <c r="AC144" s="315">
        <f t="shared" si="155"/>
        <v>0</v>
      </c>
      <c r="AD144" s="315" t="str">
        <f t="shared" si="150"/>
        <v/>
      </c>
      <c r="AE144" s="182"/>
      <c r="AF144" s="182"/>
      <c r="AG144" s="182"/>
      <c r="AH144" s="221"/>
      <c r="AI144" s="221"/>
      <c r="AJ144" s="221"/>
      <c r="AK144" s="221"/>
      <c r="AL144" s="221"/>
      <c r="AM144" s="221"/>
      <c r="AN144" s="221"/>
      <c r="AO144" s="221"/>
      <c r="AP144" s="221"/>
      <c r="AQ144" s="182"/>
      <c r="AR144" s="182"/>
      <c r="AS144" s="182"/>
      <c r="AT144" s="182"/>
      <c r="AU144" s="221" t="str">
        <f t="shared" si="156"/>
        <v/>
      </c>
      <c r="AV144" s="221" t="str">
        <f t="shared" si="157"/>
        <v/>
      </c>
      <c r="AW144" s="221"/>
      <c r="AX144" s="221"/>
      <c r="AY144" s="221"/>
      <c r="AZ144" s="221"/>
      <c r="BA144" s="221"/>
      <c r="BB144" s="221"/>
      <c r="BC144" s="221"/>
      <c r="BD144" s="221"/>
      <c r="BE144" s="221"/>
      <c r="BF144" s="468">
        <f t="shared" si="158"/>
        <v>0</v>
      </c>
      <c r="BG144" s="315">
        <f t="shared" si="159"/>
        <v>0</v>
      </c>
      <c r="BH144" s="315" t="str">
        <f t="shared" si="160"/>
        <v/>
      </c>
      <c r="BI144" s="182"/>
      <c r="BJ144" s="182"/>
      <c r="BK144" s="182"/>
      <c r="BL144" s="221"/>
      <c r="BM144" s="221"/>
      <c r="BN144" s="221"/>
      <c r="BO144" s="221"/>
      <c r="BP144" s="221"/>
      <c r="BQ144" s="221"/>
      <c r="BR144" s="221"/>
      <c r="BS144" s="221"/>
      <c r="BT144" s="221"/>
      <c r="BU144" s="182"/>
      <c r="BV144" s="182"/>
      <c r="BW144" s="182"/>
      <c r="BX144" s="182"/>
      <c r="BY144" s="221" t="str">
        <f t="shared" si="161"/>
        <v/>
      </c>
      <c r="BZ144" s="221" t="str">
        <f t="shared" si="162"/>
        <v/>
      </c>
      <c r="CA144" s="221"/>
      <c r="CB144" s="221"/>
      <c r="CC144" s="221"/>
      <c r="CD144" s="221"/>
      <c r="CE144" s="221"/>
      <c r="CF144" s="221"/>
      <c r="CG144" s="221"/>
      <c r="CH144" s="221"/>
      <c r="CI144" s="221"/>
      <c r="CJ144" s="468">
        <f t="shared" si="163"/>
        <v>0</v>
      </c>
      <c r="CK144" s="315">
        <f t="shared" si="164"/>
        <v>0</v>
      </c>
      <c r="CL144" s="315" t="str">
        <f t="shared" si="165"/>
        <v/>
      </c>
      <c r="CM144" s="182"/>
      <c r="CN144" s="182"/>
      <c r="CO144" s="182"/>
      <c r="CP144" s="221"/>
      <c r="CQ144" s="221"/>
      <c r="CR144" s="221"/>
      <c r="CS144" s="221"/>
      <c r="CT144" s="221"/>
      <c r="CU144" s="221"/>
      <c r="CV144" s="221"/>
      <c r="CW144" s="221"/>
      <c r="CX144" s="221"/>
      <c r="CY144" s="221"/>
      <c r="CZ144" s="182"/>
      <c r="DA144" s="182"/>
      <c r="DB144" s="182"/>
      <c r="DC144" s="182"/>
      <c r="DD144" s="221" t="str">
        <f t="shared" si="151"/>
        <v/>
      </c>
      <c r="DE144" s="221" t="str">
        <f t="shared" si="152"/>
        <v/>
      </c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469" t="str">
        <f t="shared" si="166"/>
        <v/>
      </c>
      <c r="DP144" s="315">
        <f t="shared" si="167"/>
        <v>0</v>
      </c>
      <c r="DQ144" s="315" t="str">
        <f t="shared" si="168"/>
        <v/>
      </c>
      <c r="DR144" s="182"/>
      <c r="DS144" s="182"/>
      <c r="DT144" s="182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182"/>
      <c r="EE144" s="182"/>
      <c r="EF144" s="182"/>
      <c r="EG144" s="182"/>
      <c r="EH144" s="221" t="str">
        <f t="shared" si="169"/>
        <v/>
      </c>
      <c r="EI144" s="221" t="str">
        <f t="shared" si="170"/>
        <v/>
      </c>
      <c r="EJ144" s="221"/>
      <c r="EK144" s="221"/>
      <c r="EL144" s="221"/>
      <c r="EM144" s="221"/>
      <c r="EN144" s="221"/>
      <c r="EO144" s="221"/>
      <c r="EP144" s="221"/>
      <c r="EQ144" s="221"/>
      <c r="ER144" s="221"/>
      <c r="ES144" s="221"/>
      <c r="ET144" s="221"/>
      <c r="EU144" s="315">
        <f t="shared" si="171"/>
        <v>0</v>
      </c>
      <c r="EV144" s="315" t="str">
        <f t="shared" si="172"/>
        <v/>
      </c>
      <c r="EW144" s="182"/>
      <c r="EX144" s="182"/>
      <c r="EY144" s="182"/>
      <c r="EZ144" s="221"/>
      <c r="FA144" s="221"/>
      <c r="FB144" s="221"/>
      <c r="FC144" s="221"/>
      <c r="FD144" s="221"/>
      <c r="FE144" s="221"/>
      <c r="FF144" s="221"/>
      <c r="FG144" s="221"/>
      <c r="FH144" s="221"/>
      <c r="FI144" s="182"/>
      <c r="FJ144" s="182"/>
      <c r="FK144" s="182"/>
      <c r="FL144" s="182"/>
      <c r="FM144" s="221" t="str">
        <f t="shared" si="173"/>
        <v/>
      </c>
      <c r="FN144" s="221" t="str">
        <f t="shared" si="174"/>
        <v/>
      </c>
      <c r="FO144" s="221"/>
      <c r="FP144" s="221"/>
      <c r="FQ144" s="221"/>
      <c r="FR144" s="221"/>
      <c r="FS144" s="221"/>
      <c r="FT144" s="221"/>
      <c r="FU144" s="221"/>
      <c r="FV144" s="221"/>
      <c r="FW144" s="221"/>
      <c r="FX144" s="221"/>
      <c r="FY144" s="221"/>
      <c r="FZ144" s="408"/>
      <c r="GA144" s="315">
        <f t="shared" si="175"/>
        <v>0</v>
      </c>
      <c r="GB144" s="315" t="str">
        <f t="shared" si="176"/>
        <v/>
      </c>
      <c r="GC144" s="182" t="s">
        <v>160</v>
      </c>
      <c r="GD144" s="182"/>
      <c r="GE144" s="182"/>
      <c r="GG144" s="460"/>
      <c r="GH144" s="460"/>
      <c r="GU144" s="469"/>
      <c r="GV144" s="470" t="str">
        <f t="shared" si="177"/>
        <v/>
      </c>
      <c r="GW144" s="302">
        <f t="shared" si="178"/>
        <v>0</v>
      </c>
      <c r="HA144" s="654"/>
      <c r="HD144" s="379"/>
      <c r="HE144" s="380"/>
      <c r="HH144" s="383"/>
      <c r="HI144" s="410"/>
      <c r="HJ144" s="302" t="str">
        <f t="shared" si="153"/>
        <v/>
      </c>
      <c r="HO144" s="302" t="str">
        <f t="shared" si="146"/>
        <v/>
      </c>
      <c r="HP144" s="302" t="str">
        <f t="shared" si="147"/>
        <v/>
      </c>
      <c r="HQ144" s="302" t="str">
        <f t="shared" si="148"/>
        <v/>
      </c>
      <c r="IT144" s="410"/>
      <c r="IU144" s="410"/>
      <c r="IV144" s="635"/>
    </row>
    <row r="145" spans="1:256" s="302" customFormat="1" ht="12.75" hidden="1" customHeight="1">
      <c r="A145" s="397" t="str">
        <f t="shared" si="145"/>
        <v/>
      </c>
      <c r="B145" s="462" t="str">
        <f t="shared" si="149"/>
        <v/>
      </c>
      <c r="C145" s="426"/>
      <c r="D145" s="575"/>
      <c r="E145" s="463"/>
      <c r="F145" s="464"/>
      <c r="G145" s="465"/>
      <c r="H145" s="465"/>
      <c r="I145" s="466"/>
      <c r="J145" s="463"/>
      <c r="K145" s="465"/>
      <c r="L145" s="465"/>
      <c r="M145" s="466"/>
      <c r="N145" s="573"/>
      <c r="O145" s="467"/>
      <c r="P145" s="518"/>
      <c r="Q145" s="381"/>
      <c r="R145" s="182"/>
      <c r="S145" s="182"/>
      <c r="T145" s="182"/>
      <c r="U145" s="182"/>
      <c r="V145" s="182"/>
      <c r="W145" s="182"/>
      <c r="X145" s="182"/>
      <c r="Y145" s="182"/>
      <c r="Z145" s="182"/>
      <c r="AA145" s="384"/>
      <c r="AB145" s="182" t="str">
        <f t="shared" si="154"/>
        <v/>
      </c>
      <c r="AC145" s="315">
        <f t="shared" si="155"/>
        <v>0</v>
      </c>
      <c r="AD145" s="315" t="str">
        <f t="shared" si="150"/>
        <v/>
      </c>
      <c r="AE145" s="182"/>
      <c r="AF145" s="182"/>
      <c r="AG145" s="182"/>
      <c r="AH145" s="221"/>
      <c r="AI145" s="221"/>
      <c r="AJ145" s="221"/>
      <c r="AK145" s="221"/>
      <c r="AL145" s="221"/>
      <c r="AM145" s="221"/>
      <c r="AN145" s="221"/>
      <c r="AO145" s="221"/>
      <c r="AP145" s="221"/>
      <c r="AQ145" s="182"/>
      <c r="AR145" s="182"/>
      <c r="AS145" s="182"/>
      <c r="AT145" s="182"/>
      <c r="AU145" s="221" t="str">
        <f t="shared" si="156"/>
        <v/>
      </c>
      <c r="AV145" s="221" t="str">
        <f t="shared" si="157"/>
        <v/>
      </c>
      <c r="AW145" s="221"/>
      <c r="AX145" s="221"/>
      <c r="AY145" s="221"/>
      <c r="AZ145" s="221"/>
      <c r="BA145" s="221"/>
      <c r="BB145" s="221"/>
      <c r="BC145" s="221"/>
      <c r="BD145" s="221"/>
      <c r="BE145" s="221"/>
      <c r="BF145" s="469">
        <f t="shared" si="158"/>
        <v>0</v>
      </c>
      <c r="BG145" s="315">
        <f t="shared" si="159"/>
        <v>0</v>
      </c>
      <c r="BH145" s="315" t="str">
        <f t="shared" si="160"/>
        <v/>
      </c>
      <c r="BI145" s="182"/>
      <c r="BJ145" s="182"/>
      <c r="BK145" s="182"/>
      <c r="BL145" s="221"/>
      <c r="BM145" s="221"/>
      <c r="BN145" s="221"/>
      <c r="BO145" s="221"/>
      <c r="BP145" s="221"/>
      <c r="BQ145" s="221"/>
      <c r="BR145" s="221"/>
      <c r="BS145" s="221"/>
      <c r="BT145" s="221"/>
      <c r="BU145" s="182"/>
      <c r="BV145" s="182"/>
      <c r="BW145" s="182"/>
      <c r="BX145" s="182"/>
      <c r="BY145" s="221" t="str">
        <f t="shared" si="161"/>
        <v/>
      </c>
      <c r="BZ145" s="221" t="str">
        <f t="shared" si="162"/>
        <v/>
      </c>
      <c r="CA145" s="221"/>
      <c r="CB145" s="221"/>
      <c r="CC145" s="221"/>
      <c r="CD145" s="221"/>
      <c r="CE145" s="221"/>
      <c r="CF145" s="221"/>
      <c r="CG145" s="221"/>
      <c r="CH145" s="221"/>
      <c r="CI145" s="221"/>
      <c r="CJ145" s="469">
        <f t="shared" si="163"/>
        <v>0</v>
      </c>
      <c r="CK145" s="315">
        <f t="shared" si="164"/>
        <v>0</v>
      </c>
      <c r="CL145" s="315" t="str">
        <f t="shared" si="165"/>
        <v/>
      </c>
      <c r="CM145" s="182"/>
      <c r="CN145" s="182"/>
      <c r="CO145" s="182"/>
      <c r="CP145" s="221"/>
      <c r="CQ145" s="221"/>
      <c r="CR145" s="221"/>
      <c r="CS145" s="221"/>
      <c r="CT145" s="221"/>
      <c r="CU145" s="221"/>
      <c r="CV145" s="221"/>
      <c r="CW145" s="221"/>
      <c r="CX145" s="221"/>
      <c r="CY145" s="221"/>
      <c r="CZ145" s="182"/>
      <c r="DA145" s="182"/>
      <c r="DB145" s="182"/>
      <c r="DC145" s="182"/>
      <c r="DD145" s="221" t="str">
        <f t="shared" si="151"/>
        <v/>
      </c>
      <c r="DE145" s="221" t="str">
        <f t="shared" si="152"/>
        <v/>
      </c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469" t="str">
        <f t="shared" si="166"/>
        <v/>
      </c>
      <c r="DP145" s="315">
        <f t="shared" si="167"/>
        <v>0</v>
      </c>
      <c r="DQ145" s="315" t="str">
        <f t="shared" si="168"/>
        <v/>
      </c>
      <c r="DR145" s="182"/>
      <c r="DS145" s="182"/>
      <c r="DT145" s="182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182"/>
      <c r="EE145" s="182"/>
      <c r="EF145" s="182"/>
      <c r="EG145" s="182"/>
      <c r="EH145" s="221" t="str">
        <f t="shared" si="169"/>
        <v/>
      </c>
      <c r="EI145" s="221" t="str">
        <f t="shared" si="170"/>
        <v/>
      </c>
      <c r="EJ145" s="221"/>
      <c r="EK145" s="221"/>
      <c r="EL145" s="221"/>
      <c r="EM145" s="221"/>
      <c r="EN145" s="221"/>
      <c r="EO145" s="221"/>
      <c r="EP145" s="221"/>
      <c r="EQ145" s="221"/>
      <c r="ER145" s="221"/>
      <c r="ES145" s="221"/>
      <c r="ET145" s="221"/>
      <c r="EU145" s="315">
        <f t="shared" si="171"/>
        <v>0</v>
      </c>
      <c r="EV145" s="315" t="str">
        <f t="shared" si="172"/>
        <v/>
      </c>
      <c r="EW145" s="182"/>
      <c r="EX145" s="182"/>
      <c r="EY145" s="182"/>
      <c r="EZ145" s="221"/>
      <c r="FA145" s="221"/>
      <c r="FB145" s="221"/>
      <c r="FC145" s="221"/>
      <c r="FD145" s="221"/>
      <c r="FE145" s="221"/>
      <c r="FF145" s="221"/>
      <c r="FG145" s="221"/>
      <c r="FH145" s="221"/>
      <c r="FI145" s="182"/>
      <c r="FJ145" s="182"/>
      <c r="FK145" s="182"/>
      <c r="FL145" s="182"/>
      <c r="FM145" s="221" t="str">
        <f t="shared" si="173"/>
        <v/>
      </c>
      <c r="FN145" s="221" t="str">
        <f t="shared" si="174"/>
        <v/>
      </c>
      <c r="FO145" s="221"/>
      <c r="FP145" s="221"/>
      <c r="FQ145" s="221"/>
      <c r="FR145" s="221"/>
      <c r="FS145" s="221"/>
      <c r="FT145" s="221"/>
      <c r="FU145" s="221"/>
      <c r="FV145" s="221"/>
      <c r="FW145" s="221"/>
      <c r="FX145" s="221"/>
      <c r="FY145" s="221"/>
      <c r="FZ145" s="408"/>
      <c r="GA145" s="315">
        <f t="shared" si="175"/>
        <v>0</v>
      </c>
      <c r="GB145" s="315" t="str">
        <f t="shared" si="176"/>
        <v/>
      </c>
      <c r="GC145" s="182" t="s">
        <v>160</v>
      </c>
      <c r="GD145" s="182"/>
      <c r="GE145" s="182"/>
      <c r="GG145" s="460"/>
      <c r="GH145" s="460"/>
      <c r="GU145" s="469"/>
      <c r="GV145" s="470" t="str">
        <f t="shared" si="177"/>
        <v/>
      </c>
      <c r="GW145" s="302">
        <f t="shared" si="178"/>
        <v>0</v>
      </c>
      <c r="HA145" s="654"/>
      <c r="HD145" s="379"/>
      <c r="HE145" s="380"/>
      <c r="HH145" s="385"/>
      <c r="HI145" s="411"/>
      <c r="HJ145" s="302" t="str">
        <f t="shared" si="153"/>
        <v/>
      </c>
      <c r="HO145" s="302" t="str">
        <f t="shared" si="146"/>
        <v/>
      </c>
      <c r="HP145" s="302" t="str">
        <f t="shared" si="147"/>
        <v/>
      </c>
      <c r="HQ145" s="302" t="str">
        <f t="shared" si="148"/>
        <v/>
      </c>
      <c r="IT145" s="411"/>
      <c r="IU145" s="411"/>
      <c r="IV145" s="635"/>
    </row>
    <row r="146" spans="1:256" s="302" customFormat="1" ht="12.75" hidden="1" customHeight="1">
      <c r="A146" s="397" t="str">
        <f t="shared" si="145"/>
        <v/>
      </c>
      <c r="B146" s="462" t="str">
        <f t="shared" si="149"/>
        <v/>
      </c>
      <c r="C146" s="426"/>
      <c r="D146" s="575"/>
      <c r="E146" s="463"/>
      <c r="F146" s="464"/>
      <c r="G146" s="465"/>
      <c r="H146" s="465"/>
      <c r="I146" s="466"/>
      <c r="J146" s="463"/>
      <c r="K146" s="465"/>
      <c r="L146" s="465"/>
      <c r="M146" s="466"/>
      <c r="N146" s="573"/>
      <c r="O146" s="467"/>
      <c r="P146" s="518"/>
      <c r="Q146" s="381"/>
      <c r="R146" s="182"/>
      <c r="S146" s="182"/>
      <c r="T146" s="182"/>
      <c r="U146" s="182"/>
      <c r="V146" s="182"/>
      <c r="W146" s="182"/>
      <c r="X146" s="182"/>
      <c r="Y146" s="182"/>
      <c r="Z146" s="182"/>
      <c r="AA146" s="382"/>
      <c r="AB146" s="182" t="str">
        <f t="shared" si="154"/>
        <v/>
      </c>
      <c r="AC146" s="315">
        <f t="shared" si="155"/>
        <v>0</v>
      </c>
      <c r="AD146" s="315" t="str">
        <f t="shared" si="150"/>
        <v/>
      </c>
      <c r="AE146" s="182"/>
      <c r="AF146" s="182"/>
      <c r="AG146" s="182"/>
      <c r="AH146" s="221"/>
      <c r="AI146" s="221"/>
      <c r="AJ146" s="221"/>
      <c r="AK146" s="221"/>
      <c r="AL146" s="221"/>
      <c r="AM146" s="221"/>
      <c r="AN146" s="221"/>
      <c r="AO146" s="221"/>
      <c r="AP146" s="221"/>
      <c r="AQ146" s="182"/>
      <c r="AR146" s="182"/>
      <c r="AS146" s="182"/>
      <c r="AT146" s="182"/>
      <c r="AU146" s="221" t="str">
        <f t="shared" si="156"/>
        <v/>
      </c>
      <c r="AV146" s="221" t="str">
        <f t="shared" si="157"/>
        <v/>
      </c>
      <c r="AW146" s="221"/>
      <c r="AX146" s="221"/>
      <c r="AY146" s="221"/>
      <c r="AZ146" s="221"/>
      <c r="BA146" s="221"/>
      <c r="BB146" s="221"/>
      <c r="BC146" s="221"/>
      <c r="BD146" s="221"/>
      <c r="BE146" s="221"/>
      <c r="BF146" s="468">
        <f t="shared" si="158"/>
        <v>0</v>
      </c>
      <c r="BG146" s="315">
        <f t="shared" si="159"/>
        <v>0</v>
      </c>
      <c r="BH146" s="315" t="str">
        <f t="shared" si="160"/>
        <v/>
      </c>
      <c r="BI146" s="182"/>
      <c r="BJ146" s="182"/>
      <c r="BK146" s="182"/>
      <c r="BL146" s="221"/>
      <c r="BM146" s="221"/>
      <c r="BN146" s="221"/>
      <c r="BO146" s="221"/>
      <c r="BP146" s="221"/>
      <c r="BQ146" s="221"/>
      <c r="BR146" s="221"/>
      <c r="BS146" s="221"/>
      <c r="BT146" s="221"/>
      <c r="BU146" s="182"/>
      <c r="BV146" s="182"/>
      <c r="BW146" s="182"/>
      <c r="BX146" s="182"/>
      <c r="BY146" s="221" t="str">
        <f t="shared" si="161"/>
        <v/>
      </c>
      <c r="BZ146" s="221" t="str">
        <f t="shared" si="162"/>
        <v/>
      </c>
      <c r="CA146" s="221"/>
      <c r="CB146" s="221"/>
      <c r="CC146" s="221"/>
      <c r="CD146" s="221"/>
      <c r="CE146" s="221"/>
      <c r="CF146" s="221"/>
      <c r="CG146" s="221"/>
      <c r="CH146" s="221"/>
      <c r="CI146" s="221"/>
      <c r="CJ146" s="468">
        <f t="shared" si="163"/>
        <v>0</v>
      </c>
      <c r="CK146" s="315">
        <f t="shared" si="164"/>
        <v>0</v>
      </c>
      <c r="CL146" s="315" t="str">
        <f t="shared" si="165"/>
        <v/>
      </c>
      <c r="CM146" s="182"/>
      <c r="CN146" s="182"/>
      <c r="CO146" s="182"/>
      <c r="CP146" s="221"/>
      <c r="CQ146" s="221"/>
      <c r="CR146" s="221"/>
      <c r="CS146" s="221"/>
      <c r="CT146" s="221"/>
      <c r="CU146" s="221"/>
      <c r="CV146" s="221"/>
      <c r="CW146" s="221"/>
      <c r="CX146" s="221"/>
      <c r="CY146" s="221"/>
      <c r="CZ146" s="182"/>
      <c r="DA146" s="182"/>
      <c r="DB146" s="182"/>
      <c r="DC146" s="182"/>
      <c r="DD146" s="221" t="str">
        <f t="shared" si="151"/>
        <v/>
      </c>
      <c r="DE146" s="221" t="str">
        <f t="shared" si="152"/>
        <v/>
      </c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469" t="str">
        <f t="shared" si="166"/>
        <v/>
      </c>
      <c r="DP146" s="315">
        <f t="shared" si="167"/>
        <v>0</v>
      </c>
      <c r="DQ146" s="315" t="str">
        <f t="shared" si="168"/>
        <v/>
      </c>
      <c r="DR146" s="182"/>
      <c r="DS146" s="182"/>
      <c r="DT146" s="182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182"/>
      <c r="EE146" s="182"/>
      <c r="EF146" s="182"/>
      <c r="EG146" s="182"/>
      <c r="EH146" s="221" t="str">
        <f t="shared" si="169"/>
        <v/>
      </c>
      <c r="EI146" s="221" t="str">
        <f t="shared" si="170"/>
        <v/>
      </c>
      <c r="EJ146" s="221"/>
      <c r="EK146" s="221"/>
      <c r="EL146" s="221"/>
      <c r="EM146" s="221"/>
      <c r="EN146" s="221"/>
      <c r="EO146" s="221"/>
      <c r="EP146" s="221"/>
      <c r="EQ146" s="221"/>
      <c r="ER146" s="221"/>
      <c r="ES146" s="221"/>
      <c r="ET146" s="221"/>
      <c r="EU146" s="315">
        <f t="shared" si="171"/>
        <v>0</v>
      </c>
      <c r="EV146" s="315" t="str">
        <f t="shared" si="172"/>
        <v/>
      </c>
      <c r="EW146" s="182"/>
      <c r="EX146" s="182"/>
      <c r="EY146" s="182"/>
      <c r="EZ146" s="221"/>
      <c r="FA146" s="221"/>
      <c r="FB146" s="221"/>
      <c r="FC146" s="221"/>
      <c r="FD146" s="221"/>
      <c r="FE146" s="221"/>
      <c r="FF146" s="221"/>
      <c r="FG146" s="221"/>
      <c r="FH146" s="221"/>
      <c r="FI146" s="182"/>
      <c r="FJ146" s="182"/>
      <c r="FK146" s="182"/>
      <c r="FL146" s="182"/>
      <c r="FM146" s="221" t="str">
        <f t="shared" si="173"/>
        <v/>
      </c>
      <c r="FN146" s="221" t="str">
        <f t="shared" si="174"/>
        <v/>
      </c>
      <c r="FO146" s="221"/>
      <c r="FP146" s="221"/>
      <c r="FQ146" s="221"/>
      <c r="FR146" s="221"/>
      <c r="FS146" s="221"/>
      <c r="FT146" s="221"/>
      <c r="FU146" s="221"/>
      <c r="FV146" s="221"/>
      <c r="FW146" s="221"/>
      <c r="FX146" s="221"/>
      <c r="FY146" s="221"/>
      <c r="FZ146" s="408"/>
      <c r="GA146" s="315">
        <f t="shared" si="175"/>
        <v>0</v>
      </c>
      <c r="GB146" s="315" t="str">
        <f t="shared" si="176"/>
        <v/>
      </c>
      <c r="GC146" s="302" t="s">
        <v>160</v>
      </c>
      <c r="GG146" s="460"/>
      <c r="GH146" s="460"/>
      <c r="GU146" s="469"/>
      <c r="GV146" s="470" t="str">
        <f t="shared" si="177"/>
        <v/>
      </c>
      <c r="GW146" s="302">
        <f t="shared" si="178"/>
        <v>0</v>
      </c>
      <c r="HA146" s="654"/>
      <c r="HD146" s="379"/>
      <c r="HE146" s="380"/>
      <c r="HH146" s="383"/>
      <c r="HI146" s="410"/>
      <c r="HJ146" s="302" t="str">
        <f t="shared" si="153"/>
        <v/>
      </c>
      <c r="HO146" s="302" t="str">
        <f t="shared" si="146"/>
        <v/>
      </c>
      <c r="HP146" s="302" t="str">
        <f t="shared" si="147"/>
        <v/>
      </c>
      <c r="HQ146" s="302" t="str">
        <f t="shared" si="148"/>
        <v/>
      </c>
      <c r="IT146" s="410"/>
      <c r="IU146" s="410"/>
      <c r="IV146" s="635"/>
    </row>
    <row r="147" spans="1:256" s="302" customFormat="1" ht="12.75" hidden="1" customHeight="1">
      <c r="A147" s="397" t="str">
        <f t="shared" si="145"/>
        <v/>
      </c>
      <c r="B147" s="462" t="str">
        <f t="shared" si="149"/>
        <v/>
      </c>
      <c r="C147" s="426"/>
      <c r="D147" s="575"/>
      <c r="E147" s="463"/>
      <c r="F147" s="464"/>
      <c r="G147" s="465"/>
      <c r="H147" s="465"/>
      <c r="I147" s="466"/>
      <c r="J147" s="463"/>
      <c r="K147" s="465"/>
      <c r="L147" s="465"/>
      <c r="M147" s="466"/>
      <c r="N147" s="573"/>
      <c r="O147" s="467"/>
      <c r="P147" s="518"/>
      <c r="Q147" s="381"/>
      <c r="R147" s="182"/>
      <c r="S147" s="182"/>
      <c r="T147" s="182"/>
      <c r="U147" s="182"/>
      <c r="V147" s="182"/>
      <c r="W147" s="182"/>
      <c r="X147" s="182"/>
      <c r="Y147" s="182"/>
      <c r="Z147" s="182"/>
      <c r="AA147" s="384"/>
      <c r="AB147" s="182" t="str">
        <f t="shared" si="154"/>
        <v/>
      </c>
      <c r="AC147" s="315">
        <f t="shared" si="155"/>
        <v>0</v>
      </c>
      <c r="AD147" s="315" t="str">
        <f t="shared" si="150"/>
        <v/>
      </c>
      <c r="AE147" s="182"/>
      <c r="AF147" s="182"/>
      <c r="AG147" s="182"/>
      <c r="AH147" s="221"/>
      <c r="AI147" s="221"/>
      <c r="AJ147" s="221"/>
      <c r="AK147" s="221"/>
      <c r="AL147" s="221"/>
      <c r="AM147" s="221"/>
      <c r="AN147" s="221"/>
      <c r="AO147" s="221"/>
      <c r="AP147" s="221"/>
      <c r="AQ147" s="182"/>
      <c r="AR147" s="182"/>
      <c r="AS147" s="182"/>
      <c r="AT147" s="182"/>
      <c r="AU147" s="221" t="str">
        <f t="shared" si="156"/>
        <v/>
      </c>
      <c r="AV147" s="221" t="str">
        <f t="shared" si="157"/>
        <v/>
      </c>
      <c r="AW147" s="221"/>
      <c r="AX147" s="221"/>
      <c r="AY147" s="221"/>
      <c r="AZ147" s="221"/>
      <c r="BA147" s="221"/>
      <c r="BB147" s="221"/>
      <c r="BC147" s="221"/>
      <c r="BD147" s="221"/>
      <c r="BE147" s="221"/>
      <c r="BF147" s="469">
        <f t="shared" si="158"/>
        <v>0</v>
      </c>
      <c r="BG147" s="315">
        <f t="shared" si="159"/>
        <v>0</v>
      </c>
      <c r="BH147" s="315" t="str">
        <f t="shared" si="160"/>
        <v/>
      </c>
      <c r="BI147" s="182"/>
      <c r="BJ147" s="182"/>
      <c r="BK147" s="182"/>
      <c r="BL147" s="221"/>
      <c r="BM147" s="221"/>
      <c r="BN147" s="221"/>
      <c r="BO147" s="221"/>
      <c r="BP147" s="221"/>
      <c r="BQ147" s="221"/>
      <c r="BR147" s="221"/>
      <c r="BS147" s="221"/>
      <c r="BT147" s="221"/>
      <c r="BU147" s="182"/>
      <c r="BV147" s="182"/>
      <c r="BW147" s="182"/>
      <c r="BX147" s="182"/>
      <c r="BY147" s="221" t="str">
        <f t="shared" si="161"/>
        <v/>
      </c>
      <c r="BZ147" s="221" t="str">
        <f t="shared" si="162"/>
        <v/>
      </c>
      <c r="CA147" s="221"/>
      <c r="CB147" s="221"/>
      <c r="CC147" s="221"/>
      <c r="CD147" s="221"/>
      <c r="CE147" s="221"/>
      <c r="CF147" s="221"/>
      <c r="CG147" s="221"/>
      <c r="CH147" s="221"/>
      <c r="CI147" s="221"/>
      <c r="CJ147" s="469">
        <f t="shared" si="163"/>
        <v>0</v>
      </c>
      <c r="CK147" s="315">
        <f t="shared" si="164"/>
        <v>0</v>
      </c>
      <c r="CL147" s="315" t="str">
        <f t="shared" si="165"/>
        <v/>
      </c>
      <c r="CM147" s="182"/>
      <c r="CN147" s="182"/>
      <c r="CO147" s="182"/>
      <c r="CP147" s="221"/>
      <c r="CQ147" s="221"/>
      <c r="CR147" s="221"/>
      <c r="CS147" s="221"/>
      <c r="CT147" s="221"/>
      <c r="CU147" s="221"/>
      <c r="CV147" s="221"/>
      <c r="CW147" s="221"/>
      <c r="CX147" s="221"/>
      <c r="CY147" s="221"/>
      <c r="CZ147" s="182"/>
      <c r="DA147" s="182"/>
      <c r="DB147" s="182"/>
      <c r="DC147" s="182"/>
      <c r="DD147" s="221" t="str">
        <f t="shared" si="151"/>
        <v/>
      </c>
      <c r="DE147" s="221" t="str">
        <f t="shared" si="152"/>
        <v/>
      </c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469" t="str">
        <f t="shared" si="166"/>
        <v/>
      </c>
      <c r="DP147" s="315">
        <f t="shared" si="167"/>
        <v>0</v>
      </c>
      <c r="DQ147" s="315" t="str">
        <f t="shared" si="168"/>
        <v/>
      </c>
      <c r="DR147" s="182"/>
      <c r="DS147" s="182"/>
      <c r="DT147" s="182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182"/>
      <c r="EE147" s="182"/>
      <c r="EF147" s="182"/>
      <c r="EG147" s="182"/>
      <c r="EH147" s="221" t="str">
        <f t="shared" si="169"/>
        <v/>
      </c>
      <c r="EI147" s="221" t="str">
        <f t="shared" si="170"/>
        <v/>
      </c>
      <c r="EJ147" s="221"/>
      <c r="EK147" s="221"/>
      <c r="EL147" s="221"/>
      <c r="EM147" s="221"/>
      <c r="EN147" s="221"/>
      <c r="EO147" s="221"/>
      <c r="EP147" s="221"/>
      <c r="EQ147" s="221"/>
      <c r="ER147" s="221"/>
      <c r="ES147" s="221"/>
      <c r="ET147" s="221"/>
      <c r="EU147" s="315">
        <f t="shared" si="171"/>
        <v>0</v>
      </c>
      <c r="EV147" s="315" t="str">
        <f t="shared" si="172"/>
        <v/>
      </c>
      <c r="EW147" s="182"/>
      <c r="EX147" s="182"/>
      <c r="EY147" s="182"/>
      <c r="EZ147" s="221"/>
      <c r="FA147" s="221"/>
      <c r="FB147" s="221"/>
      <c r="FC147" s="221"/>
      <c r="FD147" s="221"/>
      <c r="FE147" s="221"/>
      <c r="FF147" s="221"/>
      <c r="FG147" s="221"/>
      <c r="FH147" s="221"/>
      <c r="FI147" s="182"/>
      <c r="FJ147" s="182"/>
      <c r="FK147" s="182"/>
      <c r="FL147" s="182"/>
      <c r="FM147" s="221" t="str">
        <f t="shared" si="173"/>
        <v/>
      </c>
      <c r="FN147" s="221" t="str">
        <f t="shared" si="174"/>
        <v/>
      </c>
      <c r="FO147" s="221"/>
      <c r="FP147" s="221"/>
      <c r="FQ147" s="221"/>
      <c r="FR147" s="221"/>
      <c r="FS147" s="221"/>
      <c r="FT147" s="221"/>
      <c r="FU147" s="221"/>
      <c r="FV147" s="221"/>
      <c r="FW147" s="221"/>
      <c r="FX147" s="221"/>
      <c r="FY147" s="221"/>
      <c r="FZ147" s="408"/>
      <c r="GA147" s="315">
        <f t="shared" si="175"/>
        <v>0</v>
      </c>
      <c r="GB147" s="315" t="str">
        <f t="shared" si="176"/>
        <v/>
      </c>
      <c r="GC147" s="182" t="s">
        <v>160</v>
      </c>
      <c r="GD147" s="182"/>
      <c r="GE147" s="182"/>
      <c r="GG147" s="460"/>
      <c r="GH147" s="460"/>
      <c r="GU147" s="469"/>
      <c r="GV147" s="470" t="str">
        <f t="shared" si="177"/>
        <v/>
      </c>
      <c r="GW147" s="302">
        <f t="shared" si="178"/>
        <v>0</v>
      </c>
      <c r="HA147" s="654"/>
      <c r="HD147" s="379"/>
      <c r="HE147" s="380"/>
      <c r="HH147" s="385"/>
      <c r="HI147" s="411"/>
      <c r="HJ147" s="302" t="str">
        <f t="shared" si="153"/>
        <v/>
      </c>
      <c r="HO147" s="302" t="str">
        <f t="shared" si="146"/>
        <v/>
      </c>
      <c r="HP147" s="302" t="str">
        <f t="shared" si="147"/>
        <v/>
      </c>
      <c r="HQ147" s="302" t="str">
        <f t="shared" si="148"/>
        <v/>
      </c>
      <c r="IT147" s="411"/>
      <c r="IU147" s="411"/>
      <c r="IV147" s="635"/>
    </row>
    <row r="148" spans="1:256" s="302" customFormat="1" ht="12.75" hidden="1" customHeight="1">
      <c r="A148" s="397" t="str">
        <f t="shared" si="145"/>
        <v/>
      </c>
      <c r="B148" s="462" t="str">
        <f t="shared" si="149"/>
        <v/>
      </c>
      <c r="C148" s="426"/>
      <c r="D148" s="575"/>
      <c r="E148" s="463"/>
      <c r="F148" s="464"/>
      <c r="G148" s="465"/>
      <c r="H148" s="465"/>
      <c r="I148" s="466"/>
      <c r="J148" s="463"/>
      <c r="K148" s="465"/>
      <c r="L148" s="465"/>
      <c r="M148" s="466"/>
      <c r="N148" s="573"/>
      <c r="O148" s="467"/>
      <c r="P148" s="518"/>
      <c r="Q148" s="381"/>
      <c r="R148" s="182"/>
      <c r="S148" s="182"/>
      <c r="T148" s="182"/>
      <c r="U148" s="182"/>
      <c r="V148" s="182"/>
      <c r="W148" s="182"/>
      <c r="X148" s="182"/>
      <c r="Y148" s="182"/>
      <c r="Z148" s="182"/>
      <c r="AA148" s="382"/>
      <c r="AB148" s="182" t="str">
        <f t="shared" si="154"/>
        <v/>
      </c>
      <c r="AC148" s="315">
        <f t="shared" si="155"/>
        <v>0</v>
      </c>
      <c r="AD148" s="315" t="str">
        <f t="shared" si="150"/>
        <v/>
      </c>
      <c r="AH148" s="380"/>
      <c r="AI148" s="380"/>
      <c r="AJ148" s="380"/>
      <c r="AK148" s="380"/>
      <c r="AL148" s="380"/>
      <c r="AM148" s="380"/>
      <c r="AN148" s="380"/>
      <c r="AO148" s="380"/>
      <c r="AP148" s="380"/>
      <c r="AU148" s="221" t="str">
        <f t="shared" si="156"/>
        <v/>
      </c>
      <c r="AV148" s="221" t="str">
        <f t="shared" si="157"/>
        <v/>
      </c>
      <c r="AW148" s="221"/>
      <c r="AX148" s="221"/>
      <c r="AY148" s="221"/>
      <c r="AZ148" s="221"/>
      <c r="BA148" s="221"/>
      <c r="BB148" s="221"/>
      <c r="BC148" s="221"/>
      <c r="BD148" s="221"/>
      <c r="BE148" s="221"/>
      <c r="BF148" s="468">
        <f t="shared" si="158"/>
        <v>0</v>
      </c>
      <c r="BG148" s="315">
        <f t="shared" si="159"/>
        <v>0</v>
      </c>
      <c r="BH148" s="315" t="str">
        <f t="shared" si="160"/>
        <v/>
      </c>
      <c r="BL148" s="380"/>
      <c r="BM148" s="380"/>
      <c r="BN148" s="380"/>
      <c r="BO148" s="380"/>
      <c r="BP148" s="380"/>
      <c r="BQ148" s="380"/>
      <c r="BR148" s="380"/>
      <c r="BS148" s="380"/>
      <c r="BT148" s="380"/>
      <c r="BY148" s="221" t="str">
        <f t="shared" si="161"/>
        <v/>
      </c>
      <c r="BZ148" s="221" t="str">
        <f t="shared" si="162"/>
        <v/>
      </c>
      <c r="CA148" s="221"/>
      <c r="CB148" s="221"/>
      <c r="CC148" s="221"/>
      <c r="CD148" s="221"/>
      <c r="CE148" s="221"/>
      <c r="CF148" s="221"/>
      <c r="CG148" s="221"/>
      <c r="CH148" s="221"/>
      <c r="CI148" s="221"/>
      <c r="CJ148" s="468">
        <f t="shared" si="163"/>
        <v>0</v>
      </c>
      <c r="CK148" s="315">
        <f t="shared" si="164"/>
        <v>0</v>
      </c>
      <c r="CL148" s="315" t="str">
        <f t="shared" si="165"/>
        <v/>
      </c>
      <c r="CM148" s="182"/>
      <c r="CN148" s="182"/>
      <c r="CO148" s="182"/>
      <c r="CP148" s="221"/>
      <c r="CQ148" s="221"/>
      <c r="CR148" s="221"/>
      <c r="CS148" s="221"/>
      <c r="CT148" s="221"/>
      <c r="CU148" s="221"/>
      <c r="CV148" s="221"/>
      <c r="CW148" s="221"/>
      <c r="CX148" s="221"/>
      <c r="CY148" s="221"/>
      <c r="CZ148" s="182"/>
      <c r="DA148" s="182"/>
      <c r="DB148" s="182"/>
      <c r="DC148" s="182"/>
      <c r="DD148" s="221" t="str">
        <f t="shared" si="151"/>
        <v/>
      </c>
      <c r="DE148" s="221" t="str">
        <f t="shared" si="152"/>
        <v/>
      </c>
      <c r="DF148" s="221"/>
      <c r="DG148" s="221"/>
      <c r="DH148" s="221"/>
      <c r="DI148" s="221"/>
      <c r="DJ148" s="221"/>
      <c r="DK148" s="221"/>
      <c r="DL148" s="221"/>
      <c r="DM148" s="221"/>
      <c r="DN148" s="221"/>
      <c r="DO148" s="469" t="str">
        <f t="shared" si="166"/>
        <v/>
      </c>
      <c r="DP148" s="315">
        <f t="shared" si="167"/>
        <v>0</v>
      </c>
      <c r="DQ148" s="315" t="str">
        <f t="shared" si="168"/>
        <v/>
      </c>
      <c r="DR148" s="182"/>
      <c r="DS148" s="182"/>
      <c r="DT148" s="182"/>
      <c r="DU148" s="221"/>
      <c r="DV148" s="221"/>
      <c r="DW148" s="221"/>
      <c r="DX148" s="221"/>
      <c r="DY148" s="221"/>
      <c r="DZ148" s="221"/>
      <c r="EA148" s="221"/>
      <c r="EB148" s="221"/>
      <c r="EC148" s="221"/>
      <c r="ED148" s="182"/>
      <c r="EE148" s="182"/>
      <c r="EF148" s="182"/>
      <c r="EG148" s="182"/>
      <c r="EH148" s="221" t="str">
        <f t="shared" si="169"/>
        <v/>
      </c>
      <c r="EI148" s="221" t="str">
        <f t="shared" si="170"/>
        <v/>
      </c>
      <c r="EJ148" s="221"/>
      <c r="EK148" s="221"/>
      <c r="EL148" s="221"/>
      <c r="EM148" s="221"/>
      <c r="EN148" s="221"/>
      <c r="EO148" s="221"/>
      <c r="EP148" s="221"/>
      <c r="EQ148" s="221"/>
      <c r="ER148" s="221"/>
      <c r="ES148" s="221"/>
      <c r="ET148" s="221"/>
      <c r="EU148" s="315">
        <f t="shared" si="171"/>
        <v>0</v>
      </c>
      <c r="EV148" s="315" t="str">
        <f t="shared" si="172"/>
        <v/>
      </c>
      <c r="EW148" s="182"/>
      <c r="EX148" s="182"/>
      <c r="EY148" s="182"/>
      <c r="EZ148" s="221"/>
      <c r="FA148" s="221"/>
      <c r="FB148" s="221"/>
      <c r="FC148" s="221"/>
      <c r="FD148" s="221"/>
      <c r="FE148" s="221"/>
      <c r="FF148" s="221"/>
      <c r="FG148" s="221"/>
      <c r="FH148" s="221"/>
      <c r="FI148" s="182"/>
      <c r="FJ148" s="182"/>
      <c r="FK148" s="182"/>
      <c r="FL148" s="182"/>
      <c r="FM148" s="221" t="str">
        <f t="shared" si="173"/>
        <v/>
      </c>
      <c r="FN148" s="221" t="str">
        <f t="shared" si="174"/>
        <v/>
      </c>
      <c r="FO148" s="221"/>
      <c r="FP148" s="221"/>
      <c r="FQ148" s="221"/>
      <c r="FR148" s="221"/>
      <c r="FS148" s="221"/>
      <c r="FT148" s="221"/>
      <c r="FU148" s="221"/>
      <c r="FV148" s="221"/>
      <c r="FW148" s="221"/>
      <c r="FX148" s="221"/>
      <c r="FY148" s="221"/>
      <c r="FZ148" s="408"/>
      <c r="GA148" s="315">
        <f t="shared" si="175"/>
        <v>0</v>
      </c>
      <c r="GB148" s="315" t="str">
        <f t="shared" si="176"/>
        <v/>
      </c>
      <c r="GC148" s="182" t="s">
        <v>160</v>
      </c>
      <c r="GD148" s="182"/>
      <c r="GE148" s="182"/>
      <c r="GG148" s="460"/>
      <c r="GH148" s="460"/>
      <c r="GU148" s="469"/>
      <c r="GV148" s="470" t="str">
        <f t="shared" si="177"/>
        <v/>
      </c>
      <c r="GW148" s="302">
        <f t="shared" si="178"/>
        <v>0</v>
      </c>
      <c r="HA148" s="654"/>
      <c r="HD148" s="379"/>
      <c r="HE148" s="380"/>
      <c r="HH148" s="383"/>
      <c r="HI148" s="410"/>
      <c r="HJ148" s="302" t="str">
        <f t="shared" si="153"/>
        <v/>
      </c>
      <c r="HO148" s="302" t="str">
        <f t="shared" si="146"/>
        <v/>
      </c>
      <c r="HP148" s="302" t="str">
        <f t="shared" si="147"/>
        <v/>
      </c>
      <c r="HQ148" s="302" t="str">
        <f t="shared" si="148"/>
        <v/>
      </c>
      <c r="IT148" s="410"/>
      <c r="IU148" s="410"/>
      <c r="IV148" s="635"/>
    </row>
    <row r="149" spans="1:256" s="302" customFormat="1" ht="12.75" hidden="1" customHeight="1">
      <c r="A149" s="397" t="str">
        <f t="shared" si="145"/>
        <v/>
      </c>
      <c r="B149" s="462" t="str">
        <f t="shared" si="149"/>
        <v/>
      </c>
      <c r="C149" s="426"/>
      <c r="D149" s="575"/>
      <c r="E149" s="463"/>
      <c r="F149" s="464"/>
      <c r="G149" s="465"/>
      <c r="H149" s="465"/>
      <c r="I149" s="466"/>
      <c r="J149" s="463"/>
      <c r="K149" s="465"/>
      <c r="L149" s="465"/>
      <c r="M149" s="466"/>
      <c r="N149" s="573"/>
      <c r="O149" s="467"/>
      <c r="P149" s="518"/>
      <c r="Q149" s="381"/>
      <c r="R149" s="182"/>
      <c r="S149" s="182"/>
      <c r="T149" s="182"/>
      <c r="U149" s="182"/>
      <c r="V149" s="182"/>
      <c r="W149" s="182"/>
      <c r="X149" s="182"/>
      <c r="Y149" s="182"/>
      <c r="Z149" s="182"/>
      <c r="AA149" s="382"/>
      <c r="AB149" s="182" t="str">
        <f t="shared" si="154"/>
        <v/>
      </c>
      <c r="AC149" s="315">
        <f t="shared" si="155"/>
        <v>0</v>
      </c>
      <c r="AD149" s="315" t="str">
        <f t="shared" si="150"/>
        <v/>
      </c>
      <c r="AE149" s="182"/>
      <c r="AF149" s="182"/>
      <c r="AG149" s="182"/>
      <c r="AH149" s="221"/>
      <c r="AI149" s="221"/>
      <c r="AJ149" s="221"/>
      <c r="AK149" s="221"/>
      <c r="AL149" s="221"/>
      <c r="AM149" s="221"/>
      <c r="AN149" s="221"/>
      <c r="AO149" s="221"/>
      <c r="AP149" s="221"/>
      <c r="AQ149" s="182"/>
      <c r="AR149" s="182"/>
      <c r="AS149" s="182"/>
      <c r="AT149" s="182"/>
      <c r="AU149" s="221" t="str">
        <f t="shared" si="156"/>
        <v/>
      </c>
      <c r="AV149" s="221" t="str">
        <f t="shared" si="157"/>
        <v/>
      </c>
      <c r="AW149" s="221"/>
      <c r="AX149" s="221"/>
      <c r="AY149" s="221"/>
      <c r="AZ149" s="221"/>
      <c r="BA149" s="221"/>
      <c r="BB149" s="221"/>
      <c r="BC149" s="221"/>
      <c r="BD149" s="221"/>
      <c r="BE149" s="221"/>
      <c r="BF149" s="468">
        <f t="shared" si="158"/>
        <v>0</v>
      </c>
      <c r="BG149" s="315">
        <f t="shared" si="159"/>
        <v>0</v>
      </c>
      <c r="BH149" s="315" t="str">
        <f t="shared" si="160"/>
        <v/>
      </c>
      <c r="BI149" s="182"/>
      <c r="BJ149" s="182"/>
      <c r="BK149" s="182"/>
      <c r="BL149" s="221"/>
      <c r="BM149" s="221"/>
      <c r="BN149" s="221"/>
      <c r="BO149" s="221"/>
      <c r="BP149" s="221"/>
      <c r="BQ149" s="221"/>
      <c r="BR149" s="221"/>
      <c r="BS149" s="221"/>
      <c r="BT149" s="221"/>
      <c r="BU149" s="182"/>
      <c r="BV149" s="182"/>
      <c r="BW149" s="182"/>
      <c r="BX149" s="182"/>
      <c r="BY149" s="221" t="str">
        <f t="shared" si="161"/>
        <v/>
      </c>
      <c r="BZ149" s="221" t="str">
        <f t="shared" si="162"/>
        <v/>
      </c>
      <c r="CA149" s="221"/>
      <c r="CB149" s="221"/>
      <c r="CC149" s="221"/>
      <c r="CD149" s="221"/>
      <c r="CE149" s="221"/>
      <c r="CF149" s="221"/>
      <c r="CG149" s="221"/>
      <c r="CH149" s="221"/>
      <c r="CI149" s="221"/>
      <c r="CJ149" s="468">
        <f t="shared" si="163"/>
        <v>0</v>
      </c>
      <c r="CK149" s="315">
        <f t="shared" si="164"/>
        <v>0</v>
      </c>
      <c r="CL149" s="315" t="str">
        <f t="shared" si="165"/>
        <v/>
      </c>
      <c r="CM149" s="182"/>
      <c r="CN149" s="182"/>
      <c r="CO149" s="182"/>
      <c r="CP149" s="221"/>
      <c r="CQ149" s="221"/>
      <c r="CR149" s="221"/>
      <c r="CS149" s="221"/>
      <c r="CT149" s="221"/>
      <c r="CU149" s="221"/>
      <c r="CV149" s="221"/>
      <c r="CW149" s="221"/>
      <c r="CX149" s="221"/>
      <c r="CY149" s="221"/>
      <c r="CZ149" s="182"/>
      <c r="DA149" s="182"/>
      <c r="DB149" s="182"/>
      <c r="DC149" s="182"/>
      <c r="DD149" s="221" t="str">
        <f t="shared" si="151"/>
        <v/>
      </c>
      <c r="DE149" s="221" t="str">
        <f t="shared" si="152"/>
        <v/>
      </c>
      <c r="DF149" s="221"/>
      <c r="DG149" s="221"/>
      <c r="DH149" s="221"/>
      <c r="DI149" s="221"/>
      <c r="DJ149" s="221"/>
      <c r="DK149" s="221"/>
      <c r="DL149" s="221"/>
      <c r="DM149" s="221"/>
      <c r="DN149" s="221"/>
      <c r="DO149" s="469" t="str">
        <f t="shared" si="166"/>
        <v/>
      </c>
      <c r="DP149" s="315">
        <f t="shared" si="167"/>
        <v>0</v>
      </c>
      <c r="DQ149" s="315" t="str">
        <f t="shared" si="168"/>
        <v/>
      </c>
      <c r="DR149" s="182"/>
      <c r="DS149" s="182"/>
      <c r="DT149" s="182"/>
      <c r="DU149" s="221"/>
      <c r="DV149" s="221"/>
      <c r="DW149" s="221"/>
      <c r="DX149" s="221"/>
      <c r="DY149" s="221"/>
      <c r="DZ149" s="221"/>
      <c r="EA149" s="221"/>
      <c r="EB149" s="221"/>
      <c r="EC149" s="221"/>
      <c r="ED149" s="182"/>
      <c r="EE149" s="182"/>
      <c r="EF149" s="182"/>
      <c r="EG149" s="182"/>
      <c r="EH149" s="221" t="str">
        <f t="shared" si="169"/>
        <v/>
      </c>
      <c r="EI149" s="221" t="str">
        <f t="shared" si="170"/>
        <v/>
      </c>
      <c r="EJ149" s="221"/>
      <c r="EK149" s="221"/>
      <c r="EL149" s="221"/>
      <c r="EM149" s="221"/>
      <c r="EN149" s="221"/>
      <c r="EO149" s="221"/>
      <c r="EP149" s="221"/>
      <c r="EQ149" s="221"/>
      <c r="ER149" s="221"/>
      <c r="ES149" s="221"/>
      <c r="ET149" s="221"/>
      <c r="EU149" s="315">
        <f t="shared" si="171"/>
        <v>0</v>
      </c>
      <c r="EV149" s="315" t="str">
        <f t="shared" si="172"/>
        <v/>
      </c>
      <c r="EW149" s="182"/>
      <c r="EX149" s="182"/>
      <c r="EY149" s="182"/>
      <c r="EZ149" s="221"/>
      <c r="FA149" s="221"/>
      <c r="FB149" s="221"/>
      <c r="FC149" s="221"/>
      <c r="FD149" s="221"/>
      <c r="FE149" s="221"/>
      <c r="FF149" s="221"/>
      <c r="FG149" s="221"/>
      <c r="FH149" s="221"/>
      <c r="FI149" s="182"/>
      <c r="FJ149" s="182"/>
      <c r="FK149" s="182"/>
      <c r="FL149" s="182"/>
      <c r="FM149" s="221" t="str">
        <f t="shared" si="173"/>
        <v/>
      </c>
      <c r="FN149" s="221" t="str">
        <f t="shared" si="174"/>
        <v/>
      </c>
      <c r="FO149" s="221"/>
      <c r="FP149" s="221"/>
      <c r="FQ149" s="221"/>
      <c r="FR149" s="221"/>
      <c r="FS149" s="221"/>
      <c r="FT149" s="221"/>
      <c r="FU149" s="221"/>
      <c r="FV149" s="221"/>
      <c r="FW149" s="221"/>
      <c r="FX149" s="221"/>
      <c r="FY149" s="221"/>
      <c r="FZ149" s="408"/>
      <c r="GA149" s="315">
        <f t="shared" si="175"/>
        <v>0</v>
      </c>
      <c r="GB149" s="315" t="str">
        <f t="shared" si="176"/>
        <v/>
      </c>
      <c r="GC149" s="302" t="s">
        <v>160</v>
      </c>
      <c r="GG149" s="460"/>
      <c r="GH149" s="460"/>
      <c r="GU149" s="469"/>
      <c r="GV149" s="470" t="str">
        <f t="shared" si="177"/>
        <v/>
      </c>
      <c r="GW149" s="302">
        <f t="shared" si="178"/>
        <v>0</v>
      </c>
      <c r="HA149" s="654"/>
      <c r="HD149" s="379"/>
      <c r="HE149" s="380"/>
      <c r="HH149" s="383"/>
      <c r="HI149" s="410"/>
      <c r="HJ149" s="302" t="str">
        <f t="shared" si="153"/>
        <v/>
      </c>
      <c r="HO149" s="302" t="str">
        <f t="shared" si="146"/>
        <v/>
      </c>
      <c r="HP149" s="302" t="str">
        <f t="shared" si="147"/>
        <v/>
      </c>
      <c r="HQ149" s="302" t="str">
        <f t="shared" si="148"/>
        <v/>
      </c>
      <c r="IT149" s="410"/>
      <c r="IU149" s="410"/>
      <c r="IV149" s="635"/>
    </row>
    <row r="150" spans="1:256" s="302" customFormat="1" ht="12.75" hidden="1" customHeight="1">
      <c r="A150" s="397" t="str">
        <f t="shared" si="145"/>
        <v/>
      </c>
      <c r="B150" s="462" t="str">
        <f t="shared" si="149"/>
        <v/>
      </c>
      <c r="C150" s="426"/>
      <c r="D150" s="575"/>
      <c r="E150" s="463"/>
      <c r="F150" s="464"/>
      <c r="G150" s="465"/>
      <c r="H150" s="465"/>
      <c r="I150" s="466"/>
      <c r="J150" s="463"/>
      <c r="K150" s="465"/>
      <c r="L150" s="465"/>
      <c r="M150" s="466"/>
      <c r="N150" s="573"/>
      <c r="O150" s="467"/>
      <c r="P150" s="518"/>
      <c r="Q150" s="381"/>
      <c r="R150" s="182"/>
      <c r="S150" s="182"/>
      <c r="T150" s="182"/>
      <c r="U150" s="182"/>
      <c r="V150" s="182"/>
      <c r="W150" s="182"/>
      <c r="X150" s="182"/>
      <c r="Y150" s="182"/>
      <c r="Z150" s="182"/>
      <c r="AA150" s="384"/>
      <c r="AB150" s="182" t="str">
        <f t="shared" si="154"/>
        <v/>
      </c>
      <c r="AC150" s="315">
        <f t="shared" si="155"/>
        <v>0</v>
      </c>
      <c r="AD150" s="315" t="str">
        <f t="shared" si="150"/>
        <v/>
      </c>
      <c r="AE150" s="182"/>
      <c r="AF150" s="182"/>
      <c r="AG150" s="182"/>
      <c r="AH150" s="221"/>
      <c r="AI150" s="221"/>
      <c r="AJ150" s="221"/>
      <c r="AK150" s="221"/>
      <c r="AL150" s="221"/>
      <c r="AM150" s="221"/>
      <c r="AN150" s="221"/>
      <c r="AO150" s="221"/>
      <c r="AP150" s="221"/>
      <c r="AQ150" s="182"/>
      <c r="AR150" s="182"/>
      <c r="AS150" s="182"/>
      <c r="AT150" s="182"/>
      <c r="AU150" s="221" t="str">
        <f t="shared" si="156"/>
        <v/>
      </c>
      <c r="AV150" s="221" t="str">
        <f t="shared" si="157"/>
        <v/>
      </c>
      <c r="AW150" s="221"/>
      <c r="AX150" s="221"/>
      <c r="AY150" s="221"/>
      <c r="AZ150" s="221"/>
      <c r="BA150" s="221"/>
      <c r="BB150" s="221"/>
      <c r="BC150" s="221"/>
      <c r="BD150" s="221"/>
      <c r="BE150" s="221"/>
      <c r="BF150" s="469">
        <f t="shared" si="158"/>
        <v>0</v>
      </c>
      <c r="BG150" s="315">
        <f t="shared" si="159"/>
        <v>0</v>
      </c>
      <c r="BH150" s="315" t="str">
        <f t="shared" si="160"/>
        <v/>
      </c>
      <c r="BI150" s="182"/>
      <c r="BJ150" s="182"/>
      <c r="BK150" s="182"/>
      <c r="BL150" s="221"/>
      <c r="BM150" s="221"/>
      <c r="BN150" s="221"/>
      <c r="BO150" s="221"/>
      <c r="BP150" s="221"/>
      <c r="BQ150" s="221"/>
      <c r="BR150" s="221"/>
      <c r="BS150" s="221"/>
      <c r="BT150" s="221"/>
      <c r="BU150" s="182"/>
      <c r="BV150" s="182"/>
      <c r="BW150" s="182"/>
      <c r="BX150" s="182"/>
      <c r="BY150" s="221" t="str">
        <f t="shared" si="161"/>
        <v/>
      </c>
      <c r="BZ150" s="221" t="str">
        <f t="shared" si="162"/>
        <v/>
      </c>
      <c r="CA150" s="221"/>
      <c r="CB150" s="221"/>
      <c r="CC150" s="221"/>
      <c r="CD150" s="221"/>
      <c r="CE150" s="221"/>
      <c r="CF150" s="221"/>
      <c r="CG150" s="221"/>
      <c r="CH150" s="221"/>
      <c r="CI150" s="221"/>
      <c r="CJ150" s="469">
        <f t="shared" si="163"/>
        <v>0</v>
      </c>
      <c r="CK150" s="315">
        <f t="shared" si="164"/>
        <v>0</v>
      </c>
      <c r="CL150" s="315" t="str">
        <f t="shared" si="165"/>
        <v/>
      </c>
      <c r="CM150" s="182"/>
      <c r="CN150" s="182"/>
      <c r="CO150" s="182"/>
      <c r="CP150" s="221"/>
      <c r="CQ150" s="221"/>
      <c r="CR150" s="221"/>
      <c r="CS150" s="221"/>
      <c r="CT150" s="221"/>
      <c r="CU150" s="221"/>
      <c r="CV150" s="221"/>
      <c r="CW150" s="221"/>
      <c r="CX150" s="221"/>
      <c r="CY150" s="221"/>
      <c r="CZ150" s="182"/>
      <c r="DA150" s="182"/>
      <c r="DB150" s="182"/>
      <c r="DC150" s="182"/>
      <c r="DD150" s="221" t="str">
        <f t="shared" si="151"/>
        <v/>
      </c>
      <c r="DE150" s="221" t="str">
        <f t="shared" si="152"/>
        <v/>
      </c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469" t="str">
        <f t="shared" si="166"/>
        <v/>
      </c>
      <c r="DP150" s="315">
        <f t="shared" si="167"/>
        <v>0</v>
      </c>
      <c r="DQ150" s="315" t="str">
        <f t="shared" si="168"/>
        <v/>
      </c>
      <c r="DR150" s="182"/>
      <c r="DS150" s="182"/>
      <c r="DT150" s="182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182"/>
      <c r="EE150" s="182"/>
      <c r="EF150" s="182"/>
      <c r="EG150" s="182"/>
      <c r="EH150" s="221" t="str">
        <f t="shared" si="169"/>
        <v/>
      </c>
      <c r="EI150" s="221" t="str">
        <f t="shared" si="170"/>
        <v/>
      </c>
      <c r="EJ150" s="221"/>
      <c r="EK150" s="221"/>
      <c r="EL150" s="221"/>
      <c r="EM150" s="221"/>
      <c r="EN150" s="221"/>
      <c r="EO150" s="221"/>
      <c r="EP150" s="221"/>
      <c r="EQ150" s="221"/>
      <c r="ER150" s="221"/>
      <c r="ES150" s="221"/>
      <c r="ET150" s="221"/>
      <c r="EU150" s="315">
        <f t="shared" si="171"/>
        <v>0</v>
      </c>
      <c r="EV150" s="315" t="str">
        <f t="shared" si="172"/>
        <v/>
      </c>
      <c r="EW150" s="182"/>
      <c r="EX150" s="182"/>
      <c r="EY150" s="182"/>
      <c r="EZ150" s="221"/>
      <c r="FA150" s="221"/>
      <c r="FB150" s="221"/>
      <c r="FC150" s="221"/>
      <c r="FD150" s="221"/>
      <c r="FE150" s="221"/>
      <c r="FF150" s="221"/>
      <c r="FG150" s="221"/>
      <c r="FH150" s="221"/>
      <c r="FI150" s="182"/>
      <c r="FJ150" s="182"/>
      <c r="FK150" s="182"/>
      <c r="FL150" s="182"/>
      <c r="FM150" s="221" t="str">
        <f t="shared" si="173"/>
        <v/>
      </c>
      <c r="FN150" s="221" t="str">
        <f t="shared" si="174"/>
        <v/>
      </c>
      <c r="FO150" s="221"/>
      <c r="FP150" s="221"/>
      <c r="FQ150" s="221"/>
      <c r="FR150" s="221"/>
      <c r="FS150" s="221"/>
      <c r="FT150" s="221"/>
      <c r="FU150" s="221"/>
      <c r="FV150" s="221"/>
      <c r="FW150" s="221"/>
      <c r="FX150" s="221"/>
      <c r="FY150" s="221"/>
      <c r="FZ150" s="408"/>
      <c r="GA150" s="315">
        <f t="shared" si="175"/>
        <v>0</v>
      </c>
      <c r="GB150" s="315" t="str">
        <f t="shared" si="176"/>
        <v/>
      </c>
      <c r="GC150" s="302" t="s">
        <v>160</v>
      </c>
      <c r="GG150" s="460"/>
      <c r="GH150" s="460"/>
      <c r="GU150" s="469"/>
      <c r="GV150" s="470" t="str">
        <f t="shared" si="177"/>
        <v/>
      </c>
      <c r="GW150" s="302">
        <f t="shared" si="178"/>
        <v>0</v>
      </c>
      <c r="HA150" s="654"/>
      <c r="HD150" s="379"/>
      <c r="HE150" s="380"/>
      <c r="HH150" s="385"/>
      <c r="HI150" s="411"/>
      <c r="HJ150" s="302" t="str">
        <f t="shared" si="153"/>
        <v/>
      </c>
      <c r="HO150" s="302" t="str">
        <f t="shared" si="146"/>
        <v/>
      </c>
      <c r="HP150" s="302" t="str">
        <f t="shared" si="147"/>
        <v/>
      </c>
      <c r="HQ150" s="302" t="str">
        <f t="shared" si="148"/>
        <v/>
      </c>
      <c r="IT150" s="411"/>
      <c r="IU150" s="411"/>
      <c r="IV150" s="635"/>
    </row>
    <row r="151" spans="1:256" s="302" customFormat="1" ht="12.75" hidden="1" customHeight="1">
      <c r="A151" s="397" t="str">
        <f t="shared" si="145"/>
        <v/>
      </c>
      <c r="B151" s="462" t="str">
        <f t="shared" si="149"/>
        <v/>
      </c>
      <c r="C151" s="426"/>
      <c r="D151" s="575"/>
      <c r="E151" s="463"/>
      <c r="F151" s="464"/>
      <c r="G151" s="465"/>
      <c r="H151" s="465"/>
      <c r="I151" s="466"/>
      <c r="J151" s="463"/>
      <c r="K151" s="465"/>
      <c r="L151" s="465"/>
      <c r="M151" s="466"/>
      <c r="N151" s="573"/>
      <c r="O151" s="467"/>
      <c r="P151" s="518"/>
      <c r="Q151" s="381"/>
      <c r="R151" s="182"/>
      <c r="S151" s="182"/>
      <c r="T151" s="182"/>
      <c r="U151" s="182"/>
      <c r="V151" s="182"/>
      <c r="W151" s="182"/>
      <c r="X151" s="182"/>
      <c r="Y151" s="182"/>
      <c r="Z151" s="182"/>
      <c r="AA151" s="382"/>
      <c r="AB151" s="182" t="str">
        <f t="shared" si="154"/>
        <v/>
      </c>
      <c r="AC151" s="315">
        <f t="shared" si="155"/>
        <v>0</v>
      </c>
      <c r="AD151" s="315" t="str">
        <f t="shared" si="150"/>
        <v/>
      </c>
      <c r="AE151" s="182"/>
      <c r="AF151" s="182"/>
      <c r="AG151" s="182"/>
      <c r="AH151" s="221"/>
      <c r="AI151" s="221"/>
      <c r="AJ151" s="221"/>
      <c r="AK151" s="221"/>
      <c r="AL151" s="221"/>
      <c r="AM151" s="221"/>
      <c r="AN151" s="221"/>
      <c r="AO151" s="221"/>
      <c r="AP151" s="221"/>
      <c r="AQ151" s="182"/>
      <c r="AR151" s="182"/>
      <c r="AS151" s="182"/>
      <c r="AT151" s="182"/>
      <c r="AU151" s="221" t="str">
        <f t="shared" si="156"/>
        <v/>
      </c>
      <c r="AV151" s="221" t="str">
        <f t="shared" si="157"/>
        <v/>
      </c>
      <c r="AW151" s="221"/>
      <c r="AX151" s="221"/>
      <c r="AY151" s="221"/>
      <c r="AZ151" s="221"/>
      <c r="BA151" s="221"/>
      <c r="BB151" s="221"/>
      <c r="BC151" s="221"/>
      <c r="BD151" s="221"/>
      <c r="BE151" s="221"/>
      <c r="BF151" s="468">
        <f t="shared" si="158"/>
        <v>0</v>
      </c>
      <c r="BG151" s="315">
        <f t="shared" si="159"/>
        <v>0</v>
      </c>
      <c r="BH151" s="315" t="str">
        <f t="shared" si="160"/>
        <v/>
      </c>
      <c r="BI151" s="182"/>
      <c r="BJ151" s="182"/>
      <c r="BK151" s="182"/>
      <c r="BL151" s="221"/>
      <c r="BM151" s="221"/>
      <c r="BN151" s="221"/>
      <c r="BO151" s="221"/>
      <c r="BP151" s="221"/>
      <c r="BQ151" s="221"/>
      <c r="BR151" s="221"/>
      <c r="BS151" s="221"/>
      <c r="BT151" s="221"/>
      <c r="BU151" s="182"/>
      <c r="BV151" s="182"/>
      <c r="BW151" s="182"/>
      <c r="BX151" s="182"/>
      <c r="BY151" s="221" t="str">
        <f t="shared" si="161"/>
        <v/>
      </c>
      <c r="BZ151" s="221" t="str">
        <f t="shared" si="162"/>
        <v/>
      </c>
      <c r="CA151" s="221"/>
      <c r="CB151" s="221"/>
      <c r="CC151" s="221"/>
      <c r="CD151" s="221"/>
      <c r="CE151" s="221"/>
      <c r="CF151" s="221"/>
      <c r="CG151" s="221"/>
      <c r="CH151" s="221"/>
      <c r="CI151" s="221"/>
      <c r="CJ151" s="468">
        <f t="shared" si="163"/>
        <v>0</v>
      </c>
      <c r="CK151" s="315">
        <f t="shared" si="164"/>
        <v>0</v>
      </c>
      <c r="CL151" s="315" t="str">
        <f t="shared" si="165"/>
        <v/>
      </c>
      <c r="CM151" s="182"/>
      <c r="CN151" s="182"/>
      <c r="CO151" s="182"/>
      <c r="CP151" s="221"/>
      <c r="CQ151" s="221"/>
      <c r="CR151" s="221"/>
      <c r="CS151" s="221"/>
      <c r="CT151" s="221"/>
      <c r="CU151" s="221"/>
      <c r="CV151" s="221"/>
      <c r="CW151" s="221"/>
      <c r="CX151" s="221"/>
      <c r="CY151" s="221"/>
      <c r="CZ151" s="182"/>
      <c r="DA151" s="182"/>
      <c r="DB151" s="182"/>
      <c r="DC151" s="182"/>
      <c r="DD151" s="221" t="str">
        <f t="shared" si="151"/>
        <v/>
      </c>
      <c r="DE151" s="221" t="str">
        <f t="shared" si="152"/>
        <v/>
      </c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469" t="str">
        <f t="shared" si="166"/>
        <v/>
      </c>
      <c r="DP151" s="315">
        <f t="shared" si="167"/>
        <v>0</v>
      </c>
      <c r="DQ151" s="315" t="str">
        <f t="shared" si="168"/>
        <v/>
      </c>
      <c r="DR151" s="182"/>
      <c r="DS151" s="182"/>
      <c r="DT151" s="182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182"/>
      <c r="EE151" s="182"/>
      <c r="EF151" s="182"/>
      <c r="EG151" s="182"/>
      <c r="EH151" s="221" t="str">
        <f t="shared" si="169"/>
        <v/>
      </c>
      <c r="EI151" s="221" t="str">
        <f t="shared" si="170"/>
        <v/>
      </c>
      <c r="EJ151" s="221"/>
      <c r="EK151" s="221"/>
      <c r="EL151" s="221"/>
      <c r="EM151" s="221"/>
      <c r="EN151" s="221"/>
      <c r="EO151" s="221"/>
      <c r="EP151" s="221"/>
      <c r="EQ151" s="221"/>
      <c r="ER151" s="221"/>
      <c r="ES151" s="221"/>
      <c r="ET151" s="221"/>
      <c r="EU151" s="315">
        <f t="shared" si="171"/>
        <v>0</v>
      </c>
      <c r="EV151" s="315" t="str">
        <f t="shared" si="172"/>
        <v/>
      </c>
      <c r="EW151" s="182"/>
      <c r="EX151" s="182"/>
      <c r="EY151" s="182"/>
      <c r="EZ151" s="221"/>
      <c r="FA151" s="221"/>
      <c r="FB151" s="221"/>
      <c r="FC151" s="221"/>
      <c r="FD151" s="221"/>
      <c r="FE151" s="221"/>
      <c r="FF151" s="221"/>
      <c r="FG151" s="221"/>
      <c r="FH151" s="221"/>
      <c r="FI151" s="182"/>
      <c r="FJ151" s="182"/>
      <c r="FK151" s="182"/>
      <c r="FL151" s="182"/>
      <c r="FM151" s="221" t="str">
        <f t="shared" si="173"/>
        <v/>
      </c>
      <c r="FN151" s="221" t="str">
        <f t="shared" si="174"/>
        <v/>
      </c>
      <c r="FO151" s="221"/>
      <c r="FP151" s="221"/>
      <c r="FQ151" s="221"/>
      <c r="FR151" s="221"/>
      <c r="FS151" s="221"/>
      <c r="FT151" s="221"/>
      <c r="FU151" s="221"/>
      <c r="FV151" s="221"/>
      <c r="FW151" s="221"/>
      <c r="FX151" s="221"/>
      <c r="FY151" s="221"/>
      <c r="FZ151" s="408"/>
      <c r="GA151" s="315">
        <f t="shared" si="175"/>
        <v>0</v>
      </c>
      <c r="GB151" s="315" t="str">
        <f t="shared" si="176"/>
        <v/>
      </c>
      <c r="GC151" s="302" t="s">
        <v>160</v>
      </c>
      <c r="GG151" s="460"/>
      <c r="GH151" s="460"/>
      <c r="GU151" s="469"/>
      <c r="GV151" s="470" t="str">
        <f t="shared" si="177"/>
        <v/>
      </c>
      <c r="GW151" s="302">
        <f t="shared" si="178"/>
        <v>0</v>
      </c>
      <c r="HA151" s="654"/>
      <c r="HD151" s="379"/>
      <c r="HE151" s="380"/>
      <c r="HH151" s="383"/>
      <c r="HI151" s="410"/>
      <c r="HJ151" s="302" t="str">
        <f t="shared" si="153"/>
        <v/>
      </c>
      <c r="HO151" s="302" t="str">
        <f t="shared" si="146"/>
        <v/>
      </c>
      <c r="HP151" s="302" t="str">
        <f t="shared" si="147"/>
        <v/>
      </c>
      <c r="HQ151" s="302" t="str">
        <f t="shared" si="148"/>
        <v/>
      </c>
      <c r="IT151" s="410"/>
      <c r="IU151" s="410"/>
      <c r="IV151" s="635"/>
    </row>
    <row r="152" spans="1:256" s="302" customFormat="1" ht="12.75" hidden="1" customHeight="1">
      <c r="A152" s="397" t="str">
        <f t="shared" si="145"/>
        <v/>
      </c>
      <c r="B152" s="462" t="str">
        <f t="shared" si="149"/>
        <v/>
      </c>
      <c r="C152" s="426"/>
      <c r="D152" s="575"/>
      <c r="E152" s="463"/>
      <c r="F152" s="464"/>
      <c r="G152" s="465"/>
      <c r="H152" s="465"/>
      <c r="I152" s="466"/>
      <c r="J152" s="463"/>
      <c r="K152" s="465"/>
      <c r="L152" s="465"/>
      <c r="M152" s="466"/>
      <c r="N152" s="573"/>
      <c r="O152" s="467"/>
      <c r="P152" s="518"/>
      <c r="Q152" s="381"/>
      <c r="R152" s="182"/>
      <c r="S152" s="182"/>
      <c r="T152" s="182"/>
      <c r="U152" s="182"/>
      <c r="V152" s="182"/>
      <c r="W152" s="182"/>
      <c r="X152" s="182"/>
      <c r="Y152" s="182"/>
      <c r="Z152" s="182"/>
      <c r="AA152" s="382"/>
      <c r="AB152" s="182" t="str">
        <f t="shared" si="154"/>
        <v/>
      </c>
      <c r="AC152" s="315">
        <f t="shared" si="155"/>
        <v>0</v>
      </c>
      <c r="AD152" s="315" t="str">
        <f t="shared" si="150"/>
        <v/>
      </c>
      <c r="AE152" s="182"/>
      <c r="AF152" s="182"/>
      <c r="AG152" s="182"/>
      <c r="AH152" s="221"/>
      <c r="AI152" s="221"/>
      <c r="AJ152" s="221"/>
      <c r="AK152" s="221"/>
      <c r="AL152" s="221"/>
      <c r="AM152" s="221"/>
      <c r="AN152" s="221"/>
      <c r="AO152" s="221"/>
      <c r="AP152" s="221"/>
      <c r="AQ152" s="182"/>
      <c r="AR152" s="182"/>
      <c r="AS152" s="182"/>
      <c r="AT152" s="224"/>
      <c r="AU152" s="221" t="str">
        <f t="shared" si="156"/>
        <v/>
      </c>
      <c r="AV152" s="221" t="str">
        <f t="shared" si="157"/>
        <v/>
      </c>
      <c r="AW152" s="221"/>
      <c r="AX152" s="221"/>
      <c r="AY152" s="221"/>
      <c r="AZ152" s="221"/>
      <c r="BA152" s="221"/>
      <c r="BB152" s="221"/>
      <c r="BC152" s="221"/>
      <c r="BD152" s="221"/>
      <c r="BE152" s="221"/>
      <c r="BF152" s="468">
        <f t="shared" si="158"/>
        <v>0</v>
      </c>
      <c r="BG152" s="315">
        <f t="shared" si="159"/>
        <v>0</v>
      </c>
      <c r="BH152" s="315" t="str">
        <f t="shared" si="160"/>
        <v/>
      </c>
      <c r="BI152" s="182"/>
      <c r="BJ152" s="182"/>
      <c r="BK152" s="182"/>
      <c r="BL152" s="221"/>
      <c r="BM152" s="221"/>
      <c r="BN152" s="221"/>
      <c r="BO152" s="221"/>
      <c r="BP152" s="221"/>
      <c r="BQ152" s="221"/>
      <c r="BR152" s="221"/>
      <c r="BS152" s="221"/>
      <c r="BT152" s="221"/>
      <c r="BU152" s="182"/>
      <c r="BV152" s="182"/>
      <c r="BW152" s="182"/>
      <c r="BX152" s="182"/>
      <c r="BY152" s="221" t="str">
        <f t="shared" si="161"/>
        <v/>
      </c>
      <c r="BZ152" s="221" t="str">
        <f t="shared" si="162"/>
        <v/>
      </c>
      <c r="CA152" s="221"/>
      <c r="CB152" s="221"/>
      <c r="CC152" s="221"/>
      <c r="CD152" s="221"/>
      <c r="CE152" s="221"/>
      <c r="CF152" s="221"/>
      <c r="CG152" s="221"/>
      <c r="CH152" s="221"/>
      <c r="CI152" s="221"/>
      <c r="CJ152" s="468">
        <f t="shared" si="163"/>
        <v>0</v>
      </c>
      <c r="CK152" s="315">
        <f t="shared" si="164"/>
        <v>0</v>
      </c>
      <c r="CL152" s="315" t="str">
        <f t="shared" si="165"/>
        <v/>
      </c>
      <c r="CM152" s="182"/>
      <c r="CN152" s="182"/>
      <c r="CO152" s="182"/>
      <c r="CP152" s="221"/>
      <c r="CQ152" s="221"/>
      <c r="CR152" s="221"/>
      <c r="CS152" s="221"/>
      <c r="CT152" s="221"/>
      <c r="CU152" s="221"/>
      <c r="CV152" s="221"/>
      <c r="CW152" s="221"/>
      <c r="CX152" s="221"/>
      <c r="CY152" s="221"/>
      <c r="CZ152" s="182"/>
      <c r="DA152" s="182"/>
      <c r="DB152" s="182"/>
      <c r="DC152" s="182"/>
      <c r="DD152" s="221" t="str">
        <f t="shared" si="151"/>
        <v/>
      </c>
      <c r="DE152" s="221" t="str">
        <f t="shared" si="152"/>
        <v/>
      </c>
      <c r="DF152" s="221"/>
      <c r="DG152" s="221"/>
      <c r="DH152" s="221"/>
      <c r="DI152" s="221"/>
      <c r="DJ152" s="221"/>
      <c r="DK152" s="221"/>
      <c r="DL152" s="221"/>
      <c r="DM152" s="221"/>
      <c r="DN152" s="221"/>
      <c r="DO152" s="469" t="str">
        <f t="shared" si="166"/>
        <v/>
      </c>
      <c r="DP152" s="315">
        <f t="shared" si="167"/>
        <v>0</v>
      </c>
      <c r="DQ152" s="315" t="str">
        <f t="shared" si="168"/>
        <v/>
      </c>
      <c r="DR152" s="182"/>
      <c r="DS152" s="182"/>
      <c r="DT152" s="182"/>
      <c r="DU152" s="221"/>
      <c r="DV152" s="221"/>
      <c r="DW152" s="221"/>
      <c r="DX152" s="221"/>
      <c r="DY152" s="221"/>
      <c r="DZ152" s="221"/>
      <c r="EA152" s="221"/>
      <c r="EB152" s="221"/>
      <c r="EC152" s="221"/>
      <c r="ED152" s="182"/>
      <c r="EE152" s="182"/>
      <c r="EF152" s="182"/>
      <c r="EG152" s="182"/>
      <c r="EH152" s="221" t="str">
        <f t="shared" si="169"/>
        <v/>
      </c>
      <c r="EI152" s="221" t="str">
        <f t="shared" si="170"/>
        <v/>
      </c>
      <c r="EJ152" s="221"/>
      <c r="EK152" s="221"/>
      <c r="EL152" s="221"/>
      <c r="EM152" s="221"/>
      <c r="EN152" s="221"/>
      <c r="EO152" s="221"/>
      <c r="EP152" s="221"/>
      <c r="EQ152" s="221"/>
      <c r="ER152" s="221"/>
      <c r="ES152" s="221"/>
      <c r="ET152" s="221"/>
      <c r="EU152" s="315">
        <f t="shared" si="171"/>
        <v>0</v>
      </c>
      <c r="EV152" s="315" t="str">
        <f t="shared" si="172"/>
        <v/>
      </c>
      <c r="EW152" s="182"/>
      <c r="EX152" s="182"/>
      <c r="EY152" s="182"/>
      <c r="EZ152" s="221"/>
      <c r="FA152" s="221"/>
      <c r="FB152" s="221"/>
      <c r="FC152" s="221"/>
      <c r="FD152" s="221"/>
      <c r="FE152" s="221"/>
      <c r="FF152" s="221"/>
      <c r="FG152" s="221"/>
      <c r="FH152" s="221"/>
      <c r="FI152" s="182"/>
      <c r="FJ152" s="182"/>
      <c r="FK152" s="182"/>
      <c r="FL152" s="182"/>
      <c r="FM152" s="221" t="str">
        <f t="shared" si="173"/>
        <v/>
      </c>
      <c r="FN152" s="221" t="str">
        <f t="shared" si="174"/>
        <v/>
      </c>
      <c r="FO152" s="221"/>
      <c r="FP152" s="221"/>
      <c r="FQ152" s="221"/>
      <c r="FR152" s="221"/>
      <c r="FS152" s="221"/>
      <c r="FT152" s="221"/>
      <c r="FU152" s="221"/>
      <c r="FV152" s="221"/>
      <c r="FW152" s="221"/>
      <c r="FX152" s="221"/>
      <c r="FY152" s="221"/>
      <c r="FZ152" s="408"/>
      <c r="GA152" s="315">
        <f t="shared" si="175"/>
        <v>0</v>
      </c>
      <c r="GB152" s="315" t="str">
        <f t="shared" si="176"/>
        <v/>
      </c>
      <c r="GC152" s="182" t="s">
        <v>160</v>
      </c>
      <c r="GD152" s="182"/>
      <c r="GE152" s="182"/>
      <c r="GG152" s="460"/>
      <c r="GH152" s="460"/>
      <c r="GU152" s="469"/>
      <c r="GV152" s="470" t="str">
        <f t="shared" si="177"/>
        <v/>
      </c>
      <c r="GW152" s="302">
        <f t="shared" si="178"/>
        <v>0</v>
      </c>
      <c r="HA152" s="654"/>
      <c r="HD152" s="379"/>
      <c r="HE152" s="380"/>
      <c r="HH152" s="383"/>
      <c r="HI152" s="410"/>
      <c r="HJ152" s="302" t="str">
        <f t="shared" si="153"/>
        <v/>
      </c>
      <c r="HO152" s="302" t="str">
        <f t="shared" si="146"/>
        <v/>
      </c>
      <c r="HP152" s="302" t="str">
        <f t="shared" si="147"/>
        <v/>
      </c>
      <c r="HQ152" s="302" t="str">
        <f t="shared" si="148"/>
        <v/>
      </c>
      <c r="IT152" s="410"/>
      <c r="IU152" s="410"/>
      <c r="IV152" s="635"/>
    </row>
    <row r="153" spans="1:256" s="302" customFormat="1" ht="12.75" hidden="1" customHeight="1">
      <c r="A153" s="397" t="str">
        <f t="shared" si="145"/>
        <v/>
      </c>
      <c r="B153" s="462" t="str">
        <f t="shared" si="149"/>
        <v/>
      </c>
      <c r="C153" s="426"/>
      <c r="D153" s="575"/>
      <c r="E153" s="463"/>
      <c r="F153" s="464"/>
      <c r="G153" s="465"/>
      <c r="H153" s="465"/>
      <c r="I153" s="466"/>
      <c r="J153" s="463"/>
      <c r="K153" s="465"/>
      <c r="L153" s="465"/>
      <c r="M153" s="466"/>
      <c r="N153" s="573"/>
      <c r="O153" s="467"/>
      <c r="P153" s="518"/>
      <c r="Q153" s="381"/>
      <c r="R153" s="182"/>
      <c r="S153" s="182"/>
      <c r="T153" s="182"/>
      <c r="U153" s="182"/>
      <c r="V153" s="182"/>
      <c r="W153" s="182"/>
      <c r="X153" s="182"/>
      <c r="Y153" s="182"/>
      <c r="Z153" s="182"/>
      <c r="AA153" s="382"/>
      <c r="AB153" s="182" t="str">
        <f t="shared" si="154"/>
        <v/>
      </c>
      <c r="AC153" s="315">
        <f t="shared" si="155"/>
        <v>0</v>
      </c>
      <c r="AD153" s="315" t="str">
        <f t="shared" si="150"/>
        <v/>
      </c>
      <c r="AE153" s="182"/>
      <c r="AF153" s="182"/>
      <c r="AG153" s="182"/>
      <c r="AH153" s="221"/>
      <c r="AI153" s="221"/>
      <c r="AJ153" s="221"/>
      <c r="AK153" s="221"/>
      <c r="AL153" s="221"/>
      <c r="AM153" s="221"/>
      <c r="AN153" s="221"/>
      <c r="AO153" s="221"/>
      <c r="AP153" s="221"/>
      <c r="AQ153" s="182"/>
      <c r="AR153" s="182"/>
      <c r="AS153" s="182"/>
      <c r="AT153" s="182"/>
      <c r="AU153" s="221" t="str">
        <f t="shared" si="156"/>
        <v/>
      </c>
      <c r="AV153" s="221" t="str">
        <f t="shared" si="157"/>
        <v/>
      </c>
      <c r="AW153" s="221"/>
      <c r="AX153" s="221"/>
      <c r="AY153" s="221"/>
      <c r="AZ153" s="221"/>
      <c r="BA153" s="221"/>
      <c r="BB153" s="221"/>
      <c r="BC153" s="221"/>
      <c r="BD153" s="221"/>
      <c r="BE153" s="221"/>
      <c r="BF153" s="468">
        <f t="shared" si="158"/>
        <v>0</v>
      </c>
      <c r="BG153" s="315">
        <f t="shared" si="159"/>
        <v>0</v>
      </c>
      <c r="BH153" s="315" t="str">
        <f t="shared" si="160"/>
        <v/>
      </c>
      <c r="BI153" s="182"/>
      <c r="BJ153" s="182"/>
      <c r="BK153" s="182"/>
      <c r="BL153" s="221"/>
      <c r="BM153" s="221"/>
      <c r="BN153" s="221"/>
      <c r="BO153" s="221"/>
      <c r="BP153" s="221"/>
      <c r="BQ153" s="221"/>
      <c r="BR153" s="221"/>
      <c r="BS153" s="221"/>
      <c r="BT153" s="221"/>
      <c r="BU153" s="182"/>
      <c r="BV153" s="182"/>
      <c r="BW153" s="182"/>
      <c r="BX153" s="182"/>
      <c r="BY153" s="221" t="str">
        <f t="shared" si="161"/>
        <v/>
      </c>
      <c r="BZ153" s="221" t="str">
        <f t="shared" si="162"/>
        <v/>
      </c>
      <c r="CA153" s="221"/>
      <c r="CB153" s="221"/>
      <c r="CC153" s="221"/>
      <c r="CD153" s="221"/>
      <c r="CE153" s="221"/>
      <c r="CF153" s="221"/>
      <c r="CG153" s="221"/>
      <c r="CH153" s="221"/>
      <c r="CI153" s="221"/>
      <c r="CJ153" s="468">
        <f t="shared" si="163"/>
        <v>0</v>
      </c>
      <c r="CK153" s="315">
        <f t="shared" si="164"/>
        <v>0</v>
      </c>
      <c r="CL153" s="315" t="str">
        <f t="shared" si="165"/>
        <v/>
      </c>
      <c r="CM153" s="182"/>
      <c r="CN153" s="182"/>
      <c r="CO153" s="182"/>
      <c r="CP153" s="221"/>
      <c r="CQ153" s="221"/>
      <c r="CR153" s="221"/>
      <c r="CS153" s="221"/>
      <c r="CT153" s="221"/>
      <c r="CU153" s="221"/>
      <c r="CV153" s="221"/>
      <c r="CW153" s="221"/>
      <c r="CX153" s="221"/>
      <c r="CY153" s="221"/>
      <c r="CZ153" s="182"/>
      <c r="DA153" s="182"/>
      <c r="DB153" s="182"/>
      <c r="DC153" s="182"/>
      <c r="DD153" s="221" t="str">
        <f t="shared" si="151"/>
        <v/>
      </c>
      <c r="DE153" s="221" t="str">
        <f t="shared" si="152"/>
        <v/>
      </c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469" t="str">
        <f t="shared" si="166"/>
        <v/>
      </c>
      <c r="DP153" s="315">
        <f t="shared" si="167"/>
        <v>0</v>
      </c>
      <c r="DQ153" s="315" t="str">
        <f t="shared" si="168"/>
        <v/>
      </c>
      <c r="DR153" s="182"/>
      <c r="DS153" s="182"/>
      <c r="DT153" s="182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182"/>
      <c r="EE153" s="182"/>
      <c r="EF153" s="182"/>
      <c r="EG153" s="182"/>
      <c r="EH153" s="221" t="str">
        <f t="shared" si="169"/>
        <v/>
      </c>
      <c r="EI153" s="221" t="str">
        <f t="shared" si="170"/>
        <v/>
      </c>
      <c r="EJ153" s="221"/>
      <c r="EK153" s="221"/>
      <c r="EL153" s="221"/>
      <c r="EM153" s="221"/>
      <c r="EN153" s="221"/>
      <c r="EO153" s="221"/>
      <c r="EP153" s="221"/>
      <c r="EQ153" s="221"/>
      <c r="ER153" s="221"/>
      <c r="ES153" s="221"/>
      <c r="ET153" s="221"/>
      <c r="EU153" s="315">
        <f t="shared" si="171"/>
        <v>0</v>
      </c>
      <c r="EV153" s="315" t="str">
        <f t="shared" si="172"/>
        <v/>
      </c>
      <c r="EW153" s="182"/>
      <c r="EX153" s="182"/>
      <c r="EY153" s="182"/>
      <c r="EZ153" s="221"/>
      <c r="FA153" s="221"/>
      <c r="FB153" s="221"/>
      <c r="FC153" s="221"/>
      <c r="FD153" s="221"/>
      <c r="FE153" s="221"/>
      <c r="FF153" s="221"/>
      <c r="FG153" s="221"/>
      <c r="FH153" s="221"/>
      <c r="FI153" s="182"/>
      <c r="FJ153" s="182"/>
      <c r="FK153" s="182"/>
      <c r="FL153" s="182"/>
      <c r="FM153" s="221" t="str">
        <f t="shared" si="173"/>
        <v/>
      </c>
      <c r="FN153" s="221" t="str">
        <f t="shared" si="174"/>
        <v/>
      </c>
      <c r="FO153" s="221"/>
      <c r="FP153" s="221"/>
      <c r="FQ153" s="221"/>
      <c r="FR153" s="221"/>
      <c r="FS153" s="221"/>
      <c r="FT153" s="221"/>
      <c r="FU153" s="221"/>
      <c r="FV153" s="221"/>
      <c r="FW153" s="221"/>
      <c r="FX153" s="221"/>
      <c r="FY153" s="221"/>
      <c r="FZ153" s="408"/>
      <c r="GA153" s="315">
        <f t="shared" si="175"/>
        <v>0</v>
      </c>
      <c r="GB153" s="315" t="str">
        <f t="shared" si="176"/>
        <v/>
      </c>
      <c r="GC153" s="182" t="s">
        <v>160</v>
      </c>
      <c r="GD153" s="182"/>
      <c r="GE153" s="182"/>
      <c r="GG153" s="460"/>
      <c r="GH153" s="460"/>
      <c r="GU153" s="469"/>
      <c r="GV153" s="470" t="str">
        <f t="shared" si="177"/>
        <v/>
      </c>
      <c r="GW153" s="302">
        <f t="shared" si="178"/>
        <v>0</v>
      </c>
      <c r="HA153" s="654"/>
      <c r="HD153" s="379"/>
      <c r="HE153" s="380"/>
      <c r="HH153" s="383"/>
      <c r="HI153" s="410"/>
      <c r="HJ153" s="302" t="str">
        <f t="shared" si="153"/>
        <v/>
      </c>
      <c r="HN153" s="380"/>
      <c r="HO153" s="302" t="str">
        <f t="shared" si="146"/>
        <v/>
      </c>
      <c r="HP153" s="302" t="str">
        <f t="shared" si="147"/>
        <v/>
      </c>
      <c r="HQ153" s="302" t="str">
        <f t="shared" si="148"/>
        <v/>
      </c>
      <c r="IT153" s="410"/>
      <c r="IU153" s="410"/>
      <c r="IV153" s="635"/>
    </row>
    <row r="154" spans="1:256" s="302" customFormat="1" ht="12.75" hidden="1" customHeight="1">
      <c r="A154" s="397" t="str">
        <f t="shared" si="145"/>
        <v/>
      </c>
      <c r="B154" s="462" t="str">
        <f t="shared" si="149"/>
        <v/>
      </c>
      <c r="C154" s="426"/>
      <c r="D154" s="575"/>
      <c r="E154" s="463"/>
      <c r="F154" s="464"/>
      <c r="G154" s="465"/>
      <c r="H154" s="465"/>
      <c r="I154" s="466"/>
      <c r="J154" s="463"/>
      <c r="K154" s="465"/>
      <c r="L154" s="465"/>
      <c r="M154" s="466"/>
      <c r="N154" s="573"/>
      <c r="O154" s="467"/>
      <c r="P154" s="518"/>
      <c r="Q154" s="381"/>
      <c r="R154" s="182"/>
      <c r="S154" s="182"/>
      <c r="T154" s="182"/>
      <c r="U154" s="182"/>
      <c r="V154" s="182"/>
      <c r="W154" s="182"/>
      <c r="X154" s="182"/>
      <c r="Y154" s="182"/>
      <c r="Z154" s="182"/>
      <c r="AA154" s="384"/>
      <c r="AB154" s="182" t="str">
        <f t="shared" si="154"/>
        <v/>
      </c>
      <c r="AC154" s="315">
        <f t="shared" si="155"/>
        <v>0</v>
      </c>
      <c r="AD154" s="315" t="str">
        <f t="shared" si="150"/>
        <v/>
      </c>
      <c r="AE154" s="224"/>
      <c r="AF154" s="224"/>
      <c r="AG154" s="224"/>
      <c r="AH154" s="492"/>
      <c r="AI154" s="492"/>
      <c r="AJ154" s="492"/>
      <c r="AK154" s="492"/>
      <c r="AL154" s="492"/>
      <c r="AM154" s="492"/>
      <c r="AN154" s="492"/>
      <c r="AO154" s="492"/>
      <c r="AP154" s="492"/>
      <c r="AQ154" s="224"/>
      <c r="AR154" s="224"/>
      <c r="AS154" s="224"/>
      <c r="AT154" s="224"/>
      <c r="AU154" s="221" t="str">
        <f t="shared" si="156"/>
        <v/>
      </c>
      <c r="AV154" s="221" t="str">
        <f t="shared" si="157"/>
        <v/>
      </c>
      <c r="AW154" s="221"/>
      <c r="AX154" s="221"/>
      <c r="AY154" s="221"/>
      <c r="AZ154" s="221"/>
      <c r="BA154" s="221"/>
      <c r="BB154" s="221"/>
      <c r="BC154" s="221"/>
      <c r="BD154" s="221"/>
      <c r="BE154" s="221"/>
      <c r="BF154" s="469">
        <f t="shared" si="158"/>
        <v>0</v>
      </c>
      <c r="BG154" s="315">
        <f t="shared" si="159"/>
        <v>0</v>
      </c>
      <c r="BH154" s="315" t="str">
        <f t="shared" si="160"/>
        <v/>
      </c>
      <c r="BI154" s="182"/>
      <c r="BJ154" s="182"/>
      <c r="BK154" s="182"/>
      <c r="BL154" s="221"/>
      <c r="BM154" s="221"/>
      <c r="BN154" s="221"/>
      <c r="BO154" s="221"/>
      <c r="BP154" s="221"/>
      <c r="BQ154" s="221"/>
      <c r="BR154" s="221"/>
      <c r="BS154" s="221"/>
      <c r="BT154" s="221"/>
      <c r="BU154" s="182"/>
      <c r="BV154" s="182"/>
      <c r="BW154" s="182"/>
      <c r="BX154" s="182"/>
      <c r="BY154" s="221" t="str">
        <f t="shared" si="161"/>
        <v/>
      </c>
      <c r="BZ154" s="221" t="str">
        <f t="shared" si="162"/>
        <v/>
      </c>
      <c r="CA154" s="221"/>
      <c r="CB154" s="221"/>
      <c r="CC154" s="221"/>
      <c r="CD154" s="221"/>
      <c r="CE154" s="221"/>
      <c r="CF154" s="221"/>
      <c r="CG154" s="221"/>
      <c r="CH154" s="221"/>
      <c r="CI154" s="221"/>
      <c r="CJ154" s="469">
        <f t="shared" si="163"/>
        <v>0</v>
      </c>
      <c r="CK154" s="315">
        <f t="shared" si="164"/>
        <v>0</v>
      </c>
      <c r="CL154" s="315" t="str">
        <f t="shared" si="165"/>
        <v/>
      </c>
      <c r="CM154" s="182"/>
      <c r="CN154" s="182"/>
      <c r="CO154" s="182"/>
      <c r="CP154" s="221"/>
      <c r="CQ154" s="221"/>
      <c r="CR154" s="221"/>
      <c r="CS154" s="221"/>
      <c r="CT154" s="221"/>
      <c r="CU154" s="221"/>
      <c r="CV154" s="221"/>
      <c r="CW154" s="221"/>
      <c r="CX154" s="221"/>
      <c r="CY154" s="221"/>
      <c r="CZ154" s="182"/>
      <c r="DA154" s="182"/>
      <c r="DB154" s="182"/>
      <c r="DC154" s="182"/>
      <c r="DD154" s="221" t="str">
        <f t="shared" si="151"/>
        <v/>
      </c>
      <c r="DE154" s="221" t="str">
        <f t="shared" si="152"/>
        <v/>
      </c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469" t="str">
        <f t="shared" si="166"/>
        <v/>
      </c>
      <c r="DP154" s="315">
        <f t="shared" si="167"/>
        <v>0</v>
      </c>
      <c r="DQ154" s="315" t="str">
        <f t="shared" si="168"/>
        <v/>
      </c>
      <c r="DR154" s="182"/>
      <c r="DS154" s="182"/>
      <c r="DT154" s="182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182"/>
      <c r="EE154" s="182"/>
      <c r="EF154" s="182"/>
      <c r="EG154" s="182"/>
      <c r="EH154" s="221" t="str">
        <f t="shared" si="169"/>
        <v/>
      </c>
      <c r="EI154" s="221" t="str">
        <f t="shared" si="170"/>
        <v/>
      </c>
      <c r="EJ154" s="221"/>
      <c r="EK154" s="221"/>
      <c r="EL154" s="221"/>
      <c r="EM154" s="221"/>
      <c r="EN154" s="221"/>
      <c r="EO154" s="221"/>
      <c r="EP154" s="221"/>
      <c r="EQ154" s="221"/>
      <c r="ER154" s="221"/>
      <c r="ES154" s="221"/>
      <c r="ET154" s="221"/>
      <c r="EU154" s="315">
        <f t="shared" si="171"/>
        <v>0</v>
      </c>
      <c r="EV154" s="315" t="str">
        <f t="shared" si="172"/>
        <v/>
      </c>
      <c r="EW154" s="182"/>
      <c r="EX154" s="182"/>
      <c r="EY154" s="182"/>
      <c r="EZ154" s="221"/>
      <c r="FA154" s="221"/>
      <c r="FB154" s="221"/>
      <c r="FC154" s="221"/>
      <c r="FD154" s="221"/>
      <c r="FE154" s="221"/>
      <c r="FF154" s="221"/>
      <c r="FG154" s="221"/>
      <c r="FH154" s="221"/>
      <c r="FI154" s="182"/>
      <c r="FJ154" s="182"/>
      <c r="FK154" s="182"/>
      <c r="FL154" s="182"/>
      <c r="FM154" s="221" t="str">
        <f t="shared" si="173"/>
        <v/>
      </c>
      <c r="FN154" s="221" t="str">
        <f t="shared" si="174"/>
        <v/>
      </c>
      <c r="FO154" s="221"/>
      <c r="FP154" s="221"/>
      <c r="FQ154" s="221"/>
      <c r="FR154" s="221"/>
      <c r="FS154" s="221"/>
      <c r="FT154" s="221"/>
      <c r="FU154" s="221"/>
      <c r="FV154" s="221"/>
      <c r="FW154" s="221"/>
      <c r="FX154" s="221"/>
      <c r="FY154" s="221"/>
      <c r="FZ154" s="408"/>
      <c r="GA154" s="315">
        <f t="shared" si="175"/>
        <v>0</v>
      </c>
      <c r="GB154" s="315" t="str">
        <f t="shared" si="176"/>
        <v/>
      </c>
      <c r="GC154" s="182" t="s">
        <v>160</v>
      </c>
      <c r="GD154" s="182"/>
      <c r="GE154" s="182"/>
      <c r="GG154" s="460"/>
      <c r="GH154" s="460"/>
      <c r="GU154" s="469"/>
      <c r="GV154" s="470" t="str">
        <f t="shared" si="177"/>
        <v/>
      </c>
      <c r="GW154" s="302">
        <f t="shared" si="178"/>
        <v>0</v>
      </c>
      <c r="HA154" s="654"/>
      <c r="HD154" s="379"/>
      <c r="HE154" s="380"/>
      <c r="HH154" s="385"/>
      <c r="HI154" s="411"/>
      <c r="HJ154" s="302" t="str">
        <f t="shared" si="153"/>
        <v/>
      </c>
      <c r="HO154" s="302" t="str">
        <f t="shared" si="146"/>
        <v/>
      </c>
      <c r="HP154" s="302" t="str">
        <f t="shared" si="147"/>
        <v/>
      </c>
      <c r="HQ154" s="302" t="str">
        <f t="shared" si="148"/>
        <v/>
      </c>
      <c r="IT154" s="411"/>
      <c r="IU154" s="411"/>
      <c r="IV154" s="635"/>
    </row>
    <row r="155" spans="1:256" s="302" customFormat="1" ht="12.75" hidden="1" customHeight="1">
      <c r="A155" s="397" t="str">
        <f t="shared" si="145"/>
        <v/>
      </c>
      <c r="B155" s="462" t="str">
        <f t="shared" si="149"/>
        <v/>
      </c>
      <c r="C155" s="426"/>
      <c r="D155" s="575"/>
      <c r="E155" s="463"/>
      <c r="F155" s="464"/>
      <c r="G155" s="465"/>
      <c r="H155" s="465"/>
      <c r="I155" s="466"/>
      <c r="J155" s="463"/>
      <c r="K155" s="465"/>
      <c r="L155" s="465"/>
      <c r="M155" s="466"/>
      <c r="N155" s="573"/>
      <c r="O155" s="467"/>
      <c r="P155" s="518"/>
      <c r="Q155" s="381"/>
      <c r="R155" s="182"/>
      <c r="S155" s="182"/>
      <c r="T155" s="182"/>
      <c r="U155" s="182"/>
      <c r="V155" s="182"/>
      <c r="W155" s="182"/>
      <c r="X155" s="182"/>
      <c r="Y155" s="182"/>
      <c r="Z155" s="182"/>
      <c r="AA155" s="382"/>
      <c r="AB155" s="182" t="str">
        <f t="shared" si="154"/>
        <v/>
      </c>
      <c r="AC155" s="315">
        <f t="shared" si="155"/>
        <v>0</v>
      </c>
      <c r="AD155" s="315" t="str">
        <f t="shared" si="150"/>
        <v/>
      </c>
      <c r="AE155" s="182"/>
      <c r="AF155" s="182"/>
      <c r="AG155" s="182"/>
      <c r="AH155" s="221"/>
      <c r="AI155" s="221"/>
      <c r="AJ155" s="221"/>
      <c r="AK155" s="221"/>
      <c r="AL155" s="221"/>
      <c r="AM155" s="221"/>
      <c r="AN155" s="221"/>
      <c r="AO155" s="221"/>
      <c r="AP155" s="221"/>
      <c r="AQ155" s="182"/>
      <c r="AR155" s="182"/>
      <c r="AS155" s="182"/>
      <c r="AT155" s="182"/>
      <c r="AU155" s="221" t="str">
        <f t="shared" si="156"/>
        <v/>
      </c>
      <c r="AV155" s="221" t="str">
        <f t="shared" si="157"/>
        <v/>
      </c>
      <c r="AW155" s="221"/>
      <c r="AX155" s="221"/>
      <c r="AY155" s="221"/>
      <c r="AZ155" s="221"/>
      <c r="BA155" s="221"/>
      <c r="BB155" s="221"/>
      <c r="BC155" s="221"/>
      <c r="BD155" s="221"/>
      <c r="BE155" s="221"/>
      <c r="BF155" s="468">
        <f t="shared" si="158"/>
        <v>0</v>
      </c>
      <c r="BG155" s="315">
        <f t="shared" si="159"/>
        <v>0</v>
      </c>
      <c r="BH155" s="315" t="str">
        <f t="shared" si="160"/>
        <v/>
      </c>
      <c r="BI155" s="182"/>
      <c r="BJ155" s="182"/>
      <c r="BK155" s="182"/>
      <c r="BL155" s="221"/>
      <c r="BM155" s="221"/>
      <c r="BN155" s="221"/>
      <c r="BO155" s="221"/>
      <c r="BP155" s="221"/>
      <c r="BQ155" s="221"/>
      <c r="BR155" s="221"/>
      <c r="BS155" s="221"/>
      <c r="BT155" s="221"/>
      <c r="BU155" s="182"/>
      <c r="BV155" s="182"/>
      <c r="BW155" s="182"/>
      <c r="BX155" s="182"/>
      <c r="BY155" s="221" t="str">
        <f t="shared" si="161"/>
        <v/>
      </c>
      <c r="BZ155" s="221" t="str">
        <f t="shared" si="162"/>
        <v/>
      </c>
      <c r="CA155" s="221"/>
      <c r="CB155" s="221"/>
      <c r="CC155" s="221"/>
      <c r="CD155" s="221"/>
      <c r="CE155" s="221"/>
      <c r="CF155" s="221"/>
      <c r="CG155" s="221"/>
      <c r="CH155" s="221"/>
      <c r="CI155" s="221"/>
      <c r="CJ155" s="468">
        <f t="shared" si="163"/>
        <v>0</v>
      </c>
      <c r="CK155" s="315">
        <f t="shared" si="164"/>
        <v>0</v>
      </c>
      <c r="CL155" s="315" t="str">
        <f t="shared" si="165"/>
        <v/>
      </c>
      <c r="CM155" s="182"/>
      <c r="CN155" s="182"/>
      <c r="CO155" s="182"/>
      <c r="CP155" s="221"/>
      <c r="CQ155" s="221"/>
      <c r="CR155" s="221"/>
      <c r="CS155" s="221"/>
      <c r="CT155" s="221"/>
      <c r="CU155" s="221"/>
      <c r="CV155" s="221"/>
      <c r="CW155" s="221"/>
      <c r="CX155" s="221"/>
      <c r="CY155" s="221"/>
      <c r="CZ155" s="182"/>
      <c r="DA155" s="182"/>
      <c r="DB155" s="182"/>
      <c r="DC155" s="182"/>
      <c r="DD155" s="221" t="str">
        <f t="shared" si="151"/>
        <v/>
      </c>
      <c r="DE155" s="221" t="str">
        <f t="shared" si="152"/>
        <v/>
      </c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469" t="str">
        <f t="shared" si="166"/>
        <v/>
      </c>
      <c r="DP155" s="315">
        <f t="shared" si="167"/>
        <v>0</v>
      </c>
      <c r="DQ155" s="315" t="str">
        <f t="shared" si="168"/>
        <v/>
      </c>
      <c r="DR155" s="182"/>
      <c r="DS155" s="182"/>
      <c r="DT155" s="182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182"/>
      <c r="EE155" s="182"/>
      <c r="EF155" s="182"/>
      <c r="EG155" s="182"/>
      <c r="EH155" s="221" t="str">
        <f t="shared" si="169"/>
        <v/>
      </c>
      <c r="EI155" s="221" t="str">
        <f t="shared" si="170"/>
        <v/>
      </c>
      <c r="EJ155" s="221"/>
      <c r="EK155" s="221"/>
      <c r="EL155" s="221"/>
      <c r="EM155" s="221"/>
      <c r="EN155" s="221"/>
      <c r="EO155" s="221"/>
      <c r="EP155" s="221"/>
      <c r="EQ155" s="221"/>
      <c r="ER155" s="221"/>
      <c r="ES155" s="221"/>
      <c r="ET155" s="221"/>
      <c r="EU155" s="315">
        <f t="shared" si="171"/>
        <v>0</v>
      </c>
      <c r="EV155" s="315" t="str">
        <f t="shared" si="172"/>
        <v/>
      </c>
      <c r="EW155" s="182"/>
      <c r="EX155" s="182"/>
      <c r="EY155" s="182"/>
      <c r="EZ155" s="221"/>
      <c r="FA155" s="221"/>
      <c r="FB155" s="221"/>
      <c r="FC155" s="221"/>
      <c r="FD155" s="221"/>
      <c r="FE155" s="221"/>
      <c r="FF155" s="221"/>
      <c r="FG155" s="221"/>
      <c r="FH155" s="221"/>
      <c r="FI155" s="182"/>
      <c r="FJ155" s="182"/>
      <c r="FK155" s="182"/>
      <c r="FL155" s="182"/>
      <c r="FM155" s="221" t="str">
        <f t="shared" si="173"/>
        <v/>
      </c>
      <c r="FN155" s="221" t="str">
        <f t="shared" si="174"/>
        <v/>
      </c>
      <c r="FO155" s="221"/>
      <c r="FP155" s="221"/>
      <c r="FQ155" s="221"/>
      <c r="FR155" s="221"/>
      <c r="FS155" s="221"/>
      <c r="FT155" s="221"/>
      <c r="FU155" s="221"/>
      <c r="FV155" s="221"/>
      <c r="FW155" s="221"/>
      <c r="FX155" s="221"/>
      <c r="FY155" s="221"/>
      <c r="FZ155" s="408"/>
      <c r="GA155" s="315">
        <f t="shared" si="175"/>
        <v>0</v>
      </c>
      <c r="GB155" s="315" t="str">
        <f t="shared" si="176"/>
        <v/>
      </c>
      <c r="GC155" s="302" t="s">
        <v>160</v>
      </c>
      <c r="GG155" s="460"/>
      <c r="GH155" s="460"/>
      <c r="GU155" s="469"/>
      <c r="GV155" s="470" t="str">
        <f t="shared" si="177"/>
        <v/>
      </c>
      <c r="GW155" s="302">
        <f t="shared" si="178"/>
        <v>0</v>
      </c>
      <c r="HA155" s="654"/>
      <c r="HD155" s="379"/>
      <c r="HE155" s="380"/>
      <c r="HH155" s="383"/>
      <c r="HI155" s="410"/>
      <c r="HJ155" s="302" t="str">
        <f t="shared" si="153"/>
        <v/>
      </c>
      <c r="HO155" s="302" t="str">
        <f t="shared" si="146"/>
        <v/>
      </c>
      <c r="HP155" s="302" t="str">
        <f t="shared" si="147"/>
        <v/>
      </c>
      <c r="HQ155" s="302" t="str">
        <f t="shared" si="148"/>
        <v/>
      </c>
      <c r="IT155" s="410"/>
      <c r="IU155" s="410"/>
      <c r="IV155" s="635"/>
    </row>
    <row r="156" spans="1:256" s="302" customFormat="1" ht="12.75" hidden="1" customHeight="1">
      <c r="A156" s="397" t="str">
        <f t="shared" si="145"/>
        <v/>
      </c>
      <c r="B156" s="462" t="str">
        <f t="shared" si="149"/>
        <v/>
      </c>
      <c r="C156" s="426"/>
      <c r="D156" s="575"/>
      <c r="E156" s="463"/>
      <c r="F156" s="464"/>
      <c r="G156" s="465"/>
      <c r="H156" s="465"/>
      <c r="I156" s="466"/>
      <c r="J156" s="463"/>
      <c r="K156" s="465"/>
      <c r="L156" s="465"/>
      <c r="M156" s="466"/>
      <c r="N156" s="573"/>
      <c r="O156" s="467"/>
      <c r="P156" s="518"/>
      <c r="Q156" s="381"/>
      <c r="R156" s="182"/>
      <c r="S156" s="182"/>
      <c r="T156" s="182"/>
      <c r="U156" s="182"/>
      <c r="V156" s="182"/>
      <c r="W156" s="182"/>
      <c r="X156" s="182"/>
      <c r="Y156" s="182"/>
      <c r="Z156" s="182"/>
      <c r="AA156" s="384"/>
      <c r="AB156" s="182" t="str">
        <f t="shared" si="154"/>
        <v/>
      </c>
      <c r="AC156" s="315">
        <f t="shared" si="155"/>
        <v>0</v>
      </c>
      <c r="AD156" s="315" t="str">
        <f t="shared" si="150"/>
        <v/>
      </c>
      <c r="AE156" s="182"/>
      <c r="AF156" s="182"/>
      <c r="AG156" s="182"/>
      <c r="AH156" s="221"/>
      <c r="AI156" s="221"/>
      <c r="AJ156" s="221"/>
      <c r="AK156" s="221"/>
      <c r="AL156" s="221"/>
      <c r="AM156" s="221"/>
      <c r="AN156" s="221"/>
      <c r="AO156" s="221"/>
      <c r="AP156" s="221"/>
      <c r="AQ156" s="182"/>
      <c r="AR156" s="182"/>
      <c r="AS156" s="182"/>
      <c r="AT156" s="224"/>
      <c r="AU156" s="221" t="str">
        <f t="shared" si="156"/>
        <v/>
      </c>
      <c r="AV156" s="221" t="str">
        <f t="shared" si="157"/>
        <v/>
      </c>
      <c r="AW156" s="221"/>
      <c r="AX156" s="221"/>
      <c r="AY156" s="221"/>
      <c r="AZ156" s="221"/>
      <c r="BA156" s="221"/>
      <c r="BB156" s="221"/>
      <c r="BC156" s="221"/>
      <c r="BD156" s="221"/>
      <c r="BE156" s="221"/>
      <c r="BF156" s="469">
        <f t="shared" si="158"/>
        <v>0</v>
      </c>
      <c r="BG156" s="315">
        <f t="shared" si="159"/>
        <v>0</v>
      </c>
      <c r="BH156" s="315" t="str">
        <f t="shared" si="160"/>
        <v/>
      </c>
      <c r="BI156" s="182"/>
      <c r="BJ156" s="182"/>
      <c r="BK156" s="182"/>
      <c r="BL156" s="221"/>
      <c r="BM156" s="221"/>
      <c r="BN156" s="221"/>
      <c r="BO156" s="221"/>
      <c r="BP156" s="221"/>
      <c r="BQ156" s="221"/>
      <c r="BR156" s="221"/>
      <c r="BS156" s="221"/>
      <c r="BT156" s="221"/>
      <c r="BU156" s="182"/>
      <c r="BV156" s="182"/>
      <c r="BW156" s="182"/>
      <c r="BX156" s="182"/>
      <c r="BY156" s="221" t="str">
        <f t="shared" si="161"/>
        <v/>
      </c>
      <c r="BZ156" s="221" t="str">
        <f t="shared" si="162"/>
        <v/>
      </c>
      <c r="CA156" s="221"/>
      <c r="CB156" s="221"/>
      <c r="CC156" s="221"/>
      <c r="CD156" s="221"/>
      <c r="CE156" s="221"/>
      <c r="CF156" s="221"/>
      <c r="CG156" s="221"/>
      <c r="CH156" s="221"/>
      <c r="CI156" s="221"/>
      <c r="CJ156" s="469">
        <f t="shared" si="163"/>
        <v>0</v>
      </c>
      <c r="CK156" s="315">
        <f t="shared" si="164"/>
        <v>0</v>
      </c>
      <c r="CL156" s="315" t="str">
        <f t="shared" si="165"/>
        <v/>
      </c>
      <c r="CM156" s="182"/>
      <c r="CN156" s="182"/>
      <c r="CO156" s="182"/>
      <c r="CP156" s="221"/>
      <c r="CQ156" s="221"/>
      <c r="CR156" s="221"/>
      <c r="CS156" s="221"/>
      <c r="CT156" s="221"/>
      <c r="CU156" s="221"/>
      <c r="CV156" s="221"/>
      <c r="CW156" s="221"/>
      <c r="CX156" s="221"/>
      <c r="CY156" s="221"/>
      <c r="CZ156" s="182"/>
      <c r="DA156" s="182"/>
      <c r="DB156" s="182"/>
      <c r="DC156" s="182"/>
      <c r="DD156" s="221" t="str">
        <f t="shared" si="151"/>
        <v/>
      </c>
      <c r="DE156" s="221" t="str">
        <f t="shared" si="152"/>
        <v/>
      </c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469" t="str">
        <f t="shared" si="166"/>
        <v/>
      </c>
      <c r="DP156" s="315">
        <f t="shared" si="167"/>
        <v>0</v>
      </c>
      <c r="DQ156" s="315" t="str">
        <f t="shared" si="168"/>
        <v/>
      </c>
      <c r="DR156" s="182"/>
      <c r="DS156" s="182"/>
      <c r="DT156" s="182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182"/>
      <c r="EE156" s="182"/>
      <c r="EF156" s="182"/>
      <c r="EG156" s="182"/>
      <c r="EH156" s="221" t="str">
        <f t="shared" si="169"/>
        <v/>
      </c>
      <c r="EI156" s="221" t="str">
        <f t="shared" si="170"/>
        <v/>
      </c>
      <c r="EJ156" s="221"/>
      <c r="EK156" s="221"/>
      <c r="EL156" s="221"/>
      <c r="EM156" s="221"/>
      <c r="EN156" s="221"/>
      <c r="EO156" s="221"/>
      <c r="EP156" s="221"/>
      <c r="EQ156" s="221"/>
      <c r="ER156" s="221"/>
      <c r="ES156" s="221"/>
      <c r="ET156" s="221"/>
      <c r="EU156" s="315">
        <f t="shared" si="171"/>
        <v>0</v>
      </c>
      <c r="EV156" s="315" t="str">
        <f t="shared" si="172"/>
        <v/>
      </c>
      <c r="EW156" s="182"/>
      <c r="EX156" s="182"/>
      <c r="EY156" s="182"/>
      <c r="EZ156" s="221"/>
      <c r="FA156" s="221"/>
      <c r="FB156" s="221"/>
      <c r="FC156" s="221"/>
      <c r="FD156" s="221"/>
      <c r="FE156" s="221"/>
      <c r="FF156" s="221"/>
      <c r="FG156" s="221"/>
      <c r="FH156" s="221"/>
      <c r="FI156" s="182"/>
      <c r="FJ156" s="182"/>
      <c r="FK156" s="182"/>
      <c r="FL156" s="182"/>
      <c r="FM156" s="221" t="str">
        <f t="shared" si="173"/>
        <v/>
      </c>
      <c r="FN156" s="221" t="str">
        <f t="shared" si="174"/>
        <v/>
      </c>
      <c r="FO156" s="221"/>
      <c r="FP156" s="221"/>
      <c r="FQ156" s="221"/>
      <c r="FR156" s="221"/>
      <c r="FS156" s="221"/>
      <c r="FT156" s="221"/>
      <c r="FU156" s="221"/>
      <c r="FV156" s="221"/>
      <c r="FW156" s="221"/>
      <c r="FX156" s="221"/>
      <c r="FY156" s="221"/>
      <c r="FZ156" s="408"/>
      <c r="GA156" s="315">
        <f t="shared" si="175"/>
        <v>0</v>
      </c>
      <c r="GB156" s="315" t="str">
        <f t="shared" si="176"/>
        <v/>
      </c>
      <c r="GC156" s="302" t="s">
        <v>160</v>
      </c>
      <c r="GG156" s="460"/>
      <c r="GH156" s="460"/>
      <c r="GU156" s="469"/>
      <c r="GV156" s="470" t="str">
        <f t="shared" si="177"/>
        <v/>
      </c>
      <c r="GW156" s="302">
        <f t="shared" si="178"/>
        <v>0</v>
      </c>
      <c r="HA156" s="654"/>
      <c r="HD156" s="379"/>
      <c r="HE156" s="380"/>
      <c r="HH156" s="385"/>
      <c r="HI156" s="411"/>
      <c r="HJ156" s="302" t="str">
        <f t="shared" si="153"/>
        <v/>
      </c>
      <c r="HN156" s="380"/>
      <c r="HO156" s="302" t="str">
        <f t="shared" si="146"/>
        <v/>
      </c>
      <c r="HP156" s="302" t="str">
        <f t="shared" si="147"/>
        <v/>
      </c>
      <c r="HQ156" s="302" t="str">
        <f t="shared" si="148"/>
        <v/>
      </c>
      <c r="IT156" s="411"/>
      <c r="IU156" s="411"/>
      <c r="IV156" s="635"/>
    </row>
    <row r="157" spans="1:256" s="302" customFormat="1" ht="12.75" hidden="1" customHeight="1">
      <c r="A157" s="397" t="str">
        <f t="shared" si="145"/>
        <v/>
      </c>
      <c r="B157" s="462" t="str">
        <f t="shared" si="149"/>
        <v/>
      </c>
      <c r="C157" s="426"/>
      <c r="D157" s="575"/>
      <c r="E157" s="463"/>
      <c r="F157" s="464"/>
      <c r="G157" s="465"/>
      <c r="H157" s="465"/>
      <c r="I157" s="466"/>
      <c r="J157" s="463"/>
      <c r="K157" s="465"/>
      <c r="L157" s="465"/>
      <c r="M157" s="466"/>
      <c r="N157" s="573"/>
      <c r="O157" s="467"/>
      <c r="P157" s="518"/>
      <c r="Q157" s="381"/>
      <c r="R157" s="182"/>
      <c r="S157" s="182"/>
      <c r="T157" s="182"/>
      <c r="U157" s="182"/>
      <c r="V157" s="182"/>
      <c r="W157" s="182"/>
      <c r="X157" s="182"/>
      <c r="Y157" s="182"/>
      <c r="Z157" s="182"/>
      <c r="AA157" s="382"/>
      <c r="AB157" s="182" t="str">
        <f t="shared" si="154"/>
        <v/>
      </c>
      <c r="AC157" s="315">
        <f t="shared" si="155"/>
        <v>0</v>
      </c>
      <c r="AD157" s="315" t="str">
        <f t="shared" si="150"/>
        <v/>
      </c>
      <c r="AE157" s="182"/>
      <c r="AF157" s="182"/>
      <c r="AG157" s="182"/>
      <c r="AH157" s="221"/>
      <c r="AI157" s="221"/>
      <c r="AJ157" s="221"/>
      <c r="AK157" s="221"/>
      <c r="AL157" s="221"/>
      <c r="AM157" s="221"/>
      <c r="AN157" s="221"/>
      <c r="AO157" s="221"/>
      <c r="AP157" s="221"/>
      <c r="AQ157" s="182"/>
      <c r="AR157" s="182"/>
      <c r="AS157" s="182"/>
      <c r="AT157" s="182"/>
      <c r="AU157" s="221" t="str">
        <f t="shared" si="156"/>
        <v/>
      </c>
      <c r="AV157" s="221" t="str">
        <f t="shared" si="157"/>
        <v/>
      </c>
      <c r="AW157" s="221"/>
      <c r="AX157" s="221"/>
      <c r="AY157" s="221"/>
      <c r="AZ157" s="221"/>
      <c r="BA157" s="221"/>
      <c r="BB157" s="221"/>
      <c r="BC157" s="221"/>
      <c r="BD157" s="221"/>
      <c r="BE157" s="221"/>
      <c r="BF157" s="468">
        <f t="shared" si="158"/>
        <v>0</v>
      </c>
      <c r="BG157" s="315">
        <f t="shared" si="159"/>
        <v>0</v>
      </c>
      <c r="BH157" s="315" t="str">
        <f t="shared" si="160"/>
        <v/>
      </c>
      <c r="BI157" s="182"/>
      <c r="BJ157" s="182"/>
      <c r="BK157" s="182"/>
      <c r="BL157" s="221"/>
      <c r="BM157" s="221"/>
      <c r="BN157" s="221"/>
      <c r="BO157" s="221"/>
      <c r="BP157" s="221"/>
      <c r="BQ157" s="221"/>
      <c r="BR157" s="221"/>
      <c r="BS157" s="221"/>
      <c r="BT157" s="221"/>
      <c r="BU157" s="182"/>
      <c r="BV157" s="182"/>
      <c r="BW157" s="182"/>
      <c r="BX157" s="182"/>
      <c r="BY157" s="221" t="str">
        <f t="shared" si="161"/>
        <v/>
      </c>
      <c r="BZ157" s="221" t="str">
        <f t="shared" si="162"/>
        <v/>
      </c>
      <c r="CA157" s="221"/>
      <c r="CB157" s="221"/>
      <c r="CC157" s="221"/>
      <c r="CD157" s="221"/>
      <c r="CE157" s="221"/>
      <c r="CF157" s="221"/>
      <c r="CG157" s="221"/>
      <c r="CH157" s="221"/>
      <c r="CI157" s="221"/>
      <c r="CJ157" s="468">
        <f t="shared" si="163"/>
        <v>0</v>
      </c>
      <c r="CK157" s="315">
        <f t="shared" si="164"/>
        <v>0</v>
      </c>
      <c r="CL157" s="315" t="str">
        <f t="shared" si="165"/>
        <v/>
      </c>
      <c r="CM157" s="182"/>
      <c r="CN157" s="182"/>
      <c r="CO157" s="182"/>
      <c r="CP157" s="221"/>
      <c r="CQ157" s="221"/>
      <c r="CR157" s="221"/>
      <c r="CS157" s="221"/>
      <c r="CT157" s="221"/>
      <c r="CU157" s="221"/>
      <c r="CV157" s="221"/>
      <c r="CW157" s="221"/>
      <c r="CX157" s="221"/>
      <c r="CY157" s="221"/>
      <c r="CZ157" s="182"/>
      <c r="DA157" s="182"/>
      <c r="DB157" s="182"/>
      <c r="DC157" s="182"/>
      <c r="DD157" s="221" t="str">
        <f t="shared" si="151"/>
        <v/>
      </c>
      <c r="DE157" s="221" t="str">
        <f t="shared" si="152"/>
        <v/>
      </c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469" t="str">
        <f t="shared" si="166"/>
        <v/>
      </c>
      <c r="DP157" s="315">
        <f t="shared" si="167"/>
        <v>0</v>
      </c>
      <c r="DQ157" s="315" t="str">
        <f t="shared" si="168"/>
        <v/>
      </c>
      <c r="DR157" s="182"/>
      <c r="DS157" s="182"/>
      <c r="DT157" s="182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182"/>
      <c r="EE157" s="182"/>
      <c r="EF157" s="182"/>
      <c r="EG157" s="182"/>
      <c r="EH157" s="221" t="str">
        <f t="shared" si="169"/>
        <v/>
      </c>
      <c r="EI157" s="221" t="str">
        <f t="shared" si="170"/>
        <v/>
      </c>
      <c r="EJ157" s="221"/>
      <c r="EK157" s="221"/>
      <c r="EL157" s="221"/>
      <c r="EM157" s="221"/>
      <c r="EN157" s="221"/>
      <c r="EO157" s="221"/>
      <c r="EP157" s="221"/>
      <c r="EQ157" s="221"/>
      <c r="ER157" s="221"/>
      <c r="ES157" s="221"/>
      <c r="ET157" s="221"/>
      <c r="EU157" s="315">
        <f t="shared" si="171"/>
        <v>0</v>
      </c>
      <c r="EV157" s="315" t="str">
        <f t="shared" si="172"/>
        <v/>
      </c>
      <c r="EW157" s="182"/>
      <c r="EX157" s="182"/>
      <c r="EY157" s="182"/>
      <c r="EZ157" s="221"/>
      <c r="FA157" s="221"/>
      <c r="FB157" s="221"/>
      <c r="FC157" s="221"/>
      <c r="FD157" s="221"/>
      <c r="FE157" s="221"/>
      <c r="FF157" s="221"/>
      <c r="FG157" s="221"/>
      <c r="FH157" s="221"/>
      <c r="FI157" s="182"/>
      <c r="FJ157" s="182"/>
      <c r="FK157" s="182"/>
      <c r="FL157" s="182"/>
      <c r="FM157" s="221" t="str">
        <f t="shared" si="173"/>
        <v/>
      </c>
      <c r="FN157" s="221" t="str">
        <f t="shared" si="174"/>
        <v/>
      </c>
      <c r="FO157" s="221"/>
      <c r="FP157" s="221"/>
      <c r="FQ157" s="221"/>
      <c r="FR157" s="221"/>
      <c r="FS157" s="221"/>
      <c r="FT157" s="221"/>
      <c r="FU157" s="221"/>
      <c r="FV157" s="221"/>
      <c r="FW157" s="221"/>
      <c r="FX157" s="221"/>
      <c r="FY157" s="221"/>
      <c r="FZ157" s="408"/>
      <c r="GA157" s="315">
        <f t="shared" si="175"/>
        <v>0</v>
      </c>
      <c r="GB157" s="315" t="str">
        <f t="shared" si="176"/>
        <v/>
      </c>
      <c r="GC157" s="302" t="s">
        <v>160</v>
      </c>
      <c r="GG157" s="460"/>
      <c r="GH157" s="460"/>
      <c r="GU157" s="469"/>
      <c r="GV157" s="470" t="str">
        <f t="shared" si="177"/>
        <v/>
      </c>
      <c r="GW157" s="302">
        <f t="shared" si="178"/>
        <v>0</v>
      </c>
      <c r="HA157" s="654"/>
      <c r="HD157" s="379"/>
      <c r="HE157" s="380"/>
      <c r="HH157" s="383"/>
      <c r="HI157" s="410"/>
      <c r="HJ157" s="302" t="str">
        <f t="shared" si="153"/>
        <v/>
      </c>
      <c r="HN157" s="380"/>
      <c r="HO157" s="302" t="str">
        <f t="shared" si="146"/>
        <v/>
      </c>
      <c r="HP157" s="302" t="str">
        <f t="shared" si="147"/>
        <v/>
      </c>
      <c r="HQ157" s="302" t="str">
        <f t="shared" si="148"/>
        <v/>
      </c>
      <c r="IT157" s="410"/>
      <c r="IU157" s="410"/>
      <c r="IV157" s="635"/>
    </row>
    <row r="158" spans="1:256" s="302" customFormat="1" ht="12.75" hidden="1" customHeight="1">
      <c r="A158" s="397" t="str">
        <f t="shared" si="145"/>
        <v/>
      </c>
      <c r="B158" s="462" t="str">
        <f t="shared" si="149"/>
        <v/>
      </c>
      <c r="C158" s="426"/>
      <c r="D158" s="575"/>
      <c r="E158" s="463"/>
      <c r="F158" s="464"/>
      <c r="G158" s="465"/>
      <c r="H158" s="465"/>
      <c r="I158" s="466"/>
      <c r="J158" s="463"/>
      <c r="K158" s="465"/>
      <c r="L158" s="465"/>
      <c r="M158" s="466"/>
      <c r="N158" s="573"/>
      <c r="O158" s="467"/>
      <c r="P158" s="518"/>
      <c r="Q158" s="381"/>
      <c r="R158" s="182"/>
      <c r="S158" s="182"/>
      <c r="T158" s="182"/>
      <c r="U158" s="182"/>
      <c r="V158" s="182"/>
      <c r="W158" s="182"/>
      <c r="X158" s="182"/>
      <c r="Y158" s="182"/>
      <c r="Z158" s="182"/>
      <c r="AA158" s="384"/>
      <c r="AB158" s="182" t="str">
        <f t="shared" si="154"/>
        <v/>
      </c>
      <c r="AC158" s="315">
        <f t="shared" si="155"/>
        <v>0</v>
      </c>
      <c r="AD158" s="315" t="str">
        <f t="shared" si="150"/>
        <v/>
      </c>
      <c r="AE158" s="182"/>
      <c r="AF158" s="182"/>
      <c r="AG158" s="182"/>
      <c r="AH158" s="221"/>
      <c r="AI158" s="221"/>
      <c r="AJ158" s="221"/>
      <c r="AK158" s="221"/>
      <c r="AL158" s="221"/>
      <c r="AM158" s="221"/>
      <c r="AN158" s="221"/>
      <c r="AO158" s="221"/>
      <c r="AP158" s="221"/>
      <c r="AQ158" s="182"/>
      <c r="AR158" s="182"/>
      <c r="AS158" s="182"/>
      <c r="AT158" s="182"/>
      <c r="AU158" s="221" t="str">
        <f t="shared" si="156"/>
        <v/>
      </c>
      <c r="AV158" s="221" t="str">
        <f t="shared" si="157"/>
        <v/>
      </c>
      <c r="AW158" s="221"/>
      <c r="AX158" s="221"/>
      <c r="AY158" s="221"/>
      <c r="AZ158" s="221"/>
      <c r="BA158" s="221"/>
      <c r="BB158" s="221"/>
      <c r="BC158" s="221"/>
      <c r="BD158" s="221"/>
      <c r="BE158" s="221"/>
      <c r="BF158" s="469">
        <f t="shared" si="158"/>
        <v>0</v>
      </c>
      <c r="BG158" s="315">
        <f t="shared" si="159"/>
        <v>0</v>
      </c>
      <c r="BH158" s="315" t="str">
        <f t="shared" si="160"/>
        <v/>
      </c>
      <c r="BI158" s="182"/>
      <c r="BJ158" s="182"/>
      <c r="BK158" s="182"/>
      <c r="BL158" s="221"/>
      <c r="BM158" s="221"/>
      <c r="BN158" s="221"/>
      <c r="BO158" s="221"/>
      <c r="BP158" s="221"/>
      <c r="BQ158" s="221"/>
      <c r="BR158" s="221"/>
      <c r="BS158" s="221"/>
      <c r="BT158" s="221"/>
      <c r="BU158" s="182"/>
      <c r="BV158" s="182"/>
      <c r="BW158" s="182"/>
      <c r="BX158" s="182"/>
      <c r="BY158" s="221" t="str">
        <f t="shared" si="161"/>
        <v/>
      </c>
      <c r="BZ158" s="221" t="str">
        <f t="shared" si="162"/>
        <v/>
      </c>
      <c r="CA158" s="221"/>
      <c r="CB158" s="221"/>
      <c r="CC158" s="221"/>
      <c r="CD158" s="221"/>
      <c r="CE158" s="221"/>
      <c r="CF158" s="221"/>
      <c r="CG158" s="221"/>
      <c r="CH158" s="221"/>
      <c r="CI158" s="221"/>
      <c r="CJ158" s="469">
        <f t="shared" si="163"/>
        <v>0</v>
      </c>
      <c r="CK158" s="315">
        <f t="shared" si="164"/>
        <v>0</v>
      </c>
      <c r="CL158" s="315" t="str">
        <f t="shared" si="165"/>
        <v/>
      </c>
      <c r="CM158" s="182"/>
      <c r="CN158" s="182"/>
      <c r="CO158" s="182"/>
      <c r="CP158" s="221"/>
      <c r="CQ158" s="221"/>
      <c r="CR158" s="221"/>
      <c r="CS158" s="221"/>
      <c r="CT158" s="221"/>
      <c r="CU158" s="221"/>
      <c r="CV158" s="221"/>
      <c r="CW158" s="221"/>
      <c r="CX158" s="221"/>
      <c r="CY158" s="221"/>
      <c r="CZ158" s="182"/>
      <c r="DA158" s="182"/>
      <c r="DB158" s="182"/>
      <c r="DC158" s="182"/>
      <c r="DD158" s="221" t="str">
        <f t="shared" si="151"/>
        <v/>
      </c>
      <c r="DE158" s="221" t="str">
        <f t="shared" si="152"/>
        <v/>
      </c>
      <c r="DF158" s="221"/>
      <c r="DG158" s="221"/>
      <c r="DH158" s="221"/>
      <c r="DI158" s="221"/>
      <c r="DJ158" s="221"/>
      <c r="DK158" s="221"/>
      <c r="DL158" s="221"/>
      <c r="DM158" s="221"/>
      <c r="DN158" s="221"/>
      <c r="DO158" s="469" t="str">
        <f t="shared" si="166"/>
        <v/>
      </c>
      <c r="DP158" s="315">
        <f t="shared" si="167"/>
        <v>0</v>
      </c>
      <c r="DQ158" s="315" t="str">
        <f t="shared" si="168"/>
        <v/>
      </c>
      <c r="DR158" s="182"/>
      <c r="DS158" s="182"/>
      <c r="DT158" s="182"/>
      <c r="DU158" s="221"/>
      <c r="DV158" s="221"/>
      <c r="DW158" s="221"/>
      <c r="DX158" s="221"/>
      <c r="DY158" s="221"/>
      <c r="DZ158" s="221"/>
      <c r="EA158" s="221"/>
      <c r="EB158" s="221"/>
      <c r="EC158" s="221"/>
      <c r="ED158" s="182"/>
      <c r="EE158" s="182"/>
      <c r="EF158" s="182"/>
      <c r="EG158" s="182"/>
      <c r="EH158" s="221" t="str">
        <f t="shared" si="169"/>
        <v/>
      </c>
      <c r="EI158" s="221" t="str">
        <f t="shared" si="170"/>
        <v/>
      </c>
      <c r="EJ158" s="221"/>
      <c r="EK158" s="221"/>
      <c r="EL158" s="221"/>
      <c r="EM158" s="221"/>
      <c r="EN158" s="221"/>
      <c r="EO158" s="221"/>
      <c r="EP158" s="221"/>
      <c r="EQ158" s="221"/>
      <c r="ER158" s="221"/>
      <c r="ES158" s="221"/>
      <c r="ET158" s="221"/>
      <c r="EU158" s="315">
        <f t="shared" si="171"/>
        <v>0</v>
      </c>
      <c r="EV158" s="315" t="str">
        <f t="shared" si="172"/>
        <v/>
      </c>
      <c r="EW158" s="182"/>
      <c r="EX158" s="182"/>
      <c r="EY158" s="182"/>
      <c r="EZ158" s="221"/>
      <c r="FA158" s="221"/>
      <c r="FB158" s="221"/>
      <c r="FC158" s="221"/>
      <c r="FD158" s="221"/>
      <c r="FE158" s="221"/>
      <c r="FF158" s="221"/>
      <c r="FG158" s="221"/>
      <c r="FH158" s="221"/>
      <c r="FI158" s="182"/>
      <c r="FJ158" s="182"/>
      <c r="FK158" s="182"/>
      <c r="FL158" s="182"/>
      <c r="FM158" s="221" t="str">
        <f t="shared" si="173"/>
        <v/>
      </c>
      <c r="FN158" s="221" t="str">
        <f t="shared" si="174"/>
        <v/>
      </c>
      <c r="FO158" s="221"/>
      <c r="FP158" s="221"/>
      <c r="FQ158" s="221"/>
      <c r="FR158" s="221"/>
      <c r="FS158" s="221"/>
      <c r="FT158" s="221"/>
      <c r="FU158" s="221"/>
      <c r="FV158" s="221"/>
      <c r="FW158" s="221"/>
      <c r="FX158" s="221"/>
      <c r="FY158" s="221"/>
      <c r="FZ158" s="408"/>
      <c r="GA158" s="315">
        <f t="shared" si="175"/>
        <v>0</v>
      </c>
      <c r="GB158" s="315" t="str">
        <f t="shared" si="176"/>
        <v/>
      </c>
      <c r="GC158" s="182" t="s">
        <v>160</v>
      </c>
      <c r="GD158" s="182"/>
      <c r="GE158" s="182"/>
      <c r="GG158" s="460"/>
      <c r="GH158" s="460"/>
      <c r="GU158" s="469"/>
      <c r="GV158" s="470" t="str">
        <f t="shared" si="177"/>
        <v/>
      </c>
      <c r="GW158" s="302">
        <f t="shared" si="178"/>
        <v>0</v>
      </c>
      <c r="HA158" s="654"/>
      <c r="HD158" s="379"/>
      <c r="HE158" s="380"/>
      <c r="HH158" s="385"/>
      <c r="HI158" s="411"/>
      <c r="HJ158" s="302" t="str">
        <f t="shared" si="153"/>
        <v/>
      </c>
      <c r="HO158" s="302" t="str">
        <f t="shared" si="146"/>
        <v/>
      </c>
      <c r="HP158" s="302" t="str">
        <f t="shared" si="147"/>
        <v/>
      </c>
      <c r="HQ158" s="302" t="str">
        <f t="shared" si="148"/>
        <v/>
      </c>
      <c r="IT158" s="411"/>
      <c r="IU158" s="411"/>
      <c r="IV158" s="635"/>
    </row>
    <row r="159" spans="1:256" s="302" customFormat="1" ht="12.75" hidden="1" customHeight="1">
      <c r="A159" s="397" t="str">
        <f t="shared" si="145"/>
        <v/>
      </c>
      <c r="B159" s="462" t="str">
        <f t="shared" si="149"/>
        <v/>
      </c>
      <c r="C159" s="426"/>
      <c r="D159" s="575"/>
      <c r="E159" s="463"/>
      <c r="F159" s="464"/>
      <c r="G159" s="465"/>
      <c r="H159" s="465"/>
      <c r="I159" s="466"/>
      <c r="J159" s="463"/>
      <c r="K159" s="465"/>
      <c r="L159" s="465"/>
      <c r="M159" s="466"/>
      <c r="N159" s="573"/>
      <c r="O159" s="467"/>
      <c r="P159" s="518"/>
      <c r="Q159" s="381"/>
      <c r="R159" s="182"/>
      <c r="S159" s="182"/>
      <c r="T159" s="182"/>
      <c r="U159" s="182"/>
      <c r="V159" s="182"/>
      <c r="W159" s="182"/>
      <c r="X159" s="182"/>
      <c r="Y159" s="182"/>
      <c r="Z159" s="182"/>
      <c r="AA159" s="382"/>
      <c r="AB159" s="182" t="str">
        <f t="shared" si="154"/>
        <v/>
      </c>
      <c r="AC159" s="315">
        <f t="shared" si="155"/>
        <v>0</v>
      </c>
      <c r="AD159" s="315" t="str">
        <f t="shared" si="150"/>
        <v/>
      </c>
      <c r="AE159" s="182"/>
      <c r="AF159" s="182"/>
      <c r="AG159" s="182"/>
      <c r="AH159" s="221"/>
      <c r="AI159" s="221"/>
      <c r="AJ159" s="221"/>
      <c r="AK159" s="221"/>
      <c r="AL159" s="221"/>
      <c r="AM159" s="221"/>
      <c r="AN159" s="221"/>
      <c r="AO159" s="221"/>
      <c r="AP159" s="221"/>
      <c r="AQ159" s="182"/>
      <c r="AR159" s="182"/>
      <c r="AS159" s="182"/>
      <c r="AT159" s="182"/>
      <c r="AU159" s="221" t="str">
        <f t="shared" si="156"/>
        <v/>
      </c>
      <c r="AV159" s="221" t="str">
        <f t="shared" si="157"/>
        <v/>
      </c>
      <c r="AW159" s="221"/>
      <c r="AX159" s="221"/>
      <c r="AY159" s="221"/>
      <c r="AZ159" s="221"/>
      <c r="BA159" s="221"/>
      <c r="BB159" s="221"/>
      <c r="BC159" s="221"/>
      <c r="BD159" s="221"/>
      <c r="BE159" s="221"/>
      <c r="BF159" s="468">
        <f t="shared" si="158"/>
        <v>0</v>
      </c>
      <c r="BG159" s="315">
        <f t="shared" si="159"/>
        <v>0</v>
      </c>
      <c r="BH159" s="315" t="str">
        <f t="shared" si="160"/>
        <v/>
      </c>
      <c r="BI159" s="182"/>
      <c r="BJ159" s="182"/>
      <c r="BK159" s="182"/>
      <c r="BL159" s="221"/>
      <c r="BM159" s="221"/>
      <c r="BN159" s="221"/>
      <c r="BO159" s="221"/>
      <c r="BP159" s="221"/>
      <c r="BQ159" s="221"/>
      <c r="BR159" s="221"/>
      <c r="BS159" s="221"/>
      <c r="BT159" s="221"/>
      <c r="BU159" s="182"/>
      <c r="BV159" s="182"/>
      <c r="BW159" s="182"/>
      <c r="BX159" s="182"/>
      <c r="BY159" s="221" t="str">
        <f t="shared" si="161"/>
        <v/>
      </c>
      <c r="BZ159" s="221" t="str">
        <f t="shared" si="162"/>
        <v/>
      </c>
      <c r="CA159" s="221"/>
      <c r="CB159" s="221"/>
      <c r="CC159" s="221"/>
      <c r="CD159" s="221"/>
      <c r="CE159" s="221"/>
      <c r="CF159" s="221"/>
      <c r="CG159" s="221"/>
      <c r="CH159" s="221"/>
      <c r="CI159" s="221"/>
      <c r="CJ159" s="468">
        <f t="shared" si="163"/>
        <v>0</v>
      </c>
      <c r="CK159" s="315">
        <f t="shared" si="164"/>
        <v>0</v>
      </c>
      <c r="CL159" s="315" t="str">
        <f t="shared" si="165"/>
        <v/>
      </c>
      <c r="CM159" s="182"/>
      <c r="CN159" s="182"/>
      <c r="CO159" s="182"/>
      <c r="CP159" s="221"/>
      <c r="CQ159" s="221"/>
      <c r="CR159" s="221"/>
      <c r="CS159" s="221"/>
      <c r="CT159" s="221"/>
      <c r="CU159" s="221"/>
      <c r="CV159" s="221"/>
      <c r="CW159" s="221"/>
      <c r="CX159" s="221"/>
      <c r="CY159" s="221"/>
      <c r="CZ159" s="182"/>
      <c r="DA159" s="182"/>
      <c r="DB159" s="182"/>
      <c r="DC159" s="182"/>
      <c r="DD159" s="221" t="str">
        <f t="shared" si="151"/>
        <v/>
      </c>
      <c r="DE159" s="221" t="str">
        <f t="shared" si="152"/>
        <v/>
      </c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469" t="str">
        <f t="shared" si="166"/>
        <v/>
      </c>
      <c r="DP159" s="315">
        <f t="shared" si="167"/>
        <v>0</v>
      </c>
      <c r="DQ159" s="315" t="str">
        <f t="shared" si="168"/>
        <v/>
      </c>
      <c r="DR159" s="182"/>
      <c r="DS159" s="182"/>
      <c r="DT159" s="182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182"/>
      <c r="EE159" s="182"/>
      <c r="EF159" s="182"/>
      <c r="EG159" s="182"/>
      <c r="EH159" s="221" t="str">
        <f t="shared" si="169"/>
        <v/>
      </c>
      <c r="EI159" s="221" t="str">
        <f t="shared" si="170"/>
        <v/>
      </c>
      <c r="EJ159" s="221"/>
      <c r="EK159" s="221"/>
      <c r="EL159" s="221"/>
      <c r="EM159" s="221"/>
      <c r="EN159" s="221"/>
      <c r="EO159" s="221"/>
      <c r="EP159" s="221"/>
      <c r="EQ159" s="221"/>
      <c r="ER159" s="221"/>
      <c r="ES159" s="221"/>
      <c r="ET159" s="221"/>
      <c r="EU159" s="315">
        <f t="shared" si="171"/>
        <v>0</v>
      </c>
      <c r="EV159" s="315" t="str">
        <f t="shared" si="172"/>
        <v/>
      </c>
      <c r="EW159" s="182"/>
      <c r="EX159" s="182"/>
      <c r="EY159" s="182"/>
      <c r="EZ159" s="221"/>
      <c r="FA159" s="221"/>
      <c r="FB159" s="221"/>
      <c r="FC159" s="221"/>
      <c r="FD159" s="221"/>
      <c r="FE159" s="221"/>
      <c r="FF159" s="221"/>
      <c r="FG159" s="221"/>
      <c r="FH159" s="221"/>
      <c r="FI159" s="182"/>
      <c r="FJ159" s="182"/>
      <c r="FK159" s="182"/>
      <c r="FL159" s="182"/>
      <c r="FM159" s="221" t="str">
        <f t="shared" si="173"/>
        <v/>
      </c>
      <c r="FN159" s="221" t="str">
        <f t="shared" si="174"/>
        <v/>
      </c>
      <c r="FO159" s="221"/>
      <c r="FP159" s="221"/>
      <c r="FQ159" s="221"/>
      <c r="FR159" s="221"/>
      <c r="FS159" s="221"/>
      <c r="FT159" s="221"/>
      <c r="FU159" s="221"/>
      <c r="FV159" s="221"/>
      <c r="FW159" s="221"/>
      <c r="FX159" s="221"/>
      <c r="FY159" s="221"/>
      <c r="FZ159" s="408"/>
      <c r="GA159" s="315">
        <f t="shared" si="175"/>
        <v>0</v>
      </c>
      <c r="GB159" s="315" t="str">
        <f t="shared" si="176"/>
        <v/>
      </c>
      <c r="GC159" s="182" t="s">
        <v>160</v>
      </c>
      <c r="GD159" s="182"/>
      <c r="GE159" s="182"/>
      <c r="GG159" s="460"/>
      <c r="GH159" s="460"/>
      <c r="GU159" s="469"/>
      <c r="GV159" s="470" t="str">
        <f t="shared" si="177"/>
        <v/>
      </c>
      <c r="GW159" s="302">
        <f t="shared" si="178"/>
        <v>0</v>
      </c>
      <c r="HA159" s="654"/>
      <c r="HD159" s="379"/>
      <c r="HE159" s="380"/>
      <c r="HH159" s="383"/>
      <c r="HI159" s="410"/>
      <c r="HJ159" s="302" t="str">
        <f t="shared" si="153"/>
        <v/>
      </c>
      <c r="HO159" s="302" t="str">
        <f t="shared" si="146"/>
        <v/>
      </c>
      <c r="HP159" s="302" t="str">
        <f t="shared" si="147"/>
        <v/>
      </c>
      <c r="HQ159" s="302" t="str">
        <f t="shared" si="148"/>
        <v/>
      </c>
      <c r="IT159" s="410"/>
      <c r="IU159" s="410"/>
      <c r="IV159" s="635"/>
    </row>
    <row r="160" spans="1:256" s="302" customFormat="1" ht="12.75" hidden="1" customHeight="1">
      <c r="A160" s="397" t="str">
        <f t="shared" si="145"/>
        <v/>
      </c>
      <c r="B160" s="462" t="str">
        <f t="shared" si="149"/>
        <v/>
      </c>
      <c r="C160" s="426"/>
      <c r="D160" s="575"/>
      <c r="E160" s="463"/>
      <c r="F160" s="464"/>
      <c r="G160" s="465"/>
      <c r="H160" s="465"/>
      <c r="I160" s="466"/>
      <c r="J160" s="463"/>
      <c r="K160" s="465"/>
      <c r="L160" s="465"/>
      <c r="M160" s="466"/>
      <c r="N160" s="573"/>
      <c r="O160" s="467"/>
      <c r="P160" s="518"/>
      <c r="Q160" s="381"/>
      <c r="R160" s="182"/>
      <c r="S160" s="182"/>
      <c r="T160" s="182"/>
      <c r="U160" s="182"/>
      <c r="V160" s="182"/>
      <c r="W160" s="182"/>
      <c r="X160" s="182"/>
      <c r="Y160" s="182"/>
      <c r="Z160" s="182"/>
      <c r="AA160" s="384"/>
      <c r="AB160" s="182" t="str">
        <f t="shared" si="154"/>
        <v/>
      </c>
      <c r="AC160" s="315">
        <f t="shared" si="155"/>
        <v>0</v>
      </c>
      <c r="AD160" s="315" t="str">
        <f t="shared" si="150"/>
        <v/>
      </c>
      <c r="AE160" s="182"/>
      <c r="AF160" s="182"/>
      <c r="AG160" s="182"/>
      <c r="AH160" s="221"/>
      <c r="AI160" s="221"/>
      <c r="AJ160" s="221"/>
      <c r="AK160" s="221"/>
      <c r="AL160" s="221"/>
      <c r="AM160" s="221"/>
      <c r="AN160" s="221"/>
      <c r="AO160" s="221"/>
      <c r="AP160" s="221"/>
      <c r="AQ160" s="182"/>
      <c r="AR160" s="182"/>
      <c r="AS160" s="182"/>
      <c r="AT160" s="182"/>
      <c r="AU160" s="221" t="str">
        <f t="shared" si="156"/>
        <v/>
      </c>
      <c r="AV160" s="221" t="str">
        <f t="shared" si="157"/>
        <v/>
      </c>
      <c r="AW160" s="221"/>
      <c r="AX160" s="221"/>
      <c r="AY160" s="221"/>
      <c r="AZ160" s="221"/>
      <c r="BA160" s="221"/>
      <c r="BB160" s="221"/>
      <c r="BC160" s="221"/>
      <c r="BD160" s="221"/>
      <c r="BE160" s="221"/>
      <c r="BF160" s="469">
        <f t="shared" si="158"/>
        <v>0</v>
      </c>
      <c r="BG160" s="315">
        <f t="shared" si="159"/>
        <v>0</v>
      </c>
      <c r="BH160" s="315" t="str">
        <f t="shared" si="160"/>
        <v/>
      </c>
      <c r="BI160" s="182"/>
      <c r="BJ160" s="182"/>
      <c r="BK160" s="182"/>
      <c r="BL160" s="221"/>
      <c r="BM160" s="221"/>
      <c r="BN160" s="221"/>
      <c r="BO160" s="221"/>
      <c r="BP160" s="221"/>
      <c r="BQ160" s="221"/>
      <c r="BR160" s="221"/>
      <c r="BS160" s="221"/>
      <c r="BT160" s="221"/>
      <c r="BU160" s="182"/>
      <c r="BV160" s="182"/>
      <c r="BW160" s="182"/>
      <c r="BX160" s="182"/>
      <c r="BY160" s="221" t="str">
        <f t="shared" si="161"/>
        <v/>
      </c>
      <c r="BZ160" s="221" t="str">
        <f t="shared" si="162"/>
        <v/>
      </c>
      <c r="CA160" s="221"/>
      <c r="CB160" s="221"/>
      <c r="CC160" s="221"/>
      <c r="CD160" s="221"/>
      <c r="CE160" s="221"/>
      <c r="CF160" s="221"/>
      <c r="CG160" s="221"/>
      <c r="CH160" s="221"/>
      <c r="CI160" s="221"/>
      <c r="CJ160" s="469">
        <f t="shared" si="163"/>
        <v>0</v>
      </c>
      <c r="CK160" s="315">
        <f t="shared" si="164"/>
        <v>0</v>
      </c>
      <c r="CL160" s="315" t="str">
        <f t="shared" si="165"/>
        <v/>
      </c>
      <c r="CM160" s="182"/>
      <c r="CN160" s="182"/>
      <c r="CO160" s="182"/>
      <c r="CP160" s="221"/>
      <c r="CQ160" s="221"/>
      <c r="CR160" s="221"/>
      <c r="CS160" s="221"/>
      <c r="CT160" s="221"/>
      <c r="CU160" s="221"/>
      <c r="CV160" s="221"/>
      <c r="CW160" s="221"/>
      <c r="CX160" s="221"/>
      <c r="CY160" s="221"/>
      <c r="CZ160" s="182"/>
      <c r="DA160" s="182"/>
      <c r="DB160" s="182"/>
      <c r="DC160" s="182"/>
      <c r="DD160" s="221" t="str">
        <f t="shared" si="151"/>
        <v/>
      </c>
      <c r="DE160" s="221" t="str">
        <f t="shared" si="152"/>
        <v/>
      </c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469" t="str">
        <f t="shared" si="166"/>
        <v/>
      </c>
      <c r="DP160" s="315">
        <f t="shared" si="167"/>
        <v>0</v>
      </c>
      <c r="DQ160" s="315" t="str">
        <f t="shared" si="168"/>
        <v/>
      </c>
      <c r="DR160" s="182"/>
      <c r="DS160" s="182"/>
      <c r="DT160" s="182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182"/>
      <c r="EE160" s="182"/>
      <c r="EF160" s="182"/>
      <c r="EG160" s="182"/>
      <c r="EH160" s="221" t="str">
        <f t="shared" si="169"/>
        <v/>
      </c>
      <c r="EI160" s="221" t="str">
        <f t="shared" si="170"/>
        <v/>
      </c>
      <c r="EJ160" s="221"/>
      <c r="EK160" s="221"/>
      <c r="EL160" s="221"/>
      <c r="EM160" s="221"/>
      <c r="EN160" s="221"/>
      <c r="EO160" s="221"/>
      <c r="EP160" s="221"/>
      <c r="EQ160" s="221"/>
      <c r="ER160" s="221"/>
      <c r="ES160" s="221"/>
      <c r="ET160" s="221"/>
      <c r="EU160" s="315">
        <f t="shared" si="171"/>
        <v>0</v>
      </c>
      <c r="EV160" s="315" t="str">
        <f t="shared" si="172"/>
        <v/>
      </c>
      <c r="EW160" s="182"/>
      <c r="EX160" s="182"/>
      <c r="EY160" s="182"/>
      <c r="EZ160" s="221"/>
      <c r="FA160" s="221"/>
      <c r="FB160" s="221"/>
      <c r="FC160" s="221"/>
      <c r="FD160" s="221"/>
      <c r="FE160" s="221"/>
      <c r="FF160" s="221"/>
      <c r="FG160" s="221"/>
      <c r="FH160" s="221"/>
      <c r="FI160" s="182"/>
      <c r="FJ160" s="182"/>
      <c r="FK160" s="182"/>
      <c r="FL160" s="182"/>
      <c r="FM160" s="221" t="str">
        <f t="shared" si="173"/>
        <v/>
      </c>
      <c r="FN160" s="221" t="str">
        <f t="shared" si="174"/>
        <v/>
      </c>
      <c r="FO160" s="221"/>
      <c r="FP160" s="221"/>
      <c r="FQ160" s="221"/>
      <c r="FR160" s="221"/>
      <c r="FS160" s="221"/>
      <c r="FT160" s="221"/>
      <c r="FU160" s="221"/>
      <c r="FV160" s="221"/>
      <c r="FW160" s="221"/>
      <c r="FX160" s="221"/>
      <c r="FY160" s="221"/>
      <c r="FZ160" s="408"/>
      <c r="GA160" s="315">
        <f t="shared" si="175"/>
        <v>0</v>
      </c>
      <c r="GB160" s="315" t="str">
        <f t="shared" si="176"/>
        <v/>
      </c>
      <c r="GC160" s="182" t="s">
        <v>160</v>
      </c>
      <c r="GD160" s="182"/>
      <c r="GE160" s="182"/>
      <c r="GG160" s="460"/>
      <c r="GH160" s="460"/>
      <c r="GU160" s="469"/>
      <c r="GV160" s="470" t="str">
        <f t="shared" si="177"/>
        <v/>
      </c>
      <c r="GW160" s="302">
        <f t="shared" si="178"/>
        <v>0</v>
      </c>
      <c r="HA160" s="654"/>
      <c r="HD160" s="379"/>
      <c r="HE160" s="380"/>
      <c r="HH160" s="385"/>
      <c r="HI160" s="411"/>
      <c r="HJ160" s="302" t="str">
        <f t="shared" si="153"/>
        <v/>
      </c>
      <c r="HO160" s="302" t="str">
        <f t="shared" si="146"/>
        <v/>
      </c>
      <c r="HP160" s="302" t="str">
        <f t="shared" si="147"/>
        <v/>
      </c>
      <c r="HQ160" s="302" t="str">
        <f t="shared" si="148"/>
        <v/>
      </c>
      <c r="IT160" s="411"/>
      <c r="IU160" s="411"/>
      <c r="IV160" s="635"/>
    </row>
    <row r="161" spans="1:256" s="302" customFormat="1" ht="12.75" hidden="1" customHeight="1">
      <c r="A161" s="397" t="str">
        <f t="shared" si="145"/>
        <v/>
      </c>
      <c r="B161" s="462" t="str">
        <f t="shared" si="149"/>
        <v/>
      </c>
      <c r="C161" s="426"/>
      <c r="D161" s="575"/>
      <c r="E161" s="463"/>
      <c r="F161" s="464"/>
      <c r="G161" s="465"/>
      <c r="H161" s="465"/>
      <c r="I161" s="466"/>
      <c r="J161" s="463"/>
      <c r="K161" s="465"/>
      <c r="L161" s="465"/>
      <c r="M161" s="466"/>
      <c r="N161" s="573"/>
      <c r="O161" s="467"/>
      <c r="P161" s="518"/>
      <c r="Q161" s="381"/>
      <c r="R161" s="182"/>
      <c r="S161" s="182"/>
      <c r="T161" s="182"/>
      <c r="U161" s="182"/>
      <c r="V161" s="182"/>
      <c r="W161" s="182"/>
      <c r="X161" s="182"/>
      <c r="Y161" s="182"/>
      <c r="Z161" s="182"/>
      <c r="AA161" s="382"/>
      <c r="AB161" s="182" t="str">
        <f t="shared" si="154"/>
        <v/>
      </c>
      <c r="AC161" s="315">
        <f t="shared" si="155"/>
        <v>0</v>
      </c>
      <c r="AD161" s="315" t="str">
        <f t="shared" si="150"/>
        <v/>
      </c>
      <c r="AE161" s="182"/>
      <c r="AF161" s="182"/>
      <c r="AG161" s="182"/>
      <c r="AH161" s="221"/>
      <c r="AI161" s="221"/>
      <c r="AJ161" s="221"/>
      <c r="AK161" s="221"/>
      <c r="AL161" s="221"/>
      <c r="AM161" s="221"/>
      <c r="AN161" s="221"/>
      <c r="AO161" s="221"/>
      <c r="AP161" s="221"/>
      <c r="AQ161" s="182"/>
      <c r="AR161" s="182"/>
      <c r="AS161" s="182"/>
      <c r="AT161" s="182"/>
      <c r="AU161" s="221" t="str">
        <f t="shared" si="156"/>
        <v/>
      </c>
      <c r="AV161" s="221" t="str">
        <f t="shared" si="157"/>
        <v/>
      </c>
      <c r="AW161" s="221"/>
      <c r="AX161" s="221"/>
      <c r="AY161" s="221"/>
      <c r="AZ161" s="221"/>
      <c r="BA161" s="221"/>
      <c r="BB161" s="221"/>
      <c r="BC161" s="221"/>
      <c r="BD161" s="221"/>
      <c r="BE161" s="221"/>
      <c r="BF161" s="468">
        <f t="shared" si="158"/>
        <v>0</v>
      </c>
      <c r="BG161" s="315">
        <f t="shared" si="159"/>
        <v>0</v>
      </c>
      <c r="BH161" s="315" t="str">
        <f t="shared" si="160"/>
        <v/>
      </c>
      <c r="BI161" s="182"/>
      <c r="BJ161" s="182"/>
      <c r="BK161" s="182"/>
      <c r="BL161" s="221"/>
      <c r="BM161" s="221"/>
      <c r="BN161" s="221"/>
      <c r="BO161" s="221"/>
      <c r="BP161" s="221"/>
      <c r="BQ161" s="221"/>
      <c r="BR161" s="221"/>
      <c r="BS161" s="221"/>
      <c r="BT161" s="221"/>
      <c r="BU161" s="182"/>
      <c r="BV161" s="182"/>
      <c r="BW161" s="182"/>
      <c r="BX161" s="182"/>
      <c r="BY161" s="221" t="str">
        <f t="shared" si="161"/>
        <v/>
      </c>
      <c r="BZ161" s="221" t="str">
        <f t="shared" si="162"/>
        <v/>
      </c>
      <c r="CA161" s="221"/>
      <c r="CB161" s="221"/>
      <c r="CC161" s="221"/>
      <c r="CD161" s="221"/>
      <c r="CE161" s="221"/>
      <c r="CF161" s="221"/>
      <c r="CG161" s="221"/>
      <c r="CH161" s="221"/>
      <c r="CI161" s="221"/>
      <c r="CJ161" s="468">
        <f t="shared" si="163"/>
        <v>0</v>
      </c>
      <c r="CK161" s="315">
        <f t="shared" si="164"/>
        <v>0</v>
      </c>
      <c r="CL161" s="315" t="str">
        <f t="shared" si="165"/>
        <v/>
      </c>
      <c r="CM161" s="182"/>
      <c r="CN161" s="182"/>
      <c r="CO161" s="182"/>
      <c r="CP161" s="221"/>
      <c r="CQ161" s="221"/>
      <c r="CR161" s="221"/>
      <c r="CS161" s="221"/>
      <c r="CT161" s="221"/>
      <c r="CU161" s="221"/>
      <c r="CV161" s="221"/>
      <c r="CW161" s="221"/>
      <c r="CX161" s="221"/>
      <c r="CY161" s="221"/>
      <c r="CZ161" s="182"/>
      <c r="DA161" s="182"/>
      <c r="DB161" s="182"/>
      <c r="DC161" s="182"/>
      <c r="DD161" s="221" t="str">
        <f t="shared" si="151"/>
        <v/>
      </c>
      <c r="DE161" s="221" t="str">
        <f t="shared" si="152"/>
        <v/>
      </c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469" t="str">
        <f t="shared" si="166"/>
        <v/>
      </c>
      <c r="DP161" s="315">
        <f t="shared" si="167"/>
        <v>0</v>
      </c>
      <c r="DQ161" s="315" t="str">
        <f t="shared" si="168"/>
        <v/>
      </c>
      <c r="DR161" s="182"/>
      <c r="DS161" s="182"/>
      <c r="DT161" s="182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182"/>
      <c r="EE161" s="182"/>
      <c r="EF161" s="182"/>
      <c r="EG161" s="182"/>
      <c r="EH161" s="221" t="str">
        <f t="shared" si="169"/>
        <v/>
      </c>
      <c r="EI161" s="221" t="str">
        <f t="shared" si="170"/>
        <v/>
      </c>
      <c r="EJ161" s="221"/>
      <c r="EK161" s="221"/>
      <c r="EL161" s="221"/>
      <c r="EM161" s="221"/>
      <c r="EN161" s="221"/>
      <c r="EO161" s="221"/>
      <c r="EP161" s="221"/>
      <c r="EQ161" s="221"/>
      <c r="ER161" s="221"/>
      <c r="ES161" s="221"/>
      <c r="ET161" s="221"/>
      <c r="EU161" s="315">
        <f t="shared" si="171"/>
        <v>0</v>
      </c>
      <c r="EV161" s="315" t="str">
        <f t="shared" si="172"/>
        <v/>
      </c>
      <c r="EW161" s="182"/>
      <c r="EX161" s="182"/>
      <c r="EY161" s="182"/>
      <c r="EZ161" s="221"/>
      <c r="FA161" s="221"/>
      <c r="FB161" s="221"/>
      <c r="FC161" s="221"/>
      <c r="FD161" s="221"/>
      <c r="FE161" s="221"/>
      <c r="FF161" s="221"/>
      <c r="FG161" s="221"/>
      <c r="FH161" s="221"/>
      <c r="FI161" s="182"/>
      <c r="FJ161" s="182"/>
      <c r="FK161" s="182"/>
      <c r="FL161" s="182"/>
      <c r="FM161" s="221" t="str">
        <f t="shared" si="173"/>
        <v/>
      </c>
      <c r="FN161" s="221" t="str">
        <f t="shared" si="174"/>
        <v/>
      </c>
      <c r="FO161" s="221"/>
      <c r="FP161" s="221"/>
      <c r="FQ161" s="221"/>
      <c r="FR161" s="221"/>
      <c r="FS161" s="221"/>
      <c r="FT161" s="221"/>
      <c r="FU161" s="221"/>
      <c r="FV161" s="221"/>
      <c r="FW161" s="221"/>
      <c r="FX161" s="221"/>
      <c r="FY161" s="221"/>
      <c r="FZ161" s="408"/>
      <c r="GA161" s="315">
        <f t="shared" si="175"/>
        <v>0</v>
      </c>
      <c r="GB161" s="315" t="str">
        <f t="shared" si="176"/>
        <v/>
      </c>
      <c r="GC161" s="182" t="s">
        <v>160</v>
      </c>
      <c r="GD161" s="182"/>
      <c r="GE161" s="182"/>
      <c r="GG161" s="460"/>
      <c r="GH161" s="460"/>
      <c r="GU161" s="469"/>
      <c r="GV161" s="470" t="str">
        <f t="shared" si="177"/>
        <v/>
      </c>
      <c r="GW161" s="302">
        <f t="shared" si="178"/>
        <v>0</v>
      </c>
      <c r="HA161" s="654"/>
      <c r="HD161" s="379"/>
      <c r="HE161" s="380"/>
      <c r="HH161" s="383"/>
      <c r="HI161" s="410"/>
      <c r="HJ161" s="302" t="str">
        <f t="shared" si="153"/>
        <v/>
      </c>
      <c r="HO161" s="302" t="str">
        <f t="shared" si="146"/>
        <v/>
      </c>
      <c r="HP161" s="302" t="str">
        <f t="shared" si="147"/>
        <v/>
      </c>
      <c r="HQ161" s="302" t="str">
        <f t="shared" si="148"/>
        <v/>
      </c>
      <c r="IT161" s="410"/>
      <c r="IU161" s="410"/>
      <c r="IV161" s="635"/>
    </row>
    <row r="162" spans="1:256" s="302" customFormat="1" ht="12.75" hidden="1" customHeight="1">
      <c r="A162" s="397" t="str">
        <f t="shared" si="145"/>
        <v/>
      </c>
      <c r="B162" s="462" t="str">
        <f t="shared" si="149"/>
        <v/>
      </c>
      <c r="C162" s="426"/>
      <c r="D162" s="575"/>
      <c r="E162" s="463"/>
      <c r="F162" s="464"/>
      <c r="G162" s="465"/>
      <c r="H162" s="465"/>
      <c r="I162" s="466"/>
      <c r="J162" s="463"/>
      <c r="K162" s="465"/>
      <c r="L162" s="465"/>
      <c r="M162" s="466"/>
      <c r="N162" s="573"/>
      <c r="O162" s="467"/>
      <c r="P162" s="518"/>
      <c r="Q162" s="381"/>
      <c r="R162" s="182"/>
      <c r="S162" s="182"/>
      <c r="T162" s="182"/>
      <c r="U162" s="182"/>
      <c r="V162" s="182"/>
      <c r="W162" s="182"/>
      <c r="X162" s="182"/>
      <c r="Y162" s="182"/>
      <c r="Z162" s="182"/>
      <c r="AA162" s="384"/>
      <c r="AB162" s="182" t="str">
        <f t="shared" si="154"/>
        <v/>
      </c>
      <c r="AC162" s="315">
        <f t="shared" si="155"/>
        <v>0</v>
      </c>
      <c r="AD162" s="315" t="str">
        <f t="shared" si="150"/>
        <v/>
      </c>
      <c r="AE162" s="182"/>
      <c r="AF162" s="182"/>
      <c r="AG162" s="182"/>
      <c r="AH162" s="221"/>
      <c r="AI162" s="221"/>
      <c r="AJ162" s="221"/>
      <c r="AK162" s="221"/>
      <c r="AL162" s="221"/>
      <c r="AM162" s="221"/>
      <c r="AN162" s="221"/>
      <c r="AO162" s="221"/>
      <c r="AP162" s="221"/>
      <c r="AQ162" s="182"/>
      <c r="AR162" s="182"/>
      <c r="AS162" s="182"/>
      <c r="AT162" s="182"/>
      <c r="AU162" s="221" t="str">
        <f t="shared" si="156"/>
        <v/>
      </c>
      <c r="AV162" s="221" t="str">
        <f t="shared" si="157"/>
        <v/>
      </c>
      <c r="AW162" s="221"/>
      <c r="AX162" s="221"/>
      <c r="AY162" s="221"/>
      <c r="AZ162" s="221"/>
      <c r="BA162" s="221"/>
      <c r="BB162" s="221"/>
      <c r="BC162" s="221"/>
      <c r="BD162" s="221"/>
      <c r="BE162" s="221"/>
      <c r="BF162" s="469">
        <f t="shared" si="158"/>
        <v>0</v>
      </c>
      <c r="BG162" s="315">
        <f t="shared" si="159"/>
        <v>0</v>
      </c>
      <c r="BH162" s="315" t="str">
        <f t="shared" si="160"/>
        <v/>
      </c>
      <c r="BL162" s="380"/>
      <c r="BM162" s="380"/>
      <c r="BN162" s="380"/>
      <c r="BO162" s="380"/>
      <c r="BP162" s="380"/>
      <c r="BQ162" s="380"/>
      <c r="BR162" s="380"/>
      <c r="BS162" s="380"/>
      <c r="BT162" s="380"/>
      <c r="BY162" s="221" t="str">
        <f t="shared" si="161"/>
        <v/>
      </c>
      <c r="BZ162" s="221" t="str">
        <f t="shared" si="162"/>
        <v/>
      </c>
      <c r="CA162" s="221"/>
      <c r="CB162" s="221"/>
      <c r="CC162" s="221"/>
      <c r="CD162" s="221"/>
      <c r="CE162" s="221"/>
      <c r="CF162" s="221"/>
      <c r="CG162" s="221"/>
      <c r="CH162" s="221"/>
      <c r="CI162" s="221"/>
      <c r="CJ162" s="469">
        <f t="shared" si="163"/>
        <v>0</v>
      </c>
      <c r="CK162" s="315">
        <f t="shared" si="164"/>
        <v>0</v>
      </c>
      <c r="CL162" s="315" t="str">
        <f t="shared" si="165"/>
        <v/>
      </c>
      <c r="CM162" s="182"/>
      <c r="CN162" s="182"/>
      <c r="CO162" s="182"/>
      <c r="CP162" s="221"/>
      <c r="CQ162" s="221"/>
      <c r="CR162" s="221"/>
      <c r="CS162" s="221"/>
      <c r="CT162" s="221"/>
      <c r="CU162" s="221"/>
      <c r="CV162" s="221"/>
      <c r="CW162" s="221"/>
      <c r="CX162" s="221"/>
      <c r="CY162" s="221"/>
      <c r="CZ162" s="182"/>
      <c r="DA162" s="182"/>
      <c r="DB162" s="182"/>
      <c r="DC162" s="182"/>
      <c r="DD162" s="221" t="str">
        <f t="shared" si="151"/>
        <v/>
      </c>
      <c r="DE162" s="221" t="str">
        <f t="shared" si="152"/>
        <v/>
      </c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469" t="str">
        <f t="shared" si="166"/>
        <v/>
      </c>
      <c r="DP162" s="315">
        <f t="shared" si="167"/>
        <v>0</v>
      </c>
      <c r="DQ162" s="315" t="str">
        <f t="shared" si="168"/>
        <v/>
      </c>
      <c r="DR162" s="182"/>
      <c r="DS162" s="182"/>
      <c r="DT162" s="182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182"/>
      <c r="EE162" s="182"/>
      <c r="EF162" s="182"/>
      <c r="EG162" s="182"/>
      <c r="EH162" s="221" t="str">
        <f t="shared" si="169"/>
        <v/>
      </c>
      <c r="EI162" s="221" t="str">
        <f t="shared" si="170"/>
        <v/>
      </c>
      <c r="EJ162" s="221"/>
      <c r="EK162" s="221"/>
      <c r="EL162" s="221"/>
      <c r="EM162" s="221"/>
      <c r="EN162" s="221"/>
      <c r="EO162" s="221"/>
      <c r="EP162" s="221"/>
      <c r="EQ162" s="221"/>
      <c r="ER162" s="221"/>
      <c r="ES162" s="221"/>
      <c r="ET162" s="221"/>
      <c r="EU162" s="315">
        <f t="shared" si="171"/>
        <v>0</v>
      </c>
      <c r="EV162" s="315" t="str">
        <f t="shared" si="172"/>
        <v/>
      </c>
      <c r="EW162" s="182"/>
      <c r="EX162" s="182"/>
      <c r="EY162" s="182"/>
      <c r="EZ162" s="221"/>
      <c r="FA162" s="221"/>
      <c r="FB162" s="221"/>
      <c r="FC162" s="221"/>
      <c r="FD162" s="221"/>
      <c r="FE162" s="221"/>
      <c r="FF162" s="221"/>
      <c r="FG162" s="221"/>
      <c r="FH162" s="221"/>
      <c r="FI162" s="182"/>
      <c r="FJ162" s="182"/>
      <c r="FK162" s="182"/>
      <c r="FL162" s="182"/>
      <c r="FM162" s="221" t="str">
        <f t="shared" si="173"/>
        <v/>
      </c>
      <c r="FN162" s="221" t="str">
        <f t="shared" si="174"/>
        <v/>
      </c>
      <c r="FO162" s="221"/>
      <c r="FP162" s="221"/>
      <c r="FQ162" s="221"/>
      <c r="FR162" s="221"/>
      <c r="FS162" s="221"/>
      <c r="FT162" s="221"/>
      <c r="FU162" s="221"/>
      <c r="FV162" s="221"/>
      <c r="FW162" s="221"/>
      <c r="FX162" s="221"/>
      <c r="FY162" s="221"/>
      <c r="FZ162" s="408"/>
      <c r="GA162" s="315">
        <f t="shared" si="175"/>
        <v>0</v>
      </c>
      <c r="GB162" s="315" t="str">
        <f t="shared" si="176"/>
        <v/>
      </c>
      <c r="GC162" s="182" t="s">
        <v>160</v>
      </c>
      <c r="GD162" s="182"/>
      <c r="GE162" s="182"/>
      <c r="GG162" s="460"/>
      <c r="GH162" s="460"/>
      <c r="GU162" s="469"/>
      <c r="GV162" s="470" t="str">
        <f t="shared" si="177"/>
        <v/>
      </c>
      <c r="GW162" s="302">
        <f t="shared" si="178"/>
        <v>0</v>
      </c>
      <c r="HA162" s="654"/>
      <c r="HD162" s="379"/>
      <c r="HE162" s="380"/>
      <c r="HH162" s="385"/>
      <c r="HI162" s="411"/>
      <c r="HJ162" s="302" t="str">
        <f t="shared" si="153"/>
        <v/>
      </c>
      <c r="HO162" s="302" t="str">
        <f t="shared" si="146"/>
        <v/>
      </c>
      <c r="HP162" s="302" t="str">
        <f t="shared" si="147"/>
        <v/>
      </c>
      <c r="HQ162" s="302" t="str">
        <f t="shared" si="148"/>
        <v/>
      </c>
      <c r="IT162" s="411"/>
      <c r="IU162" s="411"/>
      <c r="IV162" s="635"/>
    </row>
    <row r="163" spans="1:256" s="302" customFormat="1" ht="12.75" hidden="1" customHeight="1">
      <c r="A163" s="397" t="str">
        <f t="shared" si="145"/>
        <v/>
      </c>
      <c r="B163" s="462" t="str">
        <f t="shared" si="149"/>
        <v/>
      </c>
      <c r="C163" s="426"/>
      <c r="D163" s="575"/>
      <c r="E163" s="463"/>
      <c r="F163" s="464"/>
      <c r="G163" s="465"/>
      <c r="H163" s="465"/>
      <c r="I163" s="466"/>
      <c r="J163" s="463"/>
      <c r="K163" s="465"/>
      <c r="L163" s="465"/>
      <c r="M163" s="466"/>
      <c r="N163" s="573"/>
      <c r="O163" s="467"/>
      <c r="P163" s="518"/>
      <c r="Q163" s="381"/>
      <c r="R163" s="182"/>
      <c r="S163" s="182"/>
      <c r="T163" s="182"/>
      <c r="U163" s="182"/>
      <c r="V163" s="182"/>
      <c r="W163" s="182"/>
      <c r="X163" s="182"/>
      <c r="Y163" s="182"/>
      <c r="Z163" s="182"/>
      <c r="AA163" s="382"/>
      <c r="AB163" s="182" t="str">
        <f t="shared" si="154"/>
        <v/>
      </c>
      <c r="AC163" s="315">
        <f t="shared" si="155"/>
        <v>0</v>
      </c>
      <c r="AD163" s="315" t="str">
        <f t="shared" si="150"/>
        <v/>
      </c>
      <c r="AE163" s="182"/>
      <c r="AF163" s="182"/>
      <c r="AG163" s="182"/>
      <c r="AH163" s="221"/>
      <c r="AI163" s="221"/>
      <c r="AJ163" s="221"/>
      <c r="AK163" s="221"/>
      <c r="AL163" s="221"/>
      <c r="AM163" s="221"/>
      <c r="AN163" s="221"/>
      <c r="AO163" s="221"/>
      <c r="AP163" s="221"/>
      <c r="AQ163" s="182"/>
      <c r="AR163" s="182"/>
      <c r="AS163" s="182"/>
      <c r="AT163" s="182"/>
      <c r="AU163" s="221" t="str">
        <f t="shared" si="156"/>
        <v/>
      </c>
      <c r="AV163" s="221" t="str">
        <f t="shared" si="157"/>
        <v/>
      </c>
      <c r="AW163" s="221"/>
      <c r="AX163" s="221"/>
      <c r="AY163" s="221"/>
      <c r="AZ163" s="221"/>
      <c r="BA163" s="221"/>
      <c r="BB163" s="221"/>
      <c r="BC163" s="221"/>
      <c r="BD163" s="221"/>
      <c r="BE163" s="221"/>
      <c r="BF163" s="468">
        <f t="shared" si="158"/>
        <v>0</v>
      </c>
      <c r="BG163" s="315">
        <f t="shared" si="159"/>
        <v>0</v>
      </c>
      <c r="BH163" s="315" t="str">
        <f t="shared" si="160"/>
        <v/>
      </c>
      <c r="BI163" s="182"/>
      <c r="BJ163" s="182"/>
      <c r="BK163" s="182"/>
      <c r="BL163" s="221"/>
      <c r="BM163" s="221"/>
      <c r="BN163" s="221"/>
      <c r="BO163" s="221"/>
      <c r="BP163" s="221"/>
      <c r="BQ163" s="221"/>
      <c r="BR163" s="221"/>
      <c r="BS163" s="221"/>
      <c r="BT163" s="221"/>
      <c r="BU163" s="182"/>
      <c r="BV163" s="182"/>
      <c r="BW163" s="182"/>
      <c r="BX163" s="182"/>
      <c r="BY163" s="221" t="str">
        <f t="shared" si="161"/>
        <v/>
      </c>
      <c r="BZ163" s="221" t="str">
        <f t="shared" si="162"/>
        <v/>
      </c>
      <c r="CA163" s="221"/>
      <c r="CB163" s="221"/>
      <c r="CC163" s="221"/>
      <c r="CD163" s="221"/>
      <c r="CE163" s="221"/>
      <c r="CF163" s="221"/>
      <c r="CG163" s="221"/>
      <c r="CH163" s="221"/>
      <c r="CI163" s="221"/>
      <c r="CJ163" s="468">
        <f t="shared" si="163"/>
        <v>0</v>
      </c>
      <c r="CK163" s="315">
        <f t="shared" si="164"/>
        <v>0</v>
      </c>
      <c r="CL163" s="315" t="str">
        <f t="shared" si="165"/>
        <v/>
      </c>
      <c r="CM163" s="182"/>
      <c r="CN163" s="182"/>
      <c r="CO163" s="182"/>
      <c r="CP163" s="221"/>
      <c r="CQ163" s="221"/>
      <c r="CR163" s="221"/>
      <c r="CS163" s="221"/>
      <c r="CT163" s="221"/>
      <c r="CU163" s="221"/>
      <c r="CV163" s="221"/>
      <c r="CW163" s="221"/>
      <c r="CX163" s="221"/>
      <c r="CY163" s="221"/>
      <c r="CZ163" s="182"/>
      <c r="DA163" s="182"/>
      <c r="DB163" s="182"/>
      <c r="DC163" s="182"/>
      <c r="DD163" s="221" t="str">
        <f t="shared" si="151"/>
        <v/>
      </c>
      <c r="DE163" s="221" t="str">
        <f t="shared" si="152"/>
        <v/>
      </c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469" t="str">
        <f t="shared" si="166"/>
        <v/>
      </c>
      <c r="DP163" s="315">
        <f t="shared" si="167"/>
        <v>0</v>
      </c>
      <c r="DQ163" s="315" t="str">
        <f t="shared" si="168"/>
        <v/>
      </c>
      <c r="DR163" s="182"/>
      <c r="DS163" s="182"/>
      <c r="DT163" s="182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182"/>
      <c r="EE163" s="182"/>
      <c r="EF163" s="182"/>
      <c r="EG163" s="182"/>
      <c r="EH163" s="221" t="str">
        <f t="shared" si="169"/>
        <v/>
      </c>
      <c r="EI163" s="221" t="str">
        <f t="shared" si="170"/>
        <v/>
      </c>
      <c r="EJ163" s="221"/>
      <c r="EK163" s="221"/>
      <c r="EL163" s="221"/>
      <c r="EM163" s="221"/>
      <c r="EN163" s="221"/>
      <c r="EO163" s="221"/>
      <c r="EP163" s="221"/>
      <c r="EQ163" s="221"/>
      <c r="ER163" s="221"/>
      <c r="ES163" s="221"/>
      <c r="ET163" s="221"/>
      <c r="EU163" s="315">
        <f t="shared" si="171"/>
        <v>0</v>
      </c>
      <c r="EV163" s="315" t="str">
        <f t="shared" si="172"/>
        <v/>
      </c>
      <c r="EW163" s="182"/>
      <c r="EX163" s="182"/>
      <c r="EY163" s="182"/>
      <c r="EZ163" s="221"/>
      <c r="FA163" s="221"/>
      <c r="FB163" s="221"/>
      <c r="FC163" s="221"/>
      <c r="FD163" s="221"/>
      <c r="FE163" s="221"/>
      <c r="FF163" s="221"/>
      <c r="FG163" s="221"/>
      <c r="FH163" s="221"/>
      <c r="FI163" s="182"/>
      <c r="FJ163" s="182"/>
      <c r="FK163" s="182"/>
      <c r="FL163" s="182"/>
      <c r="FM163" s="221" t="str">
        <f t="shared" si="173"/>
        <v/>
      </c>
      <c r="FN163" s="221" t="str">
        <f t="shared" si="174"/>
        <v/>
      </c>
      <c r="FO163" s="221"/>
      <c r="FP163" s="221"/>
      <c r="FQ163" s="221"/>
      <c r="FR163" s="221"/>
      <c r="FS163" s="221"/>
      <c r="FT163" s="221"/>
      <c r="FU163" s="221"/>
      <c r="FV163" s="221"/>
      <c r="FW163" s="221"/>
      <c r="FX163" s="221"/>
      <c r="FY163" s="221"/>
      <c r="FZ163" s="408"/>
      <c r="GA163" s="315">
        <f t="shared" si="175"/>
        <v>0</v>
      </c>
      <c r="GB163" s="315" t="str">
        <f t="shared" si="176"/>
        <v/>
      </c>
      <c r="GC163" s="182" t="s">
        <v>160</v>
      </c>
      <c r="GD163" s="182"/>
      <c r="GE163" s="182"/>
      <c r="GG163" s="460"/>
      <c r="GH163" s="460"/>
      <c r="GU163" s="469"/>
      <c r="GV163" s="470" t="str">
        <f t="shared" si="177"/>
        <v/>
      </c>
      <c r="GW163" s="302">
        <f t="shared" si="178"/>
        <v>0</v>
      </c>
      <c r="HA163" s="654"/>
      <c r="HD163" s="379"/>
      <c r="HE163" s="380"/>
      <c r="HH163" s="383"/>
      <c r="HI163" s="410"/>
      <c r="HJ163" s="302" t="str">
        <f t="shared" si="153"/>
        <v/>
      </c>
      <c r="HO163" s="302" t="str">
        <f t="shared" si="146"/>
        <v/>
      </c>
      <c r="HP163" s="302" t="str">
        <f t="shared" si="147"/>
        <v/>
      </c>
      <c r="HQ163" s="302" t="str">
        <f t="shared" si="148"/>
        <v/>
      </c>
      <c r="IT163" s="410"/>
      <c r="IU163" s="410"/>
      <c r="IV163" s="635"/>
    </row>
    <row r="164" spans="1:256" s="302" customFormat="1" ht="12.75" hidden="1" customHeight="1">
      <c r="A164" s="397" t="str">
        <f t="shared" si="145"/>
        <v/>
      </c>
      <c r="B164" s="462" t="str">
        <f t="shared" si="149"/>
        <v/>
      </c>
      <c r="C164" s="426"/>
      <c r="D164" s="575"/>
      <c r="E164" s="463"/>
      <c r="F164" s="464"/>
      <c r="G164" s="465"/>
      <c r="H164" s="465"/>
      <c r="I164" s="466"/>
      <c r="J164" s="463"/>
      <c r="K164" s="465"/>
      <c r="L164" s="465"/>
      <c r="M164" s="466"/>
      <c r="N164" s="573"/>
      <c r="O164" s="467"/>
      <c r="P164" s="518"/>
      <c r="Q164" s="381"/>
      <c r="R164" s="182"/>
      <c r="S164" s="182"/>
      <c r="T164" s="182"/>
      <c r="U164" s="182"/>
      <c r="V164" s="182"/>
      <c r="W164" s="182"/>
      <c r="X164" s="182"/>
      <c r="Y164" s="182"/>
      <c r="Z164" s="182"/>
      <c r="AA164" s="384"/>
      <c r="AB164" s="182" t="str">
        <f t="shared" si="154"/>
        <v/>
      </c>
      <c r="AC164" s="315">
        <f t="shared" si="155"/>
        <v>0</v>
      </c>
      <c r="AD164" s="315" t="str">
        <f t="shared" si="150"/>
        <v/>
      </c>
      <c r="AE164" s="182"/>
      <c r="AF164" s="182"/>
      <c r="AG164" s="182"/>
      <c r="AH164" s="221"/>
      <c r="AI164" s="221"/>
      <c r="AJ164" s="221"/>
      <c r="AK164" s="221"/>
      <c r="AL164" s="221"/>
      <c r="AM164" s="221"/>
      <c r="AN164" s="221"/>
      <c r="AO164" s="221"/>
      <c r="AP164" s="221"/>
      <c r="AQ164" s="182"/>
      <c r="AR164" s="182"/>
      <c r="AS164" s="182"/>
      <c r="AT164" s="182"/>
      <c r="AU164" s="221" t="str">
        <f t="shared" si="156"/>
        <v/>
      </c>
      <c r="AV164" s="221" t="str">
        <f t="shared" si="157"/>
        <v/>
      </c>
      <c r="AW164" s="221"/>
      <c r="AX164" s="221"/>
      <c r="AY164" s="221"/>
      <c r="AZ164" s="221"/>
      <c r="BA164" s="221"/>
      <c r="BB164" s="221"/>
      <c r="BC164" s="221"/>
      <c r="BD164" s="221"/>
      <c r="BE164" s="221"/>
      <c r="BF164" s="469">
        <f t="shared" si="158"/>
        <v>0</v>
      </c>
      <c r="BG164" s="315">
        <f t="shared" si="159"/>
        <v>0</v>
      </c>
      <c r="BH164" s="315" t="str">
        <f t="shared" si="160"/>
        <v/>
      </c>
      <c r="BI164" s="182"/>
      <c r="BJ164" s="182"/>
      <c r="BK164" s="182"/>
      <c r="BL164" s="221"/>
      <c r="BM164" s="221"/>
      <c r="BN164" s="221"/>
      <c r="BO164" s="221"/>
      <c r="BP164" s="221"/>
      <c r="BQ164" s="221"/>
      <c r="BR164" s="221"/>
      <c r="BS164" s="221"/>
      <c r="BT164" s="221"/>
      <c r="BU164" s="182"/>
      <c r="BV164" s="182"/>
      <c r="BW164" s="182"/>
      <c r="BX164" s="182"/>
      <c r="BY164" s="221" t="str">
        <f t="shared" si="161"/>
        <v/>
      </c>
      <c r="BZ164" s="221" t="str">
        <f t="shared" si="162"/>
        <v/>
      </c>
      <c r="CA164" s="221"/>
      <c r="CB164" s="221"/>
      <c r="CC164" s="221"/>
      <c r="CD164" s="221"/>
      <c r="CE164" s="221"/>
      <c r="CF164" s="221"/>
      <c r="CG164" s="221"/>
      <c r="CH164" s="221"/>
      <c r="CI164" s="221"/>
      <c r="CJ164" s="469">
        <f t="shared" si="163"/>
        <v>0</v>
      </c>
      <c r="CK164" s="315">
        <f t="shared" si="164"/>
        <v>0</v>
      </c>
      <c r="CL164" s="315" t="str">
        <f t="shared" si="165"/>
        <v/>
      </c>
      <c r="CM164" s="182"/>
      <c r="CN164" s="182"/>
      <c r="CO164" s="182"/>
      <c r="CP164" s="221"/>
      <c r="CQ164" s="221"/>
      <c r="CR164" s="221"/>
      <c r="CS164" s="221"/>
      <c r="CT164" s="221"/>
      <c r="CU164" s="221"/>
      <c r="CV164" s="221"/>
      <c r="CW164" s="221"/>
      <c r="CX164" s="221"/>
      <c r="CY164" s="221"/>
      <c r="CZ164" s="182"/>
      <c r="DA164" s="182"/>
      <c r="DB164" s="182"/>
      <c r="DC164" s="182"/>
      <c r="DD164" s="221" t="str">
        <f t="shared" si="151"/>
        <v/>
      </c>
      <c r="DE164" s="221" t="str">
        <f t="shared" si="152"/>
        <v/>
      </c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469" t="str">
        <f t="shared" si="166"/>
        <v/>
      </c>
      <c r="DP164" s="315">
        <f t="shared" si="167"/>
        <v>0</v>
      </c>
      <c r="DQ164" s="315" t="str">
        <f t="shared" si="168"/>
        <v/>
      </c>
      <c r="DR164" s="182"/>
      <c r="DS164" s="182"/>
      <c r="DT164" s="182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182"/>
      <c r="EE164" s="182"/>
      <c r="EF164" s="182"/>
      <c r="EG164" s="182"/>
      <c r="EH164" s="221" t="str">
        <f t="shared" si="169"/>
        <v/>
      </c>
      <c r="EI164" s="221" t="str">
        <f t="shared" si="170"/>
        <v/>
      </c>
      <c r="EJ164" s="221"/>
      <c r="EK164" s="221"/>
      <c r="EL164" s="221"/>
      <c r="EM164" s="221"/>
      <c r="EN164" s="221"/>
      <c r="EO164" s="221"/>
      <c r="EP164" s="221"/>
      <c r="EQ164" s="221"/>
      <c r="ER164" s="221"/>
      <c r="ES164" s="221"/>
      <c r="ET164" s="221"/>
      <c r="EU164" s="315">
        <f t="shared" si="171"/>
        <v>0</v>
      </c>
      <c r="EV164" s="315" t="str">
        <f t="shared" si="172"/>
        <v/>
      </c>
      <c r="EW164" s="182"/>
      <c r="EX164" s="182"/>
      <c r="EY164" s="182"/>
      <c r="EZ164" s="221"/>
      <c r="FA164" s="221"/>
      <c r="FB164" s="221"/>
      <c r="FC164" s="221"/>
      <c r="FD164" s="221"/>
      <c r="FE164" s="221"/>
      <c r="FF164" s="221"/>
      <c r="FG164" s="221"/>
      <c r="FH164" s="221"/>
      <c r="FI164" s="182"/>
      <c r="FJ164" s="182"/>
      <c r="FK164" s="182"/>
      <c r="FL164" s="182"/>
      <c r="FM164" s="221" t="str">
        <f t="shared" si="173"/>
        <v/>
      </c>
      <c r="FN164" s="221" t="str">
        <f t="shared" si="174"/>
        <v/>
      </c>
      <c r="FO164" s="221"/>
      <c r="FP164" s="221"/>
      <c r="FQ164" s="221"/>
      <c r="FR164" s="221"/>
      <c r="FS164" s="221"/>
      <c r="FT164" s="221"/>
      <c r="FU164" s="221"/>
      <c r="FV164" s="221"/>
      <c r="FW164" s="221"/>
      <c r="FX164" s="221"/>
      <c r="FY164" s="221"/>
      <c r="FZ164" s="408"/>
      <c r="GA164" s="315">
        <f t="shared" si="175"/>
        <v>0</v>
      </c>
      <c r="GB164" s="315" t="str">
        <f t="shared" si="176"/>
        <v/>
      </c>
      <c r="GC164" s="182" t="s">
        <v>160</v>
      </c>
      <c r="GD164" s="182"/>
      <c r="GE164" s="182"/>
      <c r="GG164" s="460"/>
      <c r="GH164" s="460"/>
      <c r="GU164" s="469"/>
      <c r="GV164" s="470" t="str">
        <f t="shared" si="177"/>
        <v/>
      </c>
      <c r="GW164" s="302">
        <f t="shared" si="178"/>
        <v>0</v>
      </c>
      <c r="HA164" s="654"/>
      <c r="HD164" s="379"/>
      <c r="HE164" s="380"/>
      <c r="HH164" s="385"/>
      <c r="HI164" s="411"/>
      <c r="HJ164" s="302" t="str">
        <f t="shared" si="153"/>
        <v/>
      </c>
      <c r="HO164" s="302" t="str">
        <f t="shared" si="146"/>
        <v/>
      </c>
      <c r="HP164" s="302" t="str">
        <f t="shared" si="147"/>
        <v/>
      </c>
      <c r="HQ164" s="302" t="str">
        <f t="shared" si="148"/>
        <v/>
      </c>
      <c r="IT164" s="411"/>
      <c r="IU164" s="411"/>
      <c r="IV164" s="635"/>
    </row>
    <row r="165" spans="1:256" s="302" customFormat="1" ht="12.75" hidden="1" customHeight="1">
      <c r="A165" s="397" t="str">
        <f t="shared" si="145"/>
        <v/>
      </c>
      <c r="B165" s="462" t="str">
        <f t="shared" si="149"/>
        <v/>
      </c>
      <c r="C165" s="426"/>
      <c r="D165" s="575"/>
      <c r="E165" s="463"/>
      <c r="F165" s="464"/>
      <c r="G165" s="465"/>
      <c r="H165" s="465"/>
      <c r="I165" s="466"/>
      <c r="J165" s="463"/>
      <c r="K165" s="465"/>
      <c r="L165" s="465"/>
      <c r="M165" s="466"/>
      <c r="N165" s="573"/>
      <c r="O165" s="467"/>
      <c r="P165" s="518"/>
      <c r="Q165" s="381"/>
      <c r="R165" s="182"/>
      <c r="S165" s="182"/>
      <c r="T165" s="182"/>
      <c r="U165" s="182"/>
      <c r="V165" s="182"/>
      <c r="W165" s="182"/>
      <c r="X165" s="182"/>
      <c r="Y165" s="182"/>
      <c r="Z165" s="182"/>
      <c r="AA165" s="382"/>
      <c r="AB165" s="182" t="str">
        <f t="shared" si="154"/>
        <v/>
      </c>
      <c r="AC165" s="315">
        <f t="shared" si="155"/>
        <v>0</v>
      </c>
      <c r="AD165" s="315" t="str">
        <f t="shared" si="150"/>
        <v/>
      </c>
      <c r="AE165" s="182"/>
      <c r="AF165" s="182"/>
      <c r="AG165" s="182"/>
      <c r="AH165" s="221"/>
      <c r="AI165" s="221"/>
      <c r="AJ165" s="221"/>
      <c r="AK165" s="221"/>
      <c r="AL165" s="221"/>
      <c r="AM165" s="221"/>
      <c r="AN165" s="221"/>
      <c r="AO165" s="221"/>
      <c r="AP165" s="221"/>
      <c r="AQ165" s="182"/>
      <c r="AR165" s="182"/>
      <c r="AS165" s="182"/>
      <c r="AT165" s="182"/>
      <c r="AU165" s="221" t="str">
        <f t="shared" si="156"/>
        <v/>
      </c>
      <c r="AV165" s="221" t="str">
        <f t="shared" si="157"/>
        <v/>
      </c>
      <c r="AW165" s="221"/>
      <c r="AX165" s="221"/>
      <c r="AY165" s="221"/>
      <c r="AZ165" s="221"/>
      <c r="BA165" s="221"/>
      <c r="BB165" s="221"/>
      <c r="BC165" s="221"/>
      <c r="BD165" s="221"/>
      <c r="BE165" s="221"/>
      <c r="BF165" s="468">
        <f t="shared" si="158"/>
        <v>0</v>
      </c>
      <c r="BG165" s="315">
        <f t="shared" si="159"/>
        <v>0</v>
      </c>
      <c r="BH165" s="315" t="str">
        <f t="shared" si="160"/>
        <v/>
      </c>
      <c r="BI165" s="182"/>
      <c r="BJ165" s="182"/>
      <c r="BK165" s="182"/>
      <c r="BL165" s="221"/>
      <c r="BM165" s="221"/>
      <c r="BN165" s="221"/>
      <c r="BO165" s="221"/>
      <c r="BP165" s="221"/>
      <c r="BQ165" s="221"/>
      <c r="BR165" s="221"/>
      <c r="BS165" s="221"/>
      <c r="BT165" s="221"/>
      <c r="BU165" s="182"/>
      <c r="BV165" s="182"/>
      <c r="BW165" s="182"/>
      <c r="BX165" s="182"/>
      <c r="BY165" s="221" t="str">
        <f t="shared" si="161"/>
        <v/>
      </c>
      <c r="BZ165" s="221" t="str">
        <f t="shared" si="162"/>
        <v/>
      </c>
      <c r="CA165" s="221"/>
      <c r="CB165" s="221"/>
      <c r="CC165" s="221"/>
      <c r="CD165" s="221"/>
      <c r="CE165" s="221"/>
      <c r="CF165" s="221"/>
      <c r="CG165" s="221"/>
      <c r="CH165" s="221"/>
      <c r="CI165" s="221"/>
      <c r="CJ165" s="468">
        <f t="shared" si="163"/>
        <v>0</v>
      </c>
      <c r="CK165" s="315">
        <f t="shared" si="164"/>
        <v>0</v>
      </c>
      <c r="CL165" s="315" t="str">
        <f t="shared" si="165"/>
        <v/>
      </c>
      <c r="CM165" s="182"/>
      <c r="CN165" s="182"/>
      <c r="CO165" s="182"/>
      <c r="CP165" s="221"/>
      <c r="CQ165" s="221"/>
      <c r="CR165" s="221"/>
      <c r="CS165" s="221"/>
      <c r="CT165" s="221"/>
      <c r="CU165" s="221"/>
      <c r="CV165" s="221"/>
      <c r="CW165" s="221"/>
      <c r="CX165" s="221"/>
      <c r="CY165" s="221"/>
      <c r="CZ165" s="182"/>
      <c r="DA165" s="182"/>
      <c r="DB165" s="182"/>
      <c r="DC165" s="182"/>
      <c r="DD165" s="221" t="str">
        <f t="shared" si="151"/>
        <v/>
      </c>
      <c r="DE165" s="221" t="str">
        <f t="shared" si="152"/>
        <v/>
      </c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469" t="str">
        <f t="shared" si="166"/>
        <v/>
      </c>
      <c r="DP165" s="315">
        <f t="shared" si="167"/>
        <v>0</v>
      </c>
      <c r="DQ165" s="315" t="str">
        <f t="shared" si="168"/>
        <v/>
      </c>
      <c r="DR165" s="182"/>
      <c r="DS165" s="182"/>
      <c r="DT165" s="182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182"/>
      <c r="EE165" s="182"/>
      <c r="EF165" s="182"/>
      <c r="EG165" s="182"/>
      <c r="EH165" s="221" t="str">
        <f t="shared" si="169"/>
        <v/>
      </c>
      <c r="EI165" s="221" t="str">
        <f t="shared" si="170"/>
        <v/>
      </c>
      <c r="EJ165" s="221"/>
      <c r="EK165" s="221"/>
      <c r="EL165" s="221"/>
      <c r="EM165" s="221"/>
      <c r="EN165" s="221"/>
      <c r="EO165" s="221"/>
      <c r="EP165" s="221"/>
      <c r="EQ165" s="221"/>
      <c r="ER165" s="221"/>
      <c r="ES165" s="221"/>
      <c r="ET165" s="221"/>
      <c r="EU165" s="315">
        <f t="shared" si="171"/>
        <v>0</v>
      </c>
      <c r="EV165" s="315" t="str">
        <f t="shared" si="172"/>
        <v/>
      </c>
      <c r="EW165" s="182"/>
      <c r="EX165" s="182"/>
      <c r="EY165" s="182"/>
      <c r="EZ165" s="221"/>
      <c r="FA165" s="221"/>
      <c r="FB165" s="221"/>
      <c r="FC165" s="221"/>
      <c r="FD165" s="221"/>
      <c r="FE165" s="221"/>
      <c r="FF165" s="221"/>
      <c r="FG165" s="221"/>
      <c r="FH165" s="221"/>
      <c r="FI165" s="182"/>
      <c r="FJ165" s="182"/>
      <c r="FK165" s="182"/>
      <c r="FL165" s="182"/>
      <c r="FM165" s="221" t="str">
        <f t="shared" si="173"/>
        <v/>
      </c>
      <c r="FN165" s="221" t="str">
        <f t="shared" si="174"/>
        <v/>
      </c>
      <c r="FO165" s="221"/>
      <c r="FP165" s="221"/>
      <c r="FQ165" s="221"/>
      <c r="FR165" s="221"/>
      <c r="FS165" s="221"/>
      <c r="FT165" s="221"/>
      <c r="FU165" s="221"/>
      <c r="FV165" s="221"/>
      <c r="FW165" s="221"/>
      <c r="FX165" s="221"/>
      <c r="FY165" s="221"/>
      <c r="FZ165" s="408"/>
      <c r="GA165" s="315">
        <f t="shared" si="175"/>
        <v>0</v>
      </c>
      <c r="GB165" s="315" t="str">
        <f t="shared" si="176"/>
        <v/>
      </c>
      <c r="GC165" s="182" t="s">
        <v>160</v>
      </c>
      <c r="GD165" s="182"/>
      <c r="GE165" s="182"/>
      <c r="GG165" s="460"/>
      <c r="GH165" s="460"/>
      <c r="GU165" s="469"/>
      <c r="GV165" s="470" t="str">
        <f t="shared" si="177"/>
        <v/>
      </c>
      <c r="GW165" s="302">
        <f t="shared" si="178"/>
        <v>0</v>
      </c>
      <c r="HA165" s="654"/>
      <c r="HD165" s="379"/>
      <c r="HE165" s="380"/>
      <c r="HH165" s="383"/>
      <c r="HI165" s="410"/>
      <c r="HJ165" s="302" t="str">
        <f t="shared" si="153"/>
        <v/>
      </c>
      <c r="HO165" s="302" t="str">
        <f t="shared" si="146"/>
        <v/>
      </c>
      <c r="HP165" s="302" t="str">
        <f t="shared" si="147"/>
        <v/>
      </c>
      <c r="HQ165" s="302" t="str">
        <f t="shared" si="148"/>
        <v/>
      </c>
      <c r="IT165" s="410"/>
      <c r="IU165" s="410"/>
      <c r="IV165" s="635"/>
    </row>
    <row r="166" spans="1:256" s="302" customFormat="1" ht="12.75" hidden="1" customHeight="1">
      <c r="A166" s="397" t="str">
        <f t="shared" si="145"/>
        <v/>
      </c>
      <c r="B166" s="462" t="str">
        <f t="shared" si="149"/>
        <v/>
      </c>
      <c r="C166" s="426"/>
      <c r="D166" s="575"/>
      <c r="E166" s="463"/>
      <c r="F166" s="464"/>
      <c r="G166" s="465"/>
      <c r="H166" s="465"/>
      <c r="I166" s="466"/>
      <c r="J166" s="463"/>
      <c r="K166" s="465"/>
      <c r="L166" s="465"/>
      <c r="M166" s="466"/>
      <c r="N166" s="573"/>
      <c r="O166" s="467"/>
      <c r="P166" s="518"/>
      <c r="Q166" s="381"/>
      <c r="R166" s="182"/>
      <c r="S166" s="182"/>
      <c r="T166" s="182"/>
      <c r="U166" s="182"/>
      <c r="V166" s="182"/>
      <c r="W166" s="182"/>
      <c r="X166" s="182"/>
      <c r="Y166" s="182"/>
      <c r="Z166" s="182"/>
      <c r="AA166" s="384"/>
      <c r="AB166" s="182" t="str">
        <f t="shared" si="154"/>
        <v/>
      </c>
      <c r="AC166" s="315">
        <f t="shared" si="155"/>
        <v>0</v>
      </c>
      <c r="AD166" s="315" t="str">
        <f t="shared" si="150"/>
        <v/>
      </c>
      <c r="AE166" s="182"/>
      <c r="AF166" s="182"/>
      <c r="AG166" s="182"/>
      <c r="AH166" s="221"/>
      <c r="AI166" s="221"/>
      <c r="AJ166" s="221"/>
      <c r="AK166" s="221"/>
      <c r="AL166" s="221"/>
      <c r="AM166" s="221"/>
      <c r="AN166" s="221"/>
      <c r="AO166" s="221"/>
      <c r="AP166" s="221"/>
      <c r="AQ166" s="182"/>
      <c r="AR166" s="182"/>
      <c r="AS166" s="182"/>
      <c r="AT166" s="182"/>
      <c r="AU166" s="221" t="str">
        <f t="shared" si="156"/>
        <v/>
      </c>
      <c r="AV166" s="221" t="str">
        <f t="shared" si="157"/>
        <v/>
      </c>
      <c r="AW166" s="221"/>
      <c r="AX166" s="221"/>
      <c r="AY166" s="221"/>
      <c r="AZ166" s="221"/>
      <c r="BA166" s="221"/>
      <c r="BB166" s="221"/>
      <c r="BC166" s="221"/>
      <c r="BD166" s="221"/>
      <c r="BE166" s="221"/>
      <c r="BF166" s="469">
        <f t="shared" si="158"/>
        <v>0</v>
      </c>
      <c r="BG166" s="315">
        <f t="shared" si="159"/>
        <v>0</v>
      </c>
      <c r="BH166" s="315" t="str">
        <f t="shared" si="160"/>
        <v/>
      </c>
      <c r="BI166" s="182"/>
      <c r="BJ166" s="182"/>
      <c r="BK166" s="182"/>
      <c r="BL166" s="221"/>
      <c r="BM166" s="221"/>
      <c r="BN166" s="221"/>
      <c r="BO166" s="221"/>
      <c r="BP166" s="221"/>
      <c r="BQ166" s="221"/>
      <c r="BR166" s="221"/>
      <c r="BS166" s="221"/>
      <c r="BT166" s="221"/>
      <c r="BU166" s="182"/>
      <c r="BV166" s="182"/>
      <c r="BW166" s="182"/>
      <c r="BX166" s="182"/>
      <c r="BY166" s="221" t="str">
        <f t="shared" si="161"/>
        <v/>
      </c>
      <c r="BZ166" s="221" t="str">
        <f t="shared" si="162"/>
        <v/>
      </c>
      <c r="CA166" s="221"/>
      <c r="CB166" s="221"/>
      <c r="CC166" s="221"/>
      <c r="CD166" s="221"/>
      <c r="CE166" s="221"/>
      <c r="CF166" s="221"/>
      <c r="CG166" s="221"/>
      <c r="CH166" s="221"/>
      <c r="CI166" s="221"/>
      <c r="CJ166" s="469">
        <f t="shared" si="163"/>
        <v>0</v>
      </c>
      <c r="CK166" s="315">
        <f t="shared" si="164"/>
        <v>0</v>
      </c>
      <c r="CL166" s="315" t="str">
        <f t="shared" si="165"/>
        <v/>
      </c>
      <c r="CM166" s="182"/>
      <c r="CN166" s="182"/>
      <c r="CO166" s="182"/>
      <c r="CP166" s="221"/>
      <c r="CQ166" s="221"/>
      <c r="CR166" s="221"/>
      <c r="CS166" s="221"/>
      <c r="CT166" s="221"/>
      <c r="CU166" s="221"/>
      <c r="CV166" s="221"/>
      <c r="CW166" s="221"/>
      <c r="CX166" s="221"/>
      <c r="CY166" s="221"/>
      <c r="CZ166" s="182"/>
      <c r="DA166" s="182"/>
      <c r="DB166" s="182"/>
      <c r="DC166" s="182"/>
      <c r="DD166" s="221" t="str">
        <f t="shared" si="151"/>
        <v/>
      </c>
      <c r="DE166" s="221" t="str">
        <f t="shared" si="152"/>
        <v/>
      </c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469" t="str">
        <f t="shared" si="166"/>
        <v/>
      </c>
      <c r="DP166" s="315">
        <f t="shared" si="167"/>
        <v>0</v>
      </c>
      <c r="DQ166" s="315" t="str">
        <f t="shared" si="168"/>
        <v/>
      </c>
      <c r="DR166" s="182"/>
      <c r="DS166" s="182"/>
      <c r="DT166" s="182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182"/>
      <c r="EE166" s="182"/>
      <c r="EF166" s="182"/>
      <c r="EG166" s="182"/>
      <c r="EH166" s="221" t="str">
        <f t="shared" si="169"/>
        <v/>
      </c>
      <c r="EI166" s="221" t="str">
        <f t="shared" si="170"/>
        <v/>
      </c>
      <c r="EJ166" s="221"/>
      <c r="EK166" s="221"/>
      <c r="EL166" s="221"/>
      <c r="EM166" s="221"/>
      <c r="EN166" s="221"/>
      <c r="EO166" s="221"/>
      <c r="EP166" s="221"/>
      <c r="EQ166" s="221"/>
      <c r="ER166" s="221"/>
      <c r="ES166" s="221"/>
      <c r="ET166" s="221"/>
      <c r="EU166" s="315">
        <f t="shared" si="171"/>
        <v>0</v>
      </c>
      <c r="EV166" s="315" t="str">
        <f t="shared" si="172"/>
        <v/>
      </c>
      <c r="EW166" s="182"/>
      <c r="EX166" s="182"/>
      <c r="EY166" s="182"/>
      <c r="EZ166" s="221"/>
      <c r="FA166" s="221"/>
      <c r="FB166" s="221"/>
      <c r="FC166" s="221"/>
      <c r="FD166" s="221"/>
      <c r="FE166" s="221"/>
      <c r="FF166" s="221"/>
      <c r="FG166" s="221"/>
      <c r="FH166" s="221"/>
      <c r="FI166" s="182"/>
      <c r="FJ166" s="182"/>
      <c r="FK166" s="182"/>
      <c r="FL166" s="182"/>
      <c r="FM166" s="221" t="str">
        <f t="shared" si="173"/>
        <v/>
      </c>
      <c r="FN166" s="221" t="str">
        <f t="shared" si="174"/>
        <v/>
      </c>
      <c r="FO166" s="221"/>
      <c r="FP166" s="221"/>
      <c r="FQ166" s="221"/>
      <c r="FR166" s="221"/>
      <c r="FS166" s="221"/>
      <c r="FT166" s="221"/>
      <c r="FU166" s="221"/>
      <c r="FV166" s="221"/>
      <c r="FW166" s="221"/>
      <c r="FX166" s="221"/>
      <c r="FY166" s="221"/>
      <c r="FZ166" s="408"/>
      <c r="GA166" s="315">
        <f t="shared" si="175"/>
        <v>0</v>
      </c>
      <c r="GB166" s="315" t="str">
        <f t="shared" si="176"/>
        <v/>
      </c>
      <c r="GC166" s="182" t="s">
        <v>160</v>
      </c>
      <c r="GD166" s="182"/>
      <c r="GE166" s="182"/>
      <c r="GG166" s="460"/>
      <c r="GH166" s="460"/>
      <c r="GU166" s="469"/>
      <c r="GV166" s="470" t="str">
        <f t="shared" si="177"/>
        <v/>
      </c>
      <c r="GW166" s="302">
        <f t="shared" si="178"/>
        <v>0</v>
      </c>
      <c r="HA166" s="654"/>
      <c r="HD166" s="379"/>
      <c r="HE166" s="380"/>
      <c r="HH166" s="385"/>
      <c r="HI166" s="411"/>
      <c r="HJ166" s="302" t="str">
        <f t="shared" si="153"/>
        <v/>
      </c>
      <c r="HO166" s="302" t="str">
        <f t="shared" si="146"/>
        <v/>
      </c>
      <c r="HP166" s="302" t="str">
        <f t="shared" si="147"/>
        <v/>
      </c>
      <c r="HQ166" s="302" t="str">
        <f t="shared" si="148"/>
        <v/>
      </c>
      <c r="IT166" s="411"/>
      <c r="IU166" s="411"/>
      <c r="IV166" s="635"/>
    </row>
    <row r="167" spans="1:256" s="302" customFormat="1" ht="12.75" hidden="1" customHeight="1">
      <c r="A167" s="397" t="str">
        <f t="shared" si="145"/>
        <v/>
      </c>
      <c r="B167" s="462" t="str">
        <f t="shared" si="149"/>
        <v/>
      </c>
      <c r="C167" s="426"/>
      <c r="D167" s="575"/>
      <c r="E167" s="463"/>
      <c r="F167" s="464"/>
      <c r="G167" s="465"/>
      <c r="H167" s="465"/>
      <c r="I167" s="466"/>
      <c r="J167" s="463"/>
      <c r="K167" s="465"/>
      <c r="L167" s="465"/>
      <c r="M167" s="466"/>
      <c r="N167" s="573"/>
      <c r="O167" s="467"/>
      <c r="P167" s="518"/>
      <c r="Q167" s="381"/>
      <c r="R167" s="182"/>
      <c r="S167" s="182"/>
      <c r="T167" s="182"/>
      <c r="U167" s="182"/>
      <c r="V167" s="182"/>
      <c r="W167" s="182"/>
      <c r="X167" s="182"/>
      <c r="Y167" s="182"/>
      <c r="Z167" s="182"/>
      <c r="AA167" s="382"/>
      <c r="AB167" s="182" t="str">
        <f t="shared" si="154"/>
        <v/>
      </c>
      <c r="AC167" s="315">
        <f t="shared" si="155"/>
        <v>0</v>
      </c>
      <c r="AD167" s="315" t="str">
        <f t="shared" si="150"/>
        <v/>
      </c>
      <c r="AE167" s="182"/>
      <c r="AF167" s="182"/>
      <c r="AG167" s="182"/>
      <c r="AH167" s="221"/>
      <c r="AI167" s="221"/>
      <c r="AJ167" s="221"/>
      <c r="AK167" s="221"/>
      <c r="AL167" s="221"/>
      <c r="AM167" s="221"/>
      <c r="AN167" s="221"/>
      <c r="AO167" s="221"/>
      <c r="AP167" s="221"/>
      <c r="AQ167" s="182"/>
      <c r="AR167" s="182"/>
      <c r="AS167" s="182"/>
      <c r="AT167" s="182"/>
      <c r="AU167" s="221" t="str">
        <f t="shared" si="156"/>
        <v/>
      </c>
      <c r="AV167" s="221" t="str">
        <f t="shared" si="157"/>
        <v/>
      </c>
      <c r="AW167" s="221"/>
      <c r="AX167" s="221"/>
      <c r="AY167" s="221"/>
      <c r="AZ167" s="221"/>
      <c r="BA167" s="221"/>
      <c r="BB167" s="221"/>
      <c r="BC167" s="221"/>
      <c r="BD167" s="221"/>
      <c r="BE167" s="221"/>
      <c r="BF167" s="468">
        <f t="shared" si="158"/>
        <v>0</v>
      </c>
      <c r="BG167" s="315">
        <f t="shared" si="159"/>
        <v>0</v>
      </c>
      <c r="BH167" s="315" t="str">
        <f t="shared" si="160"/>
        <v/>
      </c>
      <c r="BI167" s="182"/>
      <c r="BJ167" s="182"/>
      <c r="BK167" s="182"/>
      <c r="BL167" s="221"/>
      <c r="BM167" s="221"/>
      <c r="BN167" s="221"/>
      <c r="BO167" s="221"/>
      <c r="BP167" s="221"/>
      <c r="BQ167" s="221"/>
      <c r="BR167" s="221"/>
      <c r="BS167" s="221"/>
      <c r="BT167" s="221"/>
      <c r="BU167" s="182"/>
      <c r="BV167" s="182"/>
      <c r="BW167" s="182"/>
      <c r="BX167" s="182"/>
      <c r="BY167" s="221" t="str">
        <f t="shared" si="161"/>
        <v/>
      </c>
      <c r="BZ167" s="221" t="str">
        <f t="shared" si="162"/>
        <v/>
      </c>
      <c r="CA167" s="221"/>
      <c r="CB167" s="221"/>
      <c r="CC167" s="221"/>
      <c r="CD167" s="221"/>
      <c r="CE167" s="221"/>
      <c r="CF167" s="221"/>
      <c r="CG167" s="221"/>
      <c r="CH167" s="221"/>
      <c r="CI167" s="221"/>
      <c r="CJ167" s="468">
        <f t="shared" si="163"/>
        <v>0</v>
      </c>
      <c r="CK167" s="315">
        <f t="shared" si="164"/>
        <v>0</v>
      </c>
      <c r="CL167" s="315" t="str">
        <f t="shared" si="165"/>
        <v/>
      </c>
      <c r="CM167" s="182"/>
      <c r="CN167" s="182"/>
      <c r="CO167" s="182"/>
      <c r="CP167" s="221"/>
      <c r="CQ167" s="221"/>
      <c r="CR167" s="221"/>
      <c r="CS167" s="221"/>
      <c r="CT167" s="221"/>
      <c r="CU167" s="221"/>
      <c r="CV167" s="221"/>
      <c r="CW167" s="221"/>
      <c r="CX167" s="221"/>
      <c r="CY167" s="221"/>
      <c r="CZ167" s="182"/>
      <c r="DA167" s="182"/>
      <c r="DB167" s="182"/>
      <c r="DC167" s="182"/>
      <c r="DD167" s="221" t="str">
        <f t="shared" si="151"/>
        <v/>
      </c>
      <c r="DE167" s="221" t="str">
        <f t="shared" si="152"/>
        <v/>
      </c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469" t="str">
        <f t="shared" si="166"/>
        <v/>
      </c>
      <c r="DP167" s="315">
        <f t="shared" si="167"/>
        <v>0</v>
      </c>
      <c r="DQ167" s="315" t="str">
        <f t="shared" si="168"/>
        <v/>
      </c>
      <c r="DR167" s="182"/>
      <c r="DS167" s="182"/>
      <c r="DT167" s="182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182"/>
      <c r="EE167" s="182"/>
      <c r="EF167" s="182"/>
      <c r="EG167" s="182"/>
      <c r="EH167" s="221" t="str">
        <f t="shared" si="169"/>
        <v/>
      </c>
      <c r="EI167" s="221" t="str">
        <f t="shared" si="170"/>
        <v/>
      </c>
      <c r="EJ167" s="221"/>
      <c r="EK167" s="221"/>
      <c r="EL167" s="221"/>
      <c r="EM167" s="221"/>
      <c r="EN167" s="221"/>
      <c r="EO167" s="221"/>
      <c r="EP167" s="221"/>
      <c r="EQ167" s="221"/>
      <c r="ER167" s="221"/>
      <c r="ES167" s="221"/>
      <c r="ET167" s="221"/>
      <c r="EU167" s="315">
        <f t="shared" si="171"/>
        <v>0</v>
      </c>
      <c r="EV167" s="315" t="str">
        <f t="shared" si="172"/>
        <v/>
      </c>
      <c r="EW167" s="182"/>
      <c r="EX167" s="182"/>
      <c r="EY167" s="182"/>
      <c r="EZ167" s="221"/>
      <c r="FA167" s="221"/>
      <c r="FB167" s="221"/>
      <c r="FC167" s="221"/>
      <c r="FD167" s="221"/>
      <c r="FE167" s="221"/>
      <c r="FF167" s="221"/>
      <c r="FG167" s="221"/>
      <c r="FH167" s="221"/>
      <c r="FI167" s="182"/>
      <c r="FJ167" s="182"/>
      <c r="FK167" s="182"/>
      <c r="FL167" s="182"/>
      <c r="FM167" s="221" t="str">
        <f t="shared" si="173"/>
        <v/>
      </c>
      <c r="FN167" s="221" t="str">
        <f t="shared" si="174"/>
        <v/>
      </c>
      <c r="FO167" s="221"/>
      <c r="FP167" s="221"/>
      <c r="FQ167" s="221"/>
      <c r="FR167" s="221"/>
      <c r="FS167" s="221"/>
      <c r="FT167" s="221"/>
      <c r="FU167" s="221"/>
      <c r="FV167" s="221"/>
      <c r="FW167" s="221"/>
      <c r="FX167" s="221"/>
      <c r="FY167" s="221"/>
      <c r="FZ167" s="408"/>
      <c r="GA167" s="315">
        <f t="shared" si="175"/>
        <v>0</v>
      </c>
      <c r="GB167" s="315" t="str">
        <f t="shared" si="176"/>
        <v/>
      </c>
      <c r="GC167" s="182" t="s">
        <v>160</v>
      </c>
      <c r="GD167" s="182"/>
      <c r="GE167" s="182"/>
      <c r="GG167" s="460"/>
      <c r="GH167" s="460"/>
      <c r="GU167" s="469"/>
      <c r="GV167" s="470" t="str">
        <f t="shared" si="177"/>
        <v/>
      </c>
      <c r="GW167" s="302">
        <f t="shared" si="178"/>
        <v>0</v>
      </c>
      <c r="HA167" s="654"/>
      <c r="HD167" s="379"/>
      <c r="HE167" s="380"/>
      <c r="HH167" s="383"/>
      <c r="HI167" s="410"/>
      <c r="HJ167" s="302" t="str">
        <f t="shared" si="153"/>
        <v/>
      </c>
      <c r="HO167" s="302" t="str">
        <f t="shared" si="146"/>
        <v/>
      </c>
      <c r="HP167" s="302" t="str">
        <f t="shared" si="147"/>
        <v/>
      </c>
      <c r="HQ167" s="302" t="str">
        <f t="shared" si="148"/>
        <v/>
      </c>
      <c r="IT167" s="410"/>
      <c r="IU167" s="410"/>
      <c r="IV167" s="635"/>
    </row>
    <row r="168" spans="1:256" s="302" customFormat="1" ht="12.75" hidden="1" customHeight="1">
      <c r="A168" s="397" t="str">
        <f t="shared" si="145"/>
        <v/>
      </c>
      <c r="B168" s="462" t="str">
        <f t="shared" si="149"/>
        <v/>
      </c>
      <c r="C168" s="426"/>
      <c r="D168" s="575"/>
      <c r="E168" s="463"/>
      <c r="F168" s="464"/>
      <c r="G168" s="465"/>
      <c r="H168" s="465"/>
      <c r="I168" s="466"/>
      <c r="J168" s="463"/>
      <c r="K168" s="465"/>
      <c r="L168" s="465"/>
      <c r="M168" s="466"/>
      <c r="N168" s="573"/>
      <c r="O168" s="467"/>
      <c r="P168" s="518"/>
      <c r="Q168" s="381"/>
      <c r="R168" s="182"/>
      <c r="S168" s="182"/>
      <c r="T168" s="182"/>
      <c r="U168" s="182"/>
      <c r="V168" s="182"/>
      <c r="W168" s="182"/>
      <c r="X168" s="182"/>
      <c r="Y168" s="182"/>
      <c r="Z168" s="182"/>
      <c r="AA168" s="384"/>
      <c r="AB168" s="182" t="str">
        <f t="shared" si="154"/>
        <v/>
      </c>
      <c r="AC168" s="315">
        <f t="shared" si="155"/>
        <v>0</v>
      </c>
      <c r="AD168" s="315" t="str">
        <f t="shared" si="150"/>
        <v/>
      </c>
      <c r="AE168" s="182"/>
      <c r="AF168" s="182"/>
      <c r="AG168" s="182"/>
      <c r="AH168" s="221"/>
      <c r="AI168" s="221"/>
      <c r="AJ168" s="221"/>
      <c r="AK168" s="221"/>
      <c r="AL168" s="221"/>
      <c r="AM168" s="221"/>
      <c r="AN168" s="221"/>
      <c r="AO168" s="221"/>
      <c r="AP168" s="221"/>
      <c r="AQ168" s="182"/>
      <c r="AR168" s="182"/>
      <c r="AS168" s="182"/>
      <c r="AT168" s="182"/>
      <c r="AU168" s="221" t="str">
        <f t="shared" si="156"/>
        <v/>
      </c>
      <c r="AV168" s="221" t="str">
        <f t="shared" si="157"/>
        <v/>
      </c>
      <c r="AW168" s="221"/>
      <c r="AX168" s="221"/>
      <c r="AY168" s="221"/>
      <c r="AZ168" s="221"/>
      <c r="BA168" s="221"/>
      <c r="BB168" s="221"/>
      <c r="BC168" s="221"/>
      <c r="BD168" s="221"/>
      <c r="BE168" s="221"/>
      <c r="BF168" s="469">
        <f t="shared" si="158"/>
        <v>0</v>
      </c>
      <c r="BG168" s="315">
        <f t="shared" si="159"/>
        <v>0</v>
      </c>
      <c r="BH168" s="315" t="str">
        <f t="shared" si="160"/>
        <v/>
      </c>
      <c r="BI168" s="182"/>
      <c r="BJ168" s="182"/>
      <c r="BK168" s="182"/>
      <c r="BL168" s="221"/>
      <c r="BM168" s="221"/>
      <c r="BN168" s="221"/>
      <c r="BO168" s="221"/>
      <c r="BP168" s="221"/>
      <c r="BQ168" s="221"/>
      <c r="BR168" s="221"/>
      <c r="BS168" s="221"/>
      <c r="BT168" s="221"/>
      <c r="BU168" s="182"/>
      <c r="BV168" s="182"/>
      <c r="BW168" s="182"/>
      <c r="BX168" s="182"/>
      <c r="BY168" s="221" t="str">
        <f t="shared" si="161"/>
        <v/>
      </c>
      <c r="BZ168" s="221" t="str">
        <f t="shared" si="162"/>
        <v/>
      </c>
      <c r="CA168" s="221"/>
      <c r="CB168" s="221"/>
      <c r="CC168" s="221"/>
      <c r="CD168" s="221"/>
      <c r="CE168" s="221"/>
      <c r="CF168" s="221"/>
      <c r="CG168" s="221"/>
      <c r="CH168" s="221"/>
      <c r="CI168" s="221"/>
      <c r="CJ168" s="469">
        <f t="shared" si="163"/>
        <v>0</v>
      </c>
      <c r="CK168" s="315">
        <f t="shared" si="164"/>
        <v>0</v>
      </c>
      <c r="CL168" s="315" t="str">
        <f t="shared" si="165"/>
        <v/>
      </c>
      <c r="CM168" s="182"/>
      <c r="CN168" s="182"/>
      <c r="CO168" s="182"/>
      <c r="CP168" s="221"/>
      <c r="CQ168" s="221"/>
      <c r="CR168" s="221"/>
      <c r="CS168" s="221"/>
      <c r="CT168" s="221"/>
      <c r="CU168" s="221"/>
      <c r="CV168" s="221"/>
      <c r="CW168" s="221"/>
      <c r="CX168" s="221"/>
      <c r="CY168" s="221"/>
      <c r="CZ168" s="182"/>
      <c r="DA168" s="182"/>
      <c r="DB168" s="182"/>
      <c r="DC168" s="182"/>
      <c r="DD168" s="221" t="str">
        <f t="shared" si="151"/>
        <v/>
      </c>
      <c r="DE168" s="221" t="str">
        <f t="shared" si="152"/>
        <v/>
      </c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469" t="str">
        <f t="shared" si="166"/>
        <v/>
      </c>
      <c r="DP168" s="315">
        <f t="shared" si="167"/>
        <v>0</v>
      </c>
      <c r="DQ168" s="315" t="str">
        <f t="shared" si="168"/>
        <v/>
      </c>
      <c r="DR168" s="182"/>
      <c r="DS168" s="182"/>
      <c r="DT168" s="182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182"/>
      <c r="EE168" s="182"/>
      <c r="EF168" s="182"/>
      <c r="EG168" s="182"/>
      <c r="EH168" s="221" t="str">
        <f t="shared" si="169"/>
        <v/>
      </c>
      <c r="EI168" s="221" t="str">
        <f t="shared" si="170"/>
        <v/>
      </c>
      <c r="EJ168" s="221"/>
      <c r="EK168" s="221"/>
      <c r="EL168" s="221"/>
      <c r="EM168" s="221"/>
      <c r="EN168" s="221"/>
      <c r="EO168" s="221"/>
      <c r="EP168" s="221"/>
      <c r="EQ168" s="221"/>
      <c r="ER168" s="221"/>
      <c r="ES168" s="221"/>
      <c r="ET168" s="221"/>
      <c r="EU168" s="315">
        <f t="shared" si="171"/>
        <v>0</v>
      </c>
      <c r="EV168" s="315" t="str">
        <f t="shared" si="172"/>
        <v/>
      </c>
      <c r="EW168" s="182"/>
      <c r="EX168" s="182"/>
      <c r="EY168" s="182"/>
      <c r="EZ168" s="221"/>
      <c r="FA168" s="221"/>
      <c r="FB168" s="221"/>
      <c r="FC168" s="221"/>
      <c r="FD168" s="221"/>
      <c r="FE168" s="221"/>
      <c r="FF168" s="221"/>
      <c r="FG168" s="221"/>
      <c r="FH168" s="221"/>
      <c r="FI168" s="182"/>
      <c r="FJ168" s="182"/>
      <c r="FK168" s="182"/>
      <c r="FL168" s="182"/>
      <c r="FM168" s="221" t="str">
        <f t="shared" si="173"/>
        <v/>
      </c>
      <c r="FN168" s="221" t="str">
        <f t="shared" si="174"/>
        <v/>
      </c>
      <c r="FO168" s="221"/>
      <c r="FP168" s="221"/>
      <c r="FQ168" s="221"/>
      <c r="FR168" s="221"/>
      <c r="FS168" s="221"/>
      <c r="FT168" s="221"/>
      <c r="FU168" s="221"/>
      <c r="FV168" s="221"/>
      <c r="FW168" s="221"/>
      <c r="FX168" s="221"/>
      <c r="FY168" s="221"/>
      <c r="FZ168" s="408"/>
      <c r="GA168" s="315">
        <f t="shared" si="175"/>
        <v>0</v>
      </c>
      <c r="GB168" s="315" t="str">
        <f t="shared" si="176"/>
        <v/>
      </c>
      <c r="GC168" s="182" t="s">
        <v>160</v>
      </c>
      <c r="GD168" s="182"/>
      <c r="GE168" s="182"/>
      <c r="GG168" s="460"/>
      <c r="GH168" s="460"/>
      <c r="GU168" s="469"/>
      <c r="GV168" s="470" t="str">
        <f t="shared" si="177"/>
        <v/>
      </c>
      <c r="GW168" s="302">
        <f t="shared" si="178"/>
        <v>0</v>
      </c>
      <c r="HA168" s="654"/>
      <c r="HD168" s="379"/>
      <c r="HE168" s="380"/>
      <c r="HH168" s="385"/>
      <c r="HI168" s="411"/>
      <c r="HJ168" s="302" t="str">
        <f t="shared" si="153"/>
        <v/>
      </c>
      <c r="HO168" s="302" t="str">
        <f t="shared" si="146"/>
        <v/>
      </c>
      <c r="HP168" s="302" t="str">
        <f t="shared" si="147"/>
        <v/>
      </c>
      <c r="HQ168" s="302" t="str">
        <f t="shared" si="148"/>
        <v/>
      </c>
      <c r="IT168" s="411"/>
      <c r="IU168" s="411"/>
      <c r="IV168" s="635"/>
    </row>
    <row r="169" spans="1:256" s="302" customFormat="1" ht="12.75" hidden="1" customHeight="1">
      <c r="A169" s="397" t="str">
        <f t="shared" si="145"/>
        <v/>
      </c>
      <c r="B169" s="462" t="str">
        <f t="shared" si="149"/>
        <v/>
      </c>
      <c r="C169" s="426"/>
      <c r="D169" s="575"/>
      <c r="E169" s="463"/>
      <c r="F169" s="464"/>
      <c r="G169" s="465"/>
      <c r="H169" s="465"/>
      <c r="I169" s="466"/>
      <c r="J169" s="463"/>
      <c r="K169" s="465"/>
      <c r="L169" s="465"/>
      <c r="M169" s="466"/>
      <c r="N169" s="573"/>
      <c r="O169" s="467"/>
      <c r="P169" s="518"/>
      <c r="Q169" s="381"/>
      <c r="R169" s="182"/>
      <c r="S169" s="182"/>
      <c r="T169" s="182"/>
      <c r="U169" s="182"/>
      <c r="V169" s="182"/>
      <c r="W169" s="182"/>
      <c r="X169" s="182"/>
      <c r="Y169" s="182"/>
      <c r="Z169" s="182"/>
      <c r="AA169" s="384"/>
      <c r="AB169" s="182" t="str">
        <f t="shared" si="154"/>
        <v/>
      </c>
      <c r="AC169" s="315">
        <f t="shared" si="155"/>
        <v>0</v>
      </c>
      <c r="AD169" s="315" t="str">
        <f t="shared" si="150"/>
        <v/>
      </c>
      <c r="AE169" s="182"/>
      <c r="AF169" s="182"/>
      <c r="AG169" s="182"/>
      <c r="AH169" s="221"/>
      <c r="AI169" s="221"/>
      <c r="AJ169" s="221"/>
      <c r="AK169" s="221"/>
      <c r="AL169" s="221"/>
      <c r="AM169" s="221"/>
      <c r="AN169" s="221"/>
      <c r="AO169" s="221"/>
      <c r="AP169" s="221"/>
      <c r="AQ169" s="182"/>
      <c r="AR169" s="182"/>
      <c r="AS169" s="182"/>
      <c r="AT169" s="182"/>
      <c r="AU169" s="221" t="str">
        <f t="shared" si="156"/>
        <v/>
      </c>
      <c r="AV169" s="221" t="str">
        <f t="shared" si="157"/>
        <v/>
      </c>
      <c r="AW169" s="221"/>
      <c r="AX169" s="221"/>
      <c r="AY169" s="221"/>
      <c r="AZ169" s="221"/>
      <c r="BA169" s="221"/>
      <c r="BB169" s="221"/>
      <c r="BC169" s="221"/>
      <c r="BD169" s="221"/>
      <c r="BE169" s="221"/>
      <c r="BF169" s="469">
        <f t="shared" si="158"/>
        <v>0</v>
      </c>
      <c r="BG169" s="315">
        <f t="shared" si="159"/>
        <v>0</v>
      </c>
      <c r="BH169" s="315" t="str">
        <f t="shared" si="160"/>
        <v/>
      </c>
      <c r="BI169" s="182"/>
      <c r="BJ169" s="182"/>
      <c r="BK169" s="182"/>
      <c r="BL169" s="221"/>
      <c r="BM169" s="221"/>
      <c r="BN169" s="221"/>
      <c r="BO169" s="221"/>
      <c r="BP169" s="221"/>
      <c r="BQ169" s="221"/>
      <c r="BR169" s="221"/>
      <c r="BS169" s="221"/>
      <c r="BT169" s="221"/>
      <c r="BU169" s="182"/>
      <c r="BV169" s="182"/>
      <c r="BW169" s="182"/>
      <c r="BX169" s="182"/>
      <c r="BY169" s="221" t="str">
        <f t="shared" si="161"/>
        <v/>
      </c>
      <c r="BZ169" s="221" t="str">
        <f t="shared" si="162"/>
        <v/>
      </c>
      <c r="CA169" s="221"/>
      <c r="CB169" s="221"/>
      <c r="CC169" s="221"/>
      <c r="CD169" s="221"/>
      <c r="CE169" s="221"/>
      <c r="CF169" s="221"/>
      <c r="CG169" s="221"/>
      <c r="CH169" s="221"/>
      <c r="CI169" s="221"/>
      <c r="CJ169" s="469">
        <f t="shared" si="163"/>
        <v>0</v>
      </c>
      <c r="CK169" s="315">
        <f t="shared" si="164"/>
        <v>0</v>
      </c>
      <c r="CL169" s="315" t="str">
        <f t="shared" si="165"/>
        <v/>
      </c>
      <c r="CM169" s="182"/>
      <c r="CN169" s="182"/>
      <c r="CO169" s="182"/>
      <c r="CP169" s="221"/>
      <c r="CQ169" s="221"/>
      <c r="CR169" s="221"/>
      <c r="CS169" s="221"/>
      <c r="CT169" s="221"/>
      <c r="CU169" s="221"/>
      <c r="CV169" s="221"/>
      <c r="CW169" s="221"/>
      <c r="CX169" s="221"/>
      <c r="CY169" s="221"/>
      <c r="CZ169" s="182"/>
      <c r="DA169" s="182"/>
      <c r="DB169" s="182"/>
      <c r="DC169" s="182"/>
      <c r="DD169" s="221" t="str">
        <f t="shared" si="151"/>
        <v/>
      </c>
      <c r="DE169" s="221" t="str">
        <f t="shared" si="152"/>
        <v/>
      </c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469" t="str">
        <f t="shared" si="166"/>
        <v/>
      </c>
      <c r="DP169" s="315">
        <f t="shared" si="167"/>
        <v>0</v>
      </c>
      <c r="DQ169" s="315" t="str">
        <f t="shared" si="168"/>
        <v/>
      </c>
      <c r="DR169" s="182"/>
      <c r="DS169" s="182"/>
      <c r="DT169" s="182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182"/>
      <c r="EE169" s="182"/>
      <c r="EF169" s="182"/>
      <c r="EG169" s="182"/>
      <c r="EH169" s="221" t="str">
        <f t="shared" si="169"/>
        <v/>
      </c>
      <c r="EI169" s="221" t="str">
        <f t="shared" si="170"/>
        <v/>
      </c>
      <c r="EJ169" s="221"/>
      <c r="EK169" s="221"/>
      <c r="EL169" s="221"/>
      <c r="EM169" s="221"/>
      <c r="EN169" s="221"/>
      <c r="EO169" s="221"/>
      <c r="EP169" s="221"/>
      <c r="EQ169" s="221"/>
      <c r="ER169" s="221"/>
      <c r="ES169" s="221"/>
      <c r="ET169" s="221"/>
      <c r="EU169" s="315">
        <f t="shared" si="171"/>
        <v>0</v>
      </c>
      <c r="EV169" s="315" t="str">
        <f t="shared" si="172"/>
        <v/>
      </c>
      <c r="EW169" s="182"/>
      <c r="EX169" s="182"/>
      <c r="EY169" s="182"/>
      <c r="EZ169" s="221"/>
      <c r="FA169" s="221"/>
      <c r="FB169" s="221"/>
      <c r="FC169" s="221"/>
      <c r="FD169" s="221"/>
      <c r="FE169" s="221"/>
      <c r="FF169" s="221"/>
      <c r="FG169" s="221"/>
      <c r="FH169" s="221"/>
      <c r="FI169" s="182"/>
      <c r="FJ169" s="182"/>
      <c r="FK169" s="182"/>
      <c r="FL169" s="182"/>
      <c r="FM169" s="221" t="str">
        <f t="shared" si="173"/>
        <v/>
      </c>
      <c r="FN169" s="221" t="str">
        <f t="shared" si="174"/>
        <v/>
      </c>
      <c r="FO169" s="221"/>
      <c r="FP169" s="221"/>
      <c r="FQ169" s="221"/>
      <c r="FR169" s="221"/>
      <c r="FS169" s="221"/>
      <c r="FT169" s="221"/>
      <c r="FU169" s="221"/>
      <c r="FV169" s="221"/>
      <c r="FW169" s="221"/>
      <c r="FX169" s="221"/>
      <c r="FY169" s="221"/>
      <c r="FZ169" s="408"/>
      <c r="GA169" s="315">
        <f t="shared" si="175"/>
        <v>0</v>
      </c>
      <c r="GB169" s="315" t="str">
        <f t="shared" si="176"/>
        <v/>
      </c>
      <c r="GC169" s="182" t="s">
        <v>160</v>
      </c>
      <c r="GD169" s="182"/>
      <c r="GE169" s="182"/>
      <c r="GG169" s="460"/>
      <c r="GH169" s="460"/>
      <c r="GU169" s="469"/>
      <c r="GV169" s="470" t="str">
        <f t="shared" si="177"/>
        <v/>
      </c>
      <c r="GW169" s="302">
        <f t="shared" si="178"/>
        <v>0</v>
      </c>
      <c r="HA169" s="654"/>
      <c r="HD169" s="379"/>
      <c r="HE169" s="380"/>
      <c r="HH169" s="385"/>
      <c r="HI169" s="411"/>
      <c r="HJ169" s="302" t="str">
        <f t="shared" si="153"/>
        <v/>
      </c>
      <c r="HO169" s="302" t="str">
        <f t="shared" si="146"/>
        <v/>
      </c>
      <c r="HP169" s="302" t="str">
        <f t="shared" si="147"/>
        <v/>
      </c>
      <c r="HQ169" s="302" t="str">
        <f t="shared" si="148"/>
        <v/>
      </c>
      <c r="IT169" s="411"/>
      <c r="IU169" s="411"/>
      <c r="IV169" s="635"/>
    </row>
    <row r="170" spans="1:256" s="302" customFormat="1" ht="12.75" hidden="1" customHeight="1">
      <c r="A170" s="397" t="str">
        <f t="shared" si="145"/>
        <v/>
      </c>
      <c r="B170" s="462" t="str">
        <f t="shared" si="149"/>
        <v/>
      </c>
      <c r="C170" s="426"/>
      <c r="D170" s="575"/>
      <c r="E170" s="463"/>
      <c r="F170" s="464"/>
      <c r="G170" s="465"/>
      <c r="H170" s="465"/>
      <c r="I170" s="466"/>
      <c r="J170" s="463"/>
      <c r="K170" s="465"/>
      <c r="L170" s="465"/>
      <c r="M170" s="466"/>
      <c r="N170" s="573"/>
      <c r="O170" s="467"/>
      <c r="P170" s="518"/>
      <c r="Q170" s="381"/>
      <c r="R170" s="182"/>
      <c r="S170" s="182"/>
      <c r="T170" s="182"/>
      <c r="U170" s="182"/>
      <c r="V170" s="182"/>
      <c r="W170" s="182"/>
      <c r="X170" s="182"/>
      <c r="Y170" s="182"/>
      <c r="Z170" s="182"/>
      <c r="AA170" s="382"/>
      <c r="AB170" s="182" t="str">
        <f t="shared" si="154"/>
        <v/>
      </c>
      <c r="AC170" s="315">
        <f t="shared" si="155"/>
        <v>0</v>
      </c>
      <c r="AD170" s="315" t="str">
        <f t="shared" si="150"/>
        <v/>
      </c>
      <c r="AE170" s="182"/>
      <c r="AF170" s="182"/>
      <c r="AG170" s="182"/>
      <c r="AH170" s="221"/>
      <c r="AI170" s="221"/>
      <c r="AJ170" s="221"/>
      <c r="AK170" s="221"/>
      <c r="AL170" s="221"/>
      <c r="AM170" s="221"/>
      <c r="AN170" s="221"/>
      <c r="AO170" s="221"/>
      <c r="AP170" s="221"/>
      <c r="AQ170" s="182"/>
      <c r="AR170" s="182"/>
      <c r="AS170" s="182"/>
      <c r="AT170" s="182"/>
      <c r="AU170" s="221" t="str">
        <f t="shared" si="156"/>
        <v/>
      </c>
      <c r="AV170" s="221" t="str">
        <f t="shared" si="157"/>
        <v/>
      </c>
      <c r="AW170" s="221"/>
      <c r="AX170" s="221"/>
      <c r="AY170" s="221"/>
      <c r="AZ170" s="221"/>
      <c r="BA170" s="221"/>
      <c r="BB170" s="221"/>
      <c r="BC170" s="221"/>
      <c r="BD170" s="221"/>
      <c r="BE170" s="221"/>
      <c r="BF170" s="468">
        <f t="shared" si="158"/>
        <v>0</v>
      </c>
      <c r="BG170" s="315">
        <f t="shared" si="159"/>
        <v>0</v>
      </c>
      <c r="BH170" s="315" t="str">
        <f t="shared" si="160"/>
        <v/>
      </c>
      <c r="BI170" s="182"/>
      <c r="BJ170" s="182"/>
      <c r="BK170" s="182"/>
      <c r="BL170" s="221"/>
      <c r="BM170" s="221"/>
      <c r="BN170" s="221"/>
      <c r="BO170" s="221"/>
      <c r="BP170" s="221"/>
      <c r="BQ170" s="221"/>
      <c r="BR170" s="221"/>
      <c r="BS170" s="221"/>
      <c r="BT170" s="221"/>
      <c r="BU170" s="182"/>
      <c r="BV170" s="182"/>
      <c r="BW170" s="182"/>
      <c r="BX170" s="182"/>
      <c r="BY170" s="221" t="str">
        <f t="shared" si="161"/>
        <v/>
      </c>
      <c r="BZ170" s="221" t="str">
        <f t="shared" si="162"/>
        <v/>
      </c>
      <c r="CA170" s="221"/>
      <c r="CB170" s="221"/>
      <c r="CC170" s="221"/>
      <c r="CD170" s="221"/>
      <c r="CE170" s="221"/>
      <c r="CF170" s="221"/>
      <c r="CG170" s="221"/>
      <c r="CH170" s="221"/>
      <c r="CI170" s="221"/>
      <c r="CJ170" s="468">
        <f t="shared" si="163"/>
        <v>0</v>
      </c>
      <c r="CK170" s="315">
        <f t="shared" si="164"/>
        <v>0</v>
      </c>
      <c r="CL170" s="315" t="str">
        <f t="shared" si="165"/>
        <v/>
      </c>
      <c r="CM170" s="182"/>
      <c r="CN170" s="182"/>
      <c r="CO170" s="182"/>
      <c r="CP170" s="221"/>
      <c r="CQ170" s="221"/>
      <c r="CR170" s="221"/>
      <c r="CS170" s="221"/>
      <c r="CT170" s="221"/>
      <c r="CU170" s="221"/>
      <c r="CV170" s="221"/>
      <c r="CW170" s="221"/>
      <c r="CX170" s="221"/>
      <c r="CY170" s="221"/>
      <c r="CZ170" s="182"/>
      <c r="DA170" s="182"/>
      <c r="DB170" s="182"/>
      <c r="DC170" s="182"/>
      <c r="DD170" s="221" t="str">
        <f t="shared" si="151"/>
        <v/>
      </c>
      <c r="DE170" s="221" t="str">
        <f t="shared" si="152"/>
        <v/>
      </c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469" t="str">
        <f t="shared" si="166"/>
        <v/>
      </c>
      <c r="DP170" s="315">
        <f t="shared" si="167"/>
        <v>0</v>
      </c>
      <c r="DQ170" s="315" t="str">
        <f t="shared" si="168"/>
        <v/>
      </c>
      <c r="DR170" s="182"/>
      <c r="DS170" s="182"/>
      <c r="DT170" s="182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182"/>
      <c r="EE170" s="182"/>
      <c r="EF170" s="182"/>
      <c r="EG170" s="182"/>
      <c r="EH170" s="221" t="str">
        <f t="shared" si="169"/>
        <v/>
      </c>
      <c r="EI170" s="221" t="str">
        <f t="shared" si="170"/>
        <v/>
      </c>
      <c r="EJ170" s="221"/>
      <c r="EK170" s="221"/>
      <c r="EL170" s="221"/>
      <c r="EM170" s="221"/>
      <c r="EN170" s="221"/>
      <c r="EO170" s="221"/>
      <c r="EP170" s="221"/>
      <c r="EQ170" s="221"/>
      <c r="ER170" s="221"/>
      <c r="ES170" s="221"/>
      <c r="ET170" s="221"/>
      <c r="EU170" s="315">
        <f t="shared" si="171"/>
        <v>0</v>
      </c>
      <c r="EV170" s="315" t="str">
        <f t="shared" si="172"/>
        <v/>
      </c>
      <c r="EW170" s="182"/>
      <c r="EX170" s="182"/>
      <c r="EY170" s="182"/>
      <c r="EZ170" s="221"/>
      <c r="FA170" s="221"/>
      <c r="FB170" s="221"/>
      <c r="FC170" s="221"/>
      <c r="FD170" s="221"/>
      <c r="FE170" s="221"/>
      <c r="FF170" s="221"/>
      <c r="FG170" s="221"/>
      <c r="FH170" s="221"/>
      <c r="FI170" s="182"/>
      <c r="FJ170" s="182"/>
      <c r="FK170" s="182"/>
      <c r="FL170" s="182"/>
      <c r="FM170" s="221" t="str">
        <f t="shared" si="173"/>
        <v/>
      </c>
      <c r="FN170" s="221" t="str">
        <f t="shared" si="174"/>
        <v/>
      </c>
      <c r="FO170" s="221"/>
      <c r="FP170" s="221"/>
      <c r="FQ170" s="221"/>
      <c r="FR170" s="221"/>
      <c r="FS170" s="221"/>
      <c r="FT170" s="221"/>
      <c r="FU170" s="221"/>
      <c r="FV170" s="221"/>
      <c r="FW170" s="221"/>
      <c r="FX170" s="221"/>
      <c r="FY170" s="221"/>
      <c r="FZ170" s="408"/>
      <c r="GA170" s="315">
        <f t="shared" si="175"/>
        <v>0</v>
      </c>
      <c r="GB170" s="315" t="str">
        <f t="shared" si="176"/>
        <v/>
      </c>
      <c r="GC170" s="182" t="s">
        <v>160</v>
      </c>
      <c r="GD170" s="182"/>
      <c r="GE170" s="182"/>
      <c r="GG170" s="460"/>
      <c r="GH170" s="460"/>
      <c r="GU170" s="469"/>
      <c r="GV170" s="470" t="str">
        <f t="shared" si="177"/>
        <v/>
      </c>
      <c r="GW170" s="302">
        <f t="shared" si="178"/>
        <v>0</v>
      </c>
      <c r="HA170" s="654"/>
      <c r="HD170" s="379"/>
      <c r="HE170" s="380"/>
      <c r="HH170" s="383"/>
      <c r="HI170" s="410"/>
      <c r="HJ170" s="302" t="str">
        <f t="shared" si="153"/>
        <v/>
      </c>
      <c r="HO170" s="302" t="str">
        <f t="shared" si="146"/>
        <v/>
      </c>
      <c r="HP170" s="302" t="str">
        <f t="shared" si="147"/>
        <v/>
      </c>
      <c r="HQ170" s="302" t="str">
        <f t="shared" si="148"/>
        <v/>
      </c>
      <c r="IT170" s="410"/>
      <c r="IU170" s="410"/>
      <c r="IV170" s="635"/>
    </row>
    <row r="171" spans="1:256" s="302" customFormat="1" ht="12.75" hidden="1" customHeight="1">
      <c r="A171" s="397" t="str">
        <f t="shared" si="145"/>
        <v/>
      </c>
      <c r="B171" s="462" t="str">
        <f t="shared" si="149"/>
        <v/>
      </c>
      <c r="C171" s="426"/>
      <c r="D171" s="575"/>
      <c r="E171" s="463"/>
      <c r="F171" s="464"/>
      <c r="G171" s="465"/>
      <c r="H171" s="465"/>
      <c r="I171" s="466"/>
      <c r="J171" s="463"/>
      <c r="K171" s="465"/>
      <c r="L171" s="465"/>
      <c r="M171" s="466"/>
      <c r="N171" s="573"/>
      <c r="O171" s="467"/>
      <c r="P171" s="518"/>
      <c r="Q171" s="381"/>
      <c r="R171" s="182"/>
      <c r="S171" s="182"/>
      <c r="T171" s="182"/>
      <c r="U171" s="182"/>
      <c r="V171" s="182"/>
      <c r="W171" s="182"/>
      <c r="X171" s="182"/>
      <c r="Y171" s="182"/>
      <c r="Z171" s="182"/>
      <c r="AA171" s="384"/>
      <c r="AB171" s="182" t="str">
        <f t="shared" si="154"/>
        <v/>
      </c>
      <c r="AC171" s="315">
        <f t="shared" si="155"/>
        <v>0</v>
      </c>
      <c r="AD171" s="315" t="str">
        <f t="shared" si="150"/>
        <v/>
      </c>
      <c r="AE171" s="182"/>
      <c r="AF171" s="182"/>
      <c r="AG171" s="182"/>
      <c r="AH171" s="221"/>
      <c r="AI171" s="221"/>
      <c r="AJ171" s="221"/>
      <c r="AK171" s="221"/>
      <c r="AL171" s="221"/>
      <c r="AM171" s="221"/>
      <c r="AN171" s="221"/>
      <c r="AO171" s="221"/>
      <c r="AP171" s="221"/>
      <c r="AQ171" s="182"/>
      <c r="AR171" s="182"/>
      <c r="AS171" s="182"/>
      <c r="AT171" s="182"/>
      <c r="AU171" s="221" t="str">
        <f t="shared" si="156"/>
        <v/>
      </c>
      <c r="AV171" s="221" t="str">
        <f t="shared" si="157"/>
        <v/>
      </c>
      <c r="AW171" s="221"/>
      <c r="AX171" s="221"/>
      <c r="AY171" s="221"/>
      <c r="AZ171" s="221"/>
      <c r="BA171" s="221"/>
      <c r="BB171" s="221"/>
      <c r="BC171" s="221"/>
      <c r="BD171" s="221"/>
      <c r="BE171" s="221"/>
      <c r="BF171" s="469">
        <f t="shared" si="158"/>
        <v>0</v>
      </c>
      <c r="BG171" s="315">
        <f t="shared" si="159"/>
        <v>0</v>
      </c>
      <c r="BH171" s="315" t="str">
        <f t="shared" si="160"/>
        <v/>
      </c>
      <c r="BI171" s="182"/>
      <c r="BJ171" s="182"/>
      <c r="BK171" s="182"/>
      <c r="BL171" s="221"/>
      <c r="BM171" s="221"/>
      <c r="BN171" s="221"/>
      <c r="BO171" s="221"/>
      <c r="BP171" s="221"/>
      <c r="BQ171" s="221"/>
      <c r="BR171" s="221"/>
      <c r="BS171" s="221"/>
      <c r="BT171" s="221"/>
      <c r="BU171" s="182"/>
      <c r="BV171" s="182"/>
      <c r="BW171" s="182"/>
      <c r="BX171" s="182"/>
      <c r="BY171" s="221" t="str">
        <f t="shared" si="161"/>
        <v/>
      </c>
      <c r="BZ171" s="221" t="str">
        <f t="shared" si="162"/>
        <v/>
      </c>
      <c r="CA171" s="221"/>
      <c r="CB171" s="221"/>
      <c r="CC171" s="221"/>
      <c r="CD171" s="221"/>
      <c r="CE171" s="221"/>
      <c r="CF171" s="221"/>
      <c r="CG171" s="221"/>
      <c r="CH171" s="221"/>
      <c r="CI171" s="221"/>
      <c r="CJ171" s="469">
        <f t="shared" si="163"/>
        <v>0</v>
      </c>
      <c r="CK171" s="315">
        <f t="shared" si="164"/>
        <v>0</v>
      </c>
      <c r="CL171" s="315" t="str">
        <f t="shared" si="165"/>
        <v/>
      </c>
      <c r="CM171" s="182"/>
      <c r="CN171" s="182"/>
      <c r="CO171" s="182"/>
      <c r="CP171" s="221"/>
      <c r="CQ171" s="221"/>
      <c r="CR171" s="221"/>
      <c r="CS171" s="221"/>
      <c r="CT171" s="221"/>
      <c r="CU171" s="221"/>
      <c r="CV171" s="221"/>
      <c r="CW171" s="221"/>
      <c r="CX171" s="221"/>
      <c r="CY171" s="221"/>
      <c r="CZ171" s="182"/>
      <c r="DA171" s="182"/>
      <c r="DB171" s="182"/>
      <c r="DC171" s="182"/>
      <c r="DD171" s="221" t="str">
        <f t="shared" si="151"/>
        <v/>
      </c>
      <c r="DE171" s="221" t="str">
        <f t="shared" si="152"/>
        <v/>
      </c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469" t="str">
        <f t="shared" si="166"/>
        <v/>
      </c>
      <c r="DP171" s="315">
        <f t="shared" si="167"/>
        <v>0</v>
      </c>
      <c r="DQ171" s="315" t="str">
        <f t="shared" si="168"/>
        <v/>
      </c>
      <c r="DR171" s="182"/>
      <c r="DS171" s="182"/>
      <c r="DT171" s="182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182"/>
      <c r="EE171" s="182"/>
      <c r="EF171" s="182"/>
      <c r="EG171" s="182"/>
      <c r="EH171" s="221" t="str">
        <f t="shared" si="169"/>
        <v/>
      </c>
      <c r="EI171" s="221" t="str">
        <f t="shared" si="170"/>
        <v/>
      </c>
      <c r="EJ171" s="221"/>
      <c r="EK171" s="221"/>
      <c r="EL171" s="221"/>
      <c r="EM171" s="221"/>
      <c r="EN171" s="221"/>
      <c r="EO171" s="221"/>
      <c r="EP171" s="221"/>
      <c r="EQ171" s="221"/>
      <c r="ER171" s="221"/>
      <c r="ES171" s="221"/>
      <c r="ET171" s="221"/>
      <c r="EU171" s="315">
        <f t="shared" si="171"/>
        <v>0</v>
      </c>
      <c r="EV171" s="315" t="str">
        <f t="shared" si="172"/>
        <v/>
      </c>
      <c r="EW171" s="182"/>
      <c r="EX171" s="182"/>
      <c r="EY171" s="182"/>
      <c r="EZ171" s="221"/>
      <c r="FA171" s="221"/>
      <c r="FB171" s="221"/>
      <c r="FC171" s="221"/>
      <c r="FD171" s="221"/>
      <c r="FE171" s="221"/>
      <c r="FF171" s="221"/>
      <c r="FG171" s="221"/>
      <c r="FH171" s="221"/>
      <c r="FI171" s="182"/>
      <c r="FJ171" s="182"/>
      <c r="FK171" s="182"/>
      <c r="FL171" s="182"/>
      <c r="FM171" s="221" t="str">
        <f t="shared" si="173"/>
        <v/>
      </c>
      <c r="FN171" s="221" t="str">
        <f t="shared" si="174"/>
        <v/>
      </c>
      <c r="FO171" s="221"/>
      <c r="FP171" s="221"/>
      <c r="FQ171" s="221"/>
      <c r="FR171" s="221"/>
      <c r="FS171" s="221"/>
      <c r="FT171" s="221"/>
      <c r="FU171" s="221"/>
      <c r="FV171" s="221"/>
      <c r="FW171" s="221"/>
      <c r="FX171" s="221"/>
      <c r="FY171" s="221"/>
      <c r="FZ171" s="408"/>
      <c r="GA171" s="315">
        <f t="shared" si="175"/>
        <v>0</v>
      </c>
      <c r="GB171" s="315" t="str">
        <f t="shared" si="176"/>
        <v/>
      </c>
      <c r="GC171" s="182" t="s">
        <v>160</v>
      </c>
      <c r="GD171" s="182"/>
      <c r="GE171" s="182"/>
      <c r="GG171" s="460"/>
      <c r="GH171" s="460"/>
      <c r="GU171" s="469"/>
      <c r="GV171" s="470" t="str">
        <f t="shared" si="177"/>
        <v/>
      </c>
      <c r="GW171" s="302">
        <f t="shared" si="178"/>
        <v>0</v>
      </c>
      <c r="HA171" s="654"/>
      <c r="HD171" s="379"/>
      <c r="HE171" s="380"/>
      <c r="HH171" s="385"/>
      <c r="HI171" s="411"/>
      <c r="HJ171" s="302" t="str">
        <f t="shared" si="153"/>
        <v/>
      </c>
      <c r="HO171" s="302" t="str">
        <f t="shared" si="146"/>
        <v/>
      </c>
      <c r="HP171" s="302" t="str">
        <f t="shared" si="147"/>
        <v/>
      </c>
      <c r="HQ171" s="302" t="str">
        <f t="shared" si="148"/>
        <v/>
      </c>
      <c r="IT171" s="411"/>
      <c r="IU171" s="411"/>
      <c r="IV171" s="635"/>
    </row>
    <row r="172" spans="1:256" s="302" customFormat="1" ht="12.75" hidden="1" customHeight="1">
      <c r="A172" s="397" t="str">
        <f t="shared" si="145"/>
        <v/>
      </c>
      <c r="B172" s="462" t="str">
        <f t="shared" si="149"/>
        <v/>
      </c>
      <c r="C172" s="426"/>
      <c r="D172" s="575"/>
      <c r="E172" s="463"/>
      <c r="F172" s="464"/>
      <c r="G172" s="465"/>
      <c r="H172" s="465"/>
      <c r="I172" s="466"/>
      <c r="J172" s="463"/>
      <c r="K172" s="465"/>
      <c r="L172" s="465"/>
      <c r="M172" s="466"/>
      <c r="N172" s="573"/>
      <c r="O172" s="467"/>
      <c r="P172" s="518"/>
      <c r="Q172" s="381"/>
      <c r="R172" s="182"/>
      <c r="S172" s="182"/>
      <c r="T172" s="182"/>
      <c r="U172" s="182"/>
      <c r="V172" s="182"/>
      <c r="W172" s="182"/>
      <c r="X172" s="182"/>
      <c r="Y172" s="182"/>
      <c r="Z172" s="182"/>
      <c r="AA172" s="382"/>
      <c r="AB172" s="182" t="str">
        <f t="shared" si="154"/>
        <v/>
      </c>
      <c r="AC172" s="315">
        <f t="shared" si="155"/>
        <v>0</v>
      </c>
      <c r="AD172" s="315" t="str">
        <f t="shared" si="150"/>
        <v/>
      </c>
      <c r="AE172" s="182"/>
      <c r="AF172" s="182"/>
      <c r="AG172" s="182"/>
      <c r="AH172" s="221"/>
      <c r="AI172" s="221"/>
      <c r="AJ172" s="221"/>
      <c r="AK172" s="221"/>
      <c r="AL172" s="221"/>
      <c r="AM172" s="221"/>
      <c r="AN172" s="221"/>
      <c r="AO172" s="221"/>
      <c r="AP172" s="221"/>
      <c r="AQ172" s="182"/>
      <c r="AR172" s="182"/>
      <c r="AS172" s="182"/>
      <c r="AT172" s="182"/>
      <c r="AU172" s="221" t="str">
        <f t="shared" si="156"/>
        <v/>
      </c>
      <c r="AV172" s="221" t="str">
        <f t="shared" si="157"/>
        <v/>
      </c>
      <c r="AW172" s="221"/>
      <c r="AX172" s="221"/>
      <c r="AY172" s="221"/>
      <c r="AZ172" s="221"/>
      <c r="BA172" s="221"/>
      <c r="BB172" s="221"/>
      <c r="BC172" s="221"/>
      <c r="BD172" s="221"/>
      <c r="BE172" s="221"/>
      <c r="BF172" s="468">
        <f t="shared" si="158"/>
        <v>0</v>
      </c>
      <c r="BG172" s="315">
        <f t="shared" si="159"/>
        <v>0</v>
      </c>
      <c r="BH172" s="315" t="str">
        <f t="shared" si="160"/>
        <v/>
      </c>
      <c r="BI172" s="182"/>
      <c r="BJ172" s="182"/>
      <c r="BK172" s="182"/>
      <c r="BL172" s="221"/>
      <c r="BM172" s="221"/>
      <c r="BN172" s="221"/>
      <c r="BO172" s="221"/>
      <c r="BP172" s="221"/>
      <c r="BQ172" s="221"/>
      <c r="BR172" s="221"/>
      <c r="BS172" s="221"/>
      <c r="BT172" s="221"/>
      <c r="BU172" s="182"/>
      <c r="BV172" s="182"/>
      <c r="BW172" s="182"/>
      <c r="BX172" s="182"/>
      <c r="BY172" s="221" t="str">
        <f t="shared" si="161"/>
        <v/>
      </c>
      <c r="BZ172" s="221" t="str">
        <f t="shared" si="162"/>
        <v/>
      </c>
      <c r="CA172" s="221"/>
      <c r="CB172" s="221"/>
      <c r="CC172" s="221"/>
      <c r="CD172" s="221"/>
      <c r="CE172" s="221"/>
      <c r="CF172" s="221"/>
      <c r="CG172" s="221"/>
      <c r="CH172" s="221"/>
      <c r="CI172" s="221"/>
      <c r="CJ172" s="468">
        <f t="shared" si="163"/>
        <v>0</v>
      </c>
      <c r="CK172" s="315">
        <f t="shared" si="164"/>
        <v>0</v>
      </c>
      <c r="CL172" s="315" t="str">
        <f t="shared" si="165"/>
        <v/>
      </c>
      <c r="CM172" s="182"/>
      <c r="CN172" s="182"/>
      <c r="CO172" s="182"/>
      <c r="CP172" s="221"/>
      <c r="CQ172" s="221"/>
      <c r="CR172" s="221"/>
      <c r="CS172" s="221"/>
      <c r="CT172" s="221"/>
      <c r="CU172" s="221"/>
      <c r="CV172" s="221"/>
      <c r="CW172" s="221"/>
      <c r="CX172" s="221"/>
      <c r="CY172" s="221"/>
      <c r="CZ172" s="182"/>
      <c r="DA172" s="182"/>
      <c r="DB172" s="182"/>
      <c r="DC172" s="182"/>
      <c r="DD172" s="221" t="str">
        <f t="shared" si="151"/>
        <v/>
      </c>
      <c r="DE172" s="221" t="str">
        <f t="shared" si="152"/>
        <v/>
      </c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469" t="str">
        <f t="shared" si="166"/>
        <v/>
      </c>
      <c r="DP172" s="315">
        <f t="shared" si="167"/>
        <v>0</v>
      </c>
      <c r="DQ172" s="315" t="str">
        <f t="shared" si="168"/>
        <v/>
      </c>
      <c r="DR172" s="182"/>
      <c r="DS172" s="182"/>
      <c r="DT172" s="182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182"/>
      <c r="EE172" s="182"/>
      <c r="EF172" s="182"/>
      <c r="EG172" s="182"/>
      <c r="EH172" s="221" t="str">
        <f t="shared" si="169"/>
        <v/>
      </c>
      <c r="EI172" s="221" t="str">
        <f t="shared" si="170"/>
        <v/>
      </c>
      <c r="EJ172" s="221"/>
      <c r="EK172" s="221"/>
      <c r="EL172" s="221"/>
      <c r="EM172" s="221"/>
      <c r="EN172" s="221"/>
      <c r="EO172" s="221"/>
      <c r="EP172" s="221"/>
      <c r="EQ172" s="221"/>
      <c r="ER172" s="221"/>
      <c r="ES172" s="221"/>
      <c r="ET172" s="221"/>
      <c r="EU172" s="315">
        <f t="shared" si="171"/>
        <v>0</v>
      </c>
      <c r="EV172" s="315" t="str">
        <f t="shared" si="172"/>
        <v/>
      </c>
      <c r="EW172" s="182"/>
      <c r="EX172" s="182"/>
      <c r="EY172" s="182"/>
      <c r="EZ172" s="221"/>
      <c r="FA172" s="221"/>
      <c r="FB172" s="221"/>
      <c r="FC172" s="221"/>
      <c r="FD172" s="221"/>
      <c r="FE172" s="221"/>
      <c r="FF172" s="221"/>
      <c r="FG172" s="221"/>
      <c r="FH172" s="221"/>
      <c r="FI172" s="182"/>
      <c r="FJ172" s="182"/>
      <c r="FK172" s="182"/>
      <c r="FL172" s="182"/>
      <c r="FM172" s="221" t="str">
        <f t="shared" si="173"/>
        <v/>
      </c>
      <c r="FN172" s="221" t="str">
        <f t="shared" si="174"/>
        <v/>
      </c>
      <c r="FO172" s="221"/>
      <c r="FP172" s="221"/>
      <c r="FQ172" s="221"/>
      <c r="FR172" s="221"/>
      <c r="FS172" s="221"/>
      <c r="FT172" s="221"/>
      <c r="FU172" s="221"/>
      <c r="FV172" s="221"/>
      <c r="FW172" s="221"/>
      <c r="FX172" s="221"/>
      <c r="FY172" s="221"/>
      <c r="FZ172" s="408"/>
      <c r="GA172" s="315">
        <f t="shared" si="175"/>
        <v>0</v>
      </c>
      <c r="GB172" s="315" t="str">
        <f t="shared" si="176"/>
        <v/>
      </c>
      <c r="GC172" s="302" t="s">
        <v>160</v>
      </c>
      <c r="GG172" s="460"/>
      <c r="GH172" s="460"/>
      <c r="GU172" s="469"/>
      <c r="GV172" s="470" t="str">
        <f t="shared" si="177"/>
        <v/>
      </c>
      <c r="GW172" s="302">
        <f t="shared" si="178"/>
        <v>0</v>
      </c>
      <c r="HA172" s="654"/>
      <c r="HD172" s="379"/>
      <c r="HE172" s="380"/>
      <c r="HH172" s="383"/>
      <c r="HI172" s="410"/>
      <c r="HJ172" s="302" t="str">
        <f t="shared" si="153"/>
        <v/>
      </c>
      <c r="HN172" s="513"/>
      <c r="HO172" s="302" t="str">
        <f t="shared" si="146"/>
        <v/>
      </c>
      <c r="HP172" s="302" t="str">
        <f t="shared" si="147"/>
        <v/>
      </c>
      <c r="HQ172" s="302" t="str">
        <f t="shared" si="148"/>
        <v/>
      </c>
      <c r="IT172" s="410"/>
      <c r="IU172" s="410"/>
      <c r="IV172" s="635"/>
    </row>
    <row r="173" spans="1:256" s="302" customFormat="1" ht="12.75" hidden="1" customHeight="1">
      <c r="A173" s="397" t="str">
        <f t="shared" si="145"/>
        <v/>
      </c>
      <c r="B173" s="462" t="str">
        <f t="shared" si="149"/>
        <v/>
      </c>
      <c r="C173" s="426"/>
      <c r="D173" s="575"/>
      <c r="E173" s="463"/>
      <c r="F173" s="464"/>
      <c r="G173" s="465"/>
      <c r="H173" s="465"/>
      <c r="I173" s="466"/>
      <c r="J173" s="463"/>
      <c r="K173" s="465"/>
      <c r="L173" s="465"/>
      <c r="M173" s="466"/>
      <c r="N173" s="573"/>
      <c r="O173" s="467"/>
      <c r="P173" s="518"/>
      <c r="Q173" s="381"/>
      <c r="R173" s="182"/>
      <c r="S173" s="182"/>
      <c r="T173" s="182"/>
      <c r="U173" s="182"/>
      <c r="V173" s="182"/>
      <c r="W173" s="182"/>
      <c r="X173" s="182"/>
      <c r="Y173" s="182"/>
      <c r="Z173" s="182"/>
      <c r="AA173" s="384"/>
      <c r="AB173" s="182" t="str">
        <f t="shared" si="154"/>
        <v/>
      </c>
      <c r="AC173" s="315">
        <f t="shared" si="155"/>
        <v>0</v>
      </c>
      <c r="AD173" s="315" t="str">
        <f t="shared" si="150"/>
        <v/>
      </c>
      <c r="AE173" s="182"/>
      <c r="AF173" s="182"/>
      <c r="AG173" s="182"/>
      <c r="AH173" s="221"/>
      <c r="AI173" s="221"/>
      <c r="AJ173" s="221"/>
      <c r="AK173" s="221"/>
      <c r="AL173" s="221"/>
      <c r="AM173" s="221"/>
      <c r="AN173" s="221"/>
      <c r="AO173" s="221"/>
      <c r="AP173" s="221"/>
      <c r="AQ173" s="182"/>
      <c r="AR173" s="182"/>
      <c r="AS173" s="182"/>
      <c r="AT173" s="224"/>
      <c r="AU173" s="221" t="str">
        <f t="shared" si="156"/>
        <v/>
      </c>
      <c r="AV173" s="221" t="str">
        <f t="shared" si="157"/>
        <v/>
      </c>
      <c r="AW173" s="221"/>
      <c r="AX173" s="221"/>
      <c r="AY173" s="221"/>
      <c r="AZ173" s="221"/>
      <c r="BA173" s="221"/>
      <c r="BB173" s="221"/>
      <c r="BC173" s="221"/>
      <c r="BD173" s="221"/>
      <c r="BE173" s="221"/>
      <c r="BF173" s="469">
        <f t="shared" si="158"/>
        <v>0</v>
      </c>
      <c r="BG173" s="315">
        <f t="shared" si="159"/>
        <v>0</v>
      </c>
      <c r="BH173" s="315" t="str">
        <f t="shared" si="160"/>
        <v/>
      </c>
      <c r="BI173" s="182"/>
      <c r="BJ173" s="182"/>
      <c r="BK173" s="182"/>
      <c r="BL173" s="221"/>
      <c r="BM173" s="221"/>
      <c r="BN173" s="221"/>
      <c r="BO173" s="221"/>
      <c r="BP173" s="221"/>
      <c r="BQ173" s="221"/>
      <c r="BR173" s="221"/>
      <c r="BS173" s="221"/>
      <c r="BT173" s="221"/>
      <c r="BU173" s="182"/>
      <c r="BV173" s="182"/>
      <c r="BW173" s="182"/>
      <c r="BX173" s="182"/>
      <c r="BY173" s="221" t="str">
        <f t="shared" si="161"/>
        <v/>
      </c>
      <c r="BZ173" s="221" t="str">
        <f t="shared" si="162"/>
        <v/>
      </c>
      <c r="CA173" s="221"/>
      <c r="CB173" s="221"/>
      <c r="CC173" s="221"/>
      <c r="CD173" s="221"/>
      <c r="CE173" s="221"/>
      <c r="CF173" s="221"/>
      <c r="CG173" s="221"/>
      <c r="CH173" s="221"/>
      <c r="CI173" s="221"/>
      <c r="CJ173" s="469">
        <f t="shared" si="163"/>
        <v>0</v>
      </c>
      <c r="CK173" s="315">
        <f t="shared" si="164"/>
        <v>0</v>
      </c>
      <c r="CL173" s="315" t="str">
        <f t="shared" si="165"/>
        <v/>
      </c>
      <c r="CM173" s="182"/>
      <c r="CN173" s="182"/>
      <c r="CO173" s="182"/>
      <c r="CP173" s="221"/>
      <c r="CQ173" s="221"/>
      <c r="CR173" s="221"/>
      <c r="CS173" s="221"/>
      <c r="CT173" s="221"/>
      <c r="CU173" s="221"/>
      <c r="CV173" s="221"/>
      <c r="CW173" s="221"/>
      <c r="CX173" s="221"/>
      <c r="CY173" s="221"/>
      <c r="CZ173" s="182"/>
      <c r="DA173" s="182"/>
      <c r="DB173" s="182"/>
      <c r="DC173" s="182"/>
      <c r="DD173" s="221" t="str">
        <f t="shared" si="151"/>
        <v/>
      </c>
      <c r="DE173" s="221" t="str">
        <f t="shared" si="152"/>
        <v/>
      </c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469" t="str">
        <f t="shared" si="166"/>
        <v/>
      </c>
      <c r="DP173" s="315">
        <f t="shared" si="167"/>
        <v>0</v>
      </c>
      <c r="DQ173" s="315" t="str">
        <f t="shared" si="168"/>
        <v/>
      </c>
      <c r="DR173" s="182"/>
      <c r="DS173" s="182"/>
      <c r="DT173" s="182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182"/>
      <c r="EE173" s="182"/>
      <c r="EF173" s="182"/>
      <c r="EG173" s="182"/>
      <c r="EH173" s="221" t="str">
        <f t="shared" si="169"/>
        <v/>
      </c>
      <c r="EI173" s="221" t="str">
        <f t="shared" si="170"/>
        <v/>
      </c>
      <c r="EJ173" s="221"/>
      <c r="EK173" s="221"/>
      <c r="EL173" s="221"/>
      <c r="EM173" s="221"/>
      <c r="EN173" s="221"/>
      <c r="EO173" s="221"/>
      <c r="EP173" s="221"/>
      <c r="EQ173" s="221"/>
      <c r="ER173" s="221"/>
      <c r="ES173" s="221"/>
      <c r="ET173" s="221"/>
      <c r="EU173" s="315">
        <f t="shared" si="171"/>
        <v>0</v>
      </c>
      <c r="EV173" s="315" t="str">
        <f t="shared" si="172"/>
        <v/>
      </c>
      <c r="EW173" s="182"/>
      <c r="EX173" s="182"/>
      <c r="EY173" s="182"/>
      <c r="EZ173" s="221"/>
      <c r="FA173" s="221"/>
      <c r="FB173" s="221"/>
      <c r="FC173" s="221"/>
      <c r="FD173" s="221"/>
      <c r="FE173" s="221"/>
      <c r="FF173" s="221"/>
      <c r="FG173" s="221"/>
      <c r="FH173" s="221"/>
      <c r="FI173" s="182"/>
      <c r="FJ173" s="182"/>
      <c r="FK173" s="182"/>
      <c r="FL173" s="182"/>
      <c r="FM173" s="221" t="str">
        <f t="shared" si="173"/>
        <v/>
      </c>
      <c r="FN173" s="221" t="str">
        <f t="shared" si="174"/>
        <v/>
      </c>
      <c r="FO173" s="221"/>
      <c r="FP173" s="221"/>
      <c r="FQ173" s="221"/>
      <c r="FR173" s="221"/>
      <c r="FS173" s="221"/>
      <c r="FT173" s="221"/>
      <c r="FU173" s="221"/>
      <c r="FV173" s="221"/>
      <c r="FW173" s="221"/>
      <c r="FX173" s="221"/>
      <c r="FY173" s="221"/>
      <c r="FZ173" s="408"/>
      <c r="GA173" s="315">
        <f t="shared" si="175"/>
        <v>0</v>
      </c>
      <c r="GB173" s="315" t="str">
        <f t="shared" si="176"/>
        <v/>
      </c>
      <c r="GC173" s="182" t="s">
        <v>160</v>
      </c>
      <c r="GD173" s="182"/>
      <c r="GE173" s="182"/>
      <c r="GG173" s="460"/>
      <c r="GH173" s="460"/>
      <c r="GU173" s="469"/>
      <c r="GV173" s="470" t="str">
        <f t="shared" si="177"/>
        <v/>
      </c>
      <c r="GW173" s="302">
        <f t="shared" si="178"/>
        <v>0</v>
      </c>
      <c r="HA173" s="654"/>
      <c r="HD173" s="379"/>
      <c r="HE173" s="380"/>
      <c r="HH173" s="385"/>
      <c r="HI173" s="411"/>
      <c r="HJ173" s="302" t="str">
        <f t="shared" si="153"/>
        <v/>
      </c>
      <c r="HO173" s="302" t="str">
        <f t="shared" si="146"/>
        <v/>
      </c>
      <c r="HP173" s="302" t="str">
        <f t="shared" si="147"/>
        <v/>
      </c>
      <c r="HQ173" s="302" t="str">
        <f t="shared" si="148"/>
        <v/>
      </c>
      <c r="IT173" s="411"/>
      <c r="IU173" s="411"/>
      <c r="IV173" s="635"/>
    </row>
    <row r="174" spans="1:256" s="302" customFormat="1" ht="12.75" hidden="1" customHeight="1">
      <c r="A174" s="397" t="str">
        <f t="shared" si="145"/>
        <v/>
      </c>
      <c r="B174" s="462" t="str">
        <f t="shared" si="149"/>
        <v/>
      </c>
      <c r="C174" s="426"/>
      <c r="D174" s="575"/>
      <c r="E174" s="463"/>
      <c r="F174" s="464"/>
      <c r="G174" s="465"/>
      <c r="H174" s="465"/>
      <c r="I174" s="466"/>
      <c r="J174" s="463"/>
      <c r="K174" s="465"/>
      <c r="L174" s="465"/>
      <c r="M174" s="466"/>
      <c r="N174" s="573"/>
      <c r="O174" s="467"/>
      <c r="P174" s="518"/>
      <c r="Q174" s="381"/>
      <c r="R174" s="182"/>
      <c r="S174" s="182"/>
      <c r="T174" s="182"/>
      <c r="U174" s="182"/>
      <c r="V174" s="182"/>
      <c r="W174" s="182"/>
      <c r="X174" s="182"/>
      <c r="Y174" s="182"/>
      <c r="Z174" s="182"/>
      <c r="AA174" s="382"/>
      <c r="AB174" s="182" t="str">
        <f t="shared" si="154"/>
        <v/>
      </c>
      <c r="AC174" s="315">
        <f t="shared" si="155"/>
        <v>0</v>
      </c>
      <c r="AD174" s="315" t="str">
        <f t="shared" si="150"/>
        <v/>
      </c>
      <c r="AE174" s="182"/>
      <c r="AF174" s="182"/>
      <c r="AG174" s="182"/>
      <c r="AH174" s="221"/>
      <c r="AI174" s="221"/>
      <c r="AJ174" s="221"/>
      <c r="AK174" s="221"/>
      <c r="AL174" s="221"/>
      <c r="AM174" s="221"/>
      <c r="AN174" s="221"/>
      <c r="AO174" s="221"/>
      <c r="AP174" s="221"/>
      <c r="AQ174" s="182"/>
      <c r="AR174" s="182"/>
      <c r="AS174" s="182"/>
      <c r="AT174" s="224"/>
      <c r="AU174" s="221" t="str">
        <f t="shared" si="156"/>
        <v/>
      </c>
      <c r="AV174" s="221" t="str">
        <f t="shared" si="157"/>
        <v/>
      </c>
      <c r="AW174" s="221"/>
      <c r="AX174" s="221"/>
      <c r="AY174" s="221"/>
      <c r="AZ174" s="221"/>
      <c r="BA174" s="221"/>
      <c r="BB174" s="221"/>
      <c r="BC174" s="221"/>
      <c r="BD174" s="221"/>
      <c r="BE174" s="221"/>
      <c r="BF174" s="468">
        <f t="shared" si="158"/>
        <v>0</v>
      </c>
      <c r="BG174" s="315">
        <f t="shared" si="159"/>
        <v>0</v>
      </c>
      <c r="BH174" s="315" t="str">
        <f t="shared" si="160"/>
        <v/>
      </c>
      <c r="BI174" s="182"/>
      <c r="BJ174" s="182"/>
      <c r="BK174" s="182"/>
      <c r="BL174" s="221"/>
      <c r="BM174" s="221"/>
      <c r="BN174" s="221"/>
      <c r="BO174" s="221"/>
      <c r="BP174" s="221"/>
      <c r="BQ174" s="221"/>
      <c r="BR174" s="221"/>
      <c r="BS174" s="221"/>
      <c r="BT174" s="221"/>
      <c r="BU174" s="182"/>
      <c r="BV174" s="182"/>
      <c r="BW174" s="182"/>
      <c r="BX174" s="182"/>
      <c r="BY174" s="221" t="str">
        <f t="shared" si="161"/>
        <v/>
      </c>
      <c r="BZ174" s="221" t="str">
        <f t="shared" si="162"/>
        <v/>
      </c>
      <c r="CA174" s="221"/>
      <c r="CB174" s="221"/>
      <c r="CC174" s="221"/>
      <c r="CD174" s="221"/>
      <c r="CE174" s="221"/>
      <c r="CF174" s="221"/>
      <c r="CG174" s="221"/>
      <c r="CH174" s="221"/>
      <c r="CI174" s="221"/>
      <c r="CJ174" s="468">
        <f t="shared" si="163"/>
        <v>0</v>
      </c>
      <c r="CK174" s="315">
        <f t="shared" si="164"/>
        <v>0</v>
      </c>
      <c r="CL174" s="315" t="str">
        <f t="shared" si="165"/>
        <v/>
      </c>
      <c r="CM174" s="182"/>
      <c r="CN174" s="182"/>
      <c r="CO174" s="182"/>
      <c r="CP174" s="221"/>
      <c r="CQ174" s="221"/>
      <c r="CR174" s="221"/>
      <c r="CS174" s="221"/>
      <c r="CT174" s="221"/>
      <c r="CU174" s="221"/>
      <c r="CV174" s="221"/>
      <c r="CW174" s="221"/>
      <c r="CX174" s="221"/>
      <c r="CY174" s="221"/>
      <c r="CZ174" s="182"/>
      <c r="DA174" s="182"/>
      <c r="DB174" s="182"/>
      <c r="DC174" s="182"/>
      <c r="DD174" s="221" t="str">
        <f t="shared" si="151"/>
        <v/>
      </c>
      <c r="DE174" s="221" t="str">
        <f t="shared" si="152"/>
        <v/>
      </c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469" t="str">
        <f t="shared" si="166"/>
        <v/>
      </c>
      <c r="DP174" s="315">
        <f t="shared" si="167"/>
        <v>0</v>
      </c>
      <c r="DQ174" s="315" t="str">
        <f t="shared" si="168"/>
        <v/>
      </c>
      <c r="DR174" s="182"/>
      <c r="DS174" s="182"/>
      <c r="DT174" s="182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182"/>
      <c r="EE174" s="182"/>
      <c r="EF174" s="182"/>
      <c r="EG174" s="182"/>
      <c r="EH174" s="221" t="str">
        <f t="shared" si="169"/>
        <v/>
      </c>
      <c r="EI174" s="221" t="str">
        <f t="shared" si="170"/>
        <v/>
      </c>
      <c r="EJ174" s="221"/>
      <c r="EK174" s="221"/>
      <c r="EL174" s="221"/>
      <c r="EM174" s="221"/>
      <c r="EN174" s="221"/>
      <c r="EO174" s="221"/>
      <c r="EP174" s="221"/>
      <c r="EQ174" s="221"/>
      <c r="ER174" s="221"/>
      <c r="ES174" s="221"/>
      <c r="ET174" s="221"/>
      <c r="EU174" s="315">
        <f t="shared" si="171"/>
        <v>0</v>
      </c>
      <c r="EV174" s="315" t="str">
        <f t="shared" si="172"/>
        <v/>
      </c>
      <c r="EW174" s="182"/>
      <c r="EX174" s="182"/>
      <c r="EY174" s="182"/>
      <c r="EZ174" s="221"/>
      <c r="FA174" s="221"/>
      <c r="FB174" s="221"/>
      <c r="FC174" s="221"/>
      <c r="FD174" s="221"/>
      <c r="FE174" s="221"/>
      <c r="FF174" s="221"/>
      <c r="FG174" s="221"/>
      <c r="FH174" s="221"/>
      <c r="FI174" s="182"/>
      <c r="FJ174" s="182"/>
      <c r="FK174" s="182"/>
      <c r="FL174" s="182"/>
      <c r="FM174" s="221" t="str">
        <f t="shared" si="173"/>
        <v/>
      </c>
      <c r="FN174" s="221" t="str">
        <f t="shared" si="174"/>
        <v/>
      </c>
      <c r="FO174" s="221"/>
      <c r="FP174" s="221"/>
      <c r="FQ174" s="221"/>
      <c r="FR174" s="221"/>
      <c r="FS174" s="221"/>
      <c r="FT174" s="221"/>
      <c r="FU174" s="221"/>
      <c r="FV174" s="221"/>
      <c r="FW174" s="221"/>
      <c r="FX174" s="221"/>
      <c r="FY174" s="221"/>
      <c r="FZ174" s="408"/>
      <c r="GA174" s="315">
        <f t="shared" si="175"/>
        <v>0</v>
      </c>
      <c r="GB174" s="315" t="str">
        <f t="shared" si="176"/>
        <v/>
      </c>
      <c r="GC174" s="182" t="s">
        <v>160</v>
      </c>
      <c r="GD174" s="182"/>
      <c r="GE174" s="182"/>
      <c r="GG174" s="460"/>
      <c r="GH174" s="460"/>
      <c r="GU174" s="469"/>
      <c r="GV174" s="470" t="str">
        <f t="shared" si="177"/>
        <v/>
      </c>
      <c r="GW174" s="302">
        <f t="shared" si="178"/>
        <v>0</v>
      </c>
      <c r="HA174" s="654"/>
      <c r="HD174" s="379"/>
      <c r="HE174" s="380"/>
      <c r="HH174" s="383"/>
      <c r="HI174" s="410"/>
      <c r="HJ174" s="302" t="str">
        <f t="shared" si="153"/>
        <v/>
      </c>
      <c r="HO174" s="302" t="str">
        <f t="shared" si="146"/>
        <v/>
      </c>
      <c r="HP174" s="302" t="str">
        <f t="shared" si="147"/>
        <v/>
      </c>
      <c r="HQ174" s="302" t="str">
        <f t="shared" si="148"/>
        <v/>
      </c>
      <c r="IT174" s="410"/>
      <c r="IU174" s="410"/>
      <c r="IV174" s="635"/>
    </row>
    <row r="175" spans="1:256" s="302" customFormat="1" ht="12.75" hidden="1" customHeight="1">
      <c r="A175" s="397" t="str">
        <f t="shared" si="145"/>
        <v/>
      </c>
      <c r="B175" s="462" t="str">
        <f t="shared" si="149"/>
        <v/>
      </c>
      <c r="C175" s="426"/>
      <c r="D175" s="575"/>
      <c r="E175" s="463"/>
      <c r="F175" s="464"/>
      <c r="G175" s="465"/>
      <c r="H175" s="465"/>
      <c r="I175" s="466"/>
      <c r="J175" s="463"/>
      <c r="K175" s="465"/>
      <c r="L175" s="465"/>
      <c r="M175" s="466"/>
      <c r="N175" s="573"/>
      <c r="O175" s="467"/>
      <c r="P175" s="518"/>
      <c r="Q175" s="381"/>
      <c r="R175" s="182"/>
      <c r="S175" s="182"/>
      <c r="T175" s="182"/>
      <c r="U175" s="182"/>
      <c r="V175" s="182"/>
      <c r="W175" s="182"/>
      <c r="X175" s="182"/>
      <c r="Y175" s="182"/>
      <c r="Z175" s="182"/>
      <c r="AA175" s="384"/>
      <c r="AB175" s="182" t="str">
        <f t="shared" si="154"/>
        <v/>
      </c>
      <c r="AC175" s="315">
        <f t="shared" si="155"/>
        <v>0</v>
      </c>
      <c r="AD175" s="315" t="str">
        <f t="shared" si="150"/>
        <v/>
      </c>
      <c r="AE175" s="182"/>
      <c r="AF175" s="182"/>
      <c r="AG175" s="182"/>
      <c r="AH175" s="221"/>
      <c r="AI175" s="221"/>
      <c r="AJ175" s="221"/>
      <c r="AK175" s="221"/>
      <c r="AL175" s="221"/>
      <c r="AM175" s="221"/>
      <c r="AN175" s="221"/>
      <c r="AO175" s="221"/>
      <c r="AP175" s="221"/>
      <c r="AQ175" s="182"/>
      <c r="AR175" s="182"/>
      <c r="AS175" s="182"/>
      <c r="AT175" s="182"/>
      <c r="AU175" s="221" t="str">
        <f t="shared" si="156"/>
        <v/>
      </c>
      <c r="AV175" s="221" t="str">
        <f t="shared" si="157"/>
        <v/>
      </c>
      <c r="AW175" s="221"/>
      <c r="AX175" s="221"/>
      <c r="AY175" s="221"/>
      <c r="AZ175" s="221"/>
      <c r="BA175" s="221"/>
      <c r="BB175" s="221"/>
      <c r="BC175" s="221"/>
      <c r="BD175" s="221"/>
      <c r="BE175" s="221"/>
      <c r="BF175" s="469">
        <f t="shared" si="158"/>
        <v>0</v>
      </c>
      <c r="BG175" s="315">
        <f t="shared" si="159"/>
        <v>0</v>
      </c>
      <c r="BH175" s="315" t="str">
        <f t="shared" si="160"/>
        <v/>
      </c>
      <c r="BI175" s="182"/>
      <c r="BJ175" s="182"/>
      <c r="BK175" s="182"/>
      <c r="BL175" s="221"/>
      <c r="BM175" s="221"/>
      <c r="BN175" s="221"/>
      <c r="BO175" s="221"/>
      <c r="BP175" s="221"/>
      <c r="BQ175" s="221"/>
      <c r="BR175" s="221"/>
      <c r="BS175" s="221"/>
      <c r="BT175" s="221"/>
      <c r="BU175" s="182"/>
      <c r="BV175" s="182"/>
      <c r="BW175" s="182"/>
      <c r="BX175" s="182"/>
      <c r="BY175" s="221" t="str">
        <f t="shared" si="161"/>
        <v/>
      </c>
      <c r="BZ175" s="221" t="str">
        <f t="shared" si="162"/>
        <v/>
      </c>
      <c r="CA175" s="221"/>
      <c r="CB175" s="221"/>
      <c r="CC175" s="221"/>
      <c r="CD175" s="221"/>
      <c r="CE175" s="221"/>
      <c r="CF175" s="221"/>
      <c r="CG175" s="221"/>
      <c r="CH175" s="221"/>
      <c r="CI175" s="221"/>
      <c r="CJ175" s="469">
        <f t="shared" si="163"/>
        <v>0</v>
      </c>
      <c r="CK175" s="315">
        <f t="shared" si="164"/>
        <v>0</v>
      </c>
      <c r="CL175" s="315" t="str">
        <f t="shared" si="165"/>
        <v/>
      </c>
      <c r="CM175" s="182"/>
      <c r="CN175" s="182"/>
      <c r="CO175" s="182"/>
      <c r="CP175" s="221"/>
      <c r="CQ175" s="221"/>
      <c r="CR175" s="221"/>
      <c r="CS175" s="221"/>
      <c r="CT175" s="221"/>
      <c r="CU175" s="221"/>
      <c r="CV175" s="221"/>
      <c r="CW175" s="221"/>
      <c r="CX175" s="221"/>
      <c r="CY175" s="221"/>
      <c r="CZ175" s="182"/>
      <c r="DA175" s="182"/>
      <c r="DB175" s="182"/>
      <c r="DC175" s="182"/>
      <c r="DD175" s="221" t="str">
        <f t="shared" si="151"/>
        <v/>
      </c>
      <c r="DE175" s="221" t="str">
        <f t="shared" si="152"/>
        <v/>
      </c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469" t="str">
        <f t="shared" si="166"/>
        <v/>
      </c>
      <c r="DP175" s="315">
        <f t="shared" si="167"/>
        <v>0</v>
      </c>
      <c r="DQ175" s="315" t="str">
        <f t="shared" si="168"/>
        <v/>
      </c>
      <c r="DR175" s="182"/>
      <c r="DS175" s="182"/>
      <c r="DT175" s="182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182"/>
      <c r="EE175" s="182"/>
      <c r="EF175" s="182"/>
      <c r="EG175" s="182"/>
      <c r="EH175" s="221" t="str">
        <f t="shared" si="169"/>
        <v/>
      </c>
      <c r="EI175" s="221" t="str">
        <f t="shared" si="170"/>
        <v/>
      </c>
      <c r="EJ175" s="221"/>
      <c r="EK175" s="221"/>
      <c r="EL175" s="221"/>
      <c r="EM175" s="221"/>
      <c r="EN175" s="221"/>
      <c r="EO175" s="221"/>
      <c r="EP175" s="221"/>
      <c r="EQ175" s="221"/>
      <c r="ER175" s="221"/>
      <c r="ES175" s="221"/>
      <c r="ET175" s="221"/>
      <c r="EU175" s="315">
        <f t="shared" si="171"/>
        <v>0</v>
      </c>
      <c r="EV175" s="315" t="str">
        <f t="shared" si="172"/>
        <v/>
      </c>
      <c r="EW175" s="182"/>
      <c r="EX175" s="182"/>
      <c r="EY175" s="182"/>
      <c r="EZ175" s="221"/>
      <c r="FA175" s="221"/>
      <c r="FB175" s="221"/>
      <c r="FC175" s="221"/>
      <c r="FD175" s="221"/>
      <c r="FE175" s="221"/>
      <c r="FF175" s="221"/>
      <c r="FG175" s="221"/>
      <c r="FH175" s="221"/>
      <c r="FI175" s="182"/>
      <c r="FJ175" s="182"/>
      <c r="FK175" s="182"/>
      <c r="FL175" s="182"/>
      <c r="FM175" s="221" t="str">
        <f t="shared" si="173"/>
        <v/>
      </c>
      <c r="FN175" s="221" t="str">
        <f t="shared" si="174"/>
        <v/>
      </c>
      <c r="FO175" s="221"/>
      <c r="FP175" s="221"/>
      <c r="FQ175" s="221"/>
      <c r="FR175" s="221"/>
      <c r="FS175" s="221"/>
      <c r="FT175" s="221"/>
      <c r="FU175" s="221"/>
      <c r="FV175" s="221"/>
      <c r="FW175" s="221"/>
      <c r="FX175" s="221"/>
      <c r="FY175" s="221"/>
      <c r="FZ175" s="408"/>
      <c r="GA175" s="315">
        <f t="shared" si="175"/>
        <v>0</v>
      </c>
      <c r="GB175" s="315" t="str">
        <f t="shared" si="176"/>
        <v/>
      </c>
      <c r="GC175" s="182" t="s">
        <v>160</v>
      </c>
      <c r="GD175" s="182"/>
      <c r="GE175" s="182"/>
      <c r="GG175" s="460"/>
      <c r="GH175" s="460"/>
      <c r="GU175" s="469"/>
      <c r="GV175" s="470" t="str">
        <f t="shared" si="177"/>
        <v/>
      </c>
      <c r="GW175" s="302">
        <f t="shared" si="178"/>
        <v>0</v>
      </c>
      <c r="HA175" s="654"/>
      <c r="HD175" s="379"/>
      <c r="HE175" s="380"/>
      <c r="HH175" s="385"/>
      <c r="HI175" s="411"/>
      <c r="HJ175" s="302" t="str">
        <f t="shared" si="153"/>
        <v/>
      </c>
      <c r="HO175" s="302" t="str">
        <f t="shared" si="146"/>
        <v/>
      </c>
      <c r="HP175" s="302" t="str">
        <f t="shared" si="147"/>
        <v/>
      </c>
      <c r="HQ175" s="302" t="str">
        <f t="shared" si="148"/>
        <v/>
      </c>
      <c r="IT175" s="411"/>
      <c r="IU175" s="411"/>
      <c r="IV175" s="635"/>
    </row>
    <row r="176" spans="1:256" s="302" customFormat="1" ht="12.75" hidden="1" customHeight="1">
      <c r="A176" s="397" t="str">
        <f t="shared" si="145"/>
        <v/>
      </c>
      <c r="B176" s="462" t="str">
        <f t="shared" si="149"/>
        <v/>
      </c>
      <c r="C176" s="426"/>
      <c r="D176" s="575"/>
      <c r="E176" s="463"/>
      <c r="F176" s="464"/>
      <c r="G176" s="465"/>
      <c r="H176" s="465"/>
      <c r="I176" s="466"/>
      <c r="J176" s="463"/>
      <c r="K176" s="465"/>
      <c r="L176" s="465"/>
      <c r="M176" s="466"/>
      <c r="N176" s="573"/>
      <c r="O176" s="467"/>
      <c r="P176" s="518"/>
      <c r="Q176" s="381"/>
      <c r="R176" s="182"/>
      <c r="S176" s="182"/>
      <c r="T176" s="182"/>
      <c r="U176" s="182"/>
      <c r="V176" s="182"/>
      <c r="W176" s="182"/>
      <c r="X176" s="182"/>
      <c r="Y176" s="182"/>
      <c r="Z176" s="182"/>
      <c r="AA176" s="382"/>
      <c r="AB176" s="182" t="str">
        <f t="shared" si="154"/>
        <v/>
      </c>
      <c r="AC176" s="315">
        <f t="shared" si="155"/>
        <v>0</v>
      </c>
      <c r="AD176" s="315" t="str">
        <f t="shared" si="150"/>
        <v/>
      </c>
      <c r="AE176" s="182"/>
      <c r="AF176" s="182"/>
      <c r="AG176" s="182"/>
      <c r="AH176" s="221"/>
      <c r="AI176" s="221"/>
      <c r="AJ176" s="221"/>
      <c r="AK176" s="221"/>
      <c r="AL176" s="221"/>
      <c r="AM176" s="221"/>
      <c r="AN176" s="221"/>
      <c r="AO176" s="221"/>
      <c r="AP176" s="221"/>
      <c r="AQ176" s="182"/>
      <c r="AR176" s="182"/>
      <c r="AS176" s="182"/>
      <c r="AT176" s="182"/>
      <c r="AU176" s="221" t="str">
        <f t="shared" si="156"/>
        <v/>
      </c>
      <c r="AV176" s="221" t="str">
        <f t="shared" si="157"/>
        <v/>
      </c>
      <c r="AW176" s="221"/>
      <c r="AX176" s="221"/>
      <c r="AY176" s="221"/>
      <c r="AZ176" s="221"/>
      <c r="BA176" s="221"/>
      <c r="BB176" s="221"/>
      <c r="BC176" s="221"/>
      <c r="BD176" s="221"/>
      <c r="BE176" s="221"/>
      <c r="BF176" s="468">
        <f t="shared" si="158"/>
        <v>0</v>
      </c>
      <c r="BG176" s="315">
        <f t="shared" si="159"/>
        <v>0</v>
      </c>
      <c r="BH176" s="315" t="str">
        <f t="shared" si="160"/>
        <v/>
      </c>
      <c r="BL176" s="380"/>
      <c r="BM176" s="380"/>
      <c r="BN176" s="380"/>
      <c r="BO176" s="380"/>
      <c r="BP176" s="380"/>
      <c r="BQ176" s="380"/>
      <c r="BR176" s="380"/>
      <c r="BS176" s="380"/>
      <c r="BT176" s="380"/>
      <c r="BY176" s="221" t="str">
        <f t="shared" si="161"/>
        <v/>
      </c>
      <c r="BZ176" s="221" t="str">
        <f t="shared" si="162"/>
        <v/>
      </c>
      <c r="CA176" s="221"/>
      <c r="CB176" s="221"/>
      <c r="CC176" s="221"/>
      <c r="CD176" s="221"/>
      <c r="CE176" s="221"/>
      <c r="CF176" s="221"/>
      <c r="CG176" s="221"/>
      <c r="CH176" s="221"/>
      <c r="CI176" s="221"/>
      <c r="CJ176" s="468">
        <f t="shared" si="163"/>
        <v>0</v>
      </c>
      <c r="CK176" s="315">
        <f t="shared" si="164"/>
        <v>0</v>
      </c>
      <c r="CL176" s="315" t="str">
        <f t="shared" si="165"/>
        <v/>
      </c>
      <c r="CM176" s="182"/>
      <c r="CN176" s="182"/>
      <c r="CO176" s="182"/>
      <c r="CP176" s="221"/>
      <c r="CQ176" s="221"/>
      <c r="CR176" s="221"/>
      <c r="CS176" s="221"/>
      <c r="CT176" s="221"/>
      <c r="CU176" s="221"/>
      <c r="CV176" s="221"/>
      <c r="CW176" s="221"/>
      <c r="CX176" s="221"/>
      <c r="CY176" s="221"/>
      <c r="CZ176" s="182"/>
      <c r="DA176" s="182"/>
      <c r="DB176" s="182"/>
      <c r="DC176" s="182"/>
      <c r="DD176" s="221" t="str">
        <f t="shared" si="151"/>
        <v/>
      </c>
      <c r="DE176" s="221" t="str">
        <f t="shared" si="152"/>
        <v/>
      </c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469" t="str">
        <f t="shared" si="166"/>
        <v/>
      </c>
      <c r="DP176" s="315">
        <f t="shared" si="167"/>
        <v>0</v>
      </c>
      <c r="DQ176" s="315" t="str">
        <f t="shared" si="168"/>
        <v/>
      </c>
      <c r="DR176" s="182"/>
      <c r="DS176" s="182"/>
      <c r="DT176" s="182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182"/>
      <c r="EE176" s="182"/>
      <c r="EF176" s="182"/>
      <c r="EG176" s="182"/>
      <c r="EH176" s="221" t="str">
        <f t="shared" si="169"/>
        <v/>
      </c>
      <c r="EI176" s="221" t="str">
        <f t="shared" si="170"/>
        <v/>
      </c>
      <c r="EJ176" s="221"/>
      <c r="EK176" s="221"/>
      <c r="EL176" s="221"/>
      <c r="EM176" s="221"/>
      <c r="EN176" s="221"/>
      <c r="EO176" s="221"/>
      <c r="EP176" s="221"/>
      <c r="EQ176" s="221"/>
      <c r="ER176" s="221"/>
      <c r="ES176" s="221"/>
      <c r="ET176" s="221"/>
      <c r="EU176" s="315">
        <f t="shared" si="171"/>
        <v>0</v>
      </c>
      <c r="EV176" s="315" t="str">
        <f t="shared" si="172"/>
        <v/>
      </c>
      <c r="EW176" s="182"/>
      <c r="EX176" s="182"/>
      <c r="EY176" s="182"/>
      <c r="EZ176" s="221"/>
      <c r="FA176" s="221"/>
      <c r="FB176" s="221"/>
      <c r="FC176" s="221"/>
      <c r="FD176" s="221"/>
      <c r="FE176" s="221"/>
      <c r="FF176" s="221"/>
      <c r="FG176" s="221"/>
      <c r="FH176" s="221"/>
      <c r="FI176" s="182"/>
      <c r="FJ176" s="182"/>
      <c r="FK176" s="182"/>
      <c r="FL176" s="182"/>
      <c r="FM176" s="221" t="str">
        <f t="shared" si="173"/>
        <v/>
      </c>
      <c r="FN176" s="221" t="str">
        <f t="shared" si="174"/>
        <v/>
      </c>
      <c r="FO176" s="221"/>
      <c r="FP176" s="221"/>
      <c r="FQ176" s="221"/>
      <c r="FR176" s="221"/>
      <c r="FS176" s="221"/>
      <c r="FT176" s="221"/>
      <c r="FU176" s="221"/>
      <c r="FV176" s="221"/>
      <c r="FW176" s="221"/>
      <c r="FX176" s="221"/>
      <c r="FY176" s="221"/>
      <c r="FZ176" s="408"/>
      <c r="GA176" s="315">
        <f t="shared" si="175"/>
        <v>0</v>
      </c>
      <c r="GB176" s="315" t="str">
        <f t="shared" si="176"/>
        <v/>
      </c>
      <c r="GC176" s="182" t="s">
        <v>160</v>
      </c>
      <c r="GD176" s="182"/>
      <c r="GE176" s="182"/>
      <c r="GG176" s="460"/>
      <c r="GH176" s="460"/>
      <c r="GU176" s="469"/>
      <c r="GV176" s="470" t="str">
        <f t="shared" si="177"/>
        <v/>
      </c>
      <c r="GW176" s="302">
        <f t="shared" si="178"/>
        <v>0</v>
      </c>
      <c r="HA176" s="654"/>
      <c r="HD176" s="379"/>
      <c r="HE176" s="380"/>
      <c r="HH176" s="383"/>
      <c r="HI176" s="410"/>
      <c r="HJ176" s="302" t="str">
        <f t="shared" si="153"/>
        <v/>
      </c>
      <c r="HO176" s="302" t="str">
        <f t="shared" si="146"/>
        <v/>
      </c>
      <c r="HP176" s="302" t="str">
        <f t="shared" si="147"/>
        <v/>
      </c>
      <c r="HQ176" s="302" t="str">
        <f t="shared" si="148"/>
        <v/>
      </c>
      <c r="IT176" s="410"/>
      <c r="IU176" s="410"/>
      <c r="IV176" s="635"/>
    </row>
    <row r="177" spans="1:256" s="302" customFormat="1" ht="12.75" hidden="1" customHeight="1">
      <c r="A177" s="397" t="str">
        <f t="shared" si="145"/>
        <v/>
      </c>
      <c r="B177" s="462" t="str">
        <f t="shared" si="149"/>
        <v/>
      </c>
      <c r="C177" s="426"/>
      <c r="D177" s="575"/>
      <c r="E177" s="463"/>
      <c r="F177" s="464"/>
      <c r="G177" s="465"/>
      <c r="H177" s="465"/>
      <c r="I177" s="466"/>
      <c r="J177" s="463"/>
      <c r="K177" s="465"/>
      <c r="L177" s="465"/>
      <c r="M177" s="466"/>
      <c r="N177" s="573"/>
      <c r="O177" s="467"/>
      <c r="P177" s="518"/>
      <c r="Q177" s="381"/>
      <c r="R177" s="182"/>
      <c r="S177" s="182"/>
      <c r="T177" s="182"/>
      <c r="U177" s="182"/>
      <c r="V177" s="182"/>
      <c r="W177" s="182"/>
      <c r="X177" s="182"/>
      <c r="Y177" s="182"/>
      <c r="Z177" s="182"/>
      <c r="AA177" s="384"/>
      <c r="AB177" s="182" t="str">
        <f t="shared" si="154"/>
        <v/>
      </c>
      <c r="AC177" s="315">
        <f t="shared" si="155"/>
        <v>0</v>
      </c>
      <c r="AD177" s="315" t="str">
        <f t="shared" si="150"/>
        <v/>
      </c>
      <c r="AE177" s="182"/>
      <c r="AF177" s="182"/>
      <c r="AG177" s="182"/>
      <c r="AH177" s="221"/>
      <c r="AI177" s="221"/>
      <c r="AJ177" s="221"/>
      <c r="AK177" s="221"/>
      <c r="AL177" s="221"/>
      <c r="AM177" s="221"/>
      <c r="AN177" s="221"/>
      <c r="AO177" s="221"/>
      <c r="AP177" s="221"/>
      <c r="AQ177" s="182"/>
      <c r="AR177" s="182"/>
      <c r="AS177" s="182"/>
      <c r="AT177" s="182"/>
      <c r="AU177" s="221" t="str">
        <f t="shared" si="156"/>
        <v/>
      </c>
      <c r="AV177" s="221" t="str">
        <f t="shared" si="157"/>
        <v/>
      </c>
      <c r="AW177" s="221"/>
      <c r="AX177" s="221"/>
      <c r="AY177" s="221"/>
      <c r="AZ177" s="221"/>
      <c r="BA177" s="221"/>
      <c r="BB177" s="221"/>
      <c r="BC177" s="221"/>
      <c r="BD177" s="221"/>
      <c r="BE177" s="221"/>
      <c r="BF177" s="469">
        <f t="shared" si="158"/>
        <v>0</v>
      </c>
      <c r="BG177" s="315">
        <f t="shared" si="159"/>
        <v>0</v>
      </c>
      <c r="BH177" s="315" t="str">
        <f t="shared" si="160"/>
        <v/>
      </c>
      <c r="BI177" s="182"/>
      <c r="BJ177" s="182"/>
      <c r="BK177" s="182"/>
      <c r="BL177" s="221"/>
      <c r="BM177" s="221"/>
      <c r="BN177" s="221"/>
      <c r="BO177" s="221"/>
      <c r="BP177" s="221"/>
      <c r="BQ177" s="221"/>
      <c r="BR177" s="221"/>
      <c r="BS177" s="221"/>
      <c r="BT177" s="221"/>
      <c r="BU177" s="182"/>
      <c r="BV177" s="182"/>
      <c r="BW177" s="182"/>
      <c r="BX177" s="182"/>
      <c r="BY177" s="221" t="str">
        <f t="shared" si="161"/>
        <v/>
      </c>
      <c r="BZ177" s="221" t="str">
        <f t="shared" si="162"/>
        <v/>
      </c>
      <c r="CA177" s="221"/>
      <c r="CB177" s="221"/>
      <c r="CC177" s="221"/>
      <c r="CD177" s="221"/>
      <c r="CE177" s="221"/>
      <c r="CF177" s="221"/>
      <c r="CG177" s="221"/>
      <c r="CH177" s="221"/>
      <c r="CI177" s="221"/>
      <c r="CJ177" s="469">
        <f t="shared" si="163"/>
        <v>0</v>
      </c>
      <c r="CK177" s="315">
        <f t="shared" si="164"/>
        <v>0</v>
      </c>
      <c r="CL177" s="315" t="str">
        <f t="shared" si="165"/>
        <v/>
      </c>
      <c r="CM177" s="182"/>
      <c r="CN177" s="182"/>
      <c r="CO177" s="182"/>
      <c r="CP177" s="221"/>
      <c r="CQ177" s="221"/>
      <c r="CR177" s="221"/>
      <c r="CS177" s="221"/>
      <c r="CT177" s="221"/>
      <c r="CU177" s="221"/>
      <c r="CV177" s="221"/>
      <c r="CW177" s="221"/>
      <c r="CX177" s="221"/>
      <c r="CY177" s="221"/>
      <c r="CZ177" s="182"/>
      <c r="DA177" s="182"/>
      <c r="DB177" s="182"/>
      <c r="DC177" s="182"/>
      <c r="DD177" s="221" t="str">
        <f t="shared" si="151"/>
        <v/>
      </c>
      <c r="DE177" s="221" t="str">
        <f t="shared" si="152"/>
        <v/>
      </c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469" t="str">
        <f t="shared" si="166"/>
        <v/>
      </c>
      <c r="DP177" s="315">
        <f t="shared" si="167"/>
        <v>0</v>
      </c>
      <c r="DQ177" s="315" t="str">
        <f t="shared" si="168"/>
        <v/>
      </c>
      <c r="DR177" s="182"/>
      <c r="DS177" s="182"/>
      <c r="DT177" s="182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182"/>
      <c r="EE177" s="182"/>
      <c r="EF177" s="182"/>
      <c r="EG177" s="182"/>
      <c r="EH177" s="221" t="str">
        <f t="shared" si="169"/>
        <v/>
      </c>
      <c r="EI177" s="221" t="str">
        <f t="shared" si="170"/>
        <v/>
      </c>
      <c r="EJ177" s="221"/>
      <c r="EK177" s="221"/>
      <c r="EL177" s="221"/>
      <c r="EM177" s="221"/>
      <c r="EN177" s="221"/>
      <c r="EO177" s="221"/>
      <c r="EP177" s="221"/>
      <c r="EQ177" s="221"/>
      <c r="ER177" s="221"/>
      <c r="ES177" s="221"/>
      <c r="ET177" s="221"/>
      <c r="EU177" s="315">
        <f t="shared" si="171"/>
        <v>0</v>
      </c>
      <c r="EV177" s="315" t="str">
        <f t="shared" si="172"/>
        <v/>
      </c>
      <c r="EW177" s="182"/>
      <c r="EX177" s="182"/>
      <c r="EY177" s="182"/>
      <c r="EZ177" s="221"/>
      <c r="FA177" s="221"/>
      <c r="FB177" s="221"/>
      <c r="FC177" s="221"/>
      <c r="FD177" s="221"/>
      <c r="FE177" s="221"/>
      <c r="FF177" s="221"/>
      <c r="FG177" s="221"/>
      <c r="FH177" s="221"/>
      <c r="FI177" s="182"/>
      <c r="FJ177" s="182"/>
      <c r="FK177" s="182"/>
      <c r="FL177" s="182"/>
      <c r="FM177" s="221" t="str">
        <f t="shared" si="173"/>
        <v/>
      </c>
      <c r="FN177" s="221" t="str">
        <f t="shared" si="174"/>
        <v/>
      </c>
      <c r="FO177" s="221"/>
      <c r="FP177" s="221"/>
      <c r="FQ177" s="221"/>
      <c r="FR177" s="221"/>
      <c r="FS177" s="221"/>
      <c r="FT177" s="221"/>
      <c r="FU177" s="221"/>
      <c r="FV177" s="221"/>
      <c r="FW177" s="221"/>
      <c r="FX177" s="221"/>
      <c r="FY177" s="221"/>
      <c r="FZ177" s="408"/>
      <c r="GA177" s="315">
        <f t="shared" si="175"/>
        <v>0</v>
      </c>
      <c r="GB177" s="315" t="str">
        <f t="shared" si="176"/>
        <v/>
      </c>
      <c r="GC177" s="182" t="s">
        <v>160</v>
      </c>
      <c r="GD177" s="182"/>
      <c r="GE177" s="182"/>
      <c r="GG177" s="460"/>
      <c r="GH177" s="460"/>
      <c r="GU177" s="469"/>
      <c r="GV177" s="470" t="str">
        <f t="shared" si="177"/>
        <v/>
      </c>
      <c r="GW177" s="302">
        <f t="shared" si="178"/>
        <v>0</v>
      </c>
      <c r="HA177" s="654"/>
      <c r="HD177" s="379"/>
      <c r="HE177" s="380"/>
      <c r="HH177" s="385"/>
      <c r="HI177" s="411"/>
      <c r="HJ177" s="302" t="str">
        <f t="shared" si="153"/>
        <v/>
      </c>
      <c r="HO177" s="302" t="str">
        <f t="shared" si="146"/>
        <v/>
      </c>
      <c r="HP177" s="302" t="str">
        <f t="shared" si="147"/>
        <v/>
      </c>
      <c r="HQ177" s="302" t="str">
        <f t="shared" si="148"/>
        <v/>
      </c>
      <c r="IT177" s="411"/>
      <c r="IU177" s="411"/>
      <c r="IV177" s="635"/>
    </row>
    <row r="178" spans="1:256" s="302" customFormat="1" ht="12.75" hidden="1" customHeight="1">
      <c r="A178" s="397" t="str">
        <f t="shared" si="145"/>
        <v/>
      </c>
      <c r="B178" s="462" t="str">
        <f t="shared" si="149"/>
        <v/>
      </c>
      <c r="C178" s="426"/>
      <c r="D178" s="575"/>
      <c r="E178" s="463"/>
      <c r="F178" s="464"/>
      <c r="G178" s="465"/>
      <c r="H178" s="465"/>
      <c r="I178" s="466"/>
      <c r="J178" s="463"/>
      <c r="K178" s="465"/>
      <c r="L178" s="465"/>
      <c r="M178" s="466"/>
      <c r="N178" s="573"/>
      <c r="O178" s="467"/>
      <c r="P178" s="518"/>
      <c r="Q178" s="381"/>
      <c r="R178" s="182"/>
      <c r="S178" s="182"/>
      <c r="T178" s="182"/>
      <c r="U178" s="182"/>
      <c r="V178" s="182"/>
      <c r="W178" s="182"/>
      <c r="X178" s="182"/>
      <c r="Y178" s="182"/>
      <c r="Z178" s="182"/>
      <c r="AA178" s="382"/>
      <c r="AB178" s="182" t="str">
        <f t="shared" si="154"/>
        <v/>
      </c>
      <c r="AC178" s="315">
        <f t="shared" si="155"/>
        <v>0</v>
      </c>
      <c r="AD178" s="315" t="str">
        <f t="shared" si="150"/>
        <v/>
      </c>
      <c r="AE178" s="182"/>
      <c r="AF178" s="182"/>
      <c r="AG178" s="182"/>
      <c r="AH178" s="221"/>
      <c r="AI178" s="221"/>
      <c r="AJ178" s="221"/>
      <c r="AK178" s="221"/>
      <c r="AL178" s="221"/>
      <c r="AM178" s="221"/>
      <c r="AN178" s="221"/>
      <c r="AO178" s="221"/>
      <c r="AP178" s="221"/>
      <c r="AQ178" s="182"/>
      <c r="AR178" s="182"/>
      <c r="AS178" s="182"/>
      <c r="AT178" s="224"/>
      <c r="AU178" s="221" t="str">
        <f t="shared" si="156"/>
        <v/>
      </c>
      <c r="AV178" s="221" t="str">
        <f t="shared" si="157"/>
        <v/>
      </c>
      <c r="AW178" s="221"/>
      <c r="AX178" s="221"/>
      <c r="AY178" s="221"/>
      <c r="AZ178" s="221"/>
      <c r="BA178" s="221"/>
      <c r="BB178" s="221"/>
      <c r="BC178" s="221"/>
      <c r="BD178" s="221"/>
      <c r="BE178" s="221"/>
      <c r="BF178" s="468">
        <f t="shared" si="158"/>
        <v>0</v>
      </c>
      <c r="BG178" s="315">
        <f t="shared" si="159"/>
        <v>0</v>
      </c>
      <c r="BH178" s="315" t="str">
        <f t="shared" si="160"/>
        <v/>
      </c>
      <c r="BI178" s="182"/>
      <c r="BJ178" s="182"/>
      <c r="BK178" s="182"/>
      <c r="BL178" s="221"/>
      <c r="BM178" s="221"/>
      <c r="BN178" s="221"/>
      <c r="BO178" s="221"/>
      <c r="BP178" s="221"/>
      <c r="BQ178" s="221"/>
      <c r="BR178" s="221"/>
      <c r="BS178" s="221"/>
      <c r="BT178" s="221"/>
      <c r="BU178" s="182"/>
      <c r="BV178" s="182"/>
      <c r="BW178" s="182"/>
      <c r="BX178" s="182"/>
      <c r="BY178" s="221" t="str">
        <f t="shared" si="161"/>
        <v/>
      </c>
      <c r="BZ178" s="221" t="str">
        <f t="shared" si="162"/>
        <v/>
      </c>
      <c r="CA178" s="221"/>
      <c r="CB178" s="221"/>
      <c r="CC178" s="221"/>
      <c r="CD178" s="221"/>
      <c r="CE178" s="221"/>
      <c r="CF178" s="221"/>
      <c r="CG178" s="221"/>
      <c r="CH178" s="221"/>
      <c r="CI178" s="221"/>
      <c r="CJ178" s="468">
        <f t="shared" si="163"/>
        <v>0</v>
      </c>
      <c r="CK178" s="315">
        <f t="shared" si="164"/>
        <v>0</v>
      </c>
      <c r="CL178" s="315" t="str">
        <f t="shared" si="165"/>
        <v/>
      </c>
      <c r="CM178" s="182"/>
      <c r="CN178" s="182"/>
      <c r="CO178" s="182"/>
      <c r="CP178" s="221"/>
      <c r="CQ178" s="221"/>
      <c r="CR178" s="221"/>
      <c r="CS178" s="221"/>
      <c r="CT178" s="221"/>
      <c r="CU178" s="221"/>
      <c r="CV178" s="221"/>
      <c r="CW178" s="221"/>
      <c r="CX178" s="221"/>
      <c r="CY178" s="221"/>
      <c r="CZ178" s="182"/>
      <c r="DA178" s="182"/>
      <c r="DB178" s="182"/>
      <c r="DC178" s="182"/>
      <c r="DD178" s="221" t="str">
        <f t="shared" si="151"/>
        <v/>
      </c>
      <c r="DE178" s="221" t="str">
        <f t="shared" si="152"/>
        <v/>
      </c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469" t="str">
        <f t="shared" si="166"/>
        <v/>
      </c>
      <c r="DP178" s="315">
        <f t="shared" si="167"/>
        <v>0</v>
      </c>
      <c r="DQ178" s="315" t="str">
        <f t="shared" si="168"/>
        <v/>
      </c>
      <c r="DR178" s="182"/>
      <c r="DS178" s="182"/>
      <c r="DT178" s="182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182"/>
      <c r="EE178" s="182"/>
      <c r="EF178" s="182"/>
      <c r="EG178" s="182"/>
      <c r="EH178" s="221" t="str">
        <f t="shared" si="169"/>
        <v/>
      </c>
      <c r="EI178" s="221" t="str">
        <f t="shared" si="170"/>
        <v/>
      </c>
      <c r="EJ178" s="221"/>
      <c r="EK178" s="221"/>
      <c r="EL178" s="221"/>
      <c r="EM178" s="221"/>
      <c r="EN178" s="221"/>
      <c r="EO178" s="221"/>
      <c r="EP178" s="221"/>
      <c r="EQ178" s="221"/>
      <c r="ER178" s="221"/>
      <c r="ES178" s="221"/>
      <c r="ET178" s="221"/>
      <c r="EU178" s="315">
        <f t="shared" si="171"/>
        <v>0</v>
      </c>
      <c r="EV178" s="315" t="str">
        <f t="shared" si="172"/>
        <v/>
      </c>
      <c r="EW178" s="182"/>
      <c r="EX178" s="182"/>
      <c r="EY178" s="182"/>
      <c r="EZ178" s="221"/>
      <c r="FA178" s="221"/>
      <c r="FB178" s="221"/>
      <c r="FC178" s="221"/>
      <c r="FD178" s="221"/>
      <c r="FE178" s="221"/>
      <c r="FF178" s="221"/>
      <c r="FG178" s="221"/>
      <c r="FH178" s="221"/>
      <c r="FI178" s="182"/>
      <c r="FJ178" s="182"/>
      <c r="FK178" s="182"/>
      <c r="FL178" s="182"/>
      <c r="FM178" s="221" t="str">
        <f t="shared" si="173"/>
        <v/>
      </c>
      <c r="FN178" s="221" t="str">
        <f t="shared" si="174"/>
        <v/>
      </c>
      <c r="FO178" s="221"/>
      <c r="FP178" s="221"/>
      <c r="FQ178" s="221"/>
      <c r="FR178" s="221"/>
      <c r="FS178" s="221"/>
      <c r="FT178" s="221"/>
      <c r="FU178" s="221"/>
      <c r="FV178" s="221"/>
      <c r="FW178" s="221"/>
      <c r="FX178" s="221"/>
      <c r="FY178" s="221"/>
      <c r="FZ178" s="408"/>
      <c r="GA178" s="315">
        <f t="shared" si="175"/>
        <v>0</v>
      </c>
      <c r="GB178" s="315" t="str">
        <f t="shared" si="176"/>
        <v/>
      </c>
      <c r="GC178" s="302" t="s">
        <v>160</v>
      </c>
      <c r="GG178" s="460"/>
      <c r="GH178" s="460"/>
      <c r="GU178" s="469"/>
      <c r="GV178" s="470" t="str">
        <f t="shared" si="177"/>
        <v/>
      </c>
      <c r="GW178" s="302">
        <f t="shared" si="178"/>
        <v>0</v>
      </c>
      <c r="HA178" s="654"/>
      <c r="HD178" s="379"/>
      <c r="HE178" s="380"/>
      <c r="HH178" s="383"/>
      <c r="HI178" s="410"/>
      <c r="HJ178" s="302" t="str">
        <f t="shared" si="153"/>
        <v/>
      </c>
      <c r="HO178" s="302" t="str">
        <f t="shared" si="146"/>
        <v/>
      </c>
      <c r="HP178" s="302" t="str">
        <f t="shared" si="147"/>
        <v/>
      </c>
      <c r="HQ178" s="302" t="str">
        <f t="shared" si="148"/>
        <v/>
      </c>
      <c r="IT178" s="410"/>
      <c r="IU178" s="410"/>
      <c r="IV178" s="635"/>
    </row>
    <row r="179" spans="1:256" s="302" customFormat="1" ht="12.75" hidden="1" customHeight="1">
      <c r="A179" s="397" t="str">
        <f t="shared" si="145"/>
        <v/>
      </c>
      <c r="B179" s="462" t="str">
        <f t="shared" si="149"/>
        <v/>
      </c>
      <c r="C179" s="426"/>
      <c r="D179" s="575"/>
      <c r="E179" s="463"/>
      <c r="F179" s="464"/>
      <c r="G179" s="465"/>
      <c r="H179" s="465"/>
      <c r="I179" s="466"/>
      <c r="J179" s="463"/>
      <c r="K179" s="465"/>
      <c r="L179" s="465"/>
      <c r="M179" s="466"/>
      <c r="N179" s="573"/>
      <c r="O179" s="467"/>
      <c r="P179" s="518"/>
      <c r="Q179" s="381"/>
      <c r="R179" s="182"/>
      <c r="S179" s="182"/>
      <c r="T179" s="182"/>
      <c r="U179" s="182"/>
      <c r="V179" s="182"/>
      <c r="W179" s="182"/>
      <c r="X179" s="182"/>
      <c r="Y179" s="182"/>
      <c r="Z179" s="182"/>
      <c r="AA179" s="384"/>
      <c r="AB179" s="182" t="str">
        <f t="shared" si="154"/>
        <v/>
      </c>
      <c r="AC179" s="315">
        <f t="shared" si="155"/>
        <v>0</v>
      </c>
      <c r="AD179" s="315" t="str">
        <f t="shared" si="150"/>
        <v/>
      </c>
      <c r="AE179" s="182"/>
      <c r="AF179" s="182"/>
      <c r="AG179" s="182"/>
      <c r="AH179" s="221"/>
      <c r="AI179" s="221"/>
      <c r="AJ179" s="221"/>
      <c r="AK179" s="221"/>
      <c r="AL179" s="221"/>
      <c r="AM179" s="221"/>
      <c r="AN179" s="221"/>
      <c r="AO179" s="221"/>
      <c r="AP179" s="221"/>
      <c r="AQ179" s="182"/>
      <c r="AR179" s="182"/>
      <c r="AS179" s="182"/>
      <c r="AT179" s="182"/>
      <c r="AU179" s="221" t="str">
        <f t="shared" si="156"/>
        <v/>
      </c>
      <c r="AV179" s="221" t="str">
        <f t="shared" si="157"/>
        <v/>
      </c>
      <c r="AW179" s="221"/>
      <c r="AX179" s="221"/>
      <c r="AY179" s="221"/>
      <c r="AZ179" s="221"/>
      <c r="BA179" s="221"/>
      <c r="BB179" s="221"/>
      <c r="BC179" s="221"/>
      <c r="BD179" s="221"/>
      <c r="BE179" s="221"/>
      <c r="BF179" s="469">
        <f t="shared" si="158"/>
        <v>0</v>
      </c>
      <c r="BG179" s="315">
        <f t="shared" si="159"/>
        <v>0</v>
      </c>
      <c r="BH179" s="315" t="str">
        <f t="shared" si="160"/>
        <v/>
      </c>
      <c r="BI179" s="182"/>
      <c r="BJ179" s="182"/>
      <c r="BK179" s="182"/>
      <c r="BL179" s="221"/>
      <c r="BM179" s="221"/>
      <c r="BN179" s="221"/>
      <c r="BO179" s="221"/>
      <c r="BP179" s="221"/>
      <c r="BQ179" s="221"/>
      <c r="BR179" s="221"/>
      <c r="BS179" s="221"/>
      <c r="BT179" s="221"/>
      <c r="BU179" s="182"/>
      <c r="BV179" s="182"/>
      <c r="BW179" s="182"/>
      <c r="BX179" s="182"/>
      <c r="BY179" s="221" t="str">
        <f t="shared" si="161"/>
        <v/>
      </c>
      <c r="BZ179" s="221" t="str">
        <f t="shared" si="162"/>
        <v/>
      </c>
      <c r="CA179" s="221"/>
      <c r="CB179" s="221"/>
      <c r="CC179" s="221"/>
      <c r="CD179" s="221"/>
      <c r="CE179" s="221"/>
      <c r="CF179" s="221"/>
      <c r="CG179" s="221"/>
      <c r="CH179" s="221"/>
      <c r="CI179" s="221"/>
      <c r="CJ179" s="469">
        <f t="shared" si="163"/>
        <v>0</v>
      </c>
      <c r="CK179" s="315">
        <f t="shared" si="164"/>
        <v>0</v>
      </c>
      <c r="CL179" s="315" t="str">
        <f t="shared" si="165"/>
        <v/>
      </c>
      <c r="CM179" s="182"/>
      <c r="CN179" s="182"/>
      <c r="CO179" s="182"/>
      <c r="CP179" s="221"/>
      <c r="CQ179" s="221"/>
      <c r="CR179" s="221"/>
      <c r="CS179" s="221"/>
      <c r="CT179" s="221"/>
      <c r="CU179" s="221"/>
      <c r="CV179" s="221"/>
      <c r="CW179" s="221"/>
      <c r="CX179" s="221"/>
      <c r="CY179" s="221"/>
      <c r="CZ179" s="182"/>
      <c r="DA179" s="182"/>
      <c r="DB179" s="182"/>
      <c r="DC179" s="182"/>
      <c r="DD179" s="221" t="str">
        <f t="shared" si="151"/>
        <v/>
      </c>
      <c r="DE179" s="221" t="str">
        <f t="shared" si="152"/>
        <v/>
      </c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469" t="str">
        <f t="shared" si="166"/>
        <v/>
      </c>
      <c r="DP179" s="315">
        <f t="shared" si="167"/>
        <v>0</v>
      </c>
      <c r="DQ179" s="315" t="str">
        <f t="shared" si="168"/>
        <v/>
      </c>
      <c r="DR179" s="182"/>
      <c r="DS179" s="182"/>
      <c r="DT179" s="182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182"/>
      <c r="EE179" s="182"/>
      <c r="EF179" s="182"/>
      <c r="EG179" s="182"/>
      <c r="EH179" s="221" t="str">
        <f t="shared" si="169"/>
        <v/>
      </c>
      <c r="EI179" s="221" t="str">
        <f t="shared" si="170"/>
        <v/>
      </c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  <c r="EU179" s="315">
        <f t="shared" si="171"/>
        <v>0</v>
      </c>
      <c r="EV179" s="315" t="str">
        <f t="shared" si="172"/>
        <v/>
      </c>
      <c r="EW179" s="182"/>
      <c r="EX179" s="182"/>
      <c r="EY179" s="182"/>
      <c r="EZ179" s="221"/>
      <c r="FA179" s="221"/>
      <c r="FB179" s="221"/>
      <c r="FC179" s="221"/>
      <c r="FD179" s="221"/>
      <c r="FE179" s="221"/>
      <c r="FF179" s="221"/>
      <c r="FG179" s="221"/>
      <c r="FH179" s="221"/>
      <c r="FI179" s="182"/>
      <c r="FJ179" s="182"/>
      <c r="FK179" s="182"/>
      <c r="FL179" s="182"/>
      <c r="FM179" s="221" t="str">
        <f t="shared" si="173"/>
        <v/>
      </c>
      <c r="FN179" s="221" t="str">
        <f t="shared" si="174"/>
        <v/>
      </c>
      <c r="FO179" s="221"/>
      <c r="FP179" s="221"/>
      <c r="FQ179" s="221"/>
      <c r="FR179" s="221"/>
      <c r="FS179" s="221"/>
      <c r="FT179" s="221"/>
      <c r="FU179" s="221"/>
      <c r="FV179" s="221"/>
      <c r="FW179" s="221"/>
      <c r="FX179" s="221"/>
      <c r="FY179" s="221"/>
      <c r="FZ179" s="408"/>
      <c r="GA179" s="315">
        <f t="shared" si="175"/>
        <v>0</v>
      </c>
      <c r="GB179" s="315" t="str">
        <f t="shared" si="176"/>
        <v/>
      </c>
      <c r="GC179" s="182" t="s">
        <v>160</v>
      </c>
      <c r="GD179" s="182"/>
      <c r="GE179" s="182"/>
      <c r="GG179" s="460"/>
      <c r="GH179" s="460"/>
      <c r="GU179" s="469"/>
      <c r="GV179" s="470" t="str">
        <f t="shared" si="177"/>
        <v/>
      </c>
      <c r="GW179" s="302">
        <f t="shared" si="178"/>
        <v>0</v>
      </c>
      <c r="HA179" s="654"/>
      <c r="HD179" s="379"/>
      <c r="HE179" s="380"/>
      <c r="HH179" s="385"/>
      <c r="HI179" s="411"/>
      <c r="HJ179" s="302" t="str">
        <f t="shared" si="153"/>
        <v/>
      </c>
      <c r="HO179" s="302" t="str">
        <f t="shared" si="146"/>
        <v/>
      </c>
      <c r="HP179" s="302" t="str">
        <f t="shared" si="147"/>
        <v/>
      </c>
      <c r="HQ179" s="302" t="str">
        <f t="shared" si="148"/>
        <v/>
      </c>
      <c r="IT179" s="411"/>
      <c r="IU179" s="411"/>
      <c r="IV179" s="635"/>
    </row>
    <row r="180" spans="1:256" s="302" customFormat="1" ht="12.75" hidden="1" customHeight="1">
      <c r="A180" s="397" t="str">
        <f t="shared" si="145"/>
        <v/>
      </c>
      <c r="B180" s="462" t="str">
        <f t="shared" si="149"/>
        <v/>
      </c>
      <c r="C180" s="426"/>
      <c r="D180" s="575"/>
      <c r="E180" s="463"/>
      <c r="F180" s="464"/>
      <c r="G180" s="465"/>
      <c r="H180" s="465"/>
      <c r="I180" s="466"/>
      <c r="J180" s="463"/>
      <c r="K180" s="465"/>
      <c r="L180" s="465"/>
      <c r="M180" s="466"/>
      <c r="N180" s="573"/>
      <c r="O180" s="467"/>
      <c r="P180" s="518"/>
      <c r="Q180" s="381"/>
      <c r="R180" s="182"/>
      <c r="S180" s="182"/>
      <c r="T180" s="182"/>
      <c r="U180" s="182"/>
      <c r="V180" s="182"/>
      <c r="W180" s="182"/>
      <c r="X180" s="182"/>
      <c r="Y180" s="182"/>
      <c r="Z180" s="182"/>
      <c r="AA180" s="384"/>
      <c r="AB180" s="182" t="str">
        <f t="shared" si="154"/>
        <v/>
      </c>
      <c r="AC180" s="315">
        <f t="shared" si="155"/>
        <v>0</v>
      </c>
      <c r="AD180" s="315" t="str">
        <f t="shared" si="150"/>
        <v/>
      </c>
      <c r="AE180" s="182"/>
      <c r="AF180" s="182"/>
      <c r="AG180" s="182"/>
      <c r="AH180" s="221"/>
      <c r="AI180" s="221"/>
      <c r="AJ180" s="221"/>
      <c r="AK180" s="221"/>
      <c r="AL180" s="221"/>
      <c r="AM180" s="221"/>
      <c r="AN180" s="221"/>
      <c r="AO180" s="221"/>
      <c r="AP180" s="221"/>
      <c r="AQ180" s="182"/>
      <c r="AR180" s="182"/>
      <c r="AS180" s="182"/>
      <c r="AT180" s="182"/>
      <c r="AU180" s="221" t="str">
        <f t="shared" si="156"/>
        <v/>
      </c>
      <c r="AV180" s="221" t="str">
        <f t="shared" si="157"/>
        <v/>
      </c>
      <c r="AW180" s="221"/>
      <c r="AX180" s="221"/>
      <c r="AY180" s="221"/>
      <c r="AZ180" s="221"/>
      <c r="BA180" s="221"/>
      <c r="BB180" s="221"/>
      <c r="BC180" s="221"/>
      <c r="BD180" s="221"/>
      <c r="BE180" s="221"/>
      <c r="BF180" s="469">
        <f t="shared" si="158"/>
        <v>0</v>
      </c>
      <c r="BG180" s="315">
        <f t="shared" si="159"/>
        <v>0</v>
      </c>
      <c r="BH180" s="315" t="str">
        <f t="shared" si="160"/>
        <v/>
      </c>
      <c r="BI180" s="182"/>
      <c r="BJ180" s="182"/>
      <c r="BK180" s="182"/>
      <c r="BL180" s="221"/>
      <c r="BM180" s="221"/>
      <c r="BN180" s="221"/>
      <c r="BO180" s="221"/>
      <c r="BP180" s="221"/>
      <c r="BQ180" s="221"/>
      <c r="BR180" s="221"/>
      <c r="BS180" s="221"/>
      <c r="BT180" s="221"/>
      <c r="BU180" s="182"/>
      <c r="BV180" s="182"/>
      <c r="BW180" s="182"/>
      <c r="BX180" s="182"/>
      <c r="BY180" s="221" t="str">
        <f t="shared" si="161"/>
        <v/>
      </c>
      <c r="BZ180" s="221" t="str">
        <f t="shared" si="162"/>
        <v/>
      </c>
      <c r="CA180" s="221"/>
      <c r="CB180" s="221"/>
      <c r="CC180" s="221"/>
      <c r="CD180" s="221"/>
      <c r="CE180" s="221"/>
      <c r="CF180" s="221"/>
      <c r="CG180" s="221"/>
      <c r="CH180" s="221"/>
      <c r="CI180" s="221"/>
      <c r="CJ180" s="469">
        <f t="shared" si="163"/>
        <v>0</v>
      </c>
      <c r="CK180" s="315">
        <f t="shared" si="164"/>
        <v>0</v>
      </c>
      <c r="CL180" s="315" t="str">
        <f t="shared" si="165"/>
        <v/>
      </c>
      <c r="CM180" s="182"/>
      <c r="CN180" s="182"/>
      <c r="CO180" s="182"/>
      <c r="CP180" s="221"/>
      <c r="CQ180" s="221"/>
      <c r="CR180" s="221"/>
      <c r="CS180" s="221"/>
      <c r="CT180" s="221"/>
      <c r="CU180" s="221"/>
      <c r="CV180" s="221"/>
      <c r="CW180" s="221"/>
      <c r="CX180" s="221"/>
      <c r="CY180" s="221"/>
      <c r="CZ180" s="182"/>
      <c r="DA180" s="182"/>
      <c r="DB180" s="182"/>
      <c r="DC180" s="182"/>
      <c r="DD180" s="221" t="str">
        <f t="shared" si="151"/>
        <v/>
      </c>
      <c r="DE180" s="221" t="str">
        <f t="shared" si="152"/>
        <v/>
      </c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469" t="str">
        <f t="shared" si="166"/>
        <v/>
      </c>
      <c r="DP180" s="315">
        <f t="shared" si="167"/>
        <v>0</v>
      </c>
      <c r="DQ180" s="315" t="str">
        <f t="shared" si="168"/>
        <v/>
      </c>
      <c r="DR180" s="182"/>
      <c r="DS180" s="182"/>
      <c r="DT180" s="182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182"/>
      <c r="EE180" s="182"/>
      <c r="EF180" s="182"/>
      <c r="EG180" s="182"/>
      <c r="EH180" s="221" t="str">
        <f t="shared" si="169"/>
        <v/>
      </c>
      <c r="EI180" s="221" t="str">
        <f t="shared" si="170"/>
        <v/>
      </c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  <c r="EU180" s="315">
        <f t="shared" si="171"/>
        <v>0</v>
      </c>
      <c r="EV180" s="315" t="str">
        <f t="shared" si="172"/>
        <v/>
      </c>
      <c r="EW180" s="182"/>
      <c r="EX180" s="182"/>
      <c r="EY180" s="182"/>
      <c r="EZ180" s="221"/>
      <c r="FA180" s="221"/>
      <c r="FB180" s="221"/>
      <c r="FC180" s="221"/>
      <c r="FD180" s="221"/>
      <c r="FE180" s="221"/>
      <c r="FF180" s="221"/>
      <c r="FG180" s="221"/>
      <c r="FH180" s="221"/>
      <c r="FI180" s="182"/>
      <c r="FJ180" s="182"/>
      <c r="FK180" s="182"/>
      <c r="FL180" s="182"/>
      <c r="FM180" s="221" t="str">
        <f t="shared" si="173"/>
        <v/>
      </c>
      <c r="FN180" s="221" t="str">
        <f t="shared" si="174"/>
        <v/>
      </c>
      <c r="FO180" s="221"/>
      <c r="FP180" s="221"/>
      <c r="FQ180" s="221"/>
      <c r="FR180" s="221"/>
      <c r="FS180" s="221"/>
      <c r="FT180" s="221"/>
      <c r="FU180" s="221"/>
      <c r="FV180" s="221"/>
      <c r="FW180" s="221"/>
      <c r="FX180" s="221"/>
      <c r="FY180" s="221"/>
      <c r="FZ180" s="408"/>
      <c r="GA180" s="315">
        <f t="shared" si="175"/>
        <v>0</v>
      </c>
      <c r="GB180" s="315" t="str">
        <f t="shared" si="176"/>
        <v/>
      </c>
      <c r="GC180" s="182" t="s">
        <v>160</v>
      </c>
      <c r="GD180" s="182"/>
      <c r="GE180" s="182"/>
      <c r="GG180" s="460"/>
      <c r="GH180" s="460"/>
      <c r="GU180" s="469"/>
      <c r="GV180" s="470" t="str">
        <f t="shared" si="177"/>
        <v/>
      </c>
      <c r="GW180" s="302">
        <f t="shared" si="178"/>
        <v>0</v>
      </c>
      <c r="HA180" s="654"/>
      <c r="HD180" s="379"/>
      <c r="HE180" s="380"/>
      <c r="HH180" s="385"/>
      <c r="HI180" s="411"/>
      <c r="HJ180" s="302" t="str">
        <f t="shared" si="153"/>
        <v/>
      </c>
      <c r="HO180" s="302" t="str">
        <f t="shared" si="146"/>
        <v/>
      </c>
      <c r="HP180" s="302" t="str">
        <f t="shared" si="147"/>
        <v/>
      </c>
      <c r="HQ180" s="302" t="str">
        <f t="shared" si="148"/>
        <v/>
      </c>
      <c r="IT180" s="411"/>
      <c r="IU180" s="411"/>
      <c r="IV180" s="635"/>
    </row>
    <row r="181" spans="1:256" s="302" customFormat="1" ht="12.75" hidden="1" customHeight="1">
      <c r="A181" s="397" t="str">
        <f t="shared" si="145"/>
        <v/>
      </c>
      <c r="B181" s="462" t="str">
        <f t="shared" si="149"/>
        <v/>
      </c>
      <c r="C181" s="426"/>
      <c r="D181" s="575"/>
      <c r="E181" s="463"/>
      <c r="F181" s="464"/>
      <c r="G181" s="465"/>
      <c r="H181" s="465"/>
      <c r="I181" s="466"/>
      <c r="J181" s="463"/>
      <c r="K181" s="465"/>
      <c r="L181" s="465"/>
      <c r="M181" s="466"/>
      <c r="N181" s="573"/>
      <c r="O181" s="467"/>
      <c r="P181" s="518"/>
      <c r="Q181" s="381"/>
      <c r="R181" s="182"/>
      <c r="S181" s="182"/>
      <c r="T181" s="182"/>
      <c r="U181" s="182"/>
      <c r="V181" s="182"/>
      <c r="W181" s="182"/>
      <c r="X181" s="182"/>
      <c r="Y181" s="182"/>
      <c r="Z181" s="182"/>
      <c r="AA181" s="382"/>
      <c r="AB181" s="182" t="str">
        <f t="shared" si="154"/>
        <v/>
      </c>
      <c r="AC181" s="315">
        <f t="shared" si="155"/>
        <v>0</v>
      </c>
      <c r="AD181" s="315" t="str">
        <f t="shared" si="150"/>
        <v/>
      </c>
      <c r="AE181" s="182"/>
      <c r="AF181" s="182"/>
      <c r="AG181" s="182"/>
      <c r="AH181" s="221"/>
      <c r="AI181" s="221"/>
      <c r="AJ181" s="221"/>
      <c r="AK181" s="221"/>
      <c r="AL181" s="221"/>
      <c r="AM181" s="221"/>
      <c r="AN181" s="221"/>
      <c r="AO181" s="221"/>
      <c r="AP181" s="221"/>
      <c r="AQ181" s="182"/>
      <c r="AR181" s="182"/>
      <c r="AS181" s="182"/>
      <c r="AT181" s="182"/>
      <c r="AU181" s="221" t="str">
        <f t="shared" si="156"/>
        <v/>
      </c>
      <c r="AV181" s="221" t="str">
        <f t="shared" si="157"/>
        <v/>
      </c>
      <c r="AW181" s="221"/>
      <c r="AX181" s="221"/>
      <c r="AY181" s="221"/>
      <c r="AZ181" s="221"/>
      <c r="BA181" s="221"/>
      <c r="BB181" s="221"/>
      <c r="BC181" s="221"/>
      <c r="BD181" s="221"/>
      <c r="BE181" s="221"/>
      <c r="BF181" s="468">
        <f t="shared" si="158"/>
        <v>0</v>
      </c>
      <c r="BG181" s="315">
        <f t="shared" si="159"/>
        <v>0</v>
      </c>
      <c r="BH181" s="315" t="str">
        <f t="shared" si="160"/>
        <v/>
      </c>
      <c r="BI181" s="182"/>
      <c r="BJ181" s="182"/>
      <c r="BK181" s="182"/>
      <c r="BL181" s="221"/>
      <c r="BM181" s="221"/>
      <c r="BN181" s="221"/>
      <c r="BO181" s="221"/>
      <c r="BP181" s="221"/>
      <c r="BQ181" s="221"/>
      <c r="BR181" s="221"/>
      <c r="BS181" s="221"/>
      <c r="BT181" s="221"/>
      <c r="BU181" s="182"/>
      <c r="BV181" s="182"/>
      <c r="BW181" s="182"/>
      <c r="BX181" s="182"/>
      <c r="BY181" s="221" t="str">
        <f t="shared" si="161"/>
        <v/>
      </c>
      <c r="BZ181" s="221" t="str">
        <f t="shared" si="162"/>
        <v/>
      </c>
      <c r="CA181" s="221"/>
      <c r="CB181" s="221"/>
      <c r="CC181" s="221"/>
      <c r="CD181" s="221"/>
      <c r="CE181" s="221"/>
      <c r="CF181" s="221"/>
      <c r="CG181" s="221"/>
      <c r="CH181" s="221"/>
      <c r="CI181" s="221"/>
      <c r="CJ181" s="468">
        <f t="shared" si="163"/>
        <v>0</v>
      </c>
      <c r="CK181" s="315">
        <f t="shared" si="164"/>
        <v>0</v>
      </c>
      <c r="CL181" s="315" t="str">
        <f t="shared" si="165"/>
        <v/>
      </c>
      <c r="CM181" s="182"/>
      <c r="CN181" s="182"/>
      <c r="CO181" s="182"/>
      <c r="CP181" s="221"/>
      <c r="CQ181" s="221"/>
      <c r="CR181" s="221"/>
      <c r="CS181" s="221"/>
      <c r="CT181" s="221"/>
      <c r="CU181" s="221"/>
      <c r="CV181" s="221"/>
      <c r="CW181" s="221"/>
      <c r="CX181" s="221"/>
      <c r="CY181" s="221"/>
      <c r="CZ181" s="182"/>
      <c r="DA181" s="182"/>
      <c r="DB181" s="182"/>
      <c r="DC181" s="182"/>
      <c r="DD181" s="221" t="str">
        <f t="shared" si="151"/>
        <v/>
      </c>
      <c r="DE181" s="221" t="str">
        <f t="shared" si="152"/>
        <v/>
      </c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469" t="str">
        <f t="shared" si="166"/>
        <v/>
      </c>
      <c r="DP181" s="315">
        <f t="shared" si="167"/>
        <v>0</v>
      </c>
      <c r="DQ181" s="315" t="str">
        <f t="shared" si="168"/>
        <v/>
      </c>
      <c r="DR181" s="182"/>
      <c r="DS181" s="182"/>
      <c r="DT181" s="182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182"/>
      <c r="EE181" s="182"/>
      <c r="EF181" s="182"/>
      <c r="EG181" s="182"/>
      <c r="EH181" s="221" t="str">
        <f t="shared" si="169"/>
        <v/>
      </c>
      <c r="EI181" s="221" t="str">
        <f t="shared" si="170"/>
        <v/>
      </c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  <c r="EU181" s="315">
        <f t="shared" si="171"/>
        <v>0</v>
      </c>
      <c r="EV181" s="315" t="str">
        <f t="shared" si="172"/>
        <v/>
      </c>
      <c r="EW181" s="182"/>
      <c r="EX181" s="182"/>
      <c r="EY181" s="182"/>
      <c r="EZ181" s="221"/>
      <c r="FA181" s="221"/>
      <c r="FB181" s="221"/>
      <c r="FC181" s="221"/>
      <c r="FD181" s="221"/>
      <c r="FE181" s="221"/>
      <c r="FF181" s="221"/>
      <c r="FG181" s="221"/>
      <c r="FH181" s="221"/>
      <c r="FI181" s="182"/>
      <c r="FJ181" s="182"/>
      <c r="FK181" s="182"/>
      <c r="FL181" s="182"/>
      <c r="FM181" s="221" t="str">
        <f t="shared" si="173"/>
        <v/>
      </c>
      <c r="FN181" s="221" t="str">
        <f t="shared" si="174"/>
        <v/>
      </c>
      <c r="FO181" s="221"/>
      <c r="FP181" s="221"/>
      <c r="FQ181" s="221"/>
      <c r="FR181" s="221"/>
      <c r="FS181" s="221"/>
      <c r="FT181" s="221"/>
      <c r="FU181" s="221"/>
      <c r="FV181" s="221"/>
      <c r="FW181" s="221"/>
      <c r="FX181" s="221"/>
      <c r="FY181" s="221"/>
      <c r="FZ181" s="408"/>
      <c r="GA181" s="315">
        <f t="shared" si="175"/>
        <v>0</v>
      </c>
      <c r="GB181" s="315" t="str">
        <f t="shared" si="176"/>
        <v/>
      </c>
      <c r="GC181" s="182" t="s">
        <v>160</v>
      </c>
      <c r="GD181" s="182"/>
      <c r="GE181" s="182"/>
      <c r="GG181" s="460"/>
      <c r="GH181" s="460"/>
      <c r="GU181" s="469"/>
      <c r="GV181" s="470" t="str">
        <f t="shared" si="177"/>
        <v/>
      </c>
      <c r="GW181" s="302">
        <f t="shared" si="178"/>
        <v>0</v>
      </c>
      <c r="HA181" s="654"/>
      <c r="HD181" s="379"/>
      <c r="HE181" s="380"/>
      <c r="HH181" s="383"/>
      <c r="HI181" s="410"/>
      <c r="HJ181" s="302" t="str">
        <f t="shared" si="153"/>
        <v/>
      </c>
      <c r="HO181" s="302" t="str">
        <f t="shared" si="146"/>
        <v/>
      </c>
      <c r="HP181" s="302" t="str">
        <f t="shared" si="147"/>
        <v/>
      </c>
      <c r="HQ181" s="302" t="str">
        <f t="shared" si="148"/>
        <v/>
      </c>
      <c r="IT181" s="410"/>
      <c r="IU181" s="410"/>
      <c r="IV181" s="635"/>
    </row>
    <row r="182" spans="1:256" s="302" customFormat="1" ht="12.75" hidden="1" customHeight="1">
      <c r="A182" s="397" t="str">
        <f t="shared" si="145"/>
        <v/>
      </c>
      <c r="B182" s="462" t="str">
        <f t="shared" si="149"/>
        <v/>
      </c>
      <c r="C182" s="426"/>
      <c r="D182" s="575"/>
      <c r="E182" s="463"/>
      <c r="F182" s="464"/>
      <c r="G182" s="465"/>
      <c r="H182" s="465"/>
      <c r="I182" s="466"/>
      <c r="J182" s="463"/>
      <c r="K182" s="465"/>
      <c r="L182" s="465"/>
      <c r="M182" s="466"/>
      <c r="N182" s="573"/>
      <c r="O182" s="467"/>
      <c r="P182" s="518"/>
      <c r="Q182" s="381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4"/>
      <c r="AB182" s="182" t="str">
        <f t="shared" si="154"/>
        <v/>
      </c>
      <c r="AC182" s="315">
        <f t="shared" si="155"/>
        <v>0</v>
      </c>
      <c r="AD182" s="315" t="str">
        <f t="shared" si="150"/>
        <v/>
      </c>
      <c r="AE182" s="182"/>
      <c r="AF182" s="182"/>
      <c r="AG182" s="182"/>
      <c r="AH182" s="221"/>
      <c r="AI182" s="221"/>
      <c r="AJ182" s="221"/>
      <c r="AK182" s="221"/>
      <c r="AL182" s="221"/>
      <c r="AM182" s="221"/>
      <c r="AN182" s="221"/>
      <c r="AO182" s="221"/>
      <c r="AP182" s="221"/>
      <c r="AQ182" s="182"/>
      <c r="AR182" s="182"/>
      <c r="AS182" s="182"/>
      <c r="AT182" s="182"/>
      <c r="AU182" s="221" t="str">
        <f t="shared" si="156"/>
        <v/>
      </c>
      <c r="AV182" s="221" t="str">
        <f t="shared" si="157"/>
        <v/>
      </c>
      <c r="AW182" s="221"/>
      <c r="AX182" s="221"/>
      <c r="AY182" s="221"/>
      <c r="AZ182" s="221"/>
      <c r="BA182" s="221"/>
      <c r="BB182" s="221"/>
      <c r="BC182" s="221"/>
      <c r="BD182" s="221"/>
      <c r="BE182" s="221"/>
      <c r="BF182" s="469">
        <f t="shared" si="158"/>
        <v>0</v>
      </c>
      <c r="BG182" s="315">
        <f t="shared" si="159"/>
        <v>0</v>
      </c>
      <c r="BH182" s="315" t="str">
        <f t="shared" si="160"/>
        <v/>
      </c>
      <c r="BI182" s="182"/>
      <c r="BJ182" s="182"/>
      <c r="BK182" s="182"/>
      <c r="BL182" s="221"/>
      <c r="BM182" s="221"/>
      <c r="BN182" s="221"/>
      <c r="BO182" s="221"/>
      <c r="BP182" s="221"/>
      <c r="BQ182" s="221"/>
      <c r="BR182" s="221"/>
      <c r="BS182" s="221"/>
      <c r="BT182" s="221"/>
      <c r="BU182" s="182"/>
      <c r="BV182" s="182"/>
      <c r="BW182" s="182"/>
      <c r="BX182" s="182"/>
      <c r="BY182" s="221" t="str">
        <f t="shared" si="161"/>
        <v/>
      </c>
      <c r="BZ182" s="221" t="str">
        <f t="shared" si="162"/>
        <v/>
      </c>
      <c r="CA182" s="221"/>
      <c r="CB182" s="221"/>
      <c r="CC182" s="221"/>
      <c r="CD182" s="221"/>
      <c r="CE182" s="221"/>
      <c r="CF182" s="221"/>
      <c r="CG182" s="221"/>
      <c r="CH182" s="221"/>
      <c r="CI182" s="221"/>
      <c r="CJ182" s="469">
        <f t="shared" si="163"/>
        <v>0</v>
      </c>
      <c r="CK182" s="315">
        <f t="shared" si="164"/>
        <v>0</v>
      </c>
      <c r="CL182" s="315" t="str">
        <f t="shared" si="165"/>
        <v/>
      </c>
      <c r="CM182" s="182"/>
      <c r="CN182" s="182"/>
      <c r="CO182" s="182"/>
      <c r="CP182" s="221"/>
      <c r="CQ182" s="221"/>
      <c r="CR182" s="221"/>
      <c r="CS182" s="221"/>
      <c r="CT182" s="221"/>
      <c r="CU182" s="221"/>
      <c r="CV182" s="221"/>
      <c r="CW182" s="221"/>
      <c r="CX182" s="221"/>
      <c r="CY182" s="221"/>
      <c r="CZ182" s="182"/>
      <c r="DA182" s="182"/>
      <c r="DB182" s="182"/>
      <c r="DC182" s="182"/>
      <c r="DD182" s="221" t="str">
        <f t="shared" si="151"/>
        <v/>
      </c>
      <c r="DE182" s="221" t="str">
        <f t="shared" si="152"/>
        <v/>
      </c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469" t="str">
        <f t="shared" si="166"/>
        <v/>
      </c>
      <c r="DP182" s="315">
        <f t="shared" si="167"/>
        <v>0</v>
      </c>
      <c r="DQ182" s="315" t="str">
        <f t="shared" si="168"/>
        <v/>
      </c>
      <c r="DR182" s="182"/>
      <c r="DS182" s="182"/>
      <c r="DT182" s="182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182"/>
      <c r="EE182" s="182"/>
      <c r="EF182" s="182"/>
      <c r="EG182" s="182"/>
      <c r="EH182" s="221" t="str">
        <f t="shared" si="169"/>
        <v/>
      </c>
      <c r="EI182" s="221" t="str">
        <f t="shared" si="170"/>
        <v/>
      </c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  <c r="EU182" s="315">
        <f t="shared" si="171"/>
        <v>0</v>
      </c>
      <c r="EV182" s="315" t="str">
        <f t="shared" si="172"/>
        <v/>
      </c>
      <c r="EW182" s="182"/>
      <c r="EX182" s="182"/>
      <c r="EY182" s="182"/>
      <c r="EZ182" s="221"/>
      <c r="FA182" s="221"/>
      <c r="FB182" s="221"/>
      <c r="FC182" s="221"/>
      <c r="FD182" s="221"/>
      <c r="FE182" s="221"/>
      <c r="FF182" s="221"/>
      <c r="FG182" s="221"/>
      <c r="FH182" s="221"/>
      <c r="FI182" s="182"/>
      <c r="FJ182" s="182"/>
      <c r="FK182" s="182"/>
      <c r="FL182" s="182"/>
      <c r="FM182" s="221" t="str">
        <f t="shared" si="173"/>
        <v/>
      </c>
      <c r="FN182" s="221" t="str">
        <f t="shared" si="174"/>
        <v/>
      </c>
      <c r="FO182" s="221"/>
      <c r="FP182" s="221"/>
      <c r="FQ182" s="221"/>
      <c r="FR182" s="221"/>
      <c r="FS182" s="221"/>
      <c r="FT182" s="221"/>
      <c r="FU182" s="221"/>
      <c r="FV182" s="221"/>
      <c r="FW182" s="221"/>
      <c r="FX182" s="221"/>
      <c r="FY182" s="221"/>
      <c r="FZ182" s="408"/>
      <c r="GA182" s="315">
        <f t="shared" si="175"/>
        <v>0</v>
      </c>
      <c r="GB182" s="315" t="str">
        <f t="shared" si="176"/>
        <v/>
      </c>
      <c r="GC182" s="302" t="s">
        <v>160</v>
      </c>
      <c r="GG182" s="460"/>
      <c r="GH182" s="460"/>
      <c r="GU182" s="469"/>
      <c r="GV182" s="470" t="str">
        <f t="shared" si="177"/>
        <v/>
      </c>
      <c r="GW182" s="302">
        <f t="shared" si="178"/>
        <v>0</v>
      </c>
      <c r="HA182" s="654"/>
      <c r="HD182" s="379"/>
      <c r="HE182" s="380"/>
      <c r="HH182" s="385"/>
      <c r="HI182" s="411"/>
      <c r="HJ182" s="302" t="str">
        <f t="shared" si="153"/>
        <v/>
      </c>
      <c r="HO182" s="302" t="str">
        <f t="shared" si="146"/>
        <v/>
      </c>
      <c r="HP182" s="302" t="str">
        <f t="shared" si="147"/>
        <v/>
      </c>
      <c r="HQ182" s="302" t="str">
        <f t="shared" si="148"/>
        <v/>
      </c>
      <c r="IT182" s="411"/>
      <c r="IU182" s="411"/>
      <c r="IV182" s="635"/>
    </row>
    <row r="183" spans="1:256" s="302" customFormat="1" ht="12.75" hidden="1" customHeight="1">
      <c r="A183" s="397" t="str">
        <f t="shared" si="145"/>
        <v/>
      </c>
      <c r="B183" s="462" t="str">
        <f t="shared" si="149"/>
        <v/>
      </c>
      <c r="C183" s="426"/>
      <c r="D183" s="575"/>
      <c r="E183" s="463"/>
      <c r="F183" s="464"/>
      <c r="G183" s="465"/>
      <c r="H183" s="465"/>
      <c r="I183" s="466"/>
      <c r="J183" s="463"/>
      <c r="K183" s="465"/>
      <c r="L183" s="465"/>
      <c r="M183" s="466"/>
      <c r="N183" s="573"/>
      <c r="O183" s="467"/>
      <c r="P183" s="518"/>
      <c r="Q183" s="381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4"/>
      <c r="AB183" s="182" t="str">
        <f t="shared" si="154"/>
        <v/>
      </c>
      <c r="AC183" s="315">
        <f t="shared" si="155"/>
        <v>0</v>
      </c>
      <c r="AD183" s="315" t="str">
        <f t="shared" si="150"/>
        <v/>
      </c>
      <c r="AE183" s="182"/>
      <c r="AF183" s="182"/>
      <c r="AG183" s="182"/>
      <c r="AH183" s="221"/>
      <c r="AI183" s="221"/>
      <c r="AJ183" s="221"/>
      <c r="AK183" s="221"/>
      <c r="AL183" s="221"/>
      <c r="AM183" s="221"/>
      <c r="AN183" s="221"/>
      <c r="AO183" s="221"/>
      <c r="AP183" s="221"/>
      <c r="AQ183" s="182"/>
      <c r="AR183" s="182"/>
      <c r="AS183" s="182"/>
      <c r="AT183" s="182"/>
      <c r="AU183" s="221" t="str">
        <f t="shared" si="156"/>
        <v/>
      </c>
      <c r="AV183" s="221" t="str">
        <f t="shared" si="157"/>
        <v/>
      </c>
      <c r="AW183" s="221"/>
      <c r="AX183" s="221"/>
      <c r="AY183" s="221"/>
      <c r="AZ183" s="221"/>
      <c r="BA183" s="221"/>
      <c r="BB183" s="221"/>
      <c r="BC183" s="221"/>
      <c r="BD183" s="221"/>
      <c r="BE183" s="221"/>
      <c r="BF183" s="469">
        <f t="shared" si="158"/>
        <v>0</v>
      </c>
      <c r="BG183" s="315">
        <f t="shared" si="159"/>
        <v>0</v>
      </c>
      <c r="BH183" s="315" t="str">
        <f t="shared" si="160"/>
        <v/>
      </c>
      <c r="BI183" s="182"/>
      <c r="BJ183" s="182"/>
      <c r="BK183" s="182"/>
      <c r="BL183" s="221"/>
      <c r="BM183" s="221"/>
      <c r="BN183" s="221"/>
      <c r="BO183" s="221"/>
      <c r="BP183" s="221"/>
      <c r="BQ183" s="221"/>
      <c r="BR183" s="221"/>
      <c r="BS183" s="221"/>
      <c r="BT183" s="221"/>
      <c r="BU183" s="182"/>
      <c r="BV183" s="182"/>
      <c r="BW183" s="182"/>
      <c r="BX183" s="182"/>
      <c r="BY183" s="221" t="str">
        <f t="shared" si="161"/>
        <v/>
      </c>
      <c r="BZ183" s="221" t="str">
        <f t="shared" si="162"/>
        <v/>
      </c>
      <c r="CA183" s="221"/>
      <c r="CB183" s="221"/>
      <c r="CC183" s="221"/>
      <c r="CD183" s="221"/>
      <c r="CE183" s="221"/>
      <c r="CF183" s="221"/>
      <c r="CG183" s="221"/>
      <c r="CH183" s="221"/>
      <c r="CI183" s="221"/>
      <c r="CJ183" s="469">
        <f t="shared" si="163"/>
        <v>0</v>
      </c>
      <c r="CK183" s="315">
        <f t="shared" si="164"/>
        <v>0</v>
      </c>
      <c r="CL183" s="315" t="str">
        <f t="shared" si="165"/>
        <v/>
      </c>
      <c r="CM183" s="182"/>
      <c r="CN183" s="182"/>
      <c r="CO183" s="182"/>
      <c r="CP183" s="221"/>
      <c r="CQ183" s="221"/>
      <c r="CR183" s="221"/>
      <c r="CS183" s="221"/>
      <c r="CT183" s="221"/>
      <c r="CU183" s="221"/>
      <c r="CV183" s="221"/>
      <c r="CW183" s="221"/>
      <c r="CX183" s="221"/>
      <c r="CY183" s="221"/>
      <c r="CZ183" s="182"/>
      <c r="DA183" s="182"/>
      <c r="DB183" s="182"/>
      <c r="DC183" s="182"/>
      <c r="DD183" s="221" t="str">
        <f t="shared" si="151"/>
        <v/>
      </c>
      <c r="DE183" s="221" t="str">
        <f t="shared" si="152"/>
        <v/>
      </c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469" t="str">
        <f t="shared" si="166"/>
        <v/>
      </c>
      <c r="DP183" s="315">
        <f t="shared" si="167"/>
        <v>0</v>
      </c>
      <c r="DQ183" s="315" t="str">
        <f t="shared" si="168"/>
        <v/>
      </c>
      <c r="DR183" s="182"/>
      <c r="DS183" s="182"/>
      <c r="DT183" s="182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182"/>
      <c r="EE183" s="182"/>
      <c r="EF183" s="182"/>
      <c r="EG183" s="182"/>
      <c r="EH183" s="221" t="str">
        <f t="shared" si="169"/>
        <v/>
      </c>
      <c r="EI183" s="221" t="str">
        <f t="shared" si="170"/>
        <v/>
      </c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  <c r="EU183" s="315">
        <f t="shared" si="171"/>
        <v>0</v>
      </c>
      <c r="EV183" s="315" t="str">
        <f t="shared" si="172"/>
        <v/>
      </c>
      <c r="EW183" s="224"/>
      <c r="EX183" s="224"/>
      <c r="EY183" s="224"/>
      <c r="EZ183" s="492"/>
      <c r="FA183" s="492"/>
      <c r="FB183" s="492"/>
      <c r="FC183" s="492"/>
      <c r="FD183" s="492"/>
      <c r="FE183" s="492"/>
      <c r="FF183" s="492"/>
      <c r="FG183" s="492"/>
      <c r="FH183" s="492"/>
      <c r="FI183" s="224"/>
      <c r="FJ183" s="224"/>
      <c r="FK183" s="224"/>
      <c r="FL183" s="224"/>
      <c r="FM183" s="221" t="str">
        <f t="shared" si="173"/>
        <v/>
      </c>
      <c r="FN183" s="221" t="str">
        <f t="shared" si="174"/>
        <v/>
      </c>
      <c r="FO183" s="221"/>
      <c r="FP183" s="221"/>
      <c r="FQ183" s="221"/>
      <c r="FR183" s="221"/>
      <c r="FS183" s="221"/>
      <c r="FT183" s="221"/>
      <c r="FU183" s="221"/>
      <c r="FV183" s="221"/>
      <c r="FW183" s="221"/>
      <c r="FX183" s="221"/>
      <c r="FY183" s="221"/>
      <c r="FZ183" s="408"/>
      <c r="GA183" s="315">
        <f t="shared" si="175"/>
        <v>0</v>
      </c>
      <c r="GB183" s="315" t="str">
        <f t="shared" si="176"/>
        <v/>
      </c>
      <c r="GC183" s="182" t="s">
        <v>160</v>
      </c>
      <c r="GD183" s="182"/>
      <c r="GE183" s="182"/>
      <c r="GG183" s="460"/>
      <c r="GH183" s="460"/>
      <c r="GU183" s="469"/>
      <c r="GV183" s="470" t="str">
        <f t="shared" si="177"/>
        <v/>
      </c>
      <c r="GW183" s="302">
        <f t="shared" si="178"/>
        <v>0</v>
      </c>
      <c r="HA183" s="654"/>
      <c r="HD183" s="379"/>
      <c r="HE183" s="380"/>
      <c r="HH183" s="385"/>
      <c r="HI183" s="411"/>
      <c r="HJ183" s="302" t="str">
        <f t="shared" si="153"/>
        <v/>
      </c>
      <c r="HN183" s="398"/>
      <c r="HO183" s="302" t="str">
        <f t="shared" si="146"/>
        <v/>
      </c>
      <c r="HP183" s="302" t="str">
        <f t="shared" si="147"/>
        <v/>
      </c>
      <c r="HQ183" s="302" t="str">
        <f t="shared" si="148"/>
        <v/>
      </c>
      <c r="IT183" s="411"/>
      <c r="IU183" s="411"/>
      <c r="IV183" s="635"/>
    </row>
    <row r="184" spans="1:256" s="302" customFormat="1" ht="12.75" hidden="1" customHeight="1">
      <c r="A184" s="397" t="str">
        <f t="shared" si="145"/>
        <v/>
      </c>
      <c r="B184" s="462" t="str">
        <f t="shared" si="149"/>
        <v/>
      </c>
      <c r="C184" s="426"/>
      <c r="D184" s="575"/>
      <c r="E184" s="463"/>
      <c r="F184" s="464"/>
      <c r="G184" s="465"/>
      <c r="H184" s="465"/>
      <c r="I184" s="466"/>
      <c r="J184" s="463"/>
      <c r="K184" s="465"/>
      <c r="L184" s="465"/>
      <c r="M184" s="466"/>
      <c r="N184" s="573"/>
      <c r="O184" s="467"/>
      <c r="P184" s="518"/>
      <c r="Q184" s="381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4"/>
      <c r="AB184" s="182" t="str">
        <f t="shared" si="154"/>
        <v/>
      </c>
      <c r="AC184" s="315">
        <f t="shared" si="155"/>
        <v>0</v>
      </c>
      <c r="AD184" s="315" t="str">
        <f t="shared" si="150"/>
        <v/>
      </c>
      <c r="AE184" s="182"/>
      <c r="AF184" s="182"/>
      <c r="AG184" s="182"/>
      <c r="AH184" s="221"/>
      <c r="AI184" s="221"/>
      <c r="AJ184" s="221"/>
      <c r="AK184" s="221"/>
      <c r="AL184" s="221"/>
      <c r="AM184" s="221"/>
      <c r="AN184" s="221"/>
      <c r="AO184" s="221"/>
      <c r="AP184" s="221"/>
      <c r="AQ184" s="182"/>
      <c r="AR184" s="182"/>
      <c r="AS184" s="182"/>
      <c r="AT184" s="224"/>
      <c r="AU184" s="221" t="str">
        <f t="shared" si="156"/>
        <v/>
      </c>
      <c r="AV184" s="221" t="str">
        <f t="shared" si="157"/>
        <v/>
      </c>
      <c r="AW184" s="221"/>
      <c r="AX184" s="221"/>
      <c r="AY184" s="221"/>
      <c r="AZ184" s="221"/>
      <c r="BA184" s="221"/>
      <c r="BB184" s="221"/>
      <c r="BC184" s="221"/>
      <c r="BD184" s="221"/>
      <c r="BE184" s="221"/>
      <c r="BF184" s="469">
        <f t="shared" si="158"/>
        <v>0</v>
      </c>
      <c r="BG184" s="315">
        <f t="shared" si="159"/>
        <v>0</v>
      </c>
      <c r="BH184" s="315" t="str">
        <f t="shared" si="160"/>
        <v/>
      </c>
      <c r="BI184" s="182"/>
      <c r="BJ184" s="182"/>
      <c r="BK184" s="182"/>
      <c r="BL184" s="221"/>
      <c r="BM184" s="221"/>
      <c r="BN184" s="221"/>
      <c r="BO184" s="221"/>
      <c r="BP184" s="221"/>
      <c r="BQ184" s="221"/>
      <c r="BR184" s="221"/>
      <c r="BS184" s="221"/>
      <c r="BT184" s="221"/>
      <c r="BU184" s="182"/>
      <c r="BV184" s="182"/>
      <c r="BW184" s="182"/>
      <c r="BX184" s="182"/>
      <c r="BY184" s="221" t="str">
        <f t="shared" si="161"/>
        <v/>
      </c>
      <c r="BZ184" s="221" t="str">
        <f t="shared" si="162"/>
        <v/>
      </c>
      <c r="CA184" s="221"/>
      <c r="CB184" s="221"/>
      <c r="CC184" s="221"/>
      <c r="CD184" s="221"/>
      <c r="CE184" s="221"/>
      <c r="CF184" s="221"/>
      <c r="CG184" s="221"/>
      <c r="CH184" s="221"/>
      <c r="CI184" s="221"/>
      <c r="CJ184" s="469">
        <f t="shared" si="163"/>
        <v>0</v>
      </c>
      <c r="CK184" s="315">
        <f t="shared" si="164"/>
        <v>0</v>
      </c>
      <c r="CL184" s="315" t="str">
        <f t="shared" si="165"/>
        <v/>
      </c>
      <c r="CM184" s="182"/>
      <c r="CN184" s="182"/>
      <c r="CO184" s="182"/>
      <c r="CP184" s="221"/>
      <c r="CQ184" s="221"/>
      <c r="CR184" s="221"/>
      <c r="CS184" s="221"/>
      <c r="CT184" s="221"/>
      <c r="CU184" s="221"/>
      <c r="CV184" s="221"/>
      <c r="CW184" s="221"/>
      <c r="CX184" s="221"/>
      <c r="CY184" s="221"/>
      <c r="CZ184" s="182"/>
      <c r="DA184" s="182"/>
      <c r="DB184" s="182"/>
      <c r="DC184" s="182"/>
      <c r="DD184" s="221" t="str">
        <f t="shared" si="151"/>
        <v/>
      </c>
      <c r="DE184" s="221" t="str">
        <f t="shared" si="152"/>
        <v/>
      </c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469" t="str">
        <f t="shared" si="166"/>
        <v/>
      </c>
      <c r="DP184" s="315">
        <f t="shared" si="167"/>
        <v>0</v>
      </c>
      <c r="DQ184" s="315" t="str">
        <f t="shared" si="168"/>
        <v/>
      </c>
      <c r="DR184" s="182"/>
      <c r="DS184" s="182"/>
      <c r="DT184" s="182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182"/>
      <c r="EE184" s="182"/>
      <c r="EF184" s="182"/>
      <c r="EG184" s="182"/>
      <c r="EH184" s="221" t="str">
        <f t="shared" si="169"/>
        <v/>
      </c>
      <c r="EI184" s="221" t="str">
        <f t="shared" si="170"/>
        <v/>
      </c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  <c r="EU184" s="315">
        <f t="shared" si="171"/>
        <v>0</v>
      </c>
      <c r="EV184" s="315" t="str">
        <f t="shared" si="172"/>
        <v/>
      </c>
      <c r="EW184" s="182"/>
      <c r="EX184" s="182"/>
      <c r="EY184" s="182"/>
      <c r="EZ184" s="221"/>
      <c r="FA184" s="221"/>
      <c r="FB184" s="221"/>
      <c r="FC184" s="221"/>
      <c r="FD184" s="221"/>
      <c r="FE184" s="221"/>
      <c r="FF184" s="221"/>
      <c r="FG184" s="221"/>
      <c r="FH184" s="221"/>
      <c r="FI184" s="182"/>
      <c r="FJ184" s="182"/>
      <c r="FK184" s="182"/>
      <c r="FL184" s="182"/>
      <c r="FM184" s="221" t="str">
        <f t="shared" si="173"/>
        <v/>
      </c>
      <c r="FN184" s="221" t="str">
        <f t="shared" si="174"/>
        <v/>
      </c>
      <c r="FO184" s="221"/>
      <c r="FP184" s="221"/>
      <c r="FQ184" s="221"/>
      <c r="FR184" s="221"/>
      <c r="FS184" s="221"/>
      <c r="FT184" s="221"/>
      <c r="FU184" s="221"/>
      <c r="FV184" s="221"/>
      <c r="FW184" s="221"/>
      <c r="FX184" s="221"/>
      <c r="FY184" s="221"/>
      <c r="FZ184" s="408"/>
      <c r="GA184" s="315">
        <f t="shared" si="175"/>
        <v>0</v>
      </c>
      <c r="GB184" s="315" t="str">
        <f t="shared" si="176"/>
        <v/>
      </c>
      <c r="GC184" s="182" t="s">
        <v>160</v>
      </c>
      <c r="GD184" s="182"/>
      <c r="GE184" s="182"/>
      <c r="GG184" s="460"/>
      <c r="GH184" s="460"/>
      <c r="GU184" s="469"/>
      <c r="GV184" s="470" t="str">
        <f t="shared" si="177"/>
        <v/>
      </c>
      <c r="GW184" s="302">
        <f t="shared" si="178"/>
        <v>0</v>
      </c>
      <c r="HA184" s="654"/>
      <c r="HD184" s="379"/>
      <c r="HE184" s="380"/>
      <c r="HH184" s="385"/>
      <c r="HI184" s="411"/>
      <c r="HJ184" s="302" t="str">
        <f t="shared" si="153"/>
        <v/>
      </c>
      <c r="HN184" s="398"/>
      <c r="HO184" s="302" t="str">
        <f t="shared" si="146"/>
        <v/>
      </c>
      <c r="HP184" s="302" t="str">
        <f t="shared" si="147"/>
        <v/>
      </c>
      <c r="HQ184" s="302" t="str">
        <f t="shared" si="148"/>
        <v/>
      </c>
      <c r="IT184" s="411"/>
      <c r="IU184" s="411"/>
      <c r="IV184" s="635"/>
    </row>
    <row r="185" spans="1:256" s="302" customFormat="1" ht="12.75" hidden="1" customHeight="1">
      <c r="A185" s="397" t="str">
        <f t="shared" si="145"/>
        <v/>
      </c>
      <c r="B185" s="462" t="str">
        <f t="shared" si="149"/>
        <v/>
      </c>
      <c r="C185" s="426"/>
      <c r="D185" s="575"/>
      <c r="E185" s="463"/>
      <c r="F185" s="464"/>
      <c r="G185" s="465"/>
      <c r="H185" s="465"/>
      <c r="I185" s="466"/>
      <c r="J185" s="463"/>
      <c r="K185" s="465"/>
      <c r="L185" s="465"/>
      <c r="M185" s="466"/>
      <c r="N185" s="573"/>
      <c r="O185" s="467"/>
      <c r="P185" s="518"/>
      <c r="Q185" s="381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4"/>
      <c r="AB185" s="182" t="str">
        <f t="shared" si="154"/>
        <v/>
      </c>
      <c r="AC185" s="315">
        <f t="shared" si="155"/>
        <v>0</v>
      </c>
      <c r="AD185" s="315" t="str">
        <f t="shared" si="150"/>
        <v/>
      </c>
      <c r="AE185" s="182"/>
      <c r="AF185" s="182"/>
      <c r="AG185" s="182"/>
      <c r="AH185" s="221"/>
      <c r="AI185" s="221"/>
      <c r="AJ185" s="221"/>
      <c r="AK185" s="221"/>
      <c r="AL185" s="221"/>
      <c r="AM185" s="221"/>
      <c r="AN185" s="221"/>
      <c r="AO185" s="221"/>
      <c r="AP185" s="221"/>
      <c r="AQ185" s="182"/>
      <c r="AR185" s="182"/>
      <c r="AS185" s="182"/>
      <c r="AT185" s="182"/>
      <c r="AU185" s="221" t="str">
        <f t="shared" si="156"/>
        <v/>
      </c>
      <c r="AV185" s="221" t="str">
        <f t="shared" si="157"/>
        <v/>
      </c>
      <c r="AW185" s="221"/>
      <c r="AX185" s="221"/>
      <c r="AY185" s="221"/>
      <c r="AZ185" s="221"/>
      <c r="BA185" s="221"/>
      <c r="BB185" s="221"/>
      <c r="BC185" s="221"/>
      <c r="BD185" s="221"/>
      <c r="BE185" s="221"/>
      <c r="BF185" s="469">
        <f t="shared" si="158"/>
        <v>0</v>
      </c>
      <c r="BG185" s="315">
        <f t="shared" si="159"/>
        <v>0</v>
      </c>
      <c r="BH185" s="315" t="str">
        <f t="shared" si="160"/>
        <v/>
      </c>
      <c r="BI185" s="182"/>
      <c r="BJ185" s="182"/>
      <c r="BK185" s="182"/>
      <c r="BL185" s="221"/>
      <c r="BM185" s="221"/>
      <c r="BN185" s="221"/>
      <c r="BO185" s="221"/>
      <c r="BP185" s="221"/>
      <c r="BQ185" s="221"/>
      <c r="BR185" s="221"/>
      <c r="BS185" s="221"/>
      <c r="BT185" s="221"/>
      <c r="BU185" s="182"/>
      <c r="BV185" s="182"/>
      <c r="BW185" s="182"/>
      <c r="BX185" s="182"/>
      <c r="BY185" s="221" t="str">
        <f t="shared" si="161"/>
        <v/>
      </c>
      <c r="BZ185" s="221" t="str">
        <f t="shared" si="162"/>
        <v/>
      </c>
      <c r="CA185" s="221"/>
      <c r="CB185" s="221"/>
      <c r="CC185" s="221"/>
      <c r="CD185" s="221"/>
      <c r="CE185" s="221"/>
      <c r="CF185" s="221"/>
      <c r="CG185" s="221"/>
      <c r="CH185" s="221"/>
      <c r="CI185" s="221"/>
      <c r="CJ185" s="469">
        <f t="shared" si="163"/>
        <v>0</v>
      </c>
      <c r="CK185" s="315">
        <f t="shared" si="164"/>
        <v>0</v>
      </c>
      <c r="CL185" s="315" t="str">
        <f t="shared" si="165"/>
        <v/>
      </c>
      <c r="CM185" s="182"/>
      <c r="CN185" s="182"/>
      <c r="CO185" s="182"/>
      <c r="CP185" s="221"/>
      <c r="CQ185" s="221"/>
      <c r="CR185" s="221"/>
      <c r="CS185" s="221"/>
      <c r="CT185" s="221"/>
      <c r="CU185" s="221"/>
      <c r="CV185" s="221"/>
      <c r="CW185" s="221"/>
      <c r="CX185" s="221"/>
      <c r="CY185" s="221"/>
      <c r="CZ185" s="182"/>
      <c r="DA185" s="182"/>
      <c r="DB185" s="182"/>
      <c r="DC185" s="182"/>
      <c r="DD185" s="221" t="str">
        <f t="shared" si="151"/>
        <v/>
      </c>
      <c r="DE185" s="221" t="str">
        <f t="shared" si="152"/>
        <v/>
      </c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469" t="str">
        <f t="shared" si="166"/>
        <v/>
      </c>
      <c r="DP185" s="315">
        <f t="shared" si="167"/>
        <v>0</v>
      </c>
      <c r="DQ185" s="315" t="str">
        <f t="shared" si="168"/>
        <v/>
      </c>
      <c r="DR185" s="182"/>
      <c r="DS185" s="182"/>
      <c r="DT185" s="182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182"/>
      <c r="EE185" s="182"/>
      <c r="EF185" s="182"/>
      <c r="EG185" s="182"/>
      <c r="EH185" s="221" t="str">
        <f t="shared" si="169"/>
        <v/>
      </c>
      <c r="EI185" s="221" t="str">
        <f t="shared" si="170"/>
        <v/>
      </c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1"/>
      <c r="EU185" s="315">
        <f t="shared" si="171"/>
        <v>0</v>
      </c>
      <c r="EV185" s="315" t="str">
        <f t="shared" si="172"/>
        <v/>
      </c>
      <c r="EW185" s="182"/>
      <c r="EX185" s="182"/>
      <c r="EY185" s="182"/>
      <c r="EZ185" s="221"/>
      <c r="FA185" s="221"/>
      <c r="FB185" s="221"/>
      <c r="FC185" s="221"/>
      <c r="FD185" s="221"/>
      <c r="FE185" s="221"/>
      <c r="FF185" s="221"/>
      <c r="FG185" s="221"/>
      <c r="FH185" s="221"/>
      <c r="FI185" s="182"/>
      <c r="FJ185" s="182"/>
      <c r="FK185" s="182"/>
      <c r="FL185" s="182"/>
      <c r="FM185" s="221" t="str">
        <f t="shared" si="173"/>
        <v/>
      </c>
      <c r="FN185" s="221" t="str">
        <f t="shared" si="174"/>
        <v/>
      </c>
      <c r="FO185" s="221"/>
      <c r="FP185" s="221"/>
      <c r="FQ185" s="221"/>
      <c r="FR185" s="221"/>
      <c r="FS185" s="221"/>
      <c r="FT185" s="221"/>
      <c r="FU185" s="221"/>
      <c r="FV185" s="221"/>
      <c r="FW185" s="221"/>
      <c r="FX185" s="221"/>
      <c r="FY185" s="221"/>
      <c r="FZ185" s="408"/>
      <c r="GA185" s="315">
        <f t="shared" si="175"/>
        <v>0</v>
      </c>
      <c r="GB185" s="315" t="str">
        <f t="shared" si="176"/>
        <v/>
      </c>
      <c r="GC185" s="302" t="s">
        <v>160</v>
      </c>
      <c r="GG185" s="460"/>
      <c r="GH185" s="460"/>
      <c r="GU185" s="469"/>
      <c r="GV185" s="470" t="str">
        <f t="shared" si="177"/>
        <v/>
      </c>
      <c r="GW185" s="302">
        <f t="shared" si="178"/>
        <v>0</v>
      </c>
      <c r="HA185" s="654"/>
      <c r="HD185" s="379"/>
      <c r="HE185" s="380"/>
      <c r="HH185" s="385"/>
      <c r="HI185" s="411"/>
      <c r="HJ185" s="302" t="str">
        <f t="shared" si="153"/>
        <v/>
      </c>
      <c r="HO185" s="302" t="str">
        <f t="shared" si="146"/>
        <v/>
      </c>
      <c r="HP185" s="302" t="str">
        <f t="shared" si="147"/>
        <v/>
      </c>
      <c r="HQ185" s="302" t="str">
        <f t="shared" si="148"/>
        <v/>
      </c>
      <c r="IT185" s="411"/>
      <c r="IU185" s="411"/>
      <c r="IV185" s="635"/>
    </row>
    <row r="186" spans="1:256" s="302" customFormat="1" ht="12.75" hidden="1" customHeight="1">
      <c r="A186" s="397" t="str">
        <f t="shared" si="145"/>
        <v/>
      </c>
      <c r="B186" s="462" t="str">
        <f t="shared" si="149"/>
        <v/>
      </c>
      <c r="C186" s="426"/>
      <c r="D186" s="575"/>
      <c r="E186" s="463"/>
      <c r="F186" s="464"/>
      <c r="G186" s="465"/>
      <c r="H186" s="465"/>
      <c r="I186" s="466"/>
      <c r="J186" s="463"/>
      <c r="K186" s="465"/>
      <c r="L186" s="465"/>
      <c r="M186" s="466"/>
      <c r="N186" s="573"/>
      <c r="O186" s="467"/>
      <c r="P186" s="518"/>
      <c r="Q186" s="381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4"/>
      <c r="AB186" s="182" t="str">
        <f t="shared" si="154"/>
        <v/>
      </c>
      <c r="AC186" s="315">
        <f t="shared" si="155"/>
        <v>0</v>
      </c>
      <c r="AD186" s="315" t="str">
        <f t="shared" si="150"/>
        <v/>
      </c>
      <c r="AE186" s="182"/>
      <c r="AF186" s="182"/>
      <c r="AG186" s="182"/>
      <c r="AH186" s="221"/>
      <c r="AI186" s="221"/>
      <c r="AJ186" s="221"/>
      <c r="AK186" s="221"/>
      <c r="AL186" s="221"/>
      <c r="AM186" s="221"/>
      <c r="AN186" s="221"/>
      <c r="AO186" s="221"/>
      <c r="AP186" s="221"/>
      <c r="AQ186" s="182"/>
      <c r="AR186" s="182"/>
      <c r="AS186" s="182"/>
      <c r="AT186" s="182"/>
      <c r="AU186" s="221" t="str">
        <f t="shared" si="156"/>
        <v/>
      </c>
      <c r="AV186" s="221" t="str">
        <f t="shared" si="157"/>
        <v/>
      </c>
      <c r="AW186" s="221"/>
      <c r="AX186" s="221"/>
      <c r="AY186" s="221"/>
      <c r="AZ186" s="221"/>
      <c r="BA186" s="221"/>
      <c r="BB186" s="221"/>
      <c r="BC186" s="221"/>
      <c r="BD186" s="221"/>
      <c r="BE186" s="221"/>
      <c r="BF186" s="469">
        <f t="shared" si="158"/>
        <v>0</v>
      </c>
      <c r="BG186" s="315">
        <f t="shared" si="159"/>
        <v>0</v>
      </c>
      <c r="BH186" s="315" t="str">
        <f t="shared" si="160"/>
        <v/>
      </c>
      <c r="BI186" s="182"/>
      <c r="BJ186" s="182"/>
      <c r="BK186" s="182"/>
      <c r="BL186" s="221"/>
      <c r="BM186" s="221"/>
      <c r="BN186" s="221"/>
      <c r="BO186" s="221"/>
      <c r="BP186" s="221"/>
      <c r="BQ186" s="221"/>
      <c r="BR186" s="221"/>
      <c r="BS186" s="221"/>
      <c r="BT186" s="221"/>
      <c r="BU186" s="182"/>
      <c r="BV186" s="182"/>
      <c r="BW186" s="182"/>
      <c r="BX186" s="182"/>
      <c r="BY186" s="221" t="str">
        <f t="shared" si="161"/>
        <v/>
      </c>
      <c r="BZ186" s="221" t="str">
        <f t="shared" si="162"/>
        <v/>
      </c>
      <c r="CA186" s="221"/>
      <c r="CB186" s="221"/>
      <c r="CC186" s="221"/>
      <c r="CD186" s="221"/>
      <c r="CE186" s="221"/>
      <c r="CF186" s="221"/>
      <c r="CG186" s="221"/>
      <c r="CH186" s="221"/>
      <c r="CI186" s="221"/>
      <c r="CJ186" s="469">
        <f t="shared" si="163"/>
        <v>0</v>
      </c>
      <c r="CK186" s="315">
        <f t="shared" si="164"/>
        <v>0</v>
      </c>
      <c r="CL186" s="315" t="str">
        <f t="shared" si="165"/>
        <v/>
      </c>
      <c r="CM186" s="182"/>
      <c r="CN186" s="182"/>
      <c r="CO186" s="182"/>
      <c r="CP186" s="221"/>
      <c r="CQ186" s="221"/>
      <c r="CR186" s="221"/>
      <c r="CS186" s="221"/>
      <c r="CT186" s="221"/>
      <c r="CU186" s="221"/>
      <c r="CV186" s="221"/>
      <c r="CW186" s="221"/>
      <c r="CX186" s="221"/>
      <c r="CY186" s="221"/>
      <c r="CZ186" s="182"/>
      <c r="DA186" s="182"/>
      <c r="DB186" s="182"/>
      <c r="DC186" s="182"/>
      <c r="DD186" s="221" t="str">
        <f t="shared" si="151"/>
        <v/>
      </c>
      <c r="DE186" s="221" t="str">
        <f t="shared" si="152"/>
        <v/>
      </c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469" t="str">
        <f t="shared" si="166"/>
        <v/>
      </c>
      <c r="DP186" s="315">
        <f t="shared" si="167"/>
        <v>0</v>
      </c>
      <c r="DQ186" s="315" t="str">
        <f t="shared" si="168"/>
        <v/>
      </c>
      <c r="DR186" s="182"/>
      <c r="DS186" s="182"/>
      <c r="DT186" s="182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182"/>
      <c r="EE186" s="182"/>
      <c r="EF186" s="182"/>
      <c r="EG186" s="182"/>
      <c r="EH186" s="221" t="str">
        <f t="shared" si="169"/>
        <v/>
      </c>
      <c r="EI186" s="221" t="str">
        <f t="shared" si="170"/>
        <v/>
      </c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  <c r="EU186" s="315">
        <f t="shared" si="171"/>
        <v>0</v>
      </c>
      <c r="EV186" s="315" t="str">
        <f t="shared" si="172"/>
        <v/>
      </c>
      <c r="EW186" s="182"/>
      <c r="EX186" s="182"/>
      <c r="EY186" s="182"/>
      <c r="EZ186" s="221"/>
      <c r="FA186" s="221"/>
      <c r="FB186" s="221"/>
      <c r="FC186" s="221"/>
      <c r="FD186" s="221"/>
      <c r="FE186" s="221"/>
      <c r="FF186" s="221"/>
      <c r="FG186" s="221"/>
      <c r="FH186" s="221"/>
      <c r="FI186" s="182"/>
      <c r="FJ186" s="182"/>
      <c r="FK186" s="182"/>
      <c r="FL186" s="182"/>
      <c r="FM186" s="221" t="str">
        <f t="shared" si="173"/>
        <v/>
      </c>
      <c r="FN186" s="221" t="str">
        <f t="shared" si="174"/>
        <v/>
      </c>
      <c r="FO186" s="221"/>
      <c r="FP186" s="221"/>
      <c r="FQ186" s="221"/>
      <c r="FR186" s="221"/>
      <c r="FS186" s="221"/>
      <c r="FT186" s="221"/>
      <c r="FU186" s="221"/>
      <c r="FV186" s="221"/>
      <c r="FW186" s="221"/>
      <c r="FX186" s="221"/>
      <c r="FY186" s="221"/>
      <c r="FZ186" s="408"/>
      <c r="GA186" s="315">
        <f t="shared" si="175"/>
        <v>0</v>
      </c>
      <c r="GB186" s="315" t="str">
        <f t="shared" si="176"/>
        <v/>
      </c>
      <c r="GC186" s="302" t="s">
        <v>160</v>
      </c>
      <c r="GG186" s="460"/>
      <c r="GH186" s="460"/>
      <c r="GU186" s="469"/>
      <c r="GV186" s="470" t="str">
        <f t="shared" si="177"/>
        <v/>
      </c>
      <c r="GW186" s="302">
        <f t="shared" si="178"/>
        <v>0</v>
      </c>
      <c r="HA186" s="654"/>
      <c r="HD186" s="379"/>
      <c r="HE186" s="380"/>
      <c r="HH186" s="385"/>
      <c r="HI186" s="411"/>
      <c r="HJ186" s="302" t="str">
        <f t="shared" si="153"/>
        <v/>
      </c>
      <c r="HO186" s="302" t="str">
        <f t="shared" si="146"/>
        <v/>
      </c>
      <c r="HP186" s="302" t="str">
        <f t="shared" si="147"/>
        <v/>
      </c>
      <c r="HQ186" s="302" t="str">
        <f t="shared" si="148"/>
        <v/>
      </c>
      <c r="IT186" s="411"/>
      <c r="IU186" s="411"/>
      <c r="IV186" s="635"/>
    </row>
    <row r="187" spans="1:256" s="302" customFormat="1" ht="12.75" hidden="1" customHeight="1">
      <c r="A187" s="397" t="str">
        <f t="shared" si="145"/>
        <v/>
      </c>
      <c r="B187" s="462" t="str">
        <f t="shared" si="149"/>
        <v/>
      </c>
      <c r="C187" s="426"/>
      <c r="D187" s="575"/>
      <c r="E187" s="463"/>
      <c r="F187" s="464"/>
      <c r="G187" s="465"/>
      <c r="H187" s="465"/>
      <c r="I187" s="466"/>
      <c r="J187" s="463"/>
      <c r="K187" s="465"/>
      <c r="L187" s="465"/>
      <c r="M187" s="466"/>
      <c r="N187" s="573"/>
      <c r="O187" s="467"/>
      <c r="P187" s="518"/>
      <c r="Q187" s="381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4"/>
      <c r="AB187" s="182" t="str">
        <f t="shared" si="154"/>
        <v/>
      </c>
      <c r="AC187" s="315">
        <f t="shared" si="155"/>
        <v>0</v>
      </c>
      <c r="AD187" s="315" t="str">
        <f t="shared" si="150"/>
        <v/>
      </c>
      <c r="AE187" s="182"/>
      <c r="AF187" s="182"/>
      <c r="AG187" s="182"/>
      <c r="AH187" s="221"/>
      <c r="AI187" s="221"/>
      <c r="AJ187" s="221"/>
      <c r="AK187" s="221"/>
      <c r="AL187" s="221"/>
      <c r="AM187" s="221"/>
      <c r="AN187" s="221"/>
      <c r="AO187" s="221"/>
      <c r="AP187" s="221"/>
      <c r="AQ187" s="182"/>
      <c r="AR187" s="182"/>
      <c r="AS187" s="182"/>
      <c r="AT187" s="182"/>
      <c r="AU187" s="221" t="str">
        <f t="shared" si="156"/>
        <v/>
      </c>
      <c r="AV187" s="221" t="str">
        <f t="shared" si="157"/>
        <v/>
      </c>
      <c r="AW187" s="221"/>
      <c r="AX187" s="221"/>
      <c r="AY187" s="221"/>
      <c r="AZ187" s="221"/>
      <c r="BA187" s="221"/>
      <c r="BB187" s="221"/>
      <c r="BC187" s="221"/>
      <c r="BD187" s="221"/>
      <c r="BE187" s="221"/>
      <c r="BF187" s="469">
        <f t="shared" si="158"/>
        <v>0</v>
      </c>
      <c r="BG187" s="315">
        <f t="shared" si="159"/>
        <v>0</v>
      </c>
      <c r="BH187" s="315" t="str">
        <f t="shared" si="160"/>
        <v/>
      </c>
      <c r="BI187" s="182"/>
      <c r="BJ187" s="182"/>
      <c r="BK187" s="182"/>
      <c r="BL187" s="221"/>
      <c r="BM187" s="221"/>
      <c r="BN187" s="221"/>
      <c r="BO187" s="221"/>
      <c r="BP187" s="221"/>
      <c r="BQ187" s="221"/>
      <c r="BR187" s="221"/>
      <c r="BS187" s="221"/>
      <c r="BT187" s="221"/>
      <c r="BU187" s="182"/>
      <c r="BV187" s="182"/>
      <c r="BW187" s="182"/>
      <c r="BX187" s="182"/>
      <c r="BY187" s="221" t="str">
        <f t="shared" si="161"/>
        <v/>
      </c>
      <c r="BZ187" s="221" t="str">
        <f t="shared" si="162"/>
        <v/>
      </c>
      <c r="CA187" s="221"/>
      <c r="CB187" s="221"/>
      <c r="CC187" s="221"/>
      <c r="CD187" s="221"/>
      <c r="CE187" s="221"/>
      <c r="CF187" s="221"/>
      <c r="CG187" s="221"/>
      <c r="CH187" s="221"/>
      <c r="CI187" s="221"/>
      <c r="CJ187" s="469">
        <f t="shared" si="163"/>
        <v>0</v>
      </c>
      <c r="CK187" s="315">
        <f t="shared" si="164"/>
        <v>0</v>
      </c>
      <c r="CL187" s="315" t="str">
        <f t="shared" si="165"/>
        <v/>
      </c>
      <c r="CM187" s="182"/>
      <c r="CN187" s="182"/>
      <c r="CO187" s="182"/>
      <c r="CP187" s="221"/>
      <c r="CQ187" s="221"/>
      <c r="CR187" s="221"/>
      <c r="CS187" s="221"/>
      <c r="CT187" s="221"/>
      <c r="CU187" s="221"/>
      <c r="CV187" s="221"/>
      <c r="CW187" s="221"/>
      <c r="CX187" s="221"/>
      <c r="CY187" s="221"/>
      <c r="CZ187" s="182"/>
      <c r="DA187" s="182"/>
      <c r="DB187" s="182"/>
      <c r="DC187" s="182"/>
      <c r="DD187" s="221" t="str">
        <f t="shared" si="151"/>
        <v/>
      </c>
      <c r="DE187" s="221" t="str">
        <f t="shared" si="152"/>
        <v/>
      </c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469" t="str">
        <f t="shared" si="166"/>
        <v/>
      </c>
      <c r="DP187" s="315">
        <f t="shared" si="167"/>
        <v>0</v>
      </c>
      <c r="DQ187" s="315" t="str">
        <f t="shared" si="168"/>
        <v/>
      </c>
      <c r="DR187" s="182"/>
      <c r="DS187" s="182"/>
      <c r="DT187" s="182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182"/>
      <c r="EE187" s="182"/>
      <c r="EF187" s="182"/>
      <c r="EG187" s="182"/>
      <c r="EH187" s="221" t="str">
        <f t="shared" si="169"/>
        <v/>
      </c>
      <c r="EI187" s="221" t="str">
        <f t="shared" si="170"/>
        <v/>
      </c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  <c r="EU187" s="315">
        <f t="shared" si="171"/>
        <v>0</v>
      </c>
      <c r="EV187" s="315" t="str">
        <f t="shared" si="172"/>
        <v/>
      </c>
      <c r="EW187" s="182"/>
      <c r="EX187" s="182"/>
      <c r="EY187" s="182"/>
      <c r="EZ187" s="221"/>
      <c r="FA187" s="221"/>
      <c r="FB187" s="221"/>
      <c r="FC187" s="221"/>
      <c r="FD187" s="221"/>
      <c r="FE187" s="221"/>
      <c r="FF187" s="221"/>
      <c r="FG187" s="221"/>
      <c r="FH187" s="221"/>
      <c r="FI187" s="182"/>
      <c r="FJ187" s="182"/>
      <c r="FK187" s="182"/>
      <c r="FL187" s="182"/>
      <c r="FM187" s="221" t="str">
        <f t="shared" si="173"/>
        <v/>
      </c>
      <c r="FN187" s="221" t="str">
        <f t="shared" si="174"/>
        <v/>
      </c>
      <c r="FO187" s="221"/>
      <c r="FP187" s="221"/>
      <c r="FQ187" s="221"/>
      <c r="FR187" s="221"/>
      <c r="FS187" s="221"/>
      <c r="FT187" s="221"/>
      <c r="FU187" s="221"/>
      <c r="FV187" s="221"/>
      <c r="FW187" s="221"/>
      <c r="FX187" s="221"/>
      <c r="FY187" s="221"/>
      <c r="FZ187" s="408"/>
      <c r="GA187" s="315">
        <f t="shared" si="175"/>
        <v>0</v>
      </c>
      <c r="GB187" s="315" t="str">
        <f t="shared" si="176"/>
        <v/>
      </c>
      <c r="GC187" s="182" t="s">
        <v>160</v>
      </c>
      <c r="GD187" s="182"/>
      <c r="GE187" s="182"/>
      <c r="GG187" s="460"/>
      <c r="GH187" s="460"/>
      <c r="GU187" s="469"/>
      <c r="GV187" s="470" t="str">
        <f t="shared" si="177"/>
        <v/>
      </c>
      <c r="GW187" s="302">
        <f t="shared" si="178"/>
        <v>0</v>
      </c>
      <c r="HA187" s="654"/>
      <c r="HD187" s="379"/>
      <c r="HE187" s="380"/>
      <c r="HH187" s="385"/>
      <c r="HI187" s="411"/>
      <c r="HJ187" s="302" t="str">
        <f t="shared" si="153"/>
        <v/>
      </c>
      <c r="HO187" s="302" t="str">
        <f t="shared" si="146"/>
        <v/>
      </c>
      <c r="HP187" s="302" t="str">
        <f t="shared" si="147"/>
        <v/>
      </c>
      <c r="HQ187" s="302" t="str">
        <f t="shared" si="148"/>
        <v/>
      </c>
      <c r="IT187" s="411"/>
      <c r="IU187" s="411"/>
      <c r="IV187" s="635"/>
    </row>
    <row r="188" spans="1:256" s="302" customFormat="1" ht="12.75" hidden="1" customHeight="1">
      <c r="A188" s="397" t="str">
        <f t="shared" si="145"/>
        <v/>
      </c>
      <c r="B188" s="462" t="str">
        <f>IF(D188="","",B187+1)</f>
        <v/>
      </c>
      <c r="C188" s="426"/>
      <c r="D188" s="575"/>
      <c r="E188" s="463"/>
      <c r="F188" s="464"/>
      <c r="G188" s="465"/>
      <c r="H188" s="465"/>
      <c r="I188" s="466"/>
      <c r="J188" s="463"/>
      <c r="K188" s="465"/>
      <c r="L188" s="465"/>
      <c r="M188" s="466"/>
      <c r="N188" s="573"/>
      <c r="O188" s="467"/>
      <c r="P188" s="518"/>
      <c r="Q188" s="381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4"/>
      <c r="AB188" s="182" t="str">
        <f t="shared" si="154"/>
        <v/>
      </c>
      <c r="AC188" s="315">
        <f t="shared" si="155"/>
        <v>0</v>
      </c>
      <c r="AD188" s="315" t="str">
        <f t="shared" si="150"/>
        <v/>
      </c>
      <c r="AE188" s="182"/>
      <c r="AF188" s="182"/>
      <c r="AG188" s="182"/>
      <c r="AH188" s="221"/>
      <c r="AI188" s="221"/>
      <c r="AJ188" s="221"/>
      <c r="AK188" s="221"/>
      <c r="AL188" s="221"/>
      <c r="AM188" s="221"/>
      <c r="AN188" s="221"/>
      <c r="AO188" s="221"/>
      <c r="AP188" s="221"/>
      <c r="AQ188" s="182"/>
      <c r="AR188" s="182"/>
      <c r="AS188" s="182"/>
      <c r="AT188" s="182"/>
      <c r="AU188" s="221" t="str">
        <f t="shared" si="156"/>
        <v/>
      </c>
      <c r="AV188" s="221" t="str">
        <f t="shared" si="157"/>
        <v/>
      </c>
      <c r="AW188" s="221"/>
      <c r="AX188" s="221"/>
      <c r="AY188" s="221"/>
      <c r="AZ188" s="221"/>
      <c r="BA188" s="221"/>
      <c r="BB188" s="221"/>
      <c r="BC188" s="221"/>
      <c r="BD188" s="221"/>
      <c r="BE188" s="221"/>
      <c r="BF188" s="469">
        <f t="shared" si="158"/>
        <v>0</v>
      </c>
      <c r="BG188" s="315">
        <f t="shared" si="159"/>
        <v>0</v>
      </c>
      <c r="BH188" s="315" t="str">
        <f t="shared" si="160"/>
        <v/>
      </c>
      <c r="BI188" s="182"/>
      <c r="BJ188" s="182"/>
      <c r="BK188" s="182"/>
      <c r="BL188" s="221"/>
      <c r="BM188" s="221"/>
      <c r="BN188" s="221"/>
      <c r="BO188" s="221"/>
      <c r="BP188" s="221"/>
      <c r="BQ188" s="221"/>
      <c r="BR188" s="221"/>
      <c r="BS188" s="221"/>
      <c r="BT188" s="221"/>
      <c r="BU188" s="182"/>
      <c r="BV188" s="182"/>
      <c r="BW188" s="182"/>
      <c r="BX188" s="182"/>
      <c r="BY188" s="221" t="str">
        <f t="shared" si="161"/>
        <v/>
      </c>
      <c r="BZ188" s="221" t="str">
        <f t="shared" si="162"/>
        <v/>
      </c>
      <c r="CA188" s="221"/>
      <c r="CB188" s="221"/>
      <c r="CC188" s="221"/>
      <c r="CD188" s="221"/>
      <c r="CE188" s="221"/>
      <c r="CF188" s="221"/>
      <c r="CG188" s="221"/>
      <c r="CH188" s="221"/>
      <c r="CI188" s="221"/>
      <c r="CJ188" s="469">
        <f t="shared" si="163"/>
        <v>0</v>
      </c>
      <c r="CK188" s="315">
        <f t="shared" si="164"/>
        <v>0</v>
      </c>
      <c r="CL188" s="315" t="str">
        <f t="shared" si="165"/>
        <v/>
      </c>
      <c r="CM188" s="182"/>
      <c r="CN188" s="182"/>
      <c r="CO188" s="182"/>
      <c r="CP188" s="221"/>
      <c r="CQ188" s="221"/>
      <c r="CR188" s="221"/>
      <c r="CS188" s="221"/>
      <c r="CT188" s="221"/>
      <c r="CU188" s="221"/>
      <c r="CV188" s="221"/>
      <c r="CW188" s="221"/>
      <c r="CX188" s="221"/>
      <c r="CY188" s="221"/>
      <c r="CZ188" s="182"/>
      <c r="DA188" s="182"/>
      <c r="DB188" s="182"/>
      <c r="DC188" s="182"/>
      <c r="DD188" s="221" t="str">
        <f t="shared" si="151"/>
        <v/>
      </c>
      <c r="DE188" s="221" t="str">
        <f t="shared" si="152"/>
        <v/>
      </c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469" t="str">
        <f t="shared" si="166"/>
        <v/>
      </c>
      <c r="DP188" s="315">
        <f t="shared" si="167"/>
        <v>0</v>
      </c>
      <c r="DQ188" s="315" t="str">
        <f t="shared" si="168"/>
        <v/>
      </c>
      <c r="DR188" s="182"/>
      <c r="DS188" s="182"/>
      <c r="DT188" s="182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182"/>
      <c r="EE188" s="182"/>
      <c r="EF188" s="182"/>
      <c r="EG188" s="182"/>
      <c r="EH188" s="221" t="str">
        <f t="shared" si="169"/>
        <v/>
      </c>
      <c r="EI188" s="221" t="str">
        <f t="shared" si="170"/>
        <v/>
      </c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  <c r="EU188" s="315">
        <f t="shared" si="171"/>
        <v>0</v>
      </c>
      <c r="EV188" s="315" t="str">
        <f t="shared" si="172"/>
        <v/>
      </c>
      <c r="EW188" s="182"/>
      <c r="EX188" s="182"/>
      <c r="EY188" s="182"/>
      <c r="EZ188" s="221"/>
      <c r="FA188" s="221"/>
      <c r="FB188" s="221"/>
      <c r="FC188" s="221"/>
      <c r="FD188" s="221"/>
      <c r="FE188" s="221"/>
      <c r="FF188" s="221"/>
      <c r="FG188" s="221"/>
      <c r="FH188" s="221"/>
      <c r="FI188" s="182"/>
      <c r="FJ188" s="182"/>
      <c r="FK188" s="182"/>
      <c r="FL188" s="182"/>
      <c r="FM188" s="221" t="str">
        <f t="shared" si="173"/>
        <v/>
      </c>
      <c r="FN188" s="221" t="str">
        <f t="shared" si="174"/>
        <v/>
      </c>
      <c r="FO188" s="221"/>
      <c r="FP188" s="221"/>
      <c r="FQ188" s="221"/>
      <c r="FR188" s="221"/>
      <c r="FS188" s="221"/>
      <c r="FT188" s="221"/>
      <c r="FU188" s="221"/>
      <c r="FV188" s="221"/>
      <c r="FW188" s="221"/>
      <c r="FX188" s="221"/>
      <c r="FY188" s="221"/>
      <c r="FZ188" s="408"/>
      <c r="GA188" s="315">
        <f t="shared" si="175"/>
        <v>0</v>
      </c>
      <c r="GB188" s="315" t="str">
        <f t="shared" si="176"/>
        <v/>
      </c>
      <c r="GC188" s="182" t="s">
        <v>160</v>
      </c>
      <c r="GD188" s="182"/>
      <c r="GE188" s="182"/>
      <c r="GG188" s="460"/>
      <c r="GH188" s="460"/>
      <c r="GU188" s="469"/>
      <c r="GV188" s="470" t="str">
        <f t="shared" si="177"/>
        <v/>
      </c>
      <c r="GW188" s="302">
        <f t="shared" si="178"/>
        <v>0</v>
      </c>
      <c r="HA188" s="654"/>
      <c r="HD188" s="379"/>
      <c r="HE188" s="380"/>
      <c r="HH188" s="385"/>
      <c r="HI188" s="411"/>
      <c r="HJ188" s="302" t="str">
        <f t="shared" si="153"/>
        <v/>
      </c>
      <c r="HO188" s="302" t="str">
        <f t="shared" si="146"/>
        <v/>
      </c>
      <c r="HP188" s="302" t="str">
        <f t="shared" si="147"/>
        <v/>
      </c>
      <c r="HQ188" s="302" t="str">
        <f t="shared" si="148"/>
        <v/>
      </c>
      <c r="IT188" s="411"/>
      <c r="IU188" s="411"/>
      <c r="IV188" s="635"/>
    </row>
    <row r="189" spans="1:256" s="302" customFormat="1" ht="12.75" hidden="1" customHeight="1">
      <c r="A189" s="397" t="str">
        <f t="shared" si="145"/>
        <v/>
      </c>
      <c r="B189" s="462" t="str">
        <f t="shared" si="149"/>
        <v/>
      </c>
      <c r="C189" s="426"/>
      <c r="D189" s="575"/>
      <c r="E189" s="463"/>
      <c r="F189" s="464"/>
      <c r="G189" s="465"/>
      <c r="H189" s="465"/>
      <c r="I189" s="466"/>
      <c r="J189" s="463"/>
      <c r="K189" s="465"/>
      <c r="L189" s="465"/>
      <c r="M189" s="466"/>
      <c r="N189" s="573"/>
      <c r="O189" s="467"/>
      <c r="P189" s="518"/>
      <c r="Q189" s="381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4"/>
      <c r="AB189" s="182" t="str">
        <f t="shared" si="154"/>
        <v/>
      </c>
      <c r="AC189" s="315">
        <f t="shared" si="155"/>
        <v>0</v>
      </c>
      <c r="AD189" s="315" t="str">
        <f t="shared" si="150"/>
        <v/>
      </c>
      <c r="AE189" s="182"/>
      <c r="AF189" s="182"/>
      <c r="AG189" s="182"/>
      <c r="AH189" s="221"/>
      <c r="AI189" s="221"/>
      <c r="AJ189" s="221"/>
      <c r="AK189" s="221"/>
      <c r="AL189" s="221"/>
      <c r="AM189" s="221"/>
      <c r="AN189" s="221"/>
      <c r="AO189" s="221"/>
      <c r="AP189" s="221"/>
      <c r="AQ189" s="182"/>
      <c r="AR189" s="182"/>
      <c r="AS189" s="182"/>
      <c r="AT189" s="182"/>
      <c r="AU189" s="221" t="str">
        <f t="shared" si="156"/>
        <v/>
      </c>
      <c r="AV189" s="221" t="str">
        <f t="shared" si="157"/>
        <v/>
      </c>
      <c r="AW189" s="221"/>
      <c r="AX189" s="221"/>
      <c r="AY189" s="221"/>
      <c r="AZ189" s="221"/>
      <c r="BA189" s="221"/>
      <c r="BB189" s="221"/>
      <c r="BC189" s="221"/>
      <c r="BD189" s="221"/>
      <c r="BE189" s="221"/>
      <c r="BF189" s="469">
        <f t="shared" si="158"/>
        <v>0</v>
      </c>
      <c r="BG189" s="315">
        <f t="shared" si="159"/>
        <v>0</v>
      </c>
      <c r="BH189" s="315" t="str">
        <f t="shared" si="160"/>
        <v/>
      </c>
      <c r="BI189" s="182"/>
      <c r="BJ189" s="182"/>
      <c r="BK189" s="182"/>
      <c r="BL189" s="221"/>
      <c r="BM189" s="221"/>
      <c r="BN189" s="221"/>
      <c r="BO189" s="221"/>
      <c r="BP189" s="221"/>
      <c r="BQ189" s="221"/>
      <c r="BR189" s="221"/>
      <c r="BS189" s="221"/>
      <c r="BT189" s="221"/>
      <c r="BU189" s="182"/>
      <c r="BV189" s="182"/>
      <c r="BW189" s="182"/>
      <c r="BX189" s="182"/>
      <c r="BY189" s="221" t="str">
        <f t="shared" si="161"/>
        <v/>
      </c>
      <c r="BZ189" s="221" t="str">
        <f t="shared" si="162"/>
        <v/>
      </c>
      <c r="CA189" s="221"/>
      <c r="CB189" s="221"/>
      <c r="CC189" s="221"/>
      <c r="CD189" s="221"/>
      <c r="CE189" s="221"/>
      <c r="CF189" s="221"/>
      <c r="CG189" s="221"/>
      <c r="CH189" s="221"/>
      <c r="CI189" s="221"/>
      <c r="CJ189" s="469">
        <f t="shared" si="163"/>
        <v>0</v>
      </c>
      <c r="CK189" s="315">
        <f t="shared" si="164"/>
        <v>0</v>
      </c>
      <c r="CL189" s="315" t="str">
        <f t="shared" si="165"/>
        <v/>
      </c>
      <c r="CM189" s="182"/>
      <c r="CN189" s="182"/>
      <c r="CO189" s="182"/>
      <c r="CP189" s="221"/>
      <c r="CQ189" s="221"/>
      <c r="CR189" s="221"/>
      <c r="CS189" s="221"/>
      <c r="CT189" s="221"/>
      <c r="CU189" s="221"/>
      <c r="CV189" s="221"/>
      <c r="CW189" s="221"/>
      <c r="CX189" s="221"/>
      <c r="CY189" s="221"/>
      <c r="CZ189" s="182"/>
      <c r="DA189" s="182"/>
      <c r="DB189" s="182"/>
      <c r="DC189" s="182"/>
      <c r="DD189" s="221" t="str">
        <f t="shared" si="151"/>
        <v/>
      </c>
      <c r="DE189" s="221" t="str">
        <f t="shared" si="152"/>
        <v/>
      </c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469" t="str">
        <f t="shared" si="166"/>
        <v/>
      </c>
      <c r="DP189" s="315">
        <f t="shared" si="167"/>
        <v>0</v>
      </c>
      <c r="DQ189" s="315" t="str">
        <f t="shared" si="168"/>
        <v/>
      </c>
      <c r="DR189" s="182"/>
      <c r="DS189" s="182"/>
      <c r="DT189" s="182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182"/>
      <c r="EE189" s="182"/>
      <c r="EF189" s="182"/>
      <c r="EG189" s="182"/>
      <c r="EH189" s="221" t="str">
        <f t="shared" si="169"/>
        <v/>
      </c>
      <c r="EI189" s="221" t="str">
        <f t="shared" si="170"/>
        <v/>
      </c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  <c r="EU189" s="315">
        <f t="shared" si="171"/>
        <v>0</v>
      </c>
      <c r="EV189" s="315" t="str">
        <f t="shared" si="172"/>
        <v/>
      </c>
      <c r="EW189" s="182"/>
      <c r="EX189" s="182"/>
      <c r="EY189" s="182"/>
      <c r="EZ189" s="221"/>
      <c r="FA189" s="221"/>
      <c r="FB189" s="221"/>
      <c r="FC189" s="221"/>
      <c r="FD189" s="221"/>
      <c r="FE189" s="221"/>
      <c r="FF189" s="221"/>
      <c r="FG189" s="221"/>
      <c r="FH189" s="221"/>
      <c r="FI189" s="182"/>
      <c r="FJ189" s="182"/>
      <c r="FK189" s="182"/>
      <c r="FL189" s="182"/>
      <c r="FM189" s="221" t="str">
        <f t="shared" si="173"/>
        <v/>
      </c>
      <c r="FN189" s="221" t="str">
        <f t="shared" si="174"/>
        <v/>
      </c>
      <c r="FO189" s="221"/>
      <c r="FP189" s="221"/>
      <c r="FQ189" s="221"/>
      <c r="FR189" s="221"/>
      <c r="FS189" s="221"/>
      <c r="FT189" s="221"/>
      <c r="FU189" s="221"/>
      <c r="FV189" s="221"/>
      <c r="FW189" s="221"/>
      <c r="FX189" s="221"/>
      <c r="FY189" s="221"/>
      <c r="FZ189" s="408"/>
      <c r="GA189" s="315">
        <f t="shared" si="175"/>
        <v>0</v>
      </c>
      <c r="GB189" s="315" t="str">
        <f t="shared" si="176"/>
        <v/>
      </c>
      <c r="GC189" s="182" t="s">
        <v>160</v>
      </c>
      <c r="GD189" s="182"/>
      <c r="GE189" s="182"/>
      <c r="GG189" s="460"/>
      <c r="GH189" s="460"/>
      <c r="GU189" s="469"/>
      <c r="GV189" s="470" t="str">
        <f t="shared" si="177"/>
        <v/>
      </c>
      <c r="GW189" s="302">
        <f t="shared" si="178"/>
        <v>0</v>
      </c>
      <c r="HA189" s="654"/>
      <c r="HD189" s="379"/>
      <c r="HE189" s="380"/>
      <c r="HH189" s="385"/>
      <c r="HI189" s="411"/>
      <c r="HJ189" s="302" t="str">
        <f t="shared" si="153"/>
        <v/>
      </c>
      <c r="HO189" s="302" t="str">
        <f t="shared" si="146"/>
        <v/>
      </c>
      <c r="HP189" s="302" t="str">
        <f t="shared" si="147"/>
        <v/>
      </c>
      <c r="HQ189" s="302" t="str">
        <f t="shared" si="148"/>
        <v/>
      </c>
      <c r="IT189" s="411"/>
      <c r="IU189" s="411"/>
      <c r="IV189" s="635"/>
    </row>
    <row r="190" spans="1:256" s="302" customFormat="1" ht="12.75" hidden="1" customHeight="1">
      <c r="A190" s="397" t="str">
        <f t="shared" si="145"/>
        <v/>
      </c>
      <c r="B190" s="462" t="str">
        <f t="shared" si="149"/>
        <v/>
      </c>
      <c r="C190" s="426"/>
      <c r="D190" s="575"/>
      <c r="E190" s="463"/>
      <c r="F190" s="464"/>
      <c r="G190" s="465"/>
      <c r="H190" s="465"/>
      <c r="I190" s="466"/>
      <c r="J190" s="463"/>
      <c r="K190" s="465"/>
      <c r="L190" s="465"/>
      <c r="M190" s="466"/>
      <c r="N190" s="573"/>
      <c r="O190" s="467"/>
      <c r="P190" s="518"/>
      <c r="Q190" s="381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4"/>
      <c r="AB190" s="182" t="str">
        <f t="shared" si="154"/>
        <v/>
      </c>
      <c r="AC190" s="315">
        <f t="shared" si="155"/>
        <v>0</v>
      </c>
      <c r="AD190" s="315" t="str">
        <f t="shared" si="150"/>
        <v/>
      </c>
      <c r="AE190" s="182"/>
      <c r="AF190" s="182"/>
      <c r="AG190" s="182"/>
      <c r="AH190" s="221"/>
      <c r="AI190" s="221"/>
      <c r="AJ190" s="221"/>
      <c r="AK190" s="221"/>
      <c r="AL190" s="221"/>
      <c r="AM190" s="221"/>
      <c r="AN190" s="221"/>
      <c r="AO190" s="221"/>
      <c r="AP190" s="221"/>
      <c r="AQ190" s="182"/>
      <c r="AR190" s="182"/>
      <c r="AS190" s="182"/>
      <c r="AT190" s="182"/>
      <c r="AU190" s="221" t="str">
        <f t="shared" si="156"/>
        <v/>
      </c>
      <c r="AV190" s="221" t="str">
        <f t="shared" si="157"/>
        <v/>
      </c>
      <c r="AW190" s="221"/>
      <c r="AX190" s="221"/>
      <c r="AY190" s="221"/>
      <c r="AZ190" s="221"/>
      <c r="BA190" s="221"/>
      <c r="BB190" s="221"/>
      <c r="BC190" s="221"/>
      <c r="BD190" s="221"/>
      <c r="BE190" s="221"/>
      <c r="BF190" s="469">
        <f t="shared" si="158"/>
        <v>0</v>
      </c>
      <c r="BG190" s="315">
        <f t="shared" si="159"/>
        <v>0</v>
      </c>
      <c r="BH190" s="315" t="str">
        <f t="shared" si="160"/>
        <v/>
      </c>
      <c r="BI190" s="182"/>
      <c r="BJ190" s="182"/>
      <c r="BK190" s="182"/>
      <c r="BL190" s="221"/>
      <c r="BM190" s="221"/>
      <c r="BN190" s="221"/>
      <c r="BO190" s="221"/>
      <c r="BP190" s="221"/>
      <c r="BQ190" s="221"/>
      <c r="BR190" s="221"/>
      <c r="BS190" s="221"/>
      <c r="BT190" s="221"/>
      <c r="BU190" s="182"/>
      <c r="BV190" s="182"/>
      <c r="BW190" s="182"/>
      <c r="BX190" s="182"/>
      <c r="BY190" s="221" t="str">
        <f t="shared" si="161"/>
        <v/>
      </c>
      <c r="BZ190" s="221" t="str">
        <f t="shared" si="162"/>
        <v/>
      </c>
      <c r="CA190" s="221"/>
      <c r="CB190" s="221"/>
      <c r="CC190" s="221"/>
      <c r="CD190" s="221"/>
      <c r="CE190" s="221"/>
      <c r="CF190" s="221"/>
      <c r="CG190" s="221"/>
      <c r="CH190" s="221"/>
      <c r="CI190" s="221"/>
      <c r="CJ190" s="469">
        <f t="shared" si="163"/>
        <v>0</v>
      </c>
      <c r="CK190" s="315">
        <f t="shared" si="164"/>
        <v>0</v>
      </c>
      <c r="CL190" s="315" t="str">
        <f t="shared" si="165"/>
        <v/>
      </c>
      <c r="CM190" s="182"/>
      <c r="CN190" s="182"/>
      <c r="CO190" s="182"/>
      <c r="CP190" s="221"/>
      <c r="CQ190" s="221"/>
      <c r="CR190" s="221"/>
      <c r="CS190" s="221"/>
      <c r="CT190" s="221"/>
      <c r="CU190" s="221"/>
      <c r="CV190" s="221"/>
      <c r="CW190" s="221"/>
      <c r="CX190" s="221"/>
      <c r="CY190" s="221"/>
      <c r="CZ190" s="182"/>
      <c r="DA190" s="182"/>
      <c r="DB190" s="182"/>
      <c r="DC190" s="182"/>
      <c r="DD190" s="221" t="str">
        <f t="shared" si="151"/>
        <v/>
      </c>
      <c r="DE190" s="221" t="str">
        <f t="shared" si="152"/>
        <v/>
      </c>
      <c r="DF190" s="221"/>
      <c r="DG190" s="221"/>
      <c r="DH190" s="221"/>
      <c r="DI190" s="221"/>
      <c r="DJ190" s="221"/>
      <c r="DK190" s="221"/>
      <c r="DL190" s="221"/>
      <c r="DM190" s="221"/>
      <c r="DN190" s="221"/>
      <c r="DO190" s="469" t="str">
        <f t="shared" si="166"/>
        <v/>
      </c>
      <c r="DP190" s="315">
        <f t="shared" si="167"/>
        <v>0</v>
      </c>
      <c r="DQ190" s="315" t="str">
        <f t="shared" si="168"/>
        <v/>
      </c>
      <c r="DR190" s="224"/>
      <c r="DS190" s="224"/>
      <c r="DT190" s="224"/>
      <c r="DU190" s="492"/>
      <c r="DV190" s="492"/>
      <c r="DW190" s="492"/>
      <c r="DX190" s="492"/>
      <c r="DY190" s="492"/>
      <c r="DZ190" s="492"/>
      <c r="EA190" s="492"/>
      <c r="EB190" s="492"/>
      <c r="EC190" s="492"/>
      <c r="ED190" s="224"/>
      <c r="EE190" s="224"/>
      <c r="EF190" s="224"/>
      <c r="EG190" s="224"/>
      <c r="EH190" s="221" t="str">
        <f t="shared" si="169"/>
        <v/>
      </c>
      <c r="EI190" s="221" t="str">
        <f t="shared" si="170"/>
        <v/>
      </c>
      <c r="EJ190" s="221"/>
      <c r="EK190" s="221"/>
      <c r="EL190" s="221"/>
      <c r="EM190" s="221"/>
      <c r="EN190" s="221"/>
      <c r="EO190" s="221"/>
      <c r="EP190" s="221"/>
      <c r="EQ190" s="221"/>
      <c r="ER190" s="221"/>
      <c r="ES190" s="221"/>
      <c r="ET190" s="221"/>
      <c r="EU190" s="315">
        <f t="shared" si="171"/>
        <v>0</v>
      </c>
      <c r="EV190" s="315" t="str">
        <f t="shared" si="172"/>
        <v/>
      </c>
      <c r="EW190" s="182"/>
      <c r="EX190" s="182"/>
      <c r="EY190" s="182"/>
      <c r="EZ190" s="221"/>
      <c r="FA190" s="221"/>
      <c r="FB190" s="221"/>
      <c r="FC190" s="221"/>
      <c r="FD190" s="221"/>
      <c r="FE190" s="221"/>
      <c r="FF190" s="221"/>
      <c r="FG190" s="221"/>
      <c r="FH190" s="221"/>
      <c r="FI190" s="182"/>
      <c r="FJ190" s="182"/>
      <c r="FK190" s="182"/>
      <c r="FL190" s="182"/>
      <c r="FM190" s="221" t="str">
        <f t="shared" si="173"/>
        <v/>
      </c>
      <c r="FN190" s="221" t="str">
        <f t="shared" si="174"/>
        <v/>
      </c>
      <c r="FO190" s="221"/>
      <c r="FP190" s="221"/>
      <c r="FQ190" s="221"/>
      <c r="FR190" s="221"/>
      <c r="FS190" s="221"/>
      <c r="FT190" s="221"/>
      <c r="FU190" s="221"/>
      <c r="FV190" s="221"/>
      <c r="FW190" s="221"/>
      <c r="FX190" s="221"/>
      <c r="FY190" s="221"/>
      <c r="FZ190" s="408"/>
      <c r="GA190" s="315">
        <f t="shared" si="175"/>
        <v>0</v>
      </c>
      <c r="GB190" s="315" t="str">
        <f t="shared" si="176"/>
        <v/>
      </c>
      <c r="GC190" s="182" t="s">
        <v>160</v>
      </c>
      <c r="GD190" s="182"/>
      <c r="GE190" s="182"/>
      <c r="GG190" s="460"/>
      <c r="GH190" s="460"/>
      <c r="GU190" s="469"/>
      <c r="GV190" s="470" t="str">
        <f t="shared" si="177"/>
        <v/>
      </c>
      <c r="GW190" s="302">
        <f t="shared" si="178"/>
        <v>0</v>
      </c>
      <c r="HA190" s="654"/>
      <c r="HD190" s="379"/>
      <c r="HE190" s="380"/>
      <c r="HH190" s="385"/>
      <c r="HI190" s="411"/>
      <c r="HJ190" s="302" t="str">
        <f t="shared" si="153"/>
        <v/>
      </c>
      <c r="HO190" s="302" t="str">
        <f t="shared" si="146"/>
        <v/>
      </c>
      <c r="HP190" s="302" t="str">
        <f t="shared" si="147"/>
        <v/>
      </c>
      <c r="HQ190" s="302" t="str">
        <f t="shared" si="148"/>
        <v/>
      </c>
      <c r="IT190" s="411"/>
      <c r="IU190" s="411"/>
      <c r="IV190" s="635"/>
    </row>
    <row r="191" spans="1:256" s="302" customFormat="1" ht="12.75" hidden="1" customHeight="1">
      <c r="A191" s="397" t="str">
        <f t="shared" si="145"/>
        <v/>
      </c>
      <c r="B191" s="462" t="str">
        <f t="shared" si="149"/>
        <v/>
      </c>
      <c r="C191" s="426"/>
      <c r="D191" s="575"/>
      <c r="E191" s="463"/>
      <c r="F191" s="464"/>
      <c r="G191" s="465"/>
      <c r="H191" s="465"/>
      <c r="I191" s="466"/>
      <c r="J191" s="463"/>
      <c r="K191" s="465"/>
      <c r="L191" s="465"/>
      <c r="M191" s="466"/>
      <c r="N191" s="573"/>
      <c r="O191" s="467"/>
      <c r="P191" s="518"/>
      <c r="Q191" s="381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4"/>
      <c r="AB191" s="182" t="str">
        <f t="shared" si="154"/>
        <v/>
      </c>
      <c r="AC191" s="315">
        <f t="shared" si="155"/>
        <v>0</v>
      </c>
      <c r="AD191" s="315" t="str">
        <f t="shared" si="150"/>
        <v/>
      </c>
      <c r="AE191" s="182"/>
      <c r="AF191" s="182"/>
      <c r="AG191" s="182"/>
      <c r="AH191" s="221"/>
      <c r="AI191" s="221"/>
      <c r="AJ191" s="221"/>
      <c r="AK191" s="221"/>
      <c r="AL191" s="221"/>
      <c r="AM191" s="221"/>
      <c r="AN191" s="221"/>
      <c r="AO191" s="221"/>
      <c r="AP191" s="221"/>
      <c r="AQ191" s="182"/>
      <c r="AR191" s="182"/>
      <c r="AS191" s="182"/>
      <c r="AT191" s="182"/>
      <c r="AU191" s="221" t="str">
        <f t="shared" si="156"/>
        <v/>
      </c>
      <c r="AV191" s="221" t="str">
        <f t="shared" si="157"/>
        <v/>
      </c>
      <c r="AW191" s="221"/>
      <c r="AX191" s="221"/>
      <c r="AY191" s="221"/>
      <c r="AZ191" s="221"/>
      <c r="BA191" s="221"/>
      <c r="BB191" s="221"/>
      <c r="BC191" s="221"/>
      <c r="BD191" s="221"/>
      <c r="BE191" s="221"/>
      <c r="BF191" s="469">
        <f t="shared" si="158"/>
        <v>0</v>
      </c>
      <c r="BG191" s="315">
        <f t="shared" si="159"/>
        <v>0</v>
      </c>
      <c r="BH191" s="315" t="str">
        <f t="shared" si="160"/>
        <v/>
      </c>
      <c r="BI191" s="182"/>
      <c r="BJ191" s="182"/>
      <c r="BK191" s="182"/>
      <c r="BL191" s="221"/>
      <c r="BM191" s="221"/>
      <c r="BN191" s="221"/>
      <c r="BO191" s="221"/>
      <c r="BP191" s="221"/>
      <c r="BQ191" s="221"/>
      <c r="BR191" s="221"/>
      <c r="BS191" s="221"/>
      <c r="BT191" s="221"/>
      <c r="BU191" s="182"/>
      <c r="BV191" s="182"/>
      <c r="BW191" s="182"/>
      <c r="BX191" s="182"/>
      <c r="BY191" s="221" t="str">
        <f t="shared" si="161"/>
        <v/>
      </c>
      <c r="BZ191" s="221" t="str">
        <f t="shared" si="162"/>
        <v/>
      </c>
      <c r="CA191" s="221"/>
      <c r="CB191" s="221"/>
      <c r="CC191" s="221"/>
      <c r="CD191" s="221"/>
      <c r="CE191" s="221"/>
      <c r="CF191" s="221"/>
      <c r="CG191" s="221"/>
      <c r="CH191" s="221"/>
      <c r="CI191" s="221"/>
      <c r="CJ191" s="469">
        <f t="shared" si="163"/>
        <v>0</v>
      </c>
      <c r="CK191" s="315">
        <f t="shared" si="164"/>
        <v>0</v>
      </c>
      <c r="CL191" s="315" t="str">
        <f t="shared" si="165"/>
        <v/>
      </c>
      <c r="CM191" s="182"/>
      <c r="CN191" s="182"/>
      <c r="CO191" s="182"/>
      <c r="CP191" s="221"/>
      <c r="CQ191" s="221"/>
      <c r="CR191" s="221"/>
      <c r="CS191" s="221"/>
      <c r="CT191" s="221"/>
      <c r="CU191" s="221"/>
      <c r="CV191" s="221"/>
      <c r="CW191" s="221"/>
      <c r="CX191" s="221"/>
      <c r="CY191" s="221"/>
      <c r="CZ191" s="182"/>
      <c r="DA191" s="182"/>
      <c r="DB191" s="182"/>
      <c r="DC191" s="182"/>
      <c r="DD191" s="221" t="str">
        <f t="shared" si="151"/>
        <v/>
      </c>
      <c r="DE191" s="221" t="str">
        <f t="shared" si="152"/>
        <v/>
      </c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469" t="str">
        <f t="shared" si="166"/>
        <v/>
      </c>
      <c r="DP191" s="315">
        <f t="shared" si="167"/>
        <v>0</v>
      </c>
      <c r="DQ191" s="315" t="str">
        <f t="shared" si="168"/>
        <v/>
      </c>
      <c r="DR191" s="182"/>
      <c r="DS191" s="182"/>
      <c r="DT191" s="182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182"/>
      <c r="EE191" s="182"/>
      <c r="EF191" s="182"/>
      <c r="EG191" s="182"/>
      <c r="EH191" s="221" t="str">
        <f t="shared" si="169"/>
        <v/>
      </c>
      <c r="EI191" s="221" t="str">
        <f t="shared" si="170"/>
        <v/>
      </c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  <c r="EU191" s="315">
        <f t="shared" si="171"/>
        <v>0</v>
      </c>
      <c r="EV191" s="315" t="str">
        <f t="shared" si="172"/>
        <v/>
      </c>
      <c r="EW191" s="182"/>
      <c r="EX191" s="182"/>
      <c r="EY191" s="182"/>
      <c r="EZ191" s="221"/>
      <c r="FA191" s="221"/>
      <c r="FB191" s="221"/>
      <c r="FC191" s="221"/>
      <c r="FD191" s="221"/>
      <c r="FE191" s="221"/>
      <c r="FF191" s="221"/>
      <c r="FG191" s="221"/>
      <c r="FH191" s="221"/>
      <c r="FI191" s="182"/>
      <c r="FJ191" s="182"/>
      <c r="FK191" s="182"/>
      <c r="FL191" s="182"/>
      <c r="FM191" s="221" t="str">
        <f t="shared" si="173"/>
        <v/>
      </c>
      <c r="FN191" s="221" t="str">
        <f t="shared" si="174"/>
        <v/>
      </c>
      <c r="FO191" s="221"/>
      <c r="FP191" s="221"/>
      <c r="FQ191" s="221"/>
      <c r="FR191" s="221"/>
      <c r="FS191" s="221"/>
      <c r="FT191" s="221"/>
      <c r="FU191" s="221"/>
      <c r="FV191" s="221"/>
      <c r="FW191" s="221"/>
      <c r="FX191" s="221"/>
      <c r="FY191" s="221"/>
      <c r="FZ191" s="408"/>
      <c r="GA191" s="315">
        <f t="shared" si="175"/>
        <v>0</v>
      </c>
      <c r="GB191" s="315" t="str">
        <f t="shared" si="176"/>
        <v/>
      </c>
      <c r="GC191" s="182" t="s">
        <v>160</v>
      </c>
      <c r="GD191" s="182"/>
      <c r="GE191" s="182"/>
      <c r="GG191" s="460"/>
      <c r="GH191" s="460"/>
      <c r="GU191" s="469"/>
      <c r="GV191" s="470" t="str">
        <f t="shared" si="177"/>
        <v/>
      </c>
      <c r="GW191" s="302">
        <f t="shared" si="178"/>
        <v>0</v>
      </c>
      <c r="HA191" s="654"/>
      <c r="HD191" s="379"/>
      <c r="HE191" s="380"/>
      <c r="HH191" s="385"/>
      <c r="HI191" s="411"/>
      <c r="HJ191" s="302" t="str">
        <f t="shared" si="153"/>
        <v/>
      </c>
      <c r="HO191" s="302" t="str">
        <f t="shared" si="146"/>
        <v/>
      </c>
      <c r="HP191" s="302" t="str">
        <f t="shared" si="147"/>
        <v/>
      </c>
      <c r="HQ191" s="302" t="str">
        <f t="shared" si="148"/>
        <v/>
      </c>
      <c r="IT191" s="411"/>
      <c r="IU191" s="411"/>
      <c r="IV191" s="635"/>
    </row>
    <row r="192" spans="1:256" s="302" customFormat="1" ht="12.75" hidden="1" customHeight="1">
      <c r="A192" s="397" t="str">
        <f t="shared" si="145"/>
        <v/>
      </c>
      <c r="B192" s="462" t="str">
        <f t="shared" si="149"/>
        <v/>
      </c>
      <c r="C192" s="426"/>
      <c r="D192" s="575"/>
      <c r="E192" s="463"/>
      <c r="F192" s="464"/>
      <c r="G192" s="465"/>
      <c r="H192" s="465"/>
      <c r="I192" s="466"/>
      <c r="J192" s="463"/>
      <c r="K192" s="465"/>
      <c r="L192" s="465"/>
      <c r="M192" s="466"/>
      <c r="N192" s="573"/>
      <c r="O192" s="467"/>
      <c r="P192" s="518"/>
      <c r="Q192" s="381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4"/>
      <c r="AB192" s="182" t="str">
        <f t="shared" si="154"/>
        <v/>
      </c>
      <c r="AC192" s="315">
        <f t="shared" si="155"/>
        <v>0</v>
      </c>
      <c r="AD192" s="315" t="str">
        <f t="shared" si="150"/>
        <v/>
      </c>
      <c r="AE192" s="182"/>
      <c r="AF192" s="182"/>
      <c r="AG192" s="182"/>
      <c r="AH192" s="221"/>
      <c r="AI192" s="221"/>
      <c r="AJ192" s="221"/>
      <c r="AK192" s="221"/>
      <c r="AL192" s="221"/>
      <c r="AM192" s="221"/>
      <c r="AN192" s="221"/>
      <c r="AO192" s="221"/>
      <c r="AP192" s="221"/>
      <c r="AQ192" s="182"/>
      <c r="AR192" s="182"/>
      <c r="AS192" s="182"/>
      <c r="AT192" s="182"/>
      <c r="AU192" s="221" t="str">
        <f t="shared" si="156"/>
        <v/>
      </c>
      <c r="AV192" s="221" t="str">
        <f t="shared" si="157"/>
        <v/>
      </c>
      <c r="AW192" s="221"/>
      <c r="AX192" s="221"/>
      <c r="AY192" s="221"/>
      <c r="AZ192" s="221"/>
      <c r="BA192" s="221"/>
      <c r="BB192" s="221"/>
      <c r="BC192" s="221"/>
      <c r="BD192" s="221"/>
      <c r="BE192" s="221"/>
      <c r="BF192" s="469">
        <f t="shared" si="158"/>
        <v>0</v>
      </c>
      <c r="BG192" s="315">
        <f t="shared" si="159"/>
        <v>0</v>
      </c>
      <c r="BH192" s="315" t="str">
        <f t="shared" si="160"/>
        <v/>
      </c>
      <c r="BI192" s="182"/>
      <c r="BJ192" s="182"/>
      <c r="BK192" s="182"/>
      <c r="BL192" s="221"/>
      <c r="BM192" s="221"/>
      <c r="BN192" s="221"/>
      <c r="BO192" s="221"/>
      <c r="BP192" s="221"/>
      <c r="BQ192" s="221"/>
      <c r="BR192" s="221"/>
      <c r="BS192" s="221"/>
      <c r="BT192" s="221"/>
      <c r="BU192" s="182"/>
      <c r="BV192" s="182"/>
      <c r="BW192" s="182"/>
      <c r="BX192" s="182"/>
      <c r="BY192" s="221" t="str">
        <f t="shared" si="161"/>
        <v/>
      </c>
      <c r="BZ192" s="221" t="str">
        <f t="shared" si="162"/>
        <v/>
      </c>
      <c r="CA192" s="221"/>
      <c r="CB192" s="221"/>
      <c r="CC192" s="221"/>
      <c r="CD192" s="221"/>
      <c r="CE192" s="221"/>
      <c r="CF192" s="221"/>
      <c r="CG192" s="221"/>
      <c r="CH192" s="221"/>
      <c r="CI192" s="221"/>
      <c r="CJ192" s="469">
        <f t="shared" si="163"/>
        <v>0</v>
      </c>
      <c r="CK192" s="315">
        <f t="shared" si="164"/>
        <v>0</v>
      </c>
      <c r="CL192" s="315" t="str">
        <f t="shared" si="165"/>
        <v/>
      </c>
      <c r="CM192" s="182"/>
      <c r="CN192" s="182"/>
      <c r="CO192" s="182"/>
      <c r="CP192" s="221"/>
      <c r="CQ192" s="221"/>
      <c r="CR192" s="221"/>
      <c r="CS192" s="221"/>
      <c r="CT192" s="221"/>
      <c r="CU192" s="221"/>
      <c r="CV192" s="221"/>
      <c r="CW192" s="221"/>
      <c r="CX192" s="221"/>
      <c r="CY192" s="221"/>
      <c r="CZ192" s="182"/>
      <c r="DA192" s="182"/>
      <c r="DB192" s="182"/>
      <c r="DC192" s="182"/>
      <c r="DD192" s="221" t="str">
        <f t="shared" si="151"/>
        <v/>
      </c>
      <c r="DE192" s="221" t="str">
        <f t="shared" si="152"/>
        <v/>
      </c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469" t="str">
        <f t="shared" si="166"/>
        <v/>
      </c>
      <c r="DP192" s="315">
        <f t="shared" si="167"/>
        <v>0</v>
      </c>
      <c r="DQ192" s="315" t="str">
        <f t="shared" si="168"/>
        <v/>
      </c>
      <c r="DR192" s="182"/>
      <c r="DS192" s="182"/>
      <c r="DT192" s="182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182"/>
      <c r="EE192" s="182"/>
      <c r="EF192" s="182"/>
      <c r="EG192" s="182"/>
      <c r="EH192" s="221" t="str">
        <f t="shared" si="169"/>
        <v/>
      </c>
      <c r="EI192" s="221" t="str">
        <f t="shared" si="170"/>
        <v/>
      </c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  <c r="EU192" s="315">
        <f t="shared" si="171"/>
        <v>0</v>
      </c>
      <c r="EV192" s="315" t="str">
        <f t="shared" si="172"/>
        <v/>
      </c>
      <c r="EW192" s="182"/>
      <c r="EX192" s="182"/>
      <c r="EY192" s="182"/>
      <c r="EZ192" s="221"/>
      <c r="FA192" s="221"/>
      <c r="FB192" s="221"/>
      <c r="FC192" s="221"/>
      <c r="FD192" s="221"/>
      <c r="FE192" s="221"/>
      <c r="FF192" s="221"/>
      <c r="FG192" s="221"/>
      <c r="FH192" s="221"/>
      <c r="FI192" s="182"/>
      <c r="FJ192" s="182"/>
      <c r="FK192" s="182"/>
      <c r="FL192" s="182"/>
      <c r="FM192" s="221" t="str">
        <f t="shared" si="173"/>
        <v/>
      </c>
      <c r="FN192" s="221" t="str">
        <f t="shared" si="174"/>
        <v/>
      </c>
      <c r="FO192" s="221"/>
      <c r="FP192" s="221"/>
      <c r="FQ192" s="221"/>
      <c r="FR192" s="221"/>
      <c r="FS192" s="221"/>
      <c r="FT192" s="221"/>
      <c r="FU192" s="221"/>
      <c r="FV192" s="221"/>
      <c r="FW192" s="221"/>
      <c r="FX192" s="221"/>
      <c r="FY192" s="221"/>
      <c r="FZ192" s="408"/>
      <c r="GA192" s="315">
        <f t="shared" si="175"/>
        <v>0</v>
      </c>
      <c r="GB192" s="315" t="str">
        <f t="shared" si="176"/>
        <v/>
      </c>
      <c r="GC192" s="182" t="s">
        <v>160</v>
      </c>
      <c r="GD192" s="182"/>
      <c r="GE192" s="182"/>
      <c r="GG192" s="460"/>
      <c r="GH192" s="460"/>
      <c r="GU192" s="469"/>
      <c r="GV192" s="470" t="str">
        <f t="shared" si="177"/>
        <v/>
      </c>
      <c r="GW192" s="302">
        <f t="shared" si="178"/>
        <v>0</v>
      </c>
      <c r="HA192" s="654"/>
      <c r="HD192" s="379"/>
      <c r="HE192" s="380"/>
      <c r="HH192" s="385"/>
      <c r="HI192" s="411"/>
      <c r="HJ192" s="302" t="str">
        <f t="shared" si="153"/>
        <v/>
      </c>
      <c r="HO192" s="302" t="str">
        <f t="shared" si="146"/>
        <v/>
      </c>
      <c r="HP192" s="302" t="str">
        <f t="shared" si="147"/>
        <v/>
      </c>
      <c r="HQ192" s="302" t="str">
        <f t="shared" si="148"/>
        <v/>
      </c>
      <c r="IT192" s="411"/>
      <c r="IU192" s="411"/>
      <c r="IV192" s="635"/>
    </row>
    <row r="193" spans="1:256" s="461" customFormat="1" ht="12.75" hidden="1" customHeight="1">
      <c r="A193" s="397" t="str">
        <f t="shared" si="145"/>
        <v/>
      </c>
      <c r="B193" s="462" t="str">
        <f t="shared" si="149"/>
        <v/>
      </c>
      <c r="C193" s="426"/>
      <c r="D193" s="575"/>
      <c r="E193" s="463"/>
      <c r="F193" s="464"/>
      <c r="G193" s="465"/>
      <c r="H193" s="465"/>
      <c r="I193" s="466"/>
      <c r="J193" s="463"/>
      <c r="K193" s="465"/>
      <c r="L193" s="465"/>
      <c r="M193" s="466"/>
      <c r="N193" s="573"/>
      <c r="O193" s="467"/>
      <c r="P193" s="518"/>
      <c r="Q193" s="381"/>
      <c r="R193" s="514"/>
      <c r="S193" s="514"/>
      <c r="T193" s="514"/>
      <c r="U193" s="514"/>
      <c r="V193" s="514"/>
      <c r="W193" s="514"/>
      <c r="X193" s="514"/>
      <c r="Y193" s="514"/>
      <c r="Z193" s="514"/>
      <c r="AA193" s="384"/>
      <c r="AB193" s="224" t="str">
        <f t="shared" si="154"/>
        <v/>
      </c>
      <c r="AC193" s="315">
        <f t="shared" si="155"/>
        <v>0</v>
      </c>
      <c r="AD193" s="315" t="str">
        <f t="shared" si="150"/>
        <v/>
      </c>
      <c r="AE193" s="182"/>
      <c r="AF193" s="182"/>
      <c r="AG193" s="182"/>
      <c r="AH193" s="221"/>
      <c r="AI193" s="221"/>
      <c r="AJ193" s="221"/>
      <c r="AK193" s="221"/>
      <c r="AL193" s="221"/>
      <c r="AM193" s="221"/>
      <c r="AN193" s="221"/>
      <c r="AO193" s="221"/>
      <c r="AP193" s="221"/>
      <c r="AQ193" s="182"/>
      <c r="AR193" s="182"/>
      <c r="AS193" s="182"/>
      <c r="AT193" s="182"/>
      <c r="AU193" s="492" t="str">
        <f t="shared" si="156"/>
        <v/>
      </c>
      <c r="AV193" s="492" t="str">
        <f t="shared" si="157"/>
        <v/>
      </c>
      <c r="AW193" s="492"/>
      <c r="AX193" s="492"/>
      <c r="AY193" s="492"/>
      <c r="AZ193" s="492"/>
      <c r="BA193" s="492"/>
      <c r="BB193" s="492"/>
      <c r="BC193" s="492"/>
      <c r="BD193" s="492"/>
      <c r="BE193" s="492"/>
      <c r="BF193" s="469">
        <f t="shared" si="158"/>
        <v>0</v>
      </c>
      <c r="BG193" s="315">
        <f t="shared" si="159"/>
        <v>0</v>
      </c>
      <c r="BH193" s="315" t="str">
        <f t="shared" si="160"/>
        <v/>
      </c>
      <c r="BI193" s="182"/>
      <c r="BJ193" s="182"/>
      <c r="BK193" s="182"/>
      <c r="BL193" s="221"/>
      <c r="BM193" s="221"/>
      <c r="BN193" s="221"/>
      <c r="BO193" s="221"/>
      <c r="BP193" s="221"/>
      <c r="BQ193" s="221"/>
      <c r="BR193" s="221"/>
      <c r="BS193" s="221"/>
      <c r="BT193" s="221"/>
      <c r="BU193" s="182"/>
      <c r="BV193" s="182"/>
      <c r="BW193" s="182"/>
      <c r="BX193" s="182"/>
      <c r="BY193" s="492" t="str">
        <f t="shared" si="161"/>
        <v/>
      </c>
      <c r="BZ193" s="492" t="str">
        <f t="shared" si="162"/>
        <v/>
      </c>
      <c r="CA193" s="492"/>
      <c r="CB193" s="492"/>
      <c r="CC193" s="492"/>
      <c r="CD193" s="492"/>
      <c r="CE193" s="492"/>
      <c r="CF193" s="492"/>
      <c r="CG193" s="492"/>
      <c r="CH193" s="492"/>
      <c r="CI193" s="492"/>
      <c r="CJ193" s="469">
        <f t="shared" si="163"/>
        <v>0</v>
      </c>
      <c r="CK193" s="315">
        <f t="shared" si="164"/>
        <v>0</v>
      </c>
      <c r="CL193" s="315" t="str">
        <f t="shared" si="165"/>
        <v/>
      </c>
      <c r="CM193" s="182"/>
      <c r="CN193" s="182"/>
      <c r="CO193" s="182"/>
      <c r="CP193" s="221"/>
      <c r="CQ193" s="221"/>
      <c r="CR193" s="221"/>
      <c r="CS193" s="221"/>
      <c r="CT193" s="221"/>
      <c r="CU193" s="221"/>
      <c r="CV193" s="221"/>
      <c r="CW193" s="221"/>
      <c r="CX193" s="221"/>
      <c r="CY193" s="221"/>
      <c r="CZ193" s="182"/>
      <c r="DA193" s="182"/>
      <c r="DB193" s="182"/>
      <c r="DC193" s="182"/>
      <c r="DD193" s="492" t="str">
        <f t="shared" si="151"/>
        <v/>
      </c>
      <c r="DE193" s="492" t="str">
        <f t="shared" si="152"/>
        <v/>
      </c>
      <c r="DF193" s="492"/>
      <c r="DG193" s="492"/>
      <c r="DH193" s="492"/>
      <c r="DI193" s="492"/>
      <c r="DJ193" s="492"/>
      <c r="DK193" s="492"/>
      <c r="DL193" s="492"/>
      <c r="DM193" s="492"/>
      <c r="DN193" s="492"/>
      <c r="DO193" s="469" t="str">
        <f t="shared" si="166"/>
        <v/>
      </c>
      <c r="DP193" s="315">
        <f t="shared" si="167"/>
        <v>0</v>
      </c>
      <c r="DQ193" s="315" t="str">
        <f t="shared" si="168"/>
        <v/>
      </c>
      <c r="DR193" s="182"/>
      <c r="DS193" s="182"/>
      <c r="DT193" s="182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182"/>
      <c r="EE193" s="182"/>
      <c r="EF193" s="182"/>
      <c r="EG193" s="182"/>
      <c r="EH193" s="492" t="str">
        <f t="shared" si="169"/>
        <v/>
      </c>
      <c r="EI193" s="492" t="str">
        <f t="shared" si="170"/>
        <v/>
      </c>
      <c r="EJ193" s="492"/>
      <c r="EK193" s="492"/>
      <c r="EL193" s="492"/>
      <c r="EM193" s="492"/>
      <c r="EN193" s="492"/>
      <c r="EO193" s="492"/>
      <c r="EP193" s="492"/>
      <c r="EQ193" s="492"/>
      <c r="ER193" s="492"/>
      <c r="ES193" s="492"/>
      <c r="ET193" s="492"/>
      <c r="EU193" s="315">
        <f t="shared" si="171"/>
        <v>0</v>
      </c>
      <c r="EV193" s="315" t="str">
        <f t="shared" si="172"/>
        <v/>
      </c>
      <c r="EW193" s="182"/>
      <c r="EX193" s="182"/>
      <c r="EY193" s="182"/>
      <c r="EZ193" s="221"/>
      <c r="FA193" s="221"/>
      <c r="FB193" s="221"/>
      <c r="FC193" s="221"/>
      <c r="FD193" s="221"/>
      <c r="FE193" s="221"/>
      <c r="FF193" s="221"/>
      <c r="FG193" s="221"/>
      <c r="FH193" s="221"/>
      <c r="FI193" s="182"/>
      <c r="FJ193" s="182"/>
      <c r="FK193" s="182"/>
      <c r="FL193" s="182"/>
      <c r="FM193" s="492" t="str">
        <f t="shared" si="173"/>
        <v/>
      </c>
      <c r="FN193" s="492" t="str">
        <f t="shared" si="174"/>
        <v/>
      </c>
      <c r="FO193" s="492"/>
      <c r="FP193" s="492"/>
      <c r="FQ193" s="492"/>
      <c r="FR193" s="492"/>
      <c r="FS193" s="492"/>
      <c r="FT193" s="492"/>
      <c r="FU193" s="492"/>
      <c r="FV193" s="492"/>
      <c r="FW193" s="492"/>
      <c r="FX193" s="492"/>
      <c r="FY193" s="492"/>
      <c r="FZ193" s="408"/>
      <c r="GA193" s="315">
        <f t="shared" si="175"/>
        <v>0</v>
      </c>
      <c r="GB193" s="315" t="str">
        <f t="shared" si="176"/>
        <v/>
      </c>
      <c r="GC193" s="182" t="s">
        <v>160</v>
      </c>
      <c r="GD193" s="182"/>
      <c r="GE193" s="182"/>
      <c r="GG193" s="460"/>
      <c r="GH193" s="460"/>
      <c r="GJ193" s="302"/>
      <c r="GK193" s="302"/>
      <c r="GL193" s="302"/>
      <c r="GM193" s="302"/>
      <c r="GO193" s="302"/>
      <c r="GP193" s="302"/>
      <c r="GQ193" s="302"/>
      <c r="GR193" s="302"/>
      <c r="GU193" s="469"/>
      <c r="GV193" s="470" t="str">
        <f t="shared" si="177"/>
        <v/>
      </c>
      <c r="GW193" s="461">
        <f t="shared" si="178"/>
        <v>0</v>
      </c>
      <c r="HA193" s="515"/>
      <c r="HD193" s="516"/>
      <c r="HE193" s="517"/>
      <c r="HH193" s="385"/>
      <c r="HI193" s="411"/>
      <c r="HJ193" s="461" t="str">
        <f t="shared" si="153"/>
        <v/>
      </c>
      <c r="HM193" s="302"/>
      <c r="HN193" s="302"/>
      <c r="HO193" s="461" t="str">
        <f t="shared" si="146"/>
        <v/>
      </c>
      <c r="HP193" s="461" t="str">
        <f t="shared" si="147"/>
        <v/>
      </c>
      <c r="HQ193" s="461" t="str">
        <f t="shared" si="148"/>
        <v/>
      </c>
      <c r="IT193" s="411"/>
      <c r="IU193" s="411"/>
      <c r="IV193" s="635"/>
    </row>
    <row r="194" spans="1:256" s="302" customFormat="1" ht="12.75" hidden="1" customHeight="1">
      <c r="A194" s="397" t="str">
        <f t="shared" si="145"/>
        <v/>
      </c>
      <c r="B194" s="462" t="str">
        <f t="shared" si="149"/>
        <v/>
      </c>
      <c r="C194" s="426"/>
      <c r="D194" s="575"/>
      <c r="E194" s="463"/>
      <c r="F194" s="464"/>
      <c r="G194" s="465"/>
      <c r="H194" s="465"/>
      <c r="I194" s="466"/>
      <c r="J194" s="463"/>
      <c r="K194" s="465"/>
      <c r="L194" s="465"/>
      <c r="M194" s="466"/>
      <c r="N194" s="573"/>
      <c r="O194" s="467"/>
      <c r="P194" s="518"/>
      <c r="Q194" s="381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4"/>
      <c r="AB194" s="182" t="str">
        <f t="shared" si="154"/>
        <v/>
      </c>
      <c r="AC194" s="315">
        <f t="shared" si="155"/>
        <v>0</v>
      </c>
      <c r="AD194" s="315" t="str">
        <f t="shared" si="150"/>
        <v/>
      </c>
      <c r="AE194" s="182"/>
      <c r="AF194" s="182"/>
      <c r="AG194" s="182"/>
      <c r="AH194" s="221"/>
      <c r="AI194" s="221"/>
      <c r="AJ194" s="221"/>
      <c r="AK194" s="221"/>
      <c r="AL194" s="221"/>
      <c r="AM194" s="221"/>
      <c r="AN194" s="221"/>
      <c r="AO194" s="221"/>
      <c r="AP194" s="221"/>
      <c r="AQ194" s="182"/>
      <c r="AR194" s="182"/>
      <c r="AS194" s="182"/>
      <c r="AT194" s="182"/>
      <c r="AU194" s="221" t="str">
        <f t="shared" si="156"/>
        <v/>
      </c>
      <c r="AV194" s="221" t="str">
        <f t="shared" si="157"/>
        <v/>
      </c>
      <c r="AW194" s="221"/>
      <c r="AX194" s="221"/>
      <c r="AY194" s="221"/>
      <c r="AZ194" s="221"/>
      <c r="BA194" s="221"/>
      <c r="BB194" s="221"/>
      <c r="BC194" s="221"/>
      <c r="BD194" s="221"/>
      <c r="BE194" s="221"/>
      <c r="BF194" s="469">
        <f t="shared" si="158"/>
        <v>0</v>
      </c>
      <c r="BG194" s="315">
        <f t="shared" si="159"/>
        <v>0</v>
      </c>
      <c r="BH194" s="315" t="str">
        <f t="shared" si="160"/>
        <v/>
      </c>
      <c r="BI194" s="182"/>
      <c r="BJ194" s="182"/>
      <c r="BK194" s="182"/>
      <c r="BL194" s="221"/>
      <c r="BM194" s="221"/>
      <c r="BN194" s="221"/>
      <c r="BO194" s="221"/>
      <c r="BP194" s="221"/>
      <c r="BQ194" s="221"/>
      <c r="BR194" s="221"/>
      <c r="BS194" s="221"/>
      <c r="BT194" s="221"/>
      <c r="BU194" s="182"/>
      <c r="BV194" s="182"/>
      <c r="BW194" s="182"/>
      <c r="BX194" s="182"/>
      <c r="BY194" s="221" t="str">
        <f t="shared" si="161"/>
        <v/>
      </c>
      <c r="BZ194" s="221" t="str">
        <f t="shared" si="162"/>
        <v/>
      </c>
      <c r="CA194" s="221"/>
      <c r="CB194" s="221"/>
      <c r="CC194" s="221"/>
      <c r="CD194" s="221"/>
      <c r="CE194" s="221"/>
      <c r="CF194" s="221"/>
      <c r="CG194" s="221"/>
      <c r="CH194" s="221"/>
      <c r="CI194" s="221"/>
      <c r="CJ194" s="469">
        <f t="shared" si="163"/>
        <v>0</v>
      </c>
      <c r="CK194" s="315">
        <f t="shared" si="164"/>
        <v>0</v>
      </c>
      <c r="CL194" s="315" t="str">
        <f t="shared" si="165"/>
        <v/>
      </c>
      <c r="CM194" s="182"/>
      <c r="CN194" s="182"/>
      <c r="CO194" s="182"/>
      <c r="CP194" s="221"/>
      <c r="CQ194" s="221"/>
      <c r="CR194" s="221"/>
      <c r="CS194" s="221"/>
      <c r="CT194" s="221"/>
      <c r="CU194" s="221"/>
      <c r="CV194" s="221"/>
      <c r="CW194" s="221"/>
      <c r="CX194" s="221"/>
      <c r="CY194" s="221"/>
      <c r="CZ194" s="182"/>
      <c r="DA194" s="182"/>
      <c r="DB194" s="182"/>
      <c r="DC194" s="182"/>
      <c r="DD194" s="221" t="str">
        <f t="shared" si="151"/>
        <v/>
      </c>
      <c r="DE194" s="221" t="str">
        <f t="shared" si="152"/>
        <v/>
      </c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469" t="str">
        <f t="shared" si="166"/>
        <v/>
      </c>
      <c r="DP194" s="315">
        <f t="shared" si="167"/>
        <v>0</v>
      </c>
      <c r="DQ194" s="315" t="str">
        <f t="shared" si="168"/>
        <v/>
      </c>
      <c r="DR194" s="182"/>
      <c r="DS194" s="182"/>
      <c r="DT194" s="182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182"/>
      <c r="EE194" s="182"/>
      <c r="EF194" s="182"/>
      <c r="EG194" s="182"/>
      <c r="EH194" s="221" t="str">
        <f t="shared" si="169"/>
        <v/>
      </c>
      <c r="EI194" s="221" t="str">
        <f t="shared" si="170"/>
        <v/>
      </c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  <c r="EU194" s="315">
        <f t="shared" si="171"/>
        <v>0</v>
      </c>
      <c r="EV194" s="315" t="str">
        <f t="shared" si="172"/>
        <v/>
      </c>
      <c r="EW194" s="182"/>
      <c r="EX194" s="182"/>
      <c r="EY194" s="182"/>
      <c r="EZ194" s="221"/>
      <c r="FA194" s="221"/>
      <c r="FB194" s="221"/>
      <c r="FC194" s="221"/>
      <c r="FD194" s="221"/>
      <c r="FE194" s="221"/>
      <c r="FF194" s="221"/>
      <c r="FG194" s="221"/>
      <c r="FH194" s="221"/>
      <c r="FI194" s="182"/>
      <c r="FJ194" s="182"/>
      <c r="FK194" s="182"/>
      <c r="FL194" s="182"/>
      <c r="FM194" s="221" t="str">
        <f t="shared" si="173"/>
        <v/>
      </c>
      <c r="FN194" s="221" t="str">
        <f t="shared" si="174"/>
        <v/>
      </c>
      <c r="FO194" s="221"/>
      <c r="FP194" s="221"/>
      <c r="FQ194" s="221"/>
      <c r="FR194" s="221"/>
      <c r="FS194" s="221"/>
      <c r="FT194" s="221"/>
      <c r="FU194" s="221"/>
      <c r="FV194" s="221"/>
      <c r="FW194" s="221"/>
      <c r="FX194" s="221"/>
      <c r="FY194" s="221"/>
      <c r="FZ194" s="408"/>
      <c r="GA194" s="315">
        <f t="shared" si="175"/>
        <v>0</v>
      </c>
      <c r="GB194" s="315" t="str">
        <f t="shared" si="176"/>
        <v/>
      </c>
      <c r="GC194" s="182" t="s">
        <v>160</v>
      </c>
      <c r="GD194" s="182"/>
      <c r="GE194" s="182"/>
      <c r="GG194" s="460"/>
      <c r="GH194" s="460"/>
      <c r="GU194" s="469"/>
      <c r="GV194" s="470" t="str">
        <f t="shared" si="177"/>
        <v/>
      </c>
      <c r="GW194" s="302">
        <f t="shared" si="178"/>
        <v>0</v>
      </c>
      <c r="HA194" s="654"/>
      <c r="HD194" s="379"/>
      <c r="HE194" s="380"/>
      <c r="HH194" s="385"/>
      <c r="HI194" s="411"/>
      <c r="HJ194" s="302" t="str">
        <f t="shared" si="153"/>
        <v/>
      </c>
      <c r="HO194" s="302" t="str">
        <f t="shared" si="146"/>
        <v/>
      </c>
      <c r="HP194" s="302" t="str">
        <f t="shared" si="147"/>
        <v/>
      </c>
      <c r="HQ194" s="302" t="str">
        <f t="shared" si="148"/>
        <v/>
      </c>
      <c r="IT194" s="411"/>
      <c r="IU194" s="411"/>
      <c r="IV194" s="635"/>
    </row>
    <row r="195" spans="1:256" s="302" customFormat="1" ht="12.75" hidden="1" customHeight="1">
      <c r="A195" s="397" t="str">
        <f t="shared" si="145"/>
        <v/>
      </c>
      <c r="B195" s="462" t="str">
        <f t="shared" si="149"/>
        <v/>
      </c>
      <c r="C195" s="426"/>
      <c r="D195" s="575"/>
      <c r="E195" s="463"/>
      <c r="F195" s="464"/>
      <c r="G195" s="465"/>
      <c r="H195" s="465"/>
      <c r="I195" s="466"/>
      <c r="J195" s="463"/>
      <c r="K195" s="465"/>
      <c r="L195" s="465"/>
      <c r="M195" s="466"/>
      <c r="N195" s="573"/>
      <c r="O195" s="467"/>
      <c r="P195" s="518"/>
      <c r="Q195" s="381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4"/>
      <c r="AB195" s="182" t="str">
        <f t="shared" si="154"/>
        <v/>
      </c>
      <c r="AC195" s="315">
        <f t="shared" si="155"/>
        <v>0</v>
      </c>
      <c r="AD195" s="315" t="str">
        <f t="shared" si="150"/>
        <v/>
      </c>
      <c r="AE195" s="182"/>
      <c r="AF195" s="182"/>
      <c r="AG195" s="182"/>
      <c r="AH195" s="221"/>
      <c r="AI195" s="221"/>
      <c r="AJ195" s="221"/>
      <c r="AK195" s="221"/>
      <c r="AL195" s="221"/>
      <c r="AM195" s="221"/>
      <c r="AN195" s="221"/>
      <c r="AO195" s="221"/>
      <c r="AP195" s="221"/>
      <c r="AQ195" s="182"/>
      <c r="AR195" s="182"/>
      <c r="AS195" s="182"/>
      <c r="AT195" s="182"/>
      <c r="AU195" s="221" t="str">
        <f t="shared" si="156"/>
        <v/>
      </c>
      <c r="AV195" s="221" t="str">
        <f t="shared" si="157"/>
        <v/>
      </c>
      <c r="AW195" s="221"/>
      <c r="AX195" s="221"/>
      <c r="AY195" s="221"/>
      <c r="AZ195" s="221"/>
      <c r="BA195" s="221"/>
      <c r="BB195" s="221"/>
      <c r="BC195" s="221"/>
      <c r="BD195" s="221"/>
      <c r="BE195" s="221"/>
      <c r="BF195" s="469">
        <f t="shared" si="158"/>
        <v>0</v>
      </c>
      <c r="BG195" s="315">
        <f t="shared" si="159"/>
        <v>0</v>
      </c>
      <c r="BH195" s="315" t="str">
        <f t="shared" si="160"/>
        <v/>
      </c>
      <c r="BI195" s="182"/>
      <c r="BJ195" s="182"/>
      <c r="BK195" s="182"/>
      <c r="BL195" s="221"/>
      <c r="BM195" s="221"/>
      <c r="BN195" s="221"/>
      <c r="BO195" s="221"/>
      <c r="BP195" s="221"/>
      <c r="BQ195" s="221"/>
      <c r="BR195" s="221"/>
      <c r="BS195" s="221"/>
      <c r="BT195" s="221"/>
      <c r="BU195" s="182"/>
      <c r="BV195" s="182"/>
      <c r="BW195" s="182"/>
      <c r="BX195" s="182"/>
      <c r="BY195" s="221" t="str">
        <f t="shared" si="161"/>
        <v/>
      </c>
      <c r="BZ195" s="221" t="str">
        <f t="shared" si="162"/>
        <v/>
      </c>
      <c r="CA195" s="221"/>
      <c r="CB195" s="221"/>
      <c r="CC195" s="221"/>
      <c r="CD195" s="221"/>
      <c r="CE195" s="221"/>
      <c r="CF195" s="221"/>
      <c r="CG195" s="221"/>
      <c r="CH195" s="221"/>
      <c r="CI195" s="221"/>
      <c r="CJ195" s="469">
        <f t="shared" si="163"/>
        <v>0</v>
      </c>
      <c r="CK195" s="315">
        <f t="shared" si="164"/>
        <v>0</v>
      </c>
      <c r="CL195" s="315" t="str">
        <f t="shared" si="165"/>
        <v/>
      </c>
      <c r="CM195" s="182"/>
      <c r="CN195" s="182"/>
      <c r="CO195" s="182"/>
      <c r="CP195" s="221"/>
      <c r="CQ195" s="221"/>
      <c r="CR195" s="221"/>
      <c r="CS195" s="221"/>
      <c r="CT195" s="221"/>
      <c r="CU195" s="221"/>
      <c r="CV195" s="221"/>
      <c r="CW195" s="221"/>
      <c r="CX195" s="221"/>
      <c r="CY195" s="221"/>
      <c r="CZ195" s="182"/>
      <c r="DA195" s="182"/>
      <c r="DB195" s="182"/>
      <c r="DC195" s="182"/>
      <c r="DD195" s="221" t="str">
        <f t="shared" si="151"/>
        <v/>
      </c>
      <c r="DE195" s="221" t="str">
        <f t="shared" si="152"/>
        <v/>
      </c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469" t="str">
        <f t="shared" si="166"/>
        <v/>
      </c>
      <c r="DP195" s="315">
        <f t="shared" si="167"/>
        <v>0</v>
      </c>
      <c r="DQ195" s="315" t="str">
        <f t="shared" si="168"/>
        <v/>
      </c>
      <c r="DR195" s="182"/>
      <c r="DS195" s="182"/>
      <c r="DT195" s="182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182"/>
      <c r="EE195" s="182"/>
      <c r="EF195" s="182"/>
      <c r="EG195" s="182"/>
      <c r="EH195" s="221" t="str">
        <f t="shared" si="169"/>
        <v/>
      </c>
      <c r="EI195" s="221" t="str">
        <f t="shared" si="170"/>
        <v/>
      </c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  <c r="EU195" s="315">
        <f t="shared" si="171"/>
        <v>0</v>
      </c>
      <c r="EV195" s="315" t="str">
        <f t="shared" si="172"/>
        <v/>
      </c>
      <c r="EW195" s="182"/>
      <c r="EX195" s="182"/>
      <c r="EY195" s="182"/>
      <c r="EZ195" s="221"/>
      <c r="FA195" s="221"/>
      <c r="FB195" s="221"/>
      <c r="FC195" s="221"/>
      <c r="FD195" s="221"/>
      <c r="FE195" s="221"/>
      <c r="FF195" s="221"/>
      <c r="FG195" s="221"/>
      <c r="FH195" s="221"/>
      <c r="FI195" s="182"/>
      <c r="FJ195" s="182"/>
      <c r="FK195" s="182"/>
      <c r="FL195" s="182"/>
      <c r="FM195" s="221" t="str">
        <f t="shared" si="173"/>
        <v/>
      </c>
      <c r="FN195" s="221" t="str">
        <f t="shared" si="174"/>
        <v/>
      </c>
      <c r="FO195" s="221"/>
      <c r="FP195" s="221"/>
      <c r="FQ195" s="221"/>
      <c r="FR195" s="221"/>
      <c r="FS195" s="221"/>
      <c r="FT195" s="221"/>
      <c r="FU195" s="221"/>
      <c r="FV195" s="221"/>
      <c r="FW195" s="221"/>
      <c r="FX195" s="221"/>
      <c r="FY195" s="221"/>
      <c r="FZ195" s="408"/>
      <c r="GA195" s="315">
        <f t="shared" si="175"/>
        <v>0</v>
      </c>
      <c r="GB195" s="315" t="str">
        <f t="shared" si="176"/>
        <v/>
      </c>
      <c r="GC195" s="182" t="s">
        <v>160</v>
      </c>
      <c r="GD195" s="182"/>
      <c r="GE195" s="182"/>
      <c r="GG195" s="460"/>
      <c r="GH195" s="460"/>
      <c r="GU195" s="469"/>
      <c r="GV195" s="470" t="str">
        <f t="shared" si="177"/>
        <v/>
      </c>
      <c r="GW195" s="302">
        <f t="shared" si="178"/>
        <v>0</v>
      </c>
      <c r="HA195" s="654"/>
      <c r="HD195" s="379"/>
      <c r="HE195" s="380"/>
      <c r="HH195" s="385"/>
      <c r="HI195" s="411"/>
      <c r="HJ195" s="302" t="str">
        <f t="shared" si="153"/>
        <v/>
      </c>
      <c r="HO195" s="302" t="str">
        <f t="shared" si="146"/>
        <v/>
      </c>
      <c r="HP195" s="302" t="str">
        <f t="shared" si="147"/>
        <v/>
      </c>
      <c r="HQ195" s="302" t="str">
        <f t="shared" si="148"/>
        <v/>
      </c>
      <c r="IT195" s="411"/>
      <c r="IU195" s="411"/>
      <c r="IV195" s="635"/>
    </row>
    <row r="196" spans="1:256" s="302" customFormat="1" ht="12.75" hidden="1" customHeight="1">
      <c r="A196" s="397" t="str">
        <f t="shared" si="145"/>
        <v/>
      </c>
      <c r="B196" s="462" t="str">
        <f t="shared" si="149"/>
        <v/>
      </c>
      <c r="C196" s="426"/>
      <c r="D196" s="575"/>
      <c r="E196" s="463"/>
      <c r="F196" s="464"/>
      <c r="G196" s="465"/>
      <c r="H196" s="465"/>
      <c r="I196" s="466"/>
      <c r="J196" s="463"/>
      <c r="K196" s="465"/>
      <c r="L196" s="465"/>
      <c r="M196" s="466"/>
      <c r="N196" s="573"/>
      <c r="O196" s="467"/>
      <c r="P196" s="518"/>
      <c r="Q196" s="381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4"/>
      <c r="AB196" s="182" t="str">
        <f t="shared" si="154"/>
        <v/>
      </c>
      <c r="AC196" s="315">
        <f t="shared" si="155"/>
        <v>0</v>
      </c>
      <c r="AD196" s="315" t="str">
        <f t="shared" si="150"/>
        <v/>
      </c>
      <c r="AE196" s="182"/>
      <c r="AF196" s="182"/>
      <c r="AG196" s="182"/>
      <c r="AH196" s="221"/>
      <c r="AI196" s="221"/>
      <c r="AJ196" s="221"/>
      <c r="AK196" s="221"/>
      <c r="AL196" s="221"/>
      <c r="AM196" s="221"/>
      <c r="AN196" s="221"/>
      <c r="AO196" s="221"/>
      <c r="AP196" s="221"/>
      <c r="AQ196" s="182"/>
      <c r="AR196" s="182"/>
      <c r="AS196" s="182"/>
      <c r="AT196" s="182"/>
      <c r="AU196" s="221" t="str">
        <f t="shared" si="156"/>
        <v/>
      </c>
      <c r="AV196" s="221" t="str">
        <f t="shared" si="157"/>
        <v/>
      </c>
      <c r="AW196" s="221"/>
      <c r="AX196" s="221"/>
      <c r="AY196" s="221"/>
      <c r="AZ196" s="221"/>
      <c r="BA196" s="221"/>
      <c r="BB196" s="221"/>
      <c r="BC196" s="221"/>
      <c r="BD196" s="221"/>
      <c r="BE196" s="221"/>
      <c r="BF196" s="469">
        <f t="shared" si="158"/>
        <v>0</v>
      </c>
      <c r="BG196" s="315">
        <f t="shared" si="159"/>
        <v>0</v>
      </c>
      <c r="BH196" s="315" t="str">
        <f t="shared" si="160"/>
        <v/>
      </c>
      <c r="BI196" s="182"/>
      <c r="BJ196" s="182"/>
      <c r="BK196" s="182"/>
      <c r="BL196" s="221"/>
      <c r="BM196" s="221"/>
      <c r="BN196" s="221"/>
      <c r="BO196" s="221"/>
      <c r="BP196" s="221"/>
      <c r="BQ196" s="221"/>
      <c r="BR196" s="221"/>
      <c r="BS196" s="221"/>
      <c r="BT196" s="221"/>
      <c r="BU196" s="182"/>
      <c r="BV196" s="182"/>
      <c r="BW196" s="182"/>
      <c r="BX196" s="182"/>
      <c r="BY196" s="221" t="str">
        <f t="shared" si="161"/>
        <v/>
      </c>
      <c r="BZ196" s="221" t="str">
        <f t="shared" si="162"/>
        <v/>
      </c>
      <c r="CA196" s="221"/>
      <c r="CB196" s="221"/>
      <c r="CC196" s="221"/>
      <c r="CD196" s="221"/>
      <c r="CE196" s="221"/>
      <c r="CF196" s="221"/>
      <c r="CG196" s="221"/>
      <c r="CH196" s="221"/>
      <c r="CI196" s="221"/>
      <c r="CJ196" s="469">
        <f t="shared" si="163"/>
        <v>0</v>
      </c>
      <c r="CK196" s="315">
        <f t="shared" si="164"/>
        <v>0</v>
      </c>
      <c r="CL196" s="315" t="str">
        <f t="shared" si="165"/>
        <v/>
      </c>
      <c r="CM196" s="182"/>
      <c r="CN196" s="182"/>
      <c r="CO196" s="182"/>
      <c r="CP196" s="221"/>
      <c r="CQ196" s="221"/>
      <c r="CR196" s="221"/>
      <c r="CS196" s="221"/>
      <c r="CT196" s="221"/>
      <c r="CU196" s="221"/>
      <c r="CV196" s="221"/>
      <c r="CW196" s="221"/>
      <c r="CX196" s="221"/>
      <c r="CY196" s="221"/>
      <c r="CZ196" s="182"/>
      <c r="DA196" s="182"/>
      <c r="DB196" s="182"/>
      <c r="DC196" s="182"/>
      <c r="DD196" s="221" t="str">
        <f t="shared" si="151"/>
        <v/>
      </c>
      <c r="DE196" s="221" t="str">
        <f t="shared" si="152"/>
        <v/>
      </c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469" t="str">
        <f t="shared" si="166"/>
        <v/>
      </c>
      <c r="DP196" s="315">
        <f t="shared" si="167"/>
        <v>0</v>
      </c>
      <c r="DQ196" s="315" t="str">
        <f t="shared" si="168"/>
        <v/>
      </c>
      <c r="DR196" s="182"/>
      <c r="DS196" s="182"/>
      <c r="DT196" s="182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182"/>
      <c r="EE196" s="182"/>
      <c r="EF196" s="182"/>
      <c r="EG196" s="182"/>
      <c r="EH196" s="221" t="str">
        <f t="shared" si="169"/>
        <v/>
      </c>
      <c r="EI196" s="221" t="str">
        <f t="shared" si="170"/>
        <v/>
      </c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  <c r="EU196" s="315">
        <f t="shared" si="171"/>
        <v>0</v>
      </c>
      <c r="EV196" s="315" t="str">
        <f t="shared" si="172"/>
        <v/>
      </c>
      <c r="EW196" s="182"/>
      <c r="EX196" s="182"/>
      <c r="EY196" s="182"/>
      <c r="EZ196" s="221"/>
      <c r="FA196" s="221"/>
      <c r="FB196" s="221"/>
      <c r="FC196" s="221"/>
      <c r="FD196" s="221"/>
      <c r="FE196" s="221"/>
      <c r="FF196" s="221"/>
      <c r="FG196" s="221"/>
      <c r="FH196" s="221"/>
      <c r="FI196" s="182"/>
      <c r="FJ196" s="182"/>
      <c r="FK196" s="182"/>
      <c r="FL196" s="182"/>
      <c r="FM196" s="221" t="str">
        <f t="shared" si="173"/>
        <v/>
      </c>
      <c r="FN196" s="221" t="str">
        <f t="shared" si="174"/>
        <v/>
      </c>
      <c r="FO196" s="221"/>
      <c r="FP196" s="221"/>
      <c r="FQ196" s="221"/>
      <c r="FR196" s="221"/>
      <c r="FS196" s="221"/>
      <c r="FT196" s="221"/>
      <c r="FU196" s="221"/>
      <c r="FV196" s="221"/>
      <c r="FW196" s="221"/>
      <c r="FX196" s="221"/>
      <c r="FY196" s="221"/>
      <c r="FZ196" s="408"/>
      <c r="GA196" s="315">
        <f t="shared" si="175"/>
        <v>0</v>
      </c>
      <c r="GB196" s="315" t="str">
        <f t="shared" si="176"/>
        <v/>
      </c>
      <c r="GC196" s="182" t="s">
        <v>160</v>
      </c>
      <c r="GD196" s="182"/>
      <c r="GE196" s="182"/>
      <c r="GG196" s="460"/>
      <c r="GH196" s="460"/>
      <c r="GU196" s="469"/>
      <c r="GV196" s="470" t="str">
        <f t="shared" si="177"/>
        <v/>
      </c>
      <c r="GW196" s="302">
        <f t="shared" si="178"/>
        <v>0</v>
      </c>
      <c r="HA196" s="654"/>
      <c r="HD196" s="379"/>
      <c r="HE196" s="380"/>
      <c r="HH196" s="385"/>
      <c r="HI196" s="411"/>
      <c r="HJ196" s="302" t="str">
        <f t="shared" si="153"/>
        <v/>
      </c>
      <c r="HO196" s="302" t="str">
        <f t="shared" si="146"/>
        <v/>
      </c>
      <c r="HP196" s="302" t="str">
        <f t="shared" si="147"/>
        <v/>
      </c>
      <c r="HQ196" s="302" t="str">
        <f t="shared" si="148"/>
        <v/>
      </c>
      <c r="IT196" s="411"/>
      <c r="IU196" s="411"/>
      <c r="IV196" s="635"/>
    </row>
    <row r="197" spans="1:256" s="302" customFormat="1" ht="12.75" hidden="1" customHeight="1">
      <c r="A197" s="397" t="str">
        <f t="shared" ref="A197:A201" si="179">IF(B197="","",IF(F197="BLOQUEADO",0,F197+K197))</f>
        <v/>
      </c>
      <c r="B197" s="462" t="str">
        <f t="shared" si="149"/>
        <v/>
      </c>
      <c r="C197" s="426"/>
      <c r="D197" s="575"/>
      <c r="E197" s="463"/>
      <c r="F197" s="464"/>
      <c r="G197" s="465"/>
      <c r="H197" s="465"/>
      <c r="I197" s="466"/>
      <c r="J197" s="463"/>
      <c r="K197" s="465"/>
      <c r="L197" s="465"/>
      <c r="M197" s="466"/>
      <c r="N197" s="573"/>
      <c r="O197" s="467"/>
      <c r="P197" s="518"/>
      <c r="Q197" s="381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4"/>
      <c r="AB197" s="182" t="str">
        <f t="shared" si="154"/>
        <v/>
      </c>
      <c r="AC197" s="315">
        <f t="shared" si="155"/>
        <v>0</v>
      </c>
      <c r="AD197" s="315" t="str">
        <f t="shared" si="150"/>
        <v/>
      </c>
      <c r="AE197" s="182"/>
      <c r="AF197" s="182"/>
      <c r="AG197" s="182"/>
      <c r="AH197" s="221"/>
      <c r="AI197" s="221"/>
      <c r="AJ197" s="221"/>
      <c r="AK197" s="221"/>
      <c r="AL197" s="221"/>
      <c r="AM197" s="221"/>
      <c r="AN197" s="221"/>
      <c r="AO197" s="221"/>
      <c r="AP197" s="221"/>
      <c r="AQ197" s="182"/>
      <c r="AR197" s="182"/>
      <c r="AS197" s="182"/>
      <c r="AT197" s="182"/>
      <c r="AU197" s="221" t="str">
        <f t="shared" si="156"/>
        <v/>
      </c>
      <c r="AV197" s="221" t="str">
        <f t="shared" si="157"/>
        <v/>
      </c>
      <c r="AW197" s="221"/>
      <c r="AX197" s="221"/>
      <c r="AY197" s="221"/>
      <c r="AZ197" s="221"/>
      <c r="BA197" s="221"/>
      <c r="BB197" s="221"/>
      <c r="BC197" s="221"/>
      <c r="BD197" s="221"/>
      <c r="BE197" s="221"/>
      <c r="BF197" s="469">
        <f t="shared" si="158"/>
        <v>0</v>
      </c>
      <c r="BG197" s="315">
        <f t="shared" si="159"/>
        <v>0</v>
      </c>
      <c r="BH197" s="315" t="str">
        <f t="shared" si="160"/>
        <v/>
      </c>
      <c r="BI197" s="182"/>
      <c r="BJ197" s="182"/>
      <c r="BK197" s="182"/>
      <c r="BL197" s="221"/>
      <c r="BM197" s="221"/>
      <c r="BN197" s="221"/>
      <c r="BO197" s="221"/>
      <c r="BP197" s="221"/>
      <c r="BQ197" s="221"/>
      <c r="BR197" s="221"/>
      <c r="BS197" s="221"/>
      <c r="BT197" s="221"/>
      <c r="BU197" s="182"/>
      <c r="BV197" s="182"/>
      <c r="BW197" s="182"/>
      <c r="BX197" s="182"/>
      <c r="BY197" s="221" t="str">
        <f t="shared" si="161"/>
        <v/>
      </c>
      <c r="BZ197" s="221" t="str">
        <f t="shared" si="162"/>
        <v/>
      </c>
      <c r="CA197" s="221"/>
      <c r="CB197" s="221"/>
      <c r="CC197" s="221"/>
      <c r="CD197" s="221"/>
      <c r="CE197" s="221"/>
      <c r="CF197" s="221"/>
      <c r="CG197" s="221"/>
      <c r="CH197" s="221"/>
      <c r="CI197" s="221"/>
      <c r="CJ197" s="469">
        <f t="shared" si="163"/>
        <v>0</v>
      </c>
      <c r="CK197" s="315">
        <f t="shared" si="164"/>
        <v>0</v>
      </c>
      <c r="CL197" s="315" t="str">
        <f t="shared" si="165"/>
        <v/>
      </c>
      <c r="CM197" s="182"/>
      <c r="CN197" s="182"/>
      <c r="CO197" s="182"/>
      <c r="CP197" s="221"/>
      <c r="CQ197" s="221"/>
      <c r="CR197" s="221"/>
      <c r="CS197" s="221"/>
      <c r="CT197" s="221"/>
      <c r="CU197" s="221"/>
      <c r="CV197" s="221"/>
      <c r="CW197" s="221"/>
      <c r="CX197" s="221"/>
      <c r="CY197" s="221"/>
      <c r="CZ197" s="182"/>
      <c r="DA197" s="182"/>
      <c r="DB197" s="182"/>
      <c r="DC197" s="182"/>
      <c r="DD197" s="221" t="str">
        <f t="shared" si="151"/>
        <v/>
      </c>
      <c r="DE197" s="221" t="str">
        <f t="shared" si="152"/>
        <v/>
      </c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469" t="str">
        <f t="shared" si="166"/>
        <v/>
      </c>
      <c r="DP197" s="315">
        <f t="shared" si="167"/>
        <v>0</v>
      </c>
      <c r="DQ197" s="315" t="str">
        <f t="shared" si="168"/>
        <v/>
      </c>
      <c r="DR197" s="182"/>
      <c r="DS197" s="182"/>
      <c r="DT197" s="182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182"/>
      <c r="EE197" s="182"/>
      <c r="EF197" s="182"/>
      <c r="EG197" s="182"/>
      <c r="EH197" s="221" t="str">
        <f t="shared" si="169"/>
        <v/>
      </c>
      <c r="EI197" s="221" t="str">
        <f t="shared" si="170"/>
        <v/>
      </c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  <c r="ET197" s="221"/>
      <c r="EU197" s="315">
        <f t="shared" si="171"/>
        <v>0</v>
      </c>
      <c r="EV197" s="315" t="str">
        <f t="shared" si="172"/>
        <v/>
      </c>
      <c r="EW197" s="182"/>
      <c r="EX197" s="182"/>
      <c r="EY197" s="182"/>
      <c r="EZ197" s="221"/>
      <c r="FA197" s="221"/>
      <c r="FB197" s="221"/>
      <c r="FC197" s="221"/>
      <c r="FD197" s="221"/>
      <c r="FE197" s="221"/>
      <c r="FF197" s="221"/>
      <c r="FG197" s="221"/>
      <c r="FH197" s="221"/>
      <c r="FI197" s="182"/>
      <c r="FJ197" s="182"/>
      <c r="FK197" s="182"/>
      <c r="FL197" s="182"/>
      <c r="FM197" s="221" t="str">
        <f t="shared" si="173"/>
        <v/>
      </c>
      <c r="FN197" s="221" t="str">
        <f t="shared" si="174"/>
        <v/>
      </c>
      <c r="FO197" s="221"/>
      <c r="FP197" s="221"/>
      <c r="FQ197" s="221"/>
      <c r="FR197" s="221"/>
      <c r="FS197" s="221"/>
      <c r="FT197" s="221"/>
      <c r="FU197" s="221"/>
      <c r="FV197" s="221"/>
      <c r="FW197" s="221"/>
      <c r="FX197" s="221"/>
      <c r="FY197" s="221"/>
      <c r="FZ197" s="408"/>
      <c r="GA197" s="315">
        <f t="shared" si="175"/>
        <v>0</v>
      </c>
      <c r="GB197" s="315" t="str">
        <f t="shared" si="176"/>
        <v/>
      </c>
      <c r="GC197" s="182" t="s">
        <v>160</v>
      </c>
      <c r="GD197" s="182"/>
      <c r="GE197" s="182"/>
      <c r="GG197" s="460"/>
      <c r="GH197" s="460"/>
      <c r="GU197" s="469"/>
      <c r="GV197" s="470" t="str">
        <f t="shared" si="177"/>
        <v/>
      </c>
      <c r="GW197" s="302">
        <f t="shared" si="178"/>
        <v>0</v>
      </c>
      <c r="HA197" s="654"/>
      <c r="HD197" s="379"/>
      <c r="HE197" s="380"/>
      <c r="HH197" s="385"/>
      <c r="HI197" s="411"/>
      <c r="HJ197" s="302" t="str">
        <f t="shared" si="153"/>
        <v/>
      </c>
      <c r="HO197" s="302" t="str">
        <f t="shared" ref="HO197:HO201" si="180">IF(HM197="","",$HM$2&amp;HM197)</f>
        <v/>
      </c>
      <c r="HP197" s="302" t="str">
        <f t="shared" ref="HP197:HP201" si="181">IF(HN197="","",$HN$2&amp;HN197)</f>
        <v/>
      </c>
      <c r="HQ197" s="302" t="str">
        <f t="shared" ref="HQ197:HQ201" si="182">IF(HM197="","",$HM$2&amp;HM197&amp;$HO$2&amp;$HN$2&amp;HN197&amp;$HP$2)</f>
        <v/>
      </c>
      <c r="IT197" s="411"/>
      <c r="IU197" s="411"/>
      <c r="IV197" s="635"/>
    </row>
    <row r="198" spans="1:256" s="302" customFormat="1" ht="12.75" hidden="1" customHeight="1">
      <c r="A198" s="397" t="str">
        <f t="shared" si="179"/>
        <v/>
      </c>
      <c r="B198" s="462" t="str">
        <f t="shared" si="149"/>
        <v/>
      </c>
      <c r="C198" s="426"/>
      <c r="D198" s="575"/>
      <c r="E198" s="463"/>
      <c r="F198" s="464"/>
      <c r="G198" s="465"/>
      <c r="H198" s="465"/>
      <c r="I198" s="466"/>
      <c r="J198" s="463"/>
      <c r="K198" s="465"/>
      <c r="L198" s="465"/>
      <c r="M198" s="466"/>
      <c r="N198" s="573"/>
      <c r="O198" s="467"/>
      <c r="P198" s="518"/>
      <c r="Q198" s="381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4"/>
      <c r="AB198" s="182" t="str">
        <f t="shared" si="154"/>
        <v/>
      </c>
      <c r="AC198" s="315">
        <f t="shared" si="155"/>
        <v>0</v>
      </c>
      <c r="AD198" s="315" t="str">
        <f t="shared" si="150"/>
        <v/>
      </c>
      <c r="AE198" s="182"/>
      <c r="AF198" s="182"/>
      <c r="AG198" s="182"/>
      <c r="AH198" s="221"/>
      <c r="AI198" s="221"/>
      <c r="AJ198" s="221"/>
      <c r="AK198" s="221"/>
      <c r="AL198" s="221"/>
      <c r="AM198" s="221"/>
      <c r="AN198" s="221"/>
      <c r="AO198" s="221"/>
      <c r="AP198" s="221"/>
      <c r="AQ198" s="182"/>
      <c r="AR198" s="182"/>
      <c r="AS198" s="182"/>
      <c r="AT198" s="224"/>
      <c r="AU198" s="221" t="str">
        <f t="shared" si="156"/>
        <v/>
      </c>
      <c r="AV198" s="221" t="str">
        <f t="shared" si="157"/>
        <v/>
      </c>
      <c r="AW198" s="221"/>
      <c r="AX198" s="221"/>
      <c r="AY198" s="221"/>
      <c r="AZ198" s="221"/>
      <c r="BA198" s="221"/>
      <c r="BB198" s="221"/>
      <c r="BC198" s="221"/>
      <c r="BD198" s="221"/>
      <c r="BE198" s="221"/>
      <c r="BF198" s="469">
        <f t="shared" si="158"/>
        <v>0</v>
      </c>
      <c r="BG198" s="315">
        <f t="shared" si="159"/>
        <v>0</v>
      </c>
      <c r="BH198" s="315" t="str">
        <f t="shared" si="160"/>
        <v/>
      </c>
      <c r="BI198" s="182"/>
      <c r="BJ198" s="182"/>
      <c r="BK198" s="182"/>
      <c r="BL198" s="221"/>
      <c r="BM198" s="221"/>
      <c r="BN198" s="221"/>
      <c r="BO198" s="221"/>
      <c r="BP198" s="221"/>
      <c r="BQ198" s="221"/>
      <c r="BR198" s="221"/>
      <c r="BS198" s="221"/>
      <c r="BT198" s="221"/>
      <c r="BU198" s="182"/>
      <c r="BV198" s="182"/>
      <c r="BW198" s="182"/>
      <c r="BX198" s="182"/>
      <c r="BY198" s="221" t="str">
        <f t="shared" si="161"/>
        <v/>
      </c>
      <c r="BZ198" s="221" t="str">
        <f t="shared" si="162"/>
        <v/>
      </c>
      <c r="CA198" s="221"/>
      <c r="CB198" s="221"/>
      <c r="CC198" s="221"/>
      <c r="CD198" s="221"/>
      <c r="CE198" s="221"/>
      <c r="CF198" s="221"/>
      <c r="CG198" s="221"/>
      <c r="CH198" s="221"/>
      <c r="CI198" s="221"/>
      <c r="CJ198" s="469">
        <f t="shared" si="163"/>
        <v>0</v>
      </c>
      <c r="CK198" s="315">
        <f t="shared" si="164"/>
        <v>0</v>
      </c>
      <c r="CL198" s="315" t="str">
        <f t="shared" si="165"/>
        <v/>
      </c>
      <c r="CM198" s="182"/>
      <c r="CN198" s="182"/>
      <c r="CO198" s="182"/>
      <c r="CP198" s="221"/>
      <c r="CQ198" s="221"/>
      <c r="CR198" s="221"/>
      <c r="CS198" s="221"/>
      <c r="CT198" s="221"/>
      <c r="CU198" s="221"/>
      <c r="CV198" s="221"/>
      <c r="CW198" s="221"/>
      <c r="CX198" s="221"/>
      <c r="CY198" s="221"/>
      <c r="CZ198" s="182"/>
      <c r="DA198" s="182"/>
      <c r="DB198" s="182"/>
      <c r="DC198" s="182"/>
      <c r="DD198" s="221" t="str">
        <f t="shared" si="151"/>
        <v/>
      </c>
      <c r="DE198" s="221" t="str">
        <f t="shared" si="152"/>
        <v/>
      </c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469" t="str">
        <f t="shared" si="166"/>
        <v/>
      </c>
      <c r="DP198" s="315">
        <f t="shared" si="167"/>
        <v>0</v>
      </c>
      <c r="DQ198" s="315" t="str">
        <f t="shared" si="168"/>
        <v/>
      </c>
      <c r="DR198" s="182"/>
      <c r="DS198" s="182"/>
      <c r="DT198" s="182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182"/>
      <c r="EE198" s="182"/>
      <c r="EF198" s="182"/>
      <c r="EG198" s="182"/>
      <c r="EH198" s="221" t="str">
        <f t="shared" si="169"/>
        <v/>
      </c>
      <c r="EI198" s="221" t="str">
        <f t="shared" si="170"/>
        <v/>
      </c>
      <c r="EJ198" s="221"/>
      <c r="EK198" s="221"/>
      <c r="EL198" s="221"/>
      <c r="EM198" s="221"/>
      <c r="EN198" s="221"/>
      <c r="EO198" s="221"/>
      <c r="EP198" s="221"/>
      <c r="EQ198" s="221"/>
      <c r="ER198" s="221"/>
      <c r="ES198" s="221"/>
      <c r="ET198" s="221"/>
      <c r="EU198" s="315">
        <f t="shared" si="171"/>
        <v>0</v>
      </c>
      <c r="EV198" s="315" t="str">
        <f t="shared" si="172"/>
        <v/>
      </c>
      <c r="EW198" s="182"/>
      <c r="EX198" s="182"/>
      <c r="EY198" s="182"/>
      <c r="EZ198" s="221"/>
      <c r="FA198" s="221"/>
      <c r="FB198" s="221"/>
      <c r="FC198" s="221"/>
      <c r="FD198" s="221"/>
      <c r="FE198" s="221"/>
      <c r="FF198" s="221"/>
      <c r="FG198" s="221"/>
      <c r="FH198" s="221"/>
      <c r="FI198" s="182"/>
      <c r="FJ198" s="182"/>
      <c r="FK198" s="182"/>
      <c r="FL198" s="182"/>
      <c r="FM198" s="221" t="str">
        <f t="shared" si="173"/>
        <v/>
      </c>
      <c r="FN198" s="221" t="str">
        <f t="shared" si="174"/>
        <v/>
      </c>
      <c r="FO198" s="221"/>
      <c r="FP198" s="221"/>
      <c r="FQ198" s="221"/>
      <c r="FR198" s="221"/>
      <c r="FS198" s="221"/>
      <c r="FT198" s="221"/>
      <c r="FU198" s="221"/>
      <c r="FV198" s="221"/>
      <c r="FW198" s="221"/>
      <c r="FX198" s="221"/>
      <c r="FY198" s="221"/>
      <c r="FZ198" s="408"/>
      <c r="GA198" s="315">
        <f t="shared" si="175"/>
        <v>0</v>
      </c>
      <c r="GB198" s="315" t="str">
        <f t="shared" si="176"/>
        <v/>
      </c>
      <c r="GC198" s="182" t="s">
        <v>160</v>
      </c>
      <c r="GD198" s="182"/>
      <c r="GE198" s="182"/>
      <c r="GG198" s="460"/>
      <c r="GH198" s="460"/>
      <c r="GU198" s="469"/>
      <c r="GV198" s="470" t="str">
        <f t="shared" si="177"/>
        <v/>
      </c>
      <c r="GW198" s="302">
        <f t="shared" si="178"/>
        <v>0</v>
      </c>
      <c r="HA198" s="654"/>
      <c r="HD198" s="379"/>
      <c r="HE198" s="380"/>
      <c r="HH198" s="385"/>
      <c r="HI198" s="411"/>
      <c r="HJ198" s="302" t="str">
        <f t="shared" si="153"/>
        <v/>
      </c>
      <c r="HO198" s="302" t="str">
        <f t="shared" si="180"/>
        <v/>
      </c>
      <c r="HP198" s="302" t="str">
        <f t="shared" si="181"/>
        <v/>
      </c>
      <c r="HQ198" s="302" t="str">
        <f t="shared" si="182"/>
        <v/>
      </c>
      <c r="IT198" s="411"/>
      <c r="IU198" s="411"/>
      <c r="IV198" s="635"/>
    </row>
    <row r="199" spans="1:256" s="302" customFormat="1" ht="12.75" hidden="1" customHeight="1">
      <c r="A199" s="397" t="str">
        <f t="shared" si="179"/>
        <v/>
      </c>
      <c r="B199" s="462" t="str">
        <f t="shared" si="149"/>
        <v/>
      </c>
      <c r="C199" s="426"/>
      <c r="D199" s="575"/>
      <c r="E199" s="463"/>
      <c r="F199" s="464"/>
      <c r="G199" s="465"/>
      <c r="H199" s="465"/>
      <c r="I199" s="466"/>
      <c r="J199" s="463"/>
      <c r="K199" s="465"/>
      <c r="L199" s="465"/>
      <c r="M199" s="466"/>
      <c r="N199" s="573"/>
      <c r="O199" s="467"/>
      <c r="P199" s="518"/>
      <c r="Q199" s="381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4"/>
      <c r="AB199" s="182" t="str">
        <f t="shared" si="154"/>
        <v/>
      </c>
      <c r="AC199" s="315">
        <f t="shared" si="155"/>
        <v>0</v>
      </c>
      <c r="AD199" s="315" t="str">
        <f t="shared" si="150"/>
        <v/>
      </c>
      <c r="AE199" s="182"/>
      <c r="AF199" s="182"/>
      <c r="AG199" s="182"/>
      <c r="AH199" s="221"/>
      <c r="AI199" s="221"/>
      <c r="AJ199" s="221"/>
      <c r="AK199" s="221"/>
      <c r="AL199" s="221"/>
      <c r="AM199" s="221"/>
      <c r="AN199" s="221"/>
      <c r="AO199" s="221"/>
      <c r="AP199" s="221"/>
      <c r="AQ199" s="182"/>
      <c r="AR199" s="182"/>
      <c r="AS199" s="182"/>
      <c r="AT199" s="182"/>
      <c r="AU199" s="221" t="str">
        <f t="shared" si="156"/>
        <v/>
      </c>
      <c r="AV199" s="221" t="str">
        <f t="shared" si="157"/>
        <v/>
      </c>
      <c r="AW199" s="221"/>
      <c r="AX199" s="221"/>
      <c r="AY199" s="221"/>
      <c r="AZ199" s="221"/>
      <c r="BA199" s="221"/>
      <c r="BB199" s="221"/>
      <c r="BC199" s="221"/>
      <c r="BD199" s="221"/>
      <c r="BE199" s="221"/>
      <c r="BF199" s="469">
        <f t="shared" si="158"/>
        <v>0</v>
      </c>
      <c r="BG199" s="315">
        <f t="shared" si="159"/>
        <v>0</v>
      </c>
      <c r="BH199" s="315" t="str">
        <f t="shared" si="160"/>
        <v/>
      </c>
      <c r="BI199" s="182"/>
      <c r="BJ199" s="182"/>
      <c r="BK199" s="182"/>
      <c r="BL199" s="221"/>
      <c r="BM199" s="221"/>
      <c r="BN199" s="221"/>
      <c r="BO199" s="221"/>
      <c r="BP199" s="221"/>
      <c r="BQ199" s="221"/>
      <c r="BR199" s="221"/>
      <c r="BS199" s="221"/>
      <c r="BT199" s="221"/>
      <c r="BU199" s="182"/>
      <c r="BV199" s="182"/>
      <c r="BW199" s="182"/>
      <c r="BX199" s="182"/>
      <c r="BY199" s="221" t="str">
        <f t="shared" si="161"/>
        <v/>
      </c>
      <c r="BZ199" s="221" t="str">
        <f t="shared" si="162"/>
        <v/>
      </c>
      <c r="CA199" s="221"/>
      <c r="CB199" s="221"/>
      <c r="CC199" s="221"/>
      <c r="CD199" s="221"/>
      <c r="CE199" s="221"/>
      <c r="CF199" s="221"/>
      <c r="CG199" s="221"/>
      <c r="CH199" s="221"/>
      <c r="CI199" s="221"/>
      <c r="CJ199" s="469">
        <f t="shared" si="163"/>
        <v>0</v>
      </c>
      <c r="CK199" s="315">
        <f t="shared" si="164"/>
        <v>0</v>
      </c>
      <c r="CL199" s="315" t="str">
        <f t="shared" si="165"/>
        <v/>
      </c>
      <c r="CM199" s="182"/>
      <c r="CN199" s="182"/>
      <c r="CO199" s="182"/>
      <c r="CP199" s="221"/>
      <c r="CQ199" s="221"/>
      <c r="CR199" s="221"/>
      <c r="CS199" s="221"/>
      <c r="CT199" s="221"/>
      <c r="CU199" s="221"/>
      <c r="CV199" s="221"/>
      <c r="CW199" s="221"/>
      <c r="CX199" s="221"/>
      <c r="CY199" s="221"/>
      <c r="CZ199" s="182"/>
      <c r="DA199" s="182"/>
      <c r="DB199" s="182"/>
      <c r="DC199" s="182"/>
      <c r="DD199" s="221" t="str">
        <f t="shared" si="151"/>
        <v/>
      </c>
      <c r="DE199" s="221" t="str">
        <f t="shared" si="152"/>
        <v/>
      </c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469" t="str">
        <f t="shared" si="166"/>
        <v/>
      </c>
      <c r="DP199" s="315">
        <f t="shared" si="167"/>
        <v>0</v>
      </c>
      <c r="DQ199" s="315" t="str">
        <f t="shared" si="168"/>
        <v/>
      </c>
      <c r="DR199" s="182"/>
      <c r="DS199" s="182"/>
      <c r="DT199" s="182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182"/>
      <c r="EE199" s="182"/>
      <c r="EF199" s="182"/>
      <c r="EG199" s="182"/>
      <c r="EH199" s="221" t="str">
        <f t="shared" si="169"/>
        <v/>
      </c>
      <c r="EI199" s="221" t="str">
        <f t="shared" si="170"/>
        <v/>
      </c>
      <c r="EJ199" s="221"/>
      <c r="EK199" s="221"/>
      <c r="EL199" s="221"/>
      <c r="EM199" s="221"/>
      <c r="EN199" s="221"/>
      <c r="EO199" s="221"/>
      <c r="EP199" s="221"/>
      <c r="EQ199" s="221"/>
      <c r="ER199" s="221"/>
      <c r="ES199" s="221"/>
      <c r="ET199" s="221"/>
      <c r="EU199" s="315">
        <f t="shared" si="171"/>
        <v>0</v>
      </c>
      <c r="EV199" s="315" t="str">
        <f t="shared" si="172"/>
        <v/>
      </c>
      <c r="EW199" s="182"/>
      <c r="EX199" s="182"/>
      <c r="EY199" s="182"/>
      <c r="EZ199" s="221"/>
      <c r="FA199" s="221"/>
      <c r="FB199" s="221"/>
      <c r="FC199" s="221"/>
      <c r="FD199" s="221"/>
      <c r="FE199" s="221"/>
      <c r="FF199" s="221"/>
      <c r="FG199" s="221"/>
      <c r="FH199" s="221"/>
      <c r="FI199" s="182"/>
      <c r="FJ199" s="182"/>
      <c r="FK199" s="182"/>
      <c r="FL199" s="182"/>
      <c r="FM199" s="221" t="str">
        <f t="shared" si="173"/>
        <v/>
      </c>
      <c r="FN199" s="221" t="str">
        <f t="shared" si="174"/>
        <v/>
      </c>
      <c r="FO199" s="221"/>
      <c r="FP199" s="221"/>
      <c r="FQ199" s="221"/>
      <c r="FR199" s="221"/>
      <c r="FS199" s="221"/>
      <c r="FT199" s="221"/>
      <c r="FU199" s="221"/>
      <c r="FV199" s="221"/>
      <c r="FW199" s="221"/>
      <c r="FX199" s="221"/>
      <c r="FY199" s="221"/>
      <c r="FZ199" s="408"/>
      <c r="GA199" s="315">
        <f t="shared" si="175"/>
        <v>0</v>
      </c>
      <c r="GB199" s="315" t="str">
        <f t="shared" si="176"/>
        <v/>
      </c>
      <c r="GC199" s="182" t="s">
        <v>160</v>
      </c>
      <c r="GD199" s="182"/>
      <c r="GE199" s="182"/>
      <c r="GG199" s="460"/>
      <c r="GH199" s="460"/>
      <c r="GU199" s="469"/>
      <c r="GV199" s="470" t="str">
        <f t="shared" si="177"/>
        <v/>
      </c>
      <c r="GW199" s="302">
        <f t="shared" si="178"/>
        <v>0</v>
      </c>
      <c r="HA199" s="654"/>
      <c r="HD199" s="379"/>
      <c r="HE199" s="380"/>
      <c r="HH199" s="385"/>
      <c r="HI199" s="411"/>
      <c r="HJ199" s="302" t="str">
        <f t="shared" si="153"/>
        <v/>
      </c>
      <c r="HO199" s="302" t="str">
        <f t="shared" si="180"/>
        <v/>
      </c>
      <c r="HP199" s="302" t="str">
        <f t="shared" si="181"/>
        <v/>
      </c>
      <c r="HQ199" s="302" t="str">
        <f t="shared" si="182"/>
        <v/>
      </c>
      <c r="IT199" s="411"/>
      <c r="IU199" s="411"/>
      <c r="IV199" s="635"/>
    </row>
    <row r="200" spans="1:256" s="302" customFormat="1" ht="12.75" hidden="1" customHeight="1">
      <c r="A200" s="397" t="str">
        <f t="shared" si="179"/>
        <v/>
      </c>
      <c r="B200" s="462" t="str">
        <f t="shared" ref="B200:B201" si="183">IF(D200="","",B199+1)</f>
        <v/>
      </c>
      <c r="C200" s="426"/>
      <c r="D200" s="575"/>
      <c r="E200" s="463"/>
      <c r="F200" s="464"/>
      <c r="G200" s="465"/>
      <c r="H200" s="465"/>
      <c r="I200" s="466"/>
      <c r="J200" s="463"/>
      <c r="K200" s="465"/>
      <c r="L200" s="465"/>
      <c r="M200" s="466"/>
      <c r="N200" s="573"/>
      <c r="O200" s="467"/>
      <c r="P200" s="518"/>
      <c r="Q200" s="381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4"/>
      <c r="AB200" s="182" t="str">
        <f t="shared" si="154"/>
        <v/>
      </c>
      <c r="AC200" s="315">
        <f t="shared" si="155"/>
        <v>0</v>
      </c>
      <c r="AD200" s="315" t="str">
        <f t="shared" ref="AD200:AD201" si="184">IF(AE200&lt;&gt;"",ROW(AE200)-3,"")</f>
        <v/>
      </c>
      <c r="AE200" s="182"/>
      <c r="AF200" s="182"/>
      <c r="AG200" s="182"/>
      <c r="AH200" s="221"/>
      <c r="AI200" s="221"/>
      <c r="AJ200" s="221"/>
      <c r="AK200" s="221"/>
      <c r="AL200" s="221"/>
      <c r="AM200" s="221"/>
      <c r="AN200" s="221"/>
      <c r="AO200" s="221"/>
      <c r="AP200" s="221"/>
      <c r="AQ200" s="182"/>
      <c r="AR200" s="182"/>
      <c r="AS200" s="182"/>
      <c r="AT200" s="182"/>
      <c r="AU200" s="221" t="str">
        <f t="shared" si="156"/>
        <v/>
      </c>
      <c r="AV200" s="221" t="str">
        <f t="shared" si="157"/>
        <v/>
      </c>
      <c r="AW200" s="221"/>
      <c r="AX200" s="221"/>
      <c r="AY200" s="221"/>
      <c r="AZ200" s="221"/>
      <c r="BA200" s="221"/>
      <c r="BB200" s="221"/>
      <c r="BC200" s="221"/>
      <c r="BD200" s="221"/>
      <c r="BE200" s="221"/>
      <c r="BF200" s="469">
        <f t="shared" si="158"/>
        <v>0</v>
      </c>
      <c r="BG200" s="315">
        <f t="shared" si="159"/>
        <v>0</v>
      </c>
      <c r="BH200" s="315" t="str">
        <f t="shared" si="160"/>
        <v/>
      </c>
      <c r="BI200" s="182"/>
      <c r="BJ200" s="182"/>
      <c r="BK200" s="182"/>
      <c r="BL200" s="221"/>
      <c r="BM200" s="221"/>
      <c r="BN200" s="221"/>
      <c r="BO200" s="221"/>
      <c r="BP200" s="221"/>
      <c r="BQ200" s="221"/>
      <c r="BR200" s="221"/>
      <c r="BS200" s="221"/>
      <c r="BT200" s="221"/>
      <c r="BU200" s="182"/>
      <c r="BV200" s="182"/>
      <c r="BW200" s="182"/>
      <c r="BX200" s="182"/>
      <c r="BY200" s="221" t="str">
        <f t="shared" si="161"/>
        <v/>
      </c>
      <c r="BZ200" s="221" t="str">
        <f t="shared" si="162"/>
        <v/>
      </c>
      <c r="CA200" s="221"/>
      <c r="CB200" s="221"/>
      <c r="CC200" s="221"/>
      <c r="CD200" s="221"/>
      <c r="CE200" s="221"/>
      <c r="CF200" s="221"/>
      <c r="CG200" s="221"/>
      <c r="CH200" s="221"/>
      <c r="CI200" s="221"/>
      <c r="CJ200" s="469">
        <f t="shared" si="163"/>
        <v>0</v>
      </c>
      <c r="CK200" s="315">
        <f t="shared" si="164"/>
        <v>0</v>
      </c>
      <c r="CL200" s="315" t="str">
        <f t="shared" si="165"/>
        <v/>
      </c>
      <c r="CM200" s="182"/>
      <c r="CN200" s="182"/>
      <c r="CO200" s="182"/>
      <c r="CP200" s="221"/>
      <c r="CQ200" s="221"/>
      <c r="CR200" s="221"/>
      <c r="CS200" s="221"/>
      <c r="CT200" s="221"/>
      <c r="CU200" s="221"/>
      <c r="CV200" s="221"/>
      <c r="CW200" s="221"/>
      <c r="CX200" s="221"/>
      <c r="CY200" s="221"/>
      <c r="CZ200" s="182"/>
      <c r="DA200" s="182"/>
      <c r="DB200" s="182"/>
      <c r="DC200" s="182"/>
      <c r="DD200" s="221" t="str">
        <f t="shared" ref="DD200:DD201" si="185">IF(SUM(CP200:CR200)=0,"",SUM(CP200:CR200))</f>
        <v/>
      </c>
      <c r="DE200" s="221" t="str">
        <f t="shared" ref="DE200:DE201" si="186">IF(B200="","",IF(SUM(CU200:CV200)=0,0,SUM(CU200:CV200)))</f>
        <v/>
      </c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469" t="str">
        <f t="shared" si="166"/>
        <v/>
      </c>
      <c r="DP200" s="315">
        <f t="shared" si="167"/>
        <v>0</v>
      </c>
      <c r="DQ200" s="315" t="str">
        <f t="shared" si="168"/>
        <v/>
      </c>
      <c r="DR200" s="182"/>
      <c r="DS200" s="182"/>
      <c r="DT200" s="182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182"/>
      <c r="EE200" s="182"/>
      <c r="EF200" s="182"/>
      <c r="EG200" s="182"/>
      <c r="EH200" s="221" t="str">
        <f t="shared" si="169"/>
        <v/>
      </c>
      <c r="EI200" s="221" t="str">
        <f t="shared" si="170"/>
        <v/>
      </c>
      <c r="EJ200" s="221"/>
      <c r="EK200" s="221"/>
      <c r="EL200" s="221"/>
      <c r="EM200" s="221"/>
      <c r="EN200" s="221"/>
      <c r="EO200" s="221"/>
      <c r="EP200" s="221"/>
      <c r="EQ200" s="221"/>
      <c r="ER200" s="221"/>
      <c r="ES200" s="221"/>
      <c r="ET200" s="221"/>
      <c r="EU200" s="315">
        <f t="shared" si="171"/>
        <v>0</v>
      </c>
      <c r="EV200" s="315" t="str">
        <f t="shared" si="172"/>
        <v/>
      </c>
      <c r="EW200" s="182"/>
      <c r="EX200" s="182"/>
      <c r="EY200" s="182"/>
      <c r="EZ200" s="221"/>
      <c r="FA200" s="221"/>
      <c r="FB200" s="221"/>
      <c r="FC200" s="221"/>
      <c r="FD200" s="221"/>
      <c r="FE200" s="221"/>
      <c r="FF200" s="221"/>
      <c r="FG200" s="221"/>
      <c r="FH200" s="221"/>
      <c r="FI200" s="182"/>
      <c r="FJ200" s="182"/>
      <c r="FK200" s="182"/>
      <c r="FL200" s="182"/>
      <c r="FM200" s="221" t="str">
        <f t="shared" si="173"/>
        <v/>
      </c>
      <c r="FN200" s="221" t="str">
        <f t="shared" si="174"/>
        <v/>
      </c>
      <c r="FO200" s="221"/>
      <c r="FP200" s="221"/>
      <c r="FQ200" s="221"/>
      <c r="FR200" s="221"/>
      <c r="FS200" s="221"/>
      <c r="FT200" s="221"/>
      <c r="FU200" s="221"/>
      <c r="FV200" s="221"/>
      <c r="FW200" s="221"/>
      <c r="FX200" s="221"/>
      <c r="FY200" s="221"/>
      <c r="FZ200" s="408"/>
      <c r="GA200" s="315">
        <f t="shared" si="175"/>
        <v>0</v>
      </c>
      <c r="GB200" s="315" t="str">
        <f t="shared" si="176"/>
        <v/>
      </c>
      <c r="GC200" s="302" t="s">
        <v>160</v>
      </c>
      <c r="GG200" s="460"/>
      <c r="GH200" s="460"/>
      <c r="GU200" s="469"/>
      <c r="GV200" s="470" t="str">
        <f t="shared" si="177"/>
        <v/>
      </c>
      <c r="GW200" s="302">
        <f t="shared" si="178"/>
        <v>0</v>
      </c>
      <c r="HA200" s="654"/>
      <c r="HD200" s="379"/>
      <c r="HE200" s="380"/>
      <c r="HH200" s="385"/>
      <c r="HI200" s="411"/>
      <c r="HJ200" s="302" t="str">
        <f t="shared" ref="HJ200:HJ201" si="187">IF(HH200="","",MID(HH200,1,15))</f>
        <v/>
      </c>
      <c r="HO200" s="302" t="str">
        <f t="shared" si="180"/>
        <v/>
      </c>
      <c r="HP200" s="302" t="str">
        <f t="shared" si="181"/>
        <v/>
      </c>
      <c r="HQ200" s="302" t="str">
        <f t="shared" si="182"/>
        <v/>
      </c>
      <c r="IT200" s="411"/>
      <c r="IU200" s="411"/>
      <c r="IV200" s="635"/>
    </row>
    <row r="201" spans="1:256" s="302" customFormat="1" ht="12.75" hidden="1" customHeight="1">
      <c r="A201" s="397" t="str">
        <f t="shared" si="179"/>
        <v/>
      </c>
      <c r="B201" s="561" t="str">
        <f t="shared" si="183"/>
        <v/>
      </c>
      <c r="C201" s="562"/>
      <c r="D201" s="577"/>
      <c r="E201" s="563"/>
      <c r="F201" s="564"/>
      <c r="G201" s="565"/>
      <c r="H201" s="565"/>
      <c r="I201" s="566"/>
      <c r="J201" s="563"/>
      <c r="K201" s="565"/>
      <c r="L201" s="565"/>
      <c r="M201" s="566"/>
      <c r="N201" s="574"/>
      <c r="O201" s="567"/>
      <c r="P201" s="570"/>
      <c r="Q201" s="571"/>
      <c r="R201" s="182"/>
      <c r="S201" s="182"/>
      <c r="T201" s="182"/>
      <c r="U201" s="182"/>
      <c r="V201" s="182"/>
      <c r="W201" s="182"/>
      <c r="X201" s="182"/>
      <c r="Y201" s="182"/>
      <c r="Z201" s="182"/>
      <c r="AA201" s="388"/>
      <c r="AB201" s="182" t="str">
        <f t="shared" ref="AB201" si="188">IF(C201="","",IF(AND(F201=0,K201=0),"X",(F201+K201)))</f>
        <v/>
      </c>
      <c r="AC201" s="315">
        <f t="shared" ref="AC201" si="189">IF(AE201&lt;&gt;"",1,0)</f>
        <v>0</v>
      </c>
      <c r="AD201" s="315" t="str">
        <f t="shared" si="184"/>
        <v/>
      </c>
      <c r="AE201" s="182"/>
      <c r="AF201" s="182"/>
      <c r="AG201" s="182"/>
      <c r="AH201" s="221"/>
      <c r="AI201" s="221"/>
      <c r="AJ201" s="221"/>
      <c r="AK201" s="221"/>
      <c r="AL201" s="221"/>
      <c r="AM201" s="221"/>
      <c r="AN201" s="221"/>
      <c r="AO201" s="221"/>
      <c r="AP201" s="221"/>
      <c r="AQ201" s="182"/>
      <c r="AR201" s="182"/>
      <c r="AS201" s="182"/>
      <c r="AT201" s="182"/>
      <c r="AU201" s="221" t="str">
        <f t="shared" ref="AU201" si="190">IF(SUM(AH201:AJ201)=0,"",SUM(AH201:AJ201))</f>
        <v/>
      </c>
      <c r="AV201" s="221" t="str">
        <f t="shared" ref="AV201" si="191">IF(SUM(AM201:AN201)=0,"",SUM(AM201:AN201))</f>
        <v/>
      </c>
      <c r="AW201" s="221"/>
      <c r="AX201" s="221"/>
      <c r="AY201" s="221"/>
      <c r="AZ201" s="221"/>
      <c r="BA201" s="221"/>
      <c r="BB201" s="221"/>
      <c r="BC201" s="221"/>
      <c r="BD201" s="221"/>
      <c r="BE201" s="221"/>
      <c r="BF201" s="468">
        <f t="shared" ref="BF201" si="192">IF(OR($P201=2,$P201=1),0,IF(OR($P201=3,$P201=""),IX201))</f>
        <v>0</v>
      </c>
      <c r="BG201" s="315">
        <f t="shared" ref="BG201" si="193">IF(BI201&lt;&gt;"",1,0)</f>
        <v>0</v>
      </c>
      <c r="BH201" s="315" t="str">
        <f t="shared" ref="BH201" si="194">IF(BI201&lt;&gt;"",ROW(BI201)-3,"")</f>
        <v/>
      </c>
      <c r="BI201" s="182"/>
      <c r="BJ201" s="182"/>
      <c r="BK201" s="182"/>
      <c r="BL201" s="221"/>
      <c r="BM201" s="221"/>
      <c r="BN201" s="221"/>
      <c r="BO201" s="221"/>
      <c r="BP201" s="221"/>
      <c r="BQ201" s="221"/>
      <c r="BR201" s="221"/>
      <c r="BS201" s="221"/>
      <c r="BT201" s="221"/>
      <c r="BU201" s="182"/>
      <c r="BV201" s="182"/>
      <c r="BW201" s="182"/>
      <c r="BX201" s="182"/>
      <c r="BY201" s="221" t="str">
        <f t="shared" ref="BY201" si="195">IF(SUM(BL201:BN201)=0,"",SUM(BL201:BN201))</f>
        <v/>
      </c>
      <c r="BZ201" s="221" t="str">
        <f t="shared" ref="BZ201" si="196">IF(SUM(BQ201:BR201)=0,"",SUM(BQ201:BR201))</f>
        <v/>
      </c>
      <c r="CA201" s="221"/>
      <c r="CB201" s="221"/>
      <c r="CC201" s="221"/>
      <c r="CD201" s="221"/>
      <c r="CE201" s="221"/>
      <c r="CF201" s="221"/>
      <c r="CG201" s="221"/>
      <c r="CH201" s="221"/>
      <c r="CI201" s="221"/>
      <c r="CJ201" s="468">
        <f t="shared" ref="CJ201" si="197">IF(OR($P201=2,$P201=1),0,IF(OR($P201=3,$P201=""),IY201))</f>
        <v>0</v>
      </c>
      <c r="CK201" s="315">
        <f t="shared" ref="CK201" si="198">IF(CM201&lt;&gt;"",1,0)</f>
        <v>0</v>
      </c>
      <c r="CL201" s="315" t="str">
        <f t="shared" ref="CL201" si="199">IF(CM201&lt;&gt;"",ROW(CM201)-3,"")</f>
        <v/>
      </c>
      <c r="CM201" s="182"/>
      <c r="CN201" s="182"/>
      <c r="CO201" s="182"/>
      <c r="CP201" s="221"/>
      <c r="CQ201" s="221"/>
      <c r="CR201" s="221"/>
      <c r="CS201" s="221"/>
      <c r="CT201" s="221"/>
      <c r="CU201" s="221"/>
      <c r="CV201" s="221"/>
      <c r="CW201" s="221"/>
      <c r="CX201" s="221"/>
      <c r="CY201" s="221"/>
      <c r="CZ201" s="182"/>
      <c r="DA201" s="182"/>
      <c r="DB201" s="182"/>
      <c r="DC201" s="182"/>
      <c r="DD201" s="221" t="str">
        <f t="shared" si="185"/>
        <v/>
      </c>
      <c r="DE201" s="221" t="str">
        <f t="shared" si="186"/>
        <v/>
      </c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468" t="str">
        <f t="shared" ref="DO201" si="200">IF(AND(BF201=0,CJ201=0),"",IF(AND(BF201=0,CJ201=""),"",IF(AND(BF201="",CJ201=""),"",SUM(BF201,CJ201))))</f>
        <v/>
      </c>
      <c r="DP201" s="315">
        <f t="shared" ref="DP201" si="201">IF(DR201&lt;&gt;"",1,0)</f>
        <v>0</v>
      </c>
      <c r="DQ201" s="315" t="str">
        <f t="shared" ref="DQ201" si="202">IF(DR201&lt;&gt;"",ROW(DR201)-3,"")</f>
        <v/>
      </c>
      <c r="DR201" s="182"/>
      <c r="DS201" s="182"/>
      <c r="DT201" s="182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182"/>
      <c r="EE201" s="182"/>
      <c r="EF201" s="182"/>
      <c r="EG201" s="182"/>
      <c r="EH201" s="221" t="str">
        <f t="shared" ref="EH201" si="203">IF(SUM(DU201:DW201)=0,"",SUM(DU201:DW201))</f>
        <v/>
      </c>
      <c r="EI201" s="221" t="str">
        <f t="shared" ref="EI201" si="204">IF(SUM(DZ201:EA201)=0,"",SUM(DZ201:EA201))</f>
        <v/>
      </c>
      <c r="EJ201" s="221"/>
      <c r="EK201" s="221"/>
      <c r="EL201" s="221"/>
      <c r="EM201" s="221"/>
      <c r="EN201" s="221"/>
      <c r="EO201" s="221"/>
      <c r="EP201" s="221"/>
      <c r="EQ201" s="221"/>
      <c r="ER201" s="221"/>
      <c r="ES201" s="221"/>
      <c r="ET201" s="221"/>
      <c r="EU201" s="315">
        <f t="shared" ref="EU201" si="205">IF(EW201&lt;&gt;"",1,0)</f>
        <v>0</v>
      </c>
      <c r="EV201" s="315" t="str">
        <f t="shared" ref="EV201" si="206">IF(EW201&lt;&gt;"",ROW(EW201)-3,"")</f>
        <v/>
      </c>
      <c r="EW201" s="182"/>
      <c r="EX201" s="182"/>
      <c r="EY201" s="182"/>
      <c r="EZ201" s="221"/>
      <c r="FA201" s="221"/>
      <c r="FB201" s="221"/>
      <c r="FC201" s="221"/>
      <c r="FD201" s="221"/>
      <c r="FE201" s="221"/>
      <c r="FF201" s="221"/>
      <c r="FG201" s="221"/>
      <c r="FH201" s="221"/>
      <c r="FI201" s="182"/>
      <c r="FJ201" s="182"/>
      <c r="FK201" s="182"/>
      <c r="FL201" s="182"/>
      <c r="FM201" s="221" t="str">
        <f t="shared" ref="FM201" si="207">IF(SUM(EZ201:FB201)=0,"",SUM(EZ201:FB201))</f>
        <v/>
      </c>
      <c r="FN201" s="221" t="str">
        <f t="shared" ref="FN201" si="208">IF(AND(FE201="",FF201=""),"",SUM(FE201:FF201))</f>
        <v/>
      </c>
      <c r="FO201" s="221"/>
      <c r="FP201" s="221"/>
      <c r="FQ201" s="221"/>
      <c r="FR201" s="221"/>
      <c r="FS201" s="221"/>
      <c r="FT201" s="221"/>
      <c r="FU201" s="221"/>
      <c r="FV201" s="221"/>
      <c r="FW201" s="221"/>
      <c r="FX201" s="221"/>
      <c r="FY201" s="221"/>
      <c r="FZ201" s="568"/>
      <c r="GA201" s="315">
        <f t="shared" ref="GA201" si="209">IF(GC201&lt;&gt;"",1,0)</f>
        <v>0</v>
      </c>
      <c r="GB201" s="315" t="str">
        <f t="shared" ref="GB201" si="210">IF(GC201&lt;&gt;"",ROW(GC201)-3,"")</f>
        <v/>
      </c>
      <c r="GC201" s="182" t="s">
        <v>160</v>
      </c>
      <c r="GD201" s="182"/>
      <c r="GE201" s="182"/>
      <c r="GG201" s="460"/>
      <c r="GH201" s="460"/>
      <c r="GU201" s="468"/>
      <c r="GV201" s="569" t="str">
        <f t="shared" ref="GV201" si="211">IF(L201="","",IF(OR(SUM(GU201,FZ201,GW201)=L201,SUM(L201,FZ201,GW201)=GU201),"OK",IF(SUM(GU201,FZ201,GW201)&lt;&gt;L201,"STOP")))</f>
        <v/>
      </c>
      <c r="GW201" s="302">
        <f t="shared" ref="GW201" si="212">IF(CJ201="",0,CJ201)</f>
        <v>0</v>
      </c>
      <c r="HD201" s="379"/>
      <c r="HH201" s="383"/>
      <c r="HI201" s="410"/>
      <c r="HJ201" s="302" t="str">
        <f t="shared" si="187"/>
        <v/>
      </c>
      <c r="HO201" s="302" t="str">
        <f t="shared" si="180"/>
        <v/>
      </c>
      <c r="HP201" s="302" t="str">
        <f t="shared" si="181"/>
        <v/>
      </c>
      <c r="HQ201" s="302" t="str">
        <f t="shared" si="182"/>
        <v/>
      </c>
      <c r="IT201" s="410"/>
      <c r="IU201" s="411"/>
      <c r="IV201" s="636"/>
    </row>
    <row r="202" spans="1:256" s="302" customFormat="1" ht="12.75" hidden="1" customHeight="1">
      <c r="A202" s="397" t="str">
        <f t="shared" ref="A202:A207" si="213">IF(B202="","",IF(F202="BLOQUEADO",0,F202+K202))</f>
        <v/>
      </c>
      <c r="B202" s="561" t="str">
        <f t="shared" ref="B202:B207" si="214">IF(D202="","",B201+1)</f>
        <v/>
      </c>
      <c r="C202" s="562"/>
      <c r="D202" s="577"/>
      <c r="E202" s="563"/>
      <c r="F202" s="564"/>
      <c r="G202" s="565"/>
      <c r="H202" s="565"/>
      <c r="I202" s="566"/>
      <c r="J202" s="563"/>
      <c r="K202" s="565"/>
      <c r="L202" s="565"/>
      <c r="M202" s="566"/>
      <c r="N202" s="574"/>
      <c r="O202" s="567"/>
      <c r="P202" s="570"/>
      <c r="Q202" s="571"/>
      <c r="R202" s="182"/>
      <c r="S202" s="182"/>
      <c r="T202" s="182"/>
      <c r="U202" s="182"/>
      <c r="V202" s="182"/>
      <c r="W202" s="182"/>
      <c r="X202" s="182"/>
      <c r="Y202" s="182"/>
      <c r="Z202" s="182"/>
      <c r="AA202" s="388"/>
      <c r="AB202" s="182"/>
      <c r="AC202" s="315"/>
      <c r="AD202" s="315"/>
      <c r="AE202" s="182"/>
      <c r="AF202" s="182"/>
      <c r="AG202" s="182"/>
      <c r="AH202" s="221"/>
      <c r="AI202" s="221"/>
      <c r="AJ202" s="221"/>
      <c r="AK202" s="221"/>
      <c r="AL202" s="221"/>
      <c r="AM202" s="221"/>
      <c r="AN202" s="221"/>
      <c r="AO202" s="221"/>
      <c r="AP202" s="221"/>
      <c r="AQ202" s="182"/>
      <c r="AR202" s="182"/>
      <c r="AS202" s="182"/>
      <c r="AT202" s="182"/>
      <c r="AU202" s="221"/>
      <c r="AV202" s="221"/>
      <c r="AW202" s="221"/>
      <c r="AX202" s="221"/>
      <c r="AY202" s="221"/>
      <c r="AZ202" s="221"/>
      <c r="BA202" s="221"/>
      <c r="BB202" s="221"/>
      <c r="BC202" s="221"/>
      <c r="BD202" s="221"/>
      <c r="BE202" s="221"/>
      <c r="BF202" s="468"/>
      <c r="BG202" s="315"/>
      <c r="BH202" s="315"/>
      <c r="BI202" s="182"/>
      <c r="BJ202" s="182"/>
      <c r="BK202" s="182"/>
      <c r="BL202" s="221"/>
      <c r="BM202" s="221"/>
      <c r="BN202" s="221"/>
      <c r="BO202" s="221"/>
      <c r="BP202" s="221"/>
      <c r="BQ202" s="221"/>
      <c r="BR202" s="221"/>
      <c r="BS202" s="221"/>
      <c r="BT202" s="221"/>
      <c r="BU202" s="182"/>
      <c r="BV202" s="182"/>
      <c r="BW202" s="182"/>
      <c r="BX202" s="182"/>
      <c r="BY202" s="221"/>
      <c r="BZ202" s="221"/>
      <c r="CA202" s="221"/>
      <c r="CB202" s="221"/>
      <c r="CC202" s="221"/>
      <c r="CD202" s="221"/>
      <c r="CE202" s="221"/>
      <c r="CF202" s="221"/>
      <c r="CG202" s="221"/>
      <c r="CH202" s="221"/>
      <c r="CI202" s="221"/>
      <c r="CJ202" s="468"/>
      <c r="CK202" s="315"/>
      <c r="CL202" s="315"/>
      <c r="CM202" s="182"/>
      <c r="CN202" s="182"/>
      <c r="CO202" s="182"/>
      <c r="CP202" s="221"/>
      <c r="CQ202" s="221"/>
      <c r="CR202" s="221"/>
      <c r="CS202" s="221"/>
      <c r="CT202" s="221"/>
      <c r="CU202" s="221"/>
      <c r="CV202" s="221"/>
      <c r="CW202" s="221"/>
      <c r="CX202" s="221"/>
      <c r="CY202" s="221"/>
      <c r="CZ202" s="182"/>
      <c r="DA202" s="182"/>
      <c r="DB202" s="182"/>
      <c r="DC202" s="182"/>
      <c r="DD202" s="221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468"/>
      <c r="DP202" s="315"/>
      <c r="DQ202" s="315"/>
      <c r="DR202" s="182"/>
      <c r="DS202" s="182"/>
      <c r="DT202" s="182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182"/>
      <c r="EE202" s="182"/>
      <c r="EF202" s="182"/>
      <c r="EG202" s="182"/>
      <c r="EH202" s="221"/>
      <c r="EI202" s="221"/>
      <c r="EJ202" s="221"/>
      <c r="EK202" s="221"/>
      <c r="EL202" s="221"/>
      <c r="EM202" s="221"/>
      <c r="EN202" s="221"/>
      <c r="EO202" s="221"/>
      <c r="EP202" s="221"/>
      <c r="EQ202" s="221"/>
      <c r="ER202" s="221"/>
      <c r="ES202" s="221"/>
      <c r="ET202" s="221"/>
      <c r="EU202" s="315"/>
      <c r="EV202" s="315"/>
      <c r="EW202" s="182"/>
      <c r="EX202" s="182"/>
      <c r="EY202" s="182"/>
      <c r="EZ202" s="221"/>
      <c r="FA202" s="221"/>
      <c r="FB202" s="221"/>
      <c r="FC202" s="221"/>
      <c r="FD202" s="221"/>
      <c r="FE202" s="221"/>
      <c r="FF202" s="221"/>
      <c r="FG202" s="221"/>
      <c r="FH202" s="221"/>
      <c r="FI202" s="182"/>
      <c r="FJ202" s="182"/>
      <c r="FK202" s="182"/>
      <c r="FL202" s="182"/>
      <c r="FM202" s="221"/>
      <c r="FN202" s="221"/>
      <c r="FO202" s="221"/>
      <c r="FP202" s="221"/>
      <c r="FQ202" s="221"/>
      <c r="FR202" s="221"/>
      <c r="FS202" s="221"/>
      <c r="FT202" s="221"/>
      <c r="FU202" s="221"/>
      <c r="FV202" s="221"/>
      <c r="FW202" s="221"/>
      <c r="FX202" s="221"/>
      <c r="FY202" s="221"/>
      <c r="FZ202" s="568"/>
      <c r="GA202" s="315"/>
      <c r="GB202" s="315"/>
      <c r="GC202" s="182" t="s">
        <v>160</v>
      </c>
      <c r="GD202" s="182"/>
      <c r="GE202" s="182"/>
      <c r="GG202" s="460"/>
      <c r="GH202" s="460"/>
      <c r="GU202" s="468"/>
      <c r="GV202" s="569"/>
      <c r="HH202" s="383"/>
      <c r="HI202" s="410"/>
      <c r="IT202" s="410"/>
      <c r="IU202" s="383"/>
      <c r="IV202" s="636"/>
    </row>
    <row r="203" spans="1:256" s="302" customFormat="1" ht="12.75" hidden="1" customHeight="1">
      <c r="A203" s="397" t="str">
        <f t="shared" si="213"/>
        <v/>
      </c>
      <c r="B203" s="462" t="str">
        <f t="shared" si="214"/>
        <v/>
      </c>
      <c r="C203" s="471"/>
      <c r="D203" s="472"/>
      <c r="E203" s="473"/>
      <c r="F203" s="474"/>
      <c r="G203" s="475"/>
      <c r="H203" s="475"/>
      <c r="I203" s="476"/>
      <c r="J203" s="473"/>
      <c r="K203" s="475"/>
      <c r="L203" s="475"/>
      <c r="M203" s="476"/>
      <c r="N203" s="477"/>
      <c r="O203" s="478"/>
      <c r="P203" s="519"/>
      <c r="Q203" s="479"/>
      <c r="R203" s="182"/>
      <c r="S203" s="182"/>
      <c r="T203" s="182"/>
      <c r="U203" s="182"/>
      <c r="V203" s="182"/>
      <c r="W203" s="182"/>
      <c r="X203" s="182"/>
      <c r="Y203" s="182"/>
      <c r="Z203" s="182"/>
      <c r="AA203" s="389"/>
      <c r="AB203" s="182"/>
      <c r="AC203" s="315"/>
      <c r="AD203" s="315"/>
      <c r="AE203" s="182"/>
      <c r="AF203" s="182"/>
      <c r="AG203" s="182"/>
      <c r="AH203" s="221"/>
      <c r="AI203" s="221"/>
      <c r="AJ203" s="221"/>
      <c r="AK203" s="221"/>
      <c r="AL203" s="221"/>
      <c r="AM203" s="221"/>
      <c r="AN203" s="221"/>
      <c r="AO203" s="221"/>
      <c r="AP203" s="221"/>
      <c r="AQ203" s="182"/>
      <c r="AR203" s="182"/>
      <c r="AS203" s="182"/>
      <c r="AT203" s="182"/>
      <c r="AU203" s="221"/>
      <c r="AV203" s="221"/>
      <c r="AW203" s="221"/>
      <c r="AX203" s="221"/>
      <c r="AY203" s="221"/>
      <c r="AZ203" s="221"/>
      <c r="BA203" s="221"/>
      <c r="BB203" s="221"/>
      <c r="BC203" s="221"/>
      <c r="BD203" s="221"/>
      <c r="BE203" s="221"/>
      <c r="BF203" s="480"/>
      <c r="BG203" s="315"/>
      <c r="BH203" s="315"/>
      <c r="BI203" s="182"/>
      <c r="BJ203" s="182"/>
      <c r="BK203" s="182"/>
      <c r="BL203" s="221"/>
      <c r="BM203" s="221"/>
      <c r="BN203" s="221"/>
      <c r="BO203" s="221"/>
      <c r="BP203" s="221"/>
      <c r="BQ203" s="221"/>
      <c r="BR203" s="221"/>
      <c r="BS203" s="221"/>
      <c r="BT203" s="221"/>
      <c r="BU203" s="182"/>
      <c r="BV203" s="182"/>
      <c r="BW203" s="182"/>
      <c r="BX203" s="182"/>
      <c r="BY203" s="221"/>
      <c r="BZ203" s="221"/>
      <c r="CA203" s="221"/>
      <c r="CB203" s="221"/>
      <c r="CC203" s="221"/>
      <c r="CD203" s="221"/>
      <c r="CE203" s="221"/>
      <c r="CF203" s="221"/>
      <c r="CG203" s="221"/>
      <c r="CH203" s="221"/>
      <c r="CI203" s="221"/>
      <c r="CJ203" s="480"/>
      <c r="CK203" s="315"/>
      <c r="CL203" s="315"/>
      <c r="CM203" s="182"/>
      <c r="CN203" s="182"/>
      <c r="CO203" s="182"/>
      <c r="CP203" s="221"/>
      <c r="CQ203" s="221"/>
      <c r="CR203" s="221"/>
      <c r="CS203" s="221"/>
      <c r="CT203" s="221"/>
      <c r="CU203" s="221"/>
      <c r="CV203" s="221"/>
      <c r="CW203" s="221"/>
      <c r="CX203" s="221"/>
      <c r="CY203" s="221"/>
      <c r="CZ203" s="182"/>
      <c r="DA203" s="182"/>
      <c r="DB203" s="182"/>
      <c r="DC203" s="182"/>
      <c r="DD203" s="221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481"/>
      <c r="DP203" s="315"/>
      <c r="DQ203" s="315"/>
      <c r="DR203" s="182"/>
      <c r="DS203" s="182"/>
      <c r="DT203" s="182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182"/>
      <c r="EE203" s="182"/>
      <c r="EF203" s="182"/>
      <c r="EG203" s="182"/>
      <c r="EH203" s="221"/>
      <c r="EI203" s="221"/>
      <c r="EJ203" s="221"/>
      <c r="EK203" s="221"/>
      <c r="EL203" s="221"/>
      <c r="EM203" s="221"/>
      <c r="EN203" s="221"/>
      <c r="EO203" s="221"/>
      <c r="EP203" s="221"/>
      <c r="EQ203" s="221"/>
      <c r="ER203" s="221"/>
      <c r="ES203" s="221"/>
      <c r="ET203" s="221"/>
      <c r="EU203" s="315"/>
      <c r="EV203" s="315"/>
      <c r="EW203" s="182"/>
      <c r="EX203" s="182"/>
      <c r="EY203" s="182"/>
      <c r="EZ203" s="221"/>
      <c r="FA203" s="221"/>
      <c r="FB203" s="221"/>
      <c r="FC203" s="221"/>
      <c r="FD203" s="221"/>
      <c r="FE203" s="221"/>
      <c r="FF203" s="221"/>
      <c r="FG203" s="221"/>
      <c r="FH203" s="221"/>
      <c r="FI203" s="182"/>
      <c r="FJ203" s="182"/>
      <c r="FK203" s="182"/>
      <c r="FL203" s="182"/>
      <c r="FM203" s="221"/>
      <c r="FN203" s="221"/>
      <c r="FO203" s="221"/>
      <c r="FP203" s="221"/>
      <c r="FQ203" s="221"/>
      <c r="FR203" s="221"/>
      <c r="FS203" s="221"/>
      <c r="FT203" s="221"/>
      <c r="FU203" s="221"/>
      <c r="FV203" s="221"/>
      <c r="FW203" s="221"/>
      <c r="FX203" s="221"/>
      <c r="FY203" s="221"/>
      <c r="FZ203" s="482"/>
      <c r="GA203" s="315"/>
      <c r="GB203" s="315"/>
      <c r="GC203" s="182" t="s">
        <v>160</v>
      </c>
      <c r="GD203" s="182"/>
      <c r="GE203" s="182"/>
      <c r="GU203" s="481"/>
      <c r="GV203" s="483"/>
      <c r="HH203" s="385"/>
      <c r="HI203" s="385"/>
      <c r="IT203" s="385"/>
      <c r="IU203" s="385"/>
      <c r="IV203" s="635"/>
    </row>
    <row r="204" spans="1:256" s="302" customFormat="1" ht="12.75" hidden="1" customHeight="1">
      <c r="A204" s="397" t="str">
        <f t="shared" si="213"/>
        <v/>
      </c>
      <c r="B204" s="462" t="str">
        <f t="shared" si="214"/>
        <v/>
      </c>
      <c r="C204" s="471"/>
      <c r="D204" s="472"/>
      <c r="E204" s="473"/>
      <c r="F204" s="474"/>
      <c r="G204" s="475"/>
      <c r="H204" s="475"/>
      <c r="I204" s="476"/>
      <c r="J204" s="473"/>
      <c r="K204" s="475"/>
      <c r="L204" s="475"/>
      <c r="M204" s="476"/>
      <c r="N204" s="477"/>
      <c r="O204" s="478"/>
      <c r="P204" s="519"/>
      <c r="Q204" s="479"/>
      <c r="R204" s="182"/>
      <c r="S204" s="182"/>
      <c r="T204" s="182"/>
      <c r="U204" s="182"/>
      <c r="V204" s="182"/>
      <c r="W204" s="182"/>
      <c r="X204" s="182"/>
      <c r="Y204" s="182"/>
      <c r="Z204" s="182"/>
      <c r="AA204" s="389"/>
      <c r="AB204" s="182"/>
      <c r="AC204" s="315"/>
      <c r="AD204" s="315"/>
      <c r="AE204" s="182"/>
      <c r="AF204" s="182"/>
      <c r="AG204" s="182"/>
      <c r="AH204" s="221"/>
      <c r="AI204" s="221"/>
      <c r="AJ204" s="221"/>
      <c r="AK204" s="221"/>
      <c r="AL204" s="221"/>
      <c r="AM204" s="221"/>
      <c r="AN204" s="221"/>
      <c r="AO204" s="221"/>
      <c r="AP204" s="221"/>
      <c r="AQ204" s="182"/>
      <c r="AR204" s="182"/>
      <c r="AS204" s="182"/>
      <c r="AT204" s="182"/>
      <c r="AU204" s="221"/>
      <c r="AV204" s="221"/>
      <c r="AW204" s="221"/>
      <c r="AX204" s="221"/>
      <c r="AY204" s="221"/>
      <c r="AZ204" s="221"/>
      <c r="BA204" s="221"/>
      <c r="BB204" s="221"/>
      <c r="BC204" s="221"/>
      <c r="BD204" s="221"/>
      <c r="BE204" s="221"/>
      <c r="BF204" s="480"/>
      <c r="BG204" s="315"/>
      <c r="BH204" s="315"/>
      <c r="BI204" s="182"/>
      <c r="BJ204" s="182"/>
      <c r="BK204" s="182"/>
      <c r="BL204" s="221"/>
      <c r="BM204" s="221"/>
      <c r="BN204" s="221"/>
      <c r="BO204" s="221"/>
      <c r="BP204" s="221"/>
      <c r="BQ204" s="221"/>
      <c r="BR204" s="221"/>
      <c r="BS204" s="221"/>
      <c r="BT204" s="221"/>
      <c r="BU204" s="182"/>
      <c r="BV204" s="182"/>
      <c r="BW204" s="182"/>
      <c r="BX204" s="182"/>
      <c r="BY204" s="221"/>
      <c r="BZ204" s="221"/>
      <c r="CA204" s="221"/>
      <c r="CB204" s="221"/>
      <c r="CC204" s="221"/>
      <c r="CD204" s="221"/>
      <c r="CE204" s="221"/>
      <c r="CF204" s="221"/>
      <c r="CG204" s="221"/>
      <c r="CH204" s="221"/>
      <c r="CI204" s="221"/>
      <c r="CJ204" s="480"/>
      <c r="CK204" s="315"/>
      <c r="CL204" s="315"/>
      <c r="CM204" s="182"/>
      <c r="CN204" s="182"/>
      <c r="CO204" s="182"/>
      <c r="CP204" s="221"/>
      <c r="CQ204" s="221"/>
      <c r="CR204" s="221"/>
      <c r="CS204" s="221"/>
      <c r="CT204" s="221"/>
      <c r="CU204" s="221"/>
      <c r="CV204" s="221"/>
      <c r="CW204" s="221"/>
      <c r="CX204" s="221"/>
      <c r="CY204" s="221"/>
      <c r="CZ204" s="182"/>
      <c r="DA204" s="182"/>
      <c r="DB204" s="182"/>
      <c r="DC204" s="182"/>
      <c r="DD204" s="221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481"/>
      <c r="DP204" s="315"/>
      <c r="DQ204" s="315"/>
      <c r="DR204" s="182"/>
      <c r="DS204" s="182"/>
      <c r="DT204" s="182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182"/>
      <c r="EE204" s="182"/>
      <c r="EF204" s="182"/>
      <c r="EG204" s="182"/>
      <c r="EH204" s="221"/>
      <c r="EI204" s="221"/>
      <c r="EJ204" s="221"/>
      <c r="EK204" s="221"/>
      <c r="EL204" s="221"/>
      <c r="EM204" s="221"/>
      <c r="EN204" s="221"/>
      <c r="EO204" s="221"/>
      <c r="EP204" s="221"/>
      <c r="EQ204" s="221"/>
      <c r="ER204" s="221"/>
      <c r="ES204" s="221"/>
      <c r="ET204" s="221"/>
      <c r="EU204" s="315"/>
      <c r="EV204" s="315"/>
      <c r="EW204" s="182"/>
      <c r="EX204" s="182"/>
      <c r="EY204" s="182"/>
      <c r="EZ204" s="221"/>
      <c r="FA204" s="221"/>
      <c r="FB204" s="221"/>
      <c r="FC204" s="221"/>
      <c r="FD204" s="221"/>
      <c r="FE204" s="221"/>
      <c r="FF204" s="221"/>
      <c r="FG204" s="221"/>
      <c r="FH204" s="221"/>
      <c r="FI204" s="182"/>
      <c r="FJ204" s="182"/>
      <c r="FK204" s="182"/>
      <c r="FL204" s="182"/>
      <c r="FM204" s="221"/>
      <c r="FN204" s="221"/>
      <c r="FO204" s="221"/>
      <c r="FP204" s="221"/>
      <c r="FQ204" s="221"/>
      <c r="FR204" s="221"/>
      <c r="FS204" s="221"/>
      <c r="FT204" s="221"/>
      <c r="FU204" s="221"/>
      <c r="FV204" s="221"/>
      <c r="FW204" s="221"/>
      <c r="FX204" s="221"/>
      <c r="FY204" s="221"/>
      <c r="FZ204" s="482"/>
      <c r="GA204" s="315"/>
      <c r="GB204" s="315"/>
      <c r="GC204" s="182" t="s">
        <v>160</v>
      </c>
      <c r="GD204" s="182"/>
      <c r="GE204" s="182"/>
      <c r="GU204" s="481"/>
      <c r="GV204" s="483"/>
      <c r="HH204" s="385"/>
      <c r="HI204" s="385"/>
      <c r="IT204" s="385"/>
      <c r="IU204" s="385"/>
      <c r="IV204" s="635"/>
    </row>
    <row r="205" spans="1:256" s="302" customFormat="1" ht="12.75" hidden="1" customHeight="1">
      <c r="A205" s="397" t="str">
        <f t="shared" si="213"/>
        <v/>
      </c>
      <c r="B205" s="462" t="str">
        <f t="shared" si="214"/>
        <v/>
      </c>
      <c r="C205" s="471"/>
      <c r="D205" s="472"/>
      <c r="E205" s="473"/>
      <c r="F205" s="474"/>
      <c r="G205" s="475"/>
      <c r="H205" s="475"/>
      <c r="I205" s="476"/>
      <c r="J205" s="473"/>
      <c r="K205" s="475"/>
      <c r="L205" s="475"/>
      <c r="M205" s="476"/>
      <c r="N205" s="477"/>
      <c r="O205" s="478"/>
      <c r="P205" s="519"/>
      <c r="Q205" s="479"/>
      <c r="R205" s="182"/>
      <c r="S205" s="182"/>
      <c r="T205" s="182"/>
      <c r="U205" s="182"/>
      <c r="V205" s="182"/>
      <c r="W205" s="182"/>
      <c r="X205" s="182"/>
      <c r="Y205" s="182"/>
      <c r="Z205" s="182"/>
      <c r="AA205" s="389"/>
      <c r="AB205" s="182"/>
      <c r="AC205" s="315"/>
      <c r="AD205" s="315"/>
      <c r="AE205" s="182"/>
      <c r="AF205" s="182"/>
      <c r="AG205" s="182"/>
      <c r="AH205" s="221"/>
      <c r="AI205" s="221"/>
      <c r="AJ205" s="221"/>
      <c r="AK205" s="221"/>
      <c r="AL205" s="221"/>
      <c r="AM205" s="221"/>
      <c r="AN205" s="221"/>
      <c r="AO205" s="221"/>
      <c r="AP205" s="221"/>
      <c r="AQ205" s="182"/>
      <c r="AR205" s="182"/>
      <c r="AS205" s="182"/>
      <c r="AT205" s="182"/>
      <c r="AU205" s="221"/>
      <c r="AV205" s="221"/>
      <c r="AW205" s="221"/>
      <c r="AX205" s="221"/>
      <c r="AY205" s="221"/>
      <c r="AZ205" s="221"/>
      <c r="BA205" s="221"/>
      <c r="BB205" s="221"/>
      <c r="BC205" s="221"/>
      <c r="BD205" s="221"/>
      <c r="BE205" s="221"/>
      <c r="BF205" s="480"/>
      <c r="BG205" s="315"/>
      <c r="BH205" s="315"/>
      <c r="BI205" s="182"/>
      <c r="BJ205" s="182"/>
      <c r="BK205" s="182"/>
      <c r="BL205" s="221"/>
      <c r="BM205" s="221"/>
      <c r="BN205" s="221"/>
      <c r="BO205" s="221"/>
      <c r="BP205" s="221"/>
      <c r="BQ205" s="221"/>
      <c r="BR205" s="221"/>
      <c r="BS205" s="221"/>
      <c r="BT205" s="221"/>
      <c r="BU205" s="182"/>
      <c r="BV205" s="182"/>
      <c r="BW205" s="182"/>
      <c r="BX205" s="182"/>
      <c r="BY205" s="221"/>
      <c r="BZ205" s="221"/>
      <c r="CA205" s="221"/>
      <c r="CB205" s="221"/>
      <c r="CC205" s="221"/>
      <c r="CD205" s="221"/>
      <c r="CE205" s="221"/>
      <c r="CF205" s="221"/>
      <c r="CG205" s="221"/>
      <c r="CH205" s="221"/>
      <c r="CI205" s="221"/>
      <c r="CJ205" s="480"/>
      <c r="CK205" s="315"/>
      <c r="CL205" s="315"/>
      <c r="CM205" s="182"/>
      <c r="CN205" s="182"/>
      <c r="CO205" s="182"/>
      <c r="CP205" s="221"/>
      <c r="CQ205" s="221"/>
      <c r="CR205" s="221"/>
      <c r="CS205" s="221"/>
      <c r="CT205" s="221"/>
      <c r="CU205" s="221"/>
      <c r="CV205" s="221"/>
      <c r="CW205" s="221"/>
      <c r="CX205" s="221"/>
      <c r="CY205" s="221"/>
      <c r="CZ205" s="182"/>
      <c r="DA205" s="182"/>
      <c r="DB205" s="182"/>
      <c r="DC205" s="182"/>
      <c r="DD205" s="221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481"/>
      <c r="DP205" s="315"/>
      <c r="DQ205" s="315"/>
      <c r="DR205" s="182"/>
      <c r="DS205" s="182"/>
      <c r="DT205" s="182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182"/>
      <c r="EE205" s="182"/>
      <c r="EF205" s="182"/>
      <c r="EG205" s="182"/>
      <c r="EH205" s="221"/>
      <c r="EI205" s="221"/>
      <c r="EJ205" s="221"/>
      <c r="EK205" s="221"/>
      <c r="EL205" s="221"/>
      <c r="EM205" s="221"/>
      <c r="EN205" s="221"/>
      <c r="EO205" s="221"/>
      <c r="EP205" s="221"/>
      <c r="EQ205" s="221"/>
      <c r="ER205" s="221"/>
      <c r="ES205" s="221"/>
      <c r="ET205" s="221"/>
      <c r="EU205" s="315"/>
      <c r="EV205" s="315"/>
      <c r="EW205" s="182"/>
      <c r="EX205" s="182"/>
      <c r="EY205" s="182"/>
      <c r="EZ205" s="221"/>
      <c r="FA205" s="221"/>
      <c r="FB205" s="221"/>
      <c r="FC205" s="221"/>
      <c r="FD205" s="221"/>
      <c r="FE205" s="221"/>
      <c r="FF205" s="221"/>
      <c r="FG205" s="221"/>
      <c r="FH205" s="221"/>
      <c r="FI205" s="182"/>
      <c r="FJ205" s="182"/>
      <c r="FK205" s="182"/>
      <c r="FL205" s="182"/>
      <c r="FM205" s="221"/>
      <c r="FN205" s="221"/>
      <c r="FO205" s="221"/>
      <c r="FP205" s="221"/>
      <c r="FQ205" s="221"/>
      <c r="FR205" s="221"/>
      <c r="FS205" s="221"/>
      <c r="FT205" s="221"/>
      <c r="FU205" s="221"/>
      <c r="FV205" s="221"/>
      <c r="FW205" s="221"/>
      <c r="FX205" s="221"/>
      <c r="FY205" s="221"/>
      <c r="FZ205" s="482"/>
      <c r="GA205" s="315"/>
      <c r="GB205" s="315"/>
      <c r="GC205" s="182" t="s">
        <v>160</v>
      </c>
      <c r="GD205" s="182"/>
      <c r="GE205" s="182"/>
      <c r="GU205" s="481"/>
      <c r="GV205" s="483"/>
      <c r="HH205" s="385"/>
      <c r="HI205" s="385"/>
      <c r="IT205" s="385"/>
      <c r="IU205" s="385"/>
      <c r="IV205" s="635"/>
    </row>
    <row r="206" spans="1:256" s="302" customFormat="1" ht="12.75" hidden="1" customHeight="1">
      <c r="A206" s="397" t="str">
        <f t="shared" si="213"/>
        <v/>
      </c>
      <c r="B206" s="484" t="str">
        <f t="shared" si="214"/>
        <v/>
      </c>
      <c r="C206" s="471"/>
      <c r="D206" s="472"/>
      <c r="E206" s="473"/>
      <c r="F206" s="474"/>
      <c r="G206" s="475"/>
      <c r="H206" s="475"/>
      <c r="I206" s="476"/>
      <c r="J206" s="473"/>
      <c r="K206" s="475"/>
      <c r="L206" s="475"/>
      <c r="M206" s="476"/>
      <c r="N206" s="477"/>
      <c r="O206" s="478"/>
      <c r="P206" s="519"/>
      <c r="Q206" s="479"/>
      <c r="R206" s="182"/>
      <c r="S206" s="182"/>
      <c r="T206" s="182"/>
      <c r="U206" s="182"/>
      <c r="V206" s="182"/>
      <c r="W206" s="182"/>
      <c r="X206" s="182"/>
      <c r="Y206" s="182"/>
      <c r="Z206" s="182"/>
      <c r="AA206" s="389"/>
      <c r="AB206" s="182"/>
      <c r="AC206" s="315"/>
      <c r="AD206" s="315"/>
      <c r="AE206" s="182"/>
      <c r="AF206" s="182"/>
      <c r="AG206" s="182"/>
      <c r="AH206" s="221"/>
      <c r="AI206" s="221"/>
      <c r="AJ206" s="221"/>
      <c r="AK206" s="221"/>
      <c r="AL206" s="221"/>
      <c r="AM206" s="221"/>
      <c r="AN206" s="221"/>
      <c r="AO206" s="221"/>
      <c r="AP206" s="221"/>
      <c r="AQ206" s="182"/>
      <c r="AR206" s="182"/>
      <c r="AS206" s="182"/>
      <c r="AT206" s="182"/>
      <c r="AU206" s="221"/>
      <c r="AV206" s="221"/>
      <c r="AW206" s="221"/>
      <c r="AX206" s="221"/>
      <c r="AY206" s="221"/>
      <c r="AZ206" s="221"/>
      <c r="BA206" s="221"/>
      <c r="BB206" s="221"/>
      <c r="BC206" s="221"/>
      <c r="BD206" s="221"/>
      <c r="BE206" s="221"/>
      <c r="BF206" s="480"/>
      <c r="BG206" s="315"/>
      <c r="BH206" s="315"/>
      <c r="BI206" s="182"/>
      <c r="BJ206" s="182"/>
      <c r="BK206" s="182"/>
      <c r="BL206" s="221"/>
      <c r="BM206" s="221"/>
      <c r="BN206" s="221"/>
      <c r="BO206" s="221"/>
      <c r="BP206" s="221"/>
      <c r="BQ206" s="221"/>
      <c r="BR206" s="221"/>
      <c r="BS206" s="221"/>
      <c r="BT206" s="221"/>
      <c r="BU206" s="182"/>
      <c r="BV206" s="182"/>
      <c r="BW206" s="182"/>
      <c r="BX206" s="182"/>
      <c r="BY206" s="221"/>
      <c r="BZ206" s="221"/>
      <c r="CA206" s="221"/>
      <c r="CB206" s="221"/>
      <c r="CC206" s="221"/>
      <c r="CD206" s="221"/>
      <c r="CE206" s="221"/>
      <c r="CF206" s="221"/>
      <c r="CG206" s="221"/>
      <c r="CH206" s="221"/>
      <c r="CI206" s="221"/>
      <c r="CJ206" s="480"/>
      <c r="CK206" s="315"/>
      <c r="CL206" s="315"/>
      <c r="CM206" s="182"/>
      <c r="CN206" s="182"/>
      <c r="CO206" s="182"/>
      <c r="CP206" s="221"/>
      <c r="CQ206" s="221"/>
      <c r="CR206" s="221"/>
      <c r="CS206" s="221"/>
      <c r="CT206" s="221"/>
      <c r="CU206" s="221"/>
      <c r="CV206" s="221"/>
      <c r="CW206" s="221"/>
      <c r="CX206" s="221"/>
      <c r="CY206" s="221"/>
      <c r="CZ206" s="182"/>
      <c r="DA206" s="182"/>
      <c r="DB206" s="182"/>
      <c r="DC206" s="182"/>
      <c r="DD206" s="221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481"/>
      <c r="DP206" s="315"/>
      <c r="DQ206" s="315"/>
      <c r="DR206" s="182"/>
      <c r="DS206" s="182"/>
      <c r="DT206" s="182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182"/>
      <c r="EE206" s="182"/>
      <c r="EF206" s="182"/>
      <c r="EG206" s="182"/>
      <c r="EH206" s="221"/>
      <c r="EI206" s="221"/>
      <c r="EJ206" s="221"/>
      <c r="EK206" s="221"/>
      <c r="EL206" s="221"/>
      <c r="EM206" s="221"/>
      <c r="EN206" s="221"/>
      <c r="EO206" s="221"/>
      <c r="EP206" s="221"/>
      <c r="EQ206" s="221"/>
      <c r="ER206" s="221"/>
      <c r="ES206" s="221"/>
      <c r="ET206" s="221"/>
      <c r="EU206" s="315"/>
      <c r="EV206" s="315"/>
      <c r="EW206" s="182"/>
      <c r="EX206" s="182"/>
      <c r="EY206" s="182"/>
      <c r="EZ206" s="221"/>
      <c r="FA206" s="221"/>
      <c r="FB206" s="221"/>
      <c r="FC206" s="221"/>
      <c r="FD206" s="221"/>
      <c r="FE206" s="221"/>
      <c r="FF206" s="221"/>
      <c r="FG206" s="221"/>
      <c r="FH206" s="221"/>
      <c r="FI206" s="182"/>
      <c r="FJ206" s="182"/>
      <c r="FK206" s="182"/>
      <c r="FL206" s="182"/>
      <c r="FM206" s="221"/>
      <c r="FN206" s="221"/>
      <c r="FO206" s="221"/>
      <c r="FP206" s="221"/>
      <c r="FQ206" s="221"/>
      <c r="FR206" s="221"/>
      <c r="FS206" s="221"/>
      <c r="FT206" s="221"/>
      <c r="FU206" s="221"/>
      <c r="FV206" s="221"/>
      <c r="FW206" s="221"/>
      <c r="FX206" s="221"/>
      <c r="FY206" s="221"/>
      <c r="FZ206" s="482"/>
      <c r="GA206" s="315"/>
      <c r="GB206" s="315"/>
      <c r="GC206" s="182" t="s">
        <v>160</v>
      </c>
      <c r="GD206" s="182"/>
      <c r="GE206" s="182"/>
      <c r="GU206" s="481"/>
      <c r="GV206" s="483"/>
      <c r="HH206" s="385"/>
      <c r="HI206" s="385"/>
      <c r="IT206" s="385"/>
      <c r="IU206" s="385"/>
      <c r="IV206" s="637"/>
    </row>
    <row r="207" spans="1:256" s="391" customFormat="1" ht="12.75" hidden="1" customHeight="1" thickBot="1">
      <c r="A207" s="390" t="str">
        <f t="shared" si="213"/>
        <v/>
      </c>
      <c r="B207" s="616" t="str">
        <f t="shared" si="214"/>
        <v/>
      </c>
      <c r="C207" s="617"/>
      <c r="D207" s="618"/>
      <c r="E207" s="619"/>
      <c r="F207" s="620"/>
      <c r="G207" s="621"/>
      <c r="H207" s="621"/>
      <c r="I207" s="622"/>
      <c r="J207" s="619"/>
      <c r="K207" s="621"/>
      <c r="L207" s="621"/>
      <c r="M207" s="622"/>
      <c r="N207" s="623"/>
      <c r="O207" s="624"/>
      <c r="P207" s="625"/>
      <c r="Q207" s="626"/>
      <c r="R207" s="182"/>
      <c r="S207" s="182"/>
      <c r="T207" s="182"/>
      <c r="U207" s="182"/>
      <c r="V207" s="182"/>
      <c r="W207" s="182"/>
      <c r="X207" s="182"/>
      <c r="Y207" s="182"/>
      <c r="Z207" s="182"/>
      <c r="AA207" s="627"/>
      <c r="AB207" s="182"/>
      <c r="AC207" s="315"/>
      <c r="AD207" s="315"/>
      <c r="AE207" s="182"/>
      <c r="AF207" s="182"/>
      <c r="AG207" s="182"/>
      <c r="AH207" s="221"/>
      <c r="AI207" s="221"/>
      <c r="AJ207" s="221"/>
      <c r="AK207" s="221"/>
      <c r="AL207" s="221"/>
      <c r="AM207" s="221"/>
      <c r="AN207" s="221"/>
      <c r="AO207" s="221"/>
      <c r="AP207" s="221"/>
      <c r="AQ207" s="182"/>
      <c r="AR207" s="182"/>
      <c r="AS207" s="182"/>
      <c r="AT207" s="182"/>
      <c r="AU207" s="221"/>
      <c r="AV207" s="221"/>
      <c r="AW207" s="221"/>
      <c r="AX207" s="221"/>
      <c r="AY207" s="221"/>
      <c r="AZ207" s="221"/>
      <c r="BA207" s="221"/>
      <c r="BB207" s="221"/>
      <c r="BC207" s="221"/>
      <c r="BD207" s="221"/>
      <c r="BE207" s="221"/>
      <c r="BF207" s="628"/>
      <c r="BG207" s="315"/>
      <c r="BH207" s="315"/>
      <c r="BI207" s="182"/>
      <c r="BJ207" s="182"/>
      <c r="BK207" s="182"/>
      <c r="BL207" s="221"/>
      <c r="BM207" s="221"/>
      <c r="BN207" s="221"/>
      <c r="BO207" s="221"/>
      <c r="BP207" s="221"/>
      <c r="BQ207" s="221"/>
      <c r="BR207" s="221"/>
      <c r="BS207" s="221"/>
      <c r="BT207" s="221"/>
      <c r="BU207" s="182"/>
      <c r="BV207" s="182"/>
      <c r="BW207" s="182"/>
      <c r="BX207" s="182"/>
      <c r="BY207" s="221"/>
      <c r="BZ207" s="221"/>
      <c r="CA207" s="221"/>
      <c r="CB207" s="221"/>
      <c r="CC207" s="221"/>
      <c r="CD207" s="221"/>
      <c r="CE207" s="221"/>
      <c r="CF207" s="221"/>
      <c r="CG207" s="221"/>
      <c r="CH207" s="221"/>
      <c r="CI207" s="221"/>
      <c r="CJ207" s="628"/>
      <c r="CK207" s="315"/>
      <c r="CL207" s="315"/>
      <c r="CM207" s="182"/>
      <c r="CN207" s="182"/>
      <c r="CO207" s="182"/>
      <c r="CP207" s="221"/>
      <c r="CQ207" s="221"/>
      <c r="CR207" s="221"/>
      <c r="CS207" s="221"/>
      <c r="CT207" s="221"/>
      <c r="CU207" s="221"/>
      <c r="CV207" s="221"/>
      <c r="CW207" s="221"/>
      <c r="CX207" s="221"/>
      <c r="CY207" s="221"/>
      <c r="CZ207" s="182"/>
      <c r="DA207" s="182"/>
      <c r="DB207" s="182"/>
      <c r="DC207" s="182"/>
      <c r="DD207" s="221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628"/>
      <c r="DP207" s="315"/>
      <c r="DQ207" s="315"/>
      <c r="DR207" s="182"/>
      <c r="DS207" s="182"/>
      <c r="DT207" s="182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182"/>
      <c r="EE207" s="182"/>
      <c r="EF207" s="182"/>
      <c r="EG207" s="182"/>
      <c r="EH207" s="221"/>
      <c r="EI207" s="221"/>
      <c r="EJ207" s="221"/>
      <c r="EK207" s="221"/>
      <c r="EL207" s="221"/>
      <c r="EM207" s="221"/>
      <c r="EN207" s="221"/>
      <c r="EO207" s="221"/>
      <c r="EP207" s="221"/>
      <c r="EQ207" s="221"/>
      <c r="ER207" s="221"/>
      <c r="ES207" s="221"/>
      <c r="ET207" s="221"/>
      <c r="EU207" s="315"/>
      <c r="EV207" s="315"/>
      <c r="EW207" s="182"/>
      <c r="EX207" s="182"/>
      <c r="EY207" s="182"/>
      <c r="EZ207" s="221"/>
      <c r="FA207" s="221"/>
      <c r="FB207" s="221"/>
      <c r="FC207" s="221"/>
      <c r="FD207" s="221"/>
      <c r="FE207" s="221"/>
      <c r="FF207" s="221"/>
      <c r="FG207" s="221"/>
      <c r="FH207" s="221"/>
      <c r="FI207" s="182"/>
      <c r="FJ207" s="182"/>
      <c r="FK207" s="182"/>
      <c r="FL207" s="182"/>
      <c r="FM207" s="221"/>
      <c r="FN207" s="221"/>
      <c r="FO207" s="221"/>
      <c r="FP207" s="221"/>
      <c r="FQ207" s="221"/>
      <c r="FR207" s="221"/>
      <c r="FS207" s="221"/>
      <c r="FT207" s="221"/>
      <c r="FU207" s="221"/>
      <c r="FV207" s="221"/>
      <c r="FW207" s="221"/>
      <c r="FX207" s="221"/>
      <c r="FY207" s="221"/>
      <c r="FZ207" s="629"/>
      <c r="GA207" s="315"/>
      <c r="GB207" s="315"/>
      <c r="GC207" s="302" t="s">
        <v>160</v>
      </c>
      <c r="GD207" s="302"/>
      <c r="GE207" s="302"/>
      <c r="GF207" s="302"/>
      <c r="GG207" s="302"/>
      <c r="GH207" s="302"/>
      <c r="GI207" s="302"/>
      <c r="GJ207" s="302"/>
      <c r="GK207" s="302"/>
      <c r="GL207" s="302"/>
      <c r="GM207" s="302"/>
      <c r="GN207" s="302"/>
      <c r="GO207" s="302"/>
      <c r="GP207" s="302"/>
      <c r="GQ207" s="302"/>
      <c r="GR207" s="302"/>
      <c r="GS207" s="302"/>
      <c r="GT207" s="302"/>
      <c r="GU207" s="628"/>
      <c r="GV207" s="630"/>
      <c r="GW207" s="302"/>
      <c r="GX207" s="302"/>
      <c r="GY207" s="302"/>
      <c r="GZ207" s="302"/>
      <c r="HA207" s="302"/>
      <c r="HB207" s="302"/>
      <c r="HC207" s="302"/>
      <c r="HD207" s="302"/>
      <c r="HE207" s="302"/>
      <c r="HF207" s="302"/>
      <c r="HG207" s="302"/>
      <c r="HH207" s="631"/>
      <c r="HI207" s="631"/>
      <c r="HJ207" s="302"/>
      <c r="HK207" s="302"/>
      <c r="HL207" s="302"/>
      <c r="HM207" s="302"/>
      <c r="HN207" s="302"/>
      <c r="HO207" s="302"/>
      <c r="HP207" s="302"/>
      <c r="HQ207" s="302"/>
      <c r="HR207" s="302"/>
      <c r="HS207" s="302"/>
      <c r="HT207" s="302"/>
      <c r="HU207" s="302"/>
      <c r="HV207" s="302"/>
      <c r="HW207" s="302"/>
      <c r="HX207" s="302"/>
      <c r="HY207" s="302"/>
      <c r="HZ207" s="302"/>
      <c r="IA207" s="302"/>
      <c r="IB207" s="302"/>
      <c r="IC207" s="302"/>
      <c r="ID207" s="302"/>
      <c r="IE207" s="302"/>
      <c r="IF207" s="302"/>
      <c r="IG207" s="302"/>
      <c r="IH207" s="302"/>
      <c r="II207" s="302"/>
      <c r="IJ207" s="302"/>
      <c r="IK207" s="302"/>
      <c r="IL207" s="302"/>
      <c r="IM207" s="302"/>
      <c r="IN207" s="302"/>
      <c r="IO207" s="302"/>
      <c r="IP207" s="302"/>
      <c r="IQ207" s="302"/>
      <c r="IR207" s="302"/>
      <c r="IS207" s="302"/>
      <c r="IT207" s="631"/>
      <c r="IU207" s="631"/>
      <c r="IV207" s="638"/>
    </row>
    <row r="208" spans="1:256" s="302" customFormat="1" ht="12.75" customHeight="1" thickBot="1">
      <c r="A208" s="182"/>
      <c r="B208" s="549"/>
      <c r="C208" s="549"/>
      <c r="D208" s="549">
        <f>B208-N208</f>
        <v>0</v>
      </c>
      <c r="E208" s="550">
        <f>SUM(E4:E207)</f>
        <v>132008.59</v>
      </c>
      <c r="F208" s="551">
        <f>SUM(F4:F207)</f>
        <v>611370</v>
      </c>
      <c r="G208" s="551">
        <f t="shared" ref="G208:M208" si="215">SUM(G4:G207)</f>
        <v>0</v>
      </c>
      <c r="H208" s="551">
        <f t="shared" si="215"/>
        <v>0</v>
      </c>
      <c r="I208" s="551">
        <f t="shared" si="215"/>
        <v>743378.59000000008</v>
      </c>
      <c r="J208" s="551">
        <f t="shared" si="215"/>
        <v>39293</v>
      </c>
      <c r="K208" s="551">
        <f t="shared" si="215"/>
        <v>2600</v>
      </c>
      <c r="L208" s="551">
        <f t="shared" si="215"/>
        <v>0</v>
      </c>
      <c r="M208" s="552">
        <f t="shared" si="215"/>
        <v>41893</v>
      </c>
      <c r="N208" s="549"/>
      <c r="O208" s="553"/>
      <c r="P208" s="553"/>
      <c r="Q208" s="502"/>
      <c r="R208" s="502"/>
      <c r="S208" s="502"/>
      <c r="T208" s="502"/>
      <c r="U208" s="502"/>
      <c r="V208" s="502"/>
      <c r="W208" s="502"/>
      <c r="X208" s="502"/>
      <c r="Y208" s="502"/>
      <c r="Z208" s="502"/>
      <c r="AA208" s="502"/>
      <c r="AB208" s="502"/>
      <c r="AC208" s="502"/>
      <c r="AD208" s="502"/>
      <c r="AE208" s="502"/>
      <c r="AF208" s="502"/>
      <c r="AG208" s="502"/>
      <c r="AH208" s="502"/>
      <c r="AI208" s="502"/>
      <c r="AJ208" s="502"/>
      <c r="AK208" s="502"/>
      <c r="AL208" s="502"/>
      <c r="AM208" s="502"/>
      <c r="AN208" s="502"/>
      <c r="AO208" s="502"/>
      <c r="AP208" s="502"/>
      <c r="AQ208" s="502"/>
      <c r="AR208" s="502"/>
      <c r="AS208" s="502"/>
      <c r="AT208" s="502"/>
      <c r="AU208" s="502"/>
      <c r="AV208" s="502"/>
      <c r="AW208" s="502"/>
      <c r="AX208" s="502" t="s">
        <v>160</v>
      </c>
      <c r="AY208" s="502"/>
      <c r="AZ208" s="502"/>
      <c r="BA208" s="502"/>
      <c r="BB208" s="502"/>
      <c r="BC208" s="502"/>
      <c r="BD208" s="502"/>
      <c r="BE208" s="502"/>
      <c r="BF208" s="554">
        <f>SUM(BF4:BF207)</f>
        <v>0</v>
      </c>
      <c r="BG208" s="555"/>
      <c r="BH208" s="555"/>
      <c r="BI208" s="555"/>
      <c r="BJ208" s="555"/>
      <c r="BK208" s="555"/>
      <c r="BL208" s="555"/>
      <c r="BM208" s="555"/>
      <c r="BN208" s="555"/>
      <c r="BO208" s="555"/>
      <c r="BP208" s="555"/>
      <c r="BQ208" s="555"/>
      <c r="BR208" s="555"/>
      <c r="BS208" s="555"/>
      <c r="BT208" s="555"/>
      <c r="BU208" s="555"/>
      <c r="BV208" s="555"/>
      <c r="BW208" s="555"/>
      <c r="BX208" s="555"/>
      <c r="BY208" s="555"/>
      <c r="BZ208" s="555"/>
      <c r="CA208" s="555"/>
      <c r="CB208" s="555"/>
      <c r="CC208" s="555"/>
      <c r="CD208" s="555"/>
      <c r="CE208" s="555"/>
      <c r="CF208" s="555"/>
      <c r="CG208" s="555"/>
      <c r="CH208" s="555"/>
      <c r="CI208" s="555"/>
      <c r="CJ208" s="554">
        <f>SUM(CJ4:CJ207)</f>
        <v>0</v>
      </c>
      <c r="CK208" s="555"/>
      <c r="CL208" s="555"/>
      <c r="CM208" s="555"/>
      <c r="CN208" s="555"/>
      <c r="CO208" s="555"/>
      <c r="CP208" s="555"/>
      <c r="CQ208" s="555"/>
      <c r="CR208" s="555"/>
      <c r="CS208" s="555"/>
      <c r="CT208" s="555"/>
      <c r="CU208" s="555"/>
      <c r="CV208" s="555"/>
      <c r="CW208" s="555"/>
      <c r="CX208" s="555"/>
      <c r="CY208" s="555"/>
      <c r="CZ208" s="555"/>
      <c r="DA208" s="555"/>
      <c r="DB208" s="555"/>
      <c r="DC208" s="555"/>
      <c r="DD208" s="555"/>
      <c r="DE208" s="555"/>
      <c r="DF208" s="555"/>
      <c r="DG208" s="555"/>
      <c r="DH208" s="555"/>
      <c r="DI208" s="555"/>
      <c r="DJ208" s="555"/>
      <c r="DK208" s="555"/>
      <c r="DL208" s="555"/>
      <c r="DM208" s="555"/>
      <c r="DN208" s="555"/>
      <c r="DO208" s="554">
        <f>SUM(DO4:DO207)</f>
        <v>0</v>
      </c>
      <c r="DP208" s="555"/>
      <c r="DQ208" s="555"/>
      <c r="DR208" s="555"/>
      <c r="DS208" s="555"/>
      <c r="DT208" s="555"/>
      <c r="DU208" s="555"/>
      <c r="DV208" s="555"/>
      <c r="DW208" s="555"/>
      <c r="DX208" s="555"/>
      <c r="DY208" s="555"/>
      <c r="DZ208" s="555"/>
      <c r="EA208" s="555"/>
      <c r="EB208" s="555"/>
      <c r="EC208" s="555"/>
      <c r="ED208" s="555"/>
      <c r="EE208" s="555"/>
      <c r="EF208" s="555"/>
      <c r="EG208" s="555"/>
      <c r="EH208" s="555"/>
      <c r="EI208" s="555"/>
      <c r="EJ208" s="555"/>
      <c r="EK208" s="555"/>
      <c r="EL208" s="555"/>
      <c r="EM208" s="555"/>
      <c r="EN208" s="555"/>
      <c r="EO208" s="555"/>
      <c r="EP208" s="555"/>
      <c r="EQ208" s="555"/>
      <c r="ER208" s="555"/>
      <c r="ES208" s="555"/>
      <c r="ET208" s="555"/>
      <c r="EU208" s="555"/>
      <c r="EV208" s="555"/>
      <c r="EW208" s="556"/>
      <c r="EX208" s="556"/>
      <c r="EY208" s="556"/>
      <c r="EZ208" s="556"/>
      <c r="FA208" s="556"/>
      <c r="FB208" s="556"/>
      <c r="FC208" s="556"/>
      <c r="FD208" s="556"/>
      <c r="FE208" s="556"/>
      <c r="FF208" s="556"/>
      <c r="FG208" s="556"/>
      <c r="FH208" s="556"/>
      <c r="FI208" s="556"/>
      <c r="FJ208" s="556"/>
      <c r="FK208" s="556"/>
      <c r="FL208" s="556"/>
      <c r="FM208" s="556"/>
      <c r="FN208" s="556"/>
      <c r="FO208" s="556"/>
      <c r="FP208" s="556"/>
      <c r="FQ208" s="556"/>
      <c r="FR208" s="556"/>
      <c r="FS208" s="556"/>
      <c r="FT208" s="556"/>
      <c r="FU208" s="556"/>
      <c r="FV208" s="556"/>
      <c r="FW208" s="556"/>
      <c r="FX208" s="556"/>
      <c r="FY208" s="556"/>
      <c r="FZ208" s="554">
        <f>SUM(FZ4:FZ207)</f>
        <v>0</v>
      </c>
      <c r="GA208" s="556"/>
      <c r="GB208" s="556"/>
      <c r="GC208" s="556"/>
      <c r="GD208" s="556"/>
      <c r="GE208" s="556"/>
      <c r="GF208" s="556"/>
      <c r="GG208" s="556"/>
      <c r="GH208" s="556"/>
      <c r="GI208" s="556"/>
      <c r="GJ208" s="556"/>
      <c r="GK208" s="556"/>
      <c r="GL208" s="556"/>
      <c r="GM208" s="556"/>
      <c r="GN208" s="556"/>
      <c r="GO208" s="556"/>
      <c r="GP208" s="556"/>
      <c r="GQ208" s="556"/>
      <c r="GR208" s="556"/>
      <c r="GS208" s="556"/>
      <c r="GT208" s="556"/>
      <c r="GU208" s="554">
        <f>SUM(GU4:GU207)</f>
        <v>0</v>
      </c>
      <c r="GV208" s="502"/>
      <c r="GW208" s="510"/>
      <c r="GX208" s="510"/>
      <c r="GY208" s="510"/>
      <c r="GZ208" s="510"/>
      <c r="HA208" s="510"/>
      <c r="HB208" s="510"/>
      <c r="HC208" s="510"/>
      <c r="HD208" s="510"/>
      <c r="HE208" s="510"/>
      <c r="HF208" s="510"/>
      <c r="HG208" s="510"/>
      <c r="HH208" s="510"/>
      <c r="HI208" s="510"/>
      <c r="HJ208" s="510"/>
      <c r="HK208" s="510"/>
      <c r="HL208" s="510"/>
      <c r="HM208" s="510"/>
      <c r="HN208" s="510"/>
      <c r="HO208" s="510"/>
      <c r="HP208" s="510"/>
      <c r="HQ208" s="510"/>
      <c r="HR208" s="510"/>
      <c r="HS208" s="510"/>
      <c r="HT208" s="510"/>
      <c r="HU208" s="510"/>
      <c r="HV208" s="510"/>
      <c r="HW208" s="510"/>
      <c r="HX208" s="510"/>
      <c r="HY208" s="510"/>
      <c r="HZ208" s="510"/>
      <c r="IA208" s="510"/>
      <c r="IB208" s="510"/>
      <c r="IC208" s="510"/>
      <c r="ID208" s="510"/>
      <c r="IE208" s="510"/>
      <c r="IF208" s="510"/>
      <c r="IG208" s="510"/>
      <c r="IH208" s="510"/>
      <c r="II208" s="510"/>
      <c r="IJ208" s="510"/>
      <c r="IK208" s="510"/>
      <c r="IL208" s="510"/>
      <c r="IM208" s="510"/>
      <c r="IN208" s="510"/>
      <c r="IO208" s="510"/>
      <c r="IP208" s="510"/>
      <c r="IQ208" s="510"/>
      <c r="IR208" s="510"/>
      <c r="IS208" s="510"/>
      <c r="IT208" s="510"/>
      <c r="IU208" s="510"/>
    </row>
    <row r="209" spans="1:204" s="302" customFormat="1" ht="12.75" hidden="1" customHeight="1">
      <c r="A209" s="182"/>
      <c r="B209" s="182"/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  <c r="N209" s="182"/>
      <c r="O209" s="412"/>
      <c r="P209" s="412"/>
      <c r="Q209" s="182"/>
      <c r="R209" s="182"/>
      <c r="S209" s="182"/>
      <c r="T209" s="182"/>
      <c r="U209" s="182"/>
      <c r="V209" s="182"/>
      <c r="W209" s="182"/>
      <c r="X209" s="182"/>
      <c r="Y209" s="182"/>
      <c r="Z209" s="182"/>
      <c r="AA209" s="182"/>
      <c r="AB209" s="182"/>
      <c r="AC209" s="182"/>
      <c r="AD209" s="182"/>
      <c r="AE209" s="182"/>
      <c r="AF209" s="182"/>
      <c r="AG209" s="182"/>
      <c r="AH209" s="182"/>
      <c r="AI209" s="182"/>
      <c r="AJ209" s="182"/>
      <c r="AK209" s="182"/>
      <c r="AL209" s="182"/>
      <c r="AM209" s="182"/>
      <c r="AN209" s="182"/>
      <c r="AO209" s="182"/>
      <c r="AP209" s="182"/>
      <c r="AQ209" s="182"/>
      <c r="AR209" s="182"/>
      <c r="AS209" s="182"/>
      <c r="AT209" s="182"/>
      <c r="AU209" s="182"/>
      <c r="AV209" s="182"/>
      <c r="AW209" s="182"/>
      <c r="AX209" s="182"/>
      <c r="AY209" s="182"/>
      <c r="AZ209" s="182"/>
      <c r="BA209" s="182"/>
      <c r="BB209" s="182"/>
      <c r="BC209" s="182"/>
      <c r="BD209" s="182"/>
      <c r="BE209" s="182"/>
      <c r="BF209" s="182"/>
      <c r="BG209" s="182"/>
      <c r="BH209" s="182"/>
      <c r="BI209" s="182"/>
      <c r="BJ209" s="182"/>
      <c r="BK209" s="182"/>
      <c r="BL209" s="182"/>
      <c r="BM209" s="182"/>
      <c r="BN209" s="182"/>
      <c r="BO209" s="182"/>
      <c r="BP209" s="182"/>
      <c r="BQ209" s="182"/>
      <c r="BR209" s="182"/>
      <c r="BS209" s="182"/>
      <c r="BT209" s="182"/>
      <c r="BU209" s="182"/>
      <c r="BV209" s="182"/>
      <c r="BW209" s="182"/>
      <c r="BX209" s="182"/>
      <c r="BY209" s="182"/>
      <c r="BZ209" s="182"/>
      <c r="CA209" s="182"/>
      <c r="CB209" s="182"/>
      <c r="CC209" s="182"/>
      <c r="CD209" s="182"/>
      <c r="CE209" s="182"/>
      <c r="CF209" s="182"/>
      <c r="CG209" s="182"/>
      <c r="CH209" s="182"/>
      <c r="CI209" s="182"/>
      <c r="CJ209" s="182"/>
      <c r="CK209" s="182"/>
      <c r="CL209" s="182"/>
      <c r="CM209" s="182"/>
      <c r="CN209" s="182"/>
      <c r="CO209" s="182"/>
      <c r="CP209" s="182"/>
      <c r="CQ209" s="182"/>
      <c r="CR209" s="182"/>
      <c r="CS209" s="182"/>
      <c r="CT209" s="182"/>
      <c r="CU209" s="182"/>
      <c r="CV209" s="182"/>
      <c r="CW209" s="182"/>
      <c r="CX209" s="182"/>
      <c r="CY209" s="182"/>
      <c r="CZ209" s="182"/>
      <c r="DA209" s="182"/>
      <c r="DB209" s="182"/>
      <c r="DC209" s="182"/>
      <c r="DD209" s="182"/>
      <c r="DE209" s="182"/>
      <c r="DF209" s="182"/>
      <c r="DG209" s="182"/>
      <c r="DH209" s="182"/>
      <c r="DI209" s="182"/>
      <c r="DJ209" s="182"/>
      <c r="DK209" s="182"/>
      <c r="DL209" s="182"/>
      <c r="DM209" s="182"/>
      <c r="DN209" s="182"/>
      <c r="DO209" s="182"/>
      <c r="DP209" s="182"/>
      <c r="DQ209" s="182"/>
      <c r="DR209" s="182"/>
      <c r="DS209" s="182"/>
      <c r="DT209" s="182"/>
      <c r="DU209" s="182"/>
      <c r="DV209" s="182"/>
      <c r="DW209" s="182"/>
      <c r="DX209" s="182"/>
      <c r="DY209" s="182"/>
      <c r="DZ209" s="182"/>
      <c r="EA209" s="182"/>
      <c r="EB209" s="182"/>
      <c r="EC209" s="182"/>
      <c r="ED209" s="182"/>
      <c r="EE209" s="182"/>
      <c r="EF209" s="182"/>
      <c r="EG209" s="182"/>
      <c r="EH209" s="182"/>
      <c r="EI209" s="182"/>
      <c r="EJ209" s="182"/>
      <c r="EK209" s="182"/>
      <c r="EL209" s="182"/>
      <c r="EM209" s="182"/>
      <c r="EN209" s="182"/>
      <c r="EO209" s="182"/>
      <c r="EP209" s="182"/>
      <c r="EQ209" s="182"/>
      <c r="ER209" s="182"/>
      <c r="ES209" s="182"/>
      <c r="ET209" s="182"/>
      <c r="EU209" s="182"/>
      <c r="EV209" s="182"/>
      <c r="GU209" s="182"/>
      <c r="GV209" s="182"/>
    </row>
    <row r="210" spans="1:204" s="302" customFormat="1" ht="12.75" hidden="1" customHeight="1">
      <c r="A210" s="182"/>
      <c r="B210" s="454">
        <f>MAX(B4:B207)</f>
        <v>5</v>
      </c>
      <c r="C210" s="454"/>
      <c r="D210" s="386" t="s">
        <v>203</v>
      </c>
      <c r="E210" s="182"/>
      <c r="F210" s="182"/>
      <c r="G210" s="182"/>
      <c r="H210" s="182"/>
      <c r="I210" s="182"/>
      <c r="J210" s="182"/>
      <c r="K210" s="182"/>
      <c r="L210" s="182"/>
      <c r="M210" s="182"/>
      <c r="N210" s="182"/>
      <c r="O210" s="412"/>
      <c r="P210" s="412"/>
      <c r="Q210" s="182"/>
      <c r="R210" s="182"/>
      <c r="S210" s="182"/>
      <c r="T210" s="182"/>
      <c r="U210" s="182"/>
      <c r="V210" s="182"/>
      <c r="W210" s="182"/>
      <c r="X210" s="182"/>
      <c r="Y210" s="182"/>
      <c r="Z210" s="182"/>
      <c r="AA210" s="182"/>
      <c r="AB210" s="407"/>
      <c r="AC210" s="407"/>
      <c r="AD210" s="407"/>
      <c r="AE210" s="407"/>
      <c r="AF210" s="407"/>
      <c r="AG210" s="407"/>
      <c r="AH210" s="407"/>
      <c r="AI210" s="407"/>
      <c r="AJ210" s="407"/>
      <c r="AK210" s="407"/>
      <c r="AL210" s="407"/>
      <c r="AM210" s="407"/>
      <c r="AN210" s="407"/>
      <c r="AO210" s="407"/>
      <c r="AP210" s="407"/>
      <c r="AQ210" s="407"/>
      <c r="AR210" s="407"/>
      <c r="AS210" s="407"/>
      <c r="AT210" s="407"/>
      <c r="AU210" s="407"/>
      <c r="AV210" s="407"/>
      <c r="AW210" s="407"/>
      <c r="AX210" s="407"/>
      <c r="AY210" s="407"/>
      <c r="AZ210" s="407"/>
      <c r="BA210" s="407"/>
      <c r="BB210" s="407"/>
      <c r="BC210" s="407"/>
      <c r="BD210" s="407"/>
      <c r="BE210" s="407"/>
      <c r="BF210" s="182"/>
      <c r="BG210" s="182"/>
      <c r="BH210" s="182"/>
      <c r="BI210" s="182"/>
      <c r="BJ210" s="182"/>
      <c r="BK210" s="182"/>
      <c r="BL210" s="182"/>
      <c r="BM210" s="182"/>
      <c r="BN210" s="182"/>
      <c r="BO210" s="182"/>
      <c r="BP210" s="182"/>
      <c r="BQ210" s="182"/>
      <c r="BR210" s="182"/>
      <c r="BS210" s="182"/>
      <c r="BT210" s="182"/>
      <c r="BU210" s="182"/>
      <c r="BV210" s="182"/>
      <c r="BW210" s="182"/>
      <c r="BX210" s="182"/>
      <c r="BY210" s="182"/>
      <c r="BZ210" s="182"/>
      <c r="CA210" s="182"/>
      <c r="CB210" s="182"/>
      <c r="CC210" s="182"/>
      <c r="CD210" s="182"/>
      <c r="CE210" s="182"/>
      <c r="CF210" s="182"/>
      <c r="CG210" s="182"/>
      <c r="CH210" s="182"/>
      <c r="CI210" s="182"/>
      <c r="CJ210" s="182"/>
      <c r="CK210" s="407"/>
      <c r="CL210" s="407"/>
      <c r="CM210" s="407"/>
      <c r="CN210" s="407"/>
      <c r="CO210" s="407"/>
      <c r="CP210" s="407"/>
      <c r="CQ210" s="407"/>
      <c r="CR210" s="407"/>
      <c r="CS210" s="407"/>
      <c r="CT210" s="407"/>
      <c r="CU210" s="407"/>
      <c r="CV210" s="407"/>
      <c r="CW210" s="407"/>
      <c r="CX210" s="407"/>
      <c r="CY210" s="407"/>
      <c r="CZ210" s="407"/>
      <c r="DA210" s="407"/>
      <c r="DB210" s="407"/>
      <c r="DC210" s="407"/>
      <c r="DD210" s="182"/>
      <c r="DE210" s="182"/>
      <c r="DF210" s="182"/>
      <c r="DG210" s="182"/>
      <c r="DH210" s="182"/>
      <c r="DI210" s="182"/>
      <c r="DJ210" s="182"/>
      <c r="DK210" s="182"/>
      <c r="DL210" s="182"/>
      <c r="DM210" s="182"/>
      <c r="DN210" s="182"/>
      <c r="DO210" s="182"/>
      <c r="DP210" s="182"/>
      <c r="DQ210" s="182"/>
      <c r="DR210" s="182"/>
      <c r="DS210" s="182"/>
      <c r="DT210" s="182"/>
      <c r="DU210" s="182"/>
      <c r="DV210" s="182"/>
      <c r="DW210" s="182"/>
      <c r="DX210" s="182"/>
      <c r="DY210" s="182"/>
      <c r="DZ210" s="182"/>
      <c r="EA210" s="182"/>
      <c r="EB210" s="182"/>
      <c r="EC210" s="182"/>
      <c r="ED210" s="182"/>
      <c r="EE210" s="182"/>
      <c r="EF210" s="182"/>
      <c r="EG210" s="182"/>
      <c r="EH210" s="182"/>
      <c r="EI210" s="182"/>
      <c r="EJ210" s="182"/>
      <c r="EK210" s="182"/>
      <c r="EL210" s="182"/>
      <c r="EM210" s="182"/>
      <c r="EN210" s="182"/>
      <c r="EO210" s="182"/>
      <c r="EP210" s="182"/>
      <c r="EQ210" s="182"/>
      <c r="ER210" s="182"/>
      <c r="ES210" s="182"/>
      <c r="ET210" s="182"/>
      <c r="EU210" s="182"/>
      <c r="EV210" s="182"/>
      <c r="GU210" s="182"/>
      <c r="GV210" s="182"/>
    </row>
    <row r="211" spans="1:204" s="302" customFormat="1" ht="12.75" hidden="1" customHeight="1">
      <c r="A211" s="182"/>
      <c r="B211" s="454">
        <f>COUNTIF(P4:P207,"X")</f>
        <v>0</v>
      </c>
      <c r="C211" s="454"/>
      <c r="D211" s="386" t="s">
        <v>221</v>
      </c>
      <c r="E211" s="182"/>
      <c r="F211" s="182"/>
      <c r="G211" s="182"/>
      <c r="H211" s="182"/>
      <c r="I211" s="182"/>
      <c r="J211" s="182"/>
      <c r="K211" s="182"/>
      <c r="L211" s="182"/>
      <c r="M211" s="182"/>
      <c r="N211" s="182"/>
      <c r="O211" s="412"/>
      <c r="P211" s="412"/>
      <c r="Q211" s="182"/>
      <c r="R211" s="182"/>
      <c r="S211" s="182"/>
      <c r="T211" s="182"/>
      <c r="U211" s="182"/>
      <c r="V211" s="182"/>
      <c r="W211" s="182"/>
      <c r="X211" s="182"/>
      <c r="Y211" s="182"/>
      <c r="Z211" s="182"/>
      <c r="AA211" s="182"/>
      <c r="AB211" s="407"/>
      <c r="AC211" s="407"/>
      <c r="AD211" s="407"/>
      <c r="AE211" s="407"/>
      <c r="AF211" s="407"/>
      <c r="AG211" s="407"/>
      <c r="AH211" s="407"/>
      <c r="AI211" s="407"/>
      <c r="AJ211" s="407"/>
      <c r="AK211" s="407"/>
      <c r="AL211" s="407"/>
      <c r="AM211" s="407"/>
      <c r="AN211" s="407"/>
      <c r="AO211" s="407"/>
      <c r="AP211" s="407"/>
      <c r="AQ211" s="407"/>
      <c r="AR211" s="407"/>
      <c r="AS211" s="407"/>
      <c r="AT211" s="407"/>
      <c r="AU211" s="407"/>
      <c r="AV211" s="407"/>
      <c r="AW211" s="407"/>
      <c r="AX211" s="407"/>
      <c r="AY211" s="407"/>
      <c r="AZ211" s="407"/>
      <c r="BA211" s="407"/>
      <c r="BB211" s="407"/>
      <c r="BC211" s="407"/>
      <c r="BD211" s="407"/>
      <c r="BE211" s="407"/>
      <c r="BF211" s="182"/>
      <c r="BG211" s="182"/>
      <c r="BH211" s="182"/>
      <c r="BI211" s="182"/>
      <c r="BJ211" s="182"/>
      <c r="BK211" s="182"/>
      <c r="BL211" s="182"/>
      <c r="BM211" s="182"/>
      <c r="BN211" s="182"/>
      <c r="BO211" s="182"/>
      <c r="BP211" s="182"/>
      <c r="BQ211" s="182"/>
      <c r="BR211" s="182"/>
      <c r="BS211" s="182"/>
      <c r="BT211" s="182"/>
      <c r="BU211" s="182"/>
      <c r="BV211" s="182"/>
      <c r="BW211" s="182"/>
      <c r="BX211" s="182"/>
      <c r="BY211" s="182"/>
      <c r="BZ211" s="182"/>
      <c r="CA211" s="182"/>
      <c r="CB211" s="182"/>
      <c r="CC211" s="182"/>
      <c r="CD211" s="182"/>
      <c r="CE211" s="182"/>
      <c r="CF211" s="182"/>
      <c r="CG211" s="182"/>
      <c r="CH211" s="182"/>
      <c r="CI211" s="182"/>
      <c r="CJ211" s="182"/>
      <c r="CK211" s="407"/>
      <c r="CL211" s="407"/>
      <c r="CM211" s="407"/>
      <c r="CN211" s="407"/>
      <c r="CO211" s="407"/>
      <c r="CP211" s="407"/>
      <c r="CQ211" s="407"/>
      <c r="CR211" s="407"/>
      <c r="CS211" s="407"/>
      <c r="CT211" s="407"/>
      <c r="CU211" s="407"/>
      <c r="CV211" s="407"/>
      <c r="CW211" s="407"/>
      <c r="CX211" s="407"/>
      <c r="CY211" s="407"/>
      <c r="CZ211" s="407"/>
      <c r="DA211" s="407"/>
      <c r="DB211" s="407"/>
      <c r="DC211" s="407"/>
      <c r="DD211" s="182"/>
      <c r="DE211" s="182"/>
      <c r="DF211" s="182"/>
      <c r="DG211" s="182"/>
      <c r="DH211" s="182"/>
      <c r="DI211" s="182"/>
      <c r="DJ211" s="182"/>
      <c r="DK211" s="182"/>
      <c r="DL211" s="182"/>
      <c r="DM211" s="182"/>
      <c r="DN211" s="182"/>
      <c r="DO211" s="182"/>
      <c r="DP211" s="182"/>
      <c r="DQ211" s="182"/>
      <c r="DR211" s="182"/>
      <c r="DS211" s="182"/>
      <c r="DT211" s="182"/>
      <c r="DU211" s="182"/>
      <c r="DV211" s="182"/>
      <c r="DW211" s="182"/>
      <c r="DX211" s="182"/>
      <c r="DY211" s="182"/>
      <c r="DZ211" s="182"/>
      <c r="EA211" s="182"/>
      <c r="EB211" s="182"/>
      <c r="EC211" s="182"/>
      <c r="ED211" s="182"/>
      <c r="EE211" s="182"/>
      <c r="EF211" s="182"/>
      <c r="EG211" s="182"/>
      <c r="EH211" s="182"/>
      <c r="EI211" s="182"/>
      <c r="EJ211" s="182"/>
      <c r="EK211" s="182"/>
      <c r="EL211" s="182"/>
      <c r="EM211" s="182"/>
      <c r="EN211" s="182"/>
      <c r="EO211" s="182"/>
      <c r="EP211" s="182"/>
      <c r="EQ211" s="182"/>
      <c r="ER211" s="182"/>
      <c r="ES211" s="182"/>
      <c r="ET211" s="182"/>
      <c r="EU211" s="182"/>
      <c r="EV211" s="182"/>
      <c r="GU211" s="182"/>
      <c r="GV211" s="182"/>
    </row>
    <row r="212" spans="1:204" s="302" customFormat="1" ht="12.75" hidden="1" customHeight="1">
      <c r="A212" s="182"/>
      <c r="B212" s="454">
        <f>B210-B211</f>
        <v>5</v>
      </c>
      <c r="C212" s="454"/>
      <c r="D212" s="386" t="s">
        <v>205</v>
      </c>
      <c r="E212" s="182"/>
      <c r="F212" s="182"/>
      <c r="G212" s="182"/>
      <c r="H212" s="182"/>
      <c r="I212" s="182"/>
      <c r="J212" s="182"/>
      <c r="K212" s="182"/>
      <c r="L212" s="182"/>
      <c r="M212" s="182"/>
      <c r="N212" s="182"/>
      <c r="O212" s="412"/>
      <c r="P212" s="412"/>
      <c r="Q212" s="182"/>
      <c r="R212" s="182"/>
      <c r="S212" s="182"/>
      <c r="T212" s="182"/>
      <c r="U212" s="182"/>
      <c r="V212" s="182"/>
      <c r="W212" s="182"/>
      <c r="X212" s="182"/>
      <c r="Y212" s="182"/>
      <c r="Z212" s="182"/>
      <c r="AA212" s="182"/>
      <c r="AB212" s="407"/>
      <c r="AC212" s="407"/>
      <c r="AD212" s="407"/>
      <c r="AE212" s="407"/>
      <c r="AF212" s="407"/>
      <c r="AG212" s="407"/>
      <c r="AH212" s="407"/>
      <c r="AI212" s="407"/>
      <c r="AJ212" s="407"/>
      <c r="AK212" s="407"/>
      <c r="AL212" s="407"/>
      <c r="AM212" s="407"/>
      <c r="AN212" s="407"/>
      <c r="AO212" s="407"/>
      <c r="AP212" s="407"/>
      <c r="AQ212" s="407"/>
      <c r="AR212" s="407"/>
      <c r="AS212" s="407"/>
      <c r="AT212" s="407"/>
      <c r="AU212" s="407"/>
      <c r="AV212" s="407"/>
      <c r="AW212" s="407"/>
      <c r="AX212" s="407"/>
      <c r="AY212" s="407"/>
      <c r="AZ212" s="407"/>
      <c r="BA212" s="407"/>
      <c r="BB212" s="407"/>
      <c r="BC212" s="407"/>
      <c r="BD212" s="407"/>
      <c r="BE212" s="407"/>
      <c r="BF212" s="182"/>
      <c r="BG212" s="182"/>
      <c r="BH212" s="182"/>
      <c r="BI212" s="182"/>
      <c r="BJ212" s="182"/>
      <c r="BK212" s="182"/>
      <c r="BL212" s="182"/>
      <c r="BM212" s="182"/>
      <c r="BN212" s="182"/>
      <c r="BO212" s="182"/>
      <c r="BP212" s="182"/>
      <c r="BQ212" s="182"/>
      <c r="BR212" s="182"/>
      <c r="BS212" s="182"/>
      <c r="BT212" s="182"/>
      <c r="BU212" s="182"/>
      <c r="BV212" s="182"/>
      <c r="BW212" s="182"/>
      <c r="BX212" s="182"/>
      <c r="BY212" s="182"/>
      <c r="BZ212" s="182"/>
      <c r="CA212" s="182"/>
      <c r="CB212" s="182"/>
      <c r="CC212" s="182"/>
      <c r="CD212" s="182"/>
      <c r="CE212" s="182"/>
      <c r="CF212" s="182"/>
      <c r="CG212" s="182"/>
      <c r="CH212" s="182"/>
      <c r="CI212" s="182"/>
      <c r="CJ212" s="182"/>
      <c r="CK212" s="407"/>
      <c r="CL212" s="407"/>
      <c r="CM212" s="407"/>
      <c r="CN212" s="407"/>
      <c r="CO212" s="407"/>
      <c r="CP212" s="407"/>
      <c r="CQ212" s="407"/>
      <c r="CR212" s="407"/>
      <c r="CS212" s="407"/>
      <c r="CT212" s="407"/>
      <c r="CU212" s="407"/>
      <c r="CV212" s="407"/>
      <c r="CW212" s="407"/>
      <c r="CX212" s="407"/>
      <c r="CY212" s="407"/>
      <c r="CZ212" s="407"/>
      <c r="DA212" s="407"/>
      <c r="DB212" s="407"/>
      <c r="DC212" s="407"/>
      <c r="DD212" s="182"/>
      <c r="DE212" s="182"/>
      <c r="DF212" s="182"/>
      <c r="DG212" s="182"/>
      <c r="DH212" s="182"/>
      <c r="DI212" s="182"/>
      <c r="DJ212" s="182"/>
      <c r="DK212" s="182"/>
      <c r="DL212" s="182"/>
      <c r="DM212" s="182"/>
      <c r="DN212" s="182"/>
      <c r="DO212" s="182"/>
      <c r="DP212" s="182"/>
      <c r="DQ212" s="182"/>
      <c r="DR212" s="182"/>
      <c r="DS212" s="182"/>
      <c r="DT212" s="182"/>
      <c r="DU212" s="182"/>
      <c r="DV212" s="182"/>
      <c r="DW212" s="182"/>
      <c r="DX212" s="182"/>
      <c r="DY212" s="182"/>
      <c r="DZ212" s="182"/>
      <c r="EA212" s="182"/>
      <c r="EB212" s="182"/>
      <c r="EC212" s="182"/>
      <c r="ED212" s="182"/>
      <c r="EE212" s="182"/>
      <c r="EF212" s="182"/>
      <c r="EG212" s="182"/>
      <c r="EH212" s="182"/>
      <c r="EI212" s="182"/>
      <c r="EJ212" s="182"/>
      <c r="EK212" s="182"/>
      <c r="EL212" s="182"/>
      <c r="EM212" s="182"/>
      <c r="EN212" s="182"/>
      <c r="EO212" s="182"/>
      <c r="EP212" s="182"/>
      <c r="EQ212" s="182"/>
      <c r="ER212" s="182"/>
      <c r="ES212" s="182"/>
      <c r="ET212" s="182"/>
      <c r="EU212" s="182"/>
      <c r="EV212" s="182"/>
      <c r="GU212" s="182"/>
      <c r="GV212" s="182"/>
    </row>
    <row r="213" spans="1:204" s="302" customFormat="1" ht="12.75" hidden="1" customHeight="1">
      <c r="A213" s="182"/>
      <c r="B213" s="454">
        <f>COUNTIF(D4:D207,D213)</f>
        <v>0</v>
      </c>
      <c r="C213" s="454"/>
      <c r="D213" s="386" t="s">
        <v>290</v>
      </c>
      <c r="E213" s="182"/>
      <c r="F213" s="182"/>
      <c r="G213" s="182"/>
      <c r="H213" s="182"/>
      <c r="I213" s="182"/>
      <c r="J213" s="182"/>
      <c r="K213" s="182"/>
      <c r="L213" s="182"/>
      <c r="M213" s="182"/>
      <c r="N213" s="182"/>
      <c r="O213" s="412"/>
      <c r="P213" s="412"/>
      <c r="Q213" s="182"/>
      <c r="R213" s="182"/>
      <c r="S213" s="182"/>
      <c r="T213" s="182"/>
      <c r="U213" s="182"/>
      <c r="V213" s="182"/>
      <c r="W213" s="182"/>
      <c r="X213" s="182"/>
      <c r="Y213" s="182"/>
      <c r="Z213" s="182"/>
      <c r="AA213" s="182"/>
      <c r="AB213" s="407"/>
      <c r="AC213" s="407"/>
      <c r="AD213" s="407"/>
      <c r="AE213" s="407"/>
      <c r="AF213" s="407"/>
      <c r="AG213" s="407"/>
      <c r="AH213" s="407"/>
      <c r="AI213" s="407"/>
      <c r="AJ213" s="407"/>
      <c r="AK213" s="407"/>
      <c r="AL213" s="407"/>
      <c r="AM213" s="407"/>
      <c r="AN213" s="407"/>
      <c r="AO213" s="407"/>
      <c r="AP213" s="407"/>
      <c r="AQ213" s="407"/>
      <c r="AR213" s="407"/>
      <c r="AS213" s="407"/>
      <c r="AT213" s="407"/>
      <c r="AU213" s="407"/>
      <c r="AV213" s="407"/>
      <c r="AW213" s="407"/>
      <c r="AX213" s="407"/>
      <c r="AY213" s="407"/>
      <c r="AZ213" s="407"/>
      <c r="BA213" s="407"/>
      <c r="BB213" s="407"/>
      <c r="BC213" s="407"/>
      <c r="BD213" s="407"/>
      <c r="BE213" s="407"/>
      <c r="BF213" s="182"/>
      <c r="BG213" s="182"/>
      <c r="BH213" s="182"/>
      <c r="BI213" s="182"/>
      <c r="BJ213" s="182"/>
      <c r="BK213" s="182"/>
      <c r="BL213" s="182"/>
      <c r="BM213" s="182"/>
      <c r="BN213" s="182"/>
      <c r="BO213" s="182"/>
      <c r="BP213" s="182"/>
      <c r="BQ213" s="182"/>
      <c r="BR213" s="182"/>
      <c r="BS213" s="182"/>
      <c r="BT213" s="182"/>
      <c r="BU213" s="182"/>
      <c r="BV213" s="182"/>
      <c r="BW213" s="182"/>
      <c r="BX213" s="182"/>
      <c r="BY213" s="182"/>
      <c r="BZ213" s="182"/>
      <c r="CA213" s="182"/>
      <c r="CB213" s="182"/>
      <c r="CC213" s="182"/>
      <c r="CD213" s="182"/>
      <c r="CE213" s="182"/>
      <c r="CF213" s="182"/>
      <c r="CG213" s="182"/>
      <c r="CH213" s="182"/>
      <c r="CI213" s="182"/>
      <c r="CJ213" s="182"/>
      <c r="CK213" s="407"/>
      <c r="CL213" s="407"/>
      <c r="CM213" s="407"/>
      <c r="CN213" s="407"/>
      <c r="CO213" s="407"/>
      <c r="CP213" s="407"/>
      <c r="CQ213" s="407"/>
      <c r="CR213" s="407"/>
      <c r="CS213" s="407"/>
      <c r="CT213" s="407"/>
      <c r="CU213" s="407"/>
      <c r="CV213" s="407"/>
      <c r="CW213" s="407"/>
      <c r="CX213" s="407"/>
      <c r="CY213" s="407"/>
      <c r="CZ213" s="407"/>
      <c r="DA213" s="407"/>
      <c r="DB213" s="407"/>
      <c r="DC213" s="407"/>
      <c r="DD213" s="182"/>
      <c r="DE213" s="182"/>
      <c r="DF213" s="182"/>
      <c r="DG213" s="182"/>
      <c r="DH213" s="182"/>
      <c r="DI213" s="182"/>
      <c r="DJ213" s="182"/>
      <c r="DK213" s="182"/>
      <c r="DL213" s="182"/>
      <c r="DM213" s="182"/>
      <c r="DN213" s="182"/>
      <c r="DO213" s="182"/>
      <c r="DP213" s="182"/>
      <c r="DQ213" s="182"/>
      <c r="DR213" s="182"/>
      <c r="DS213" s="182"/>
      <c r="DT213" s="182"/>
      <c r="DU213" s="182"/>
      <c r="DV213" s="182"/>
      <c r="DW213" s="182"/>
      <c r="DX213" s="182"/>
      <c r="DY213" s="182"/>
      <c r="DZ213" s="182"/>
      <c r="EA213" s="182"/>
      <c r="EB213" s="182"/>
      <c r="EC213" s="182"/>
      <c r="ED213" s="182"/>
      <c r="EE213" s="182"/>
      <c r="EF213" s="182"/>
      <c r="EG213" s="182"/>
      <c r="EH213" s="182"/>
      <c r="EI213" s="182"/>
      <c r="EJ213" s="182"/>
      <c r="EK213" s="182"/>
      <c r="EL213" s="182"/>
      <c r="EM213" s="182"/>
      <c r="EN213" s="182"/>
      <c r="EO213" s="182"/>
      <c r="EP213" s="182"/>
      <c r="EQ213" s="182"/>
      <c r="ER213" s="182"/>
      <c r="ES213" s="182"/>
      <c r="ET213" s="182"/>
      <c r="EU213" s="182"/>
      <c r="EV213" s="182"/>
      <c r="GU213" s="182"/>
      <c r="GV213" s="182"/>
    </row>
    <row r="214" spans="1:204" s="302" customFormat="1" ht="12.75" hidden="1" customHeight="1">
      <c r="A214" s="182"/>
      <c r="B214" s="454">
        <f>COUNTIF(F4:F207,"0")</f>
        <v>0</v>
      </c>
      <c r="C214" s="454"/>
      <c r="D214" s="386" t="s">
        <v>222</v>
      </c>
      <c r="E214" s="182"/>
      <c r="F214" s="182"/>
      <c r="G214" s="182"/>
      <c r="H214" s="182"/>
      <c r="I214" s="182"/>
      <c r="J214" s="182"/>
      <c r="K214" s="182"/>
      <c r="L214" s="182"/>
      <c r="M214" s="182"/>
      <c r="N214" s="182"/>
      <c r="O214" s="412"/>
      <c r="P214" s="412"/>
      <c r="Q214" s="182"/>
      <c r="R214" s="182"/>
      <c r="S214" s="182"/>
      <c r="T214" s="182"/>
      <c r="U214" s="182"/>
      <c r="V214" s="182"/>
      <c r="W214" s="182"/>
      <c r="X214" s="182"/>
      <c r="Y214" s="182"/>
      <c r="Z214" s="182"/>
      <c r="AA214" s="182"/>
      <c r="AB214" s="182"/>
      <c r="AC214" s="182"/>
      <c r="AD214" s="182"/>
      <c r="AE214" s="182"/>
      <c r="AF214" s="182"/>
      <c r="AG214" s="182"/>
      <c r="AH214" s="182"/>
      <c r="AI214" s="182"/>
      <c r="AJ214" s="182"/>
      <c r="AK214" s="182"/>
      <c r="AL214" s="182"/>
      <c r="AM214" s="182"/>
      <c r="AN214" s="182"/>
      <c r="AO214" s="182"/>
      <c r="AP214" s="182"/>
      <c r="AQ214" s="182"/>
      <c r="AR214" s="182"/>
      <c r="AS214" s="182"/>
      <c r="AT214" s="182"/>
      <c r="AU214" s="182"/>
      <c r="AV214" s="182"/>
      <c r="AW214" s="182"/>
      <c r="AX214" s="182"/>
      <c r="AY214" s="182"/>
      <c r="AZ214" s="182"/>
      <c r="BA214" s="182"/>
      <c r="BB214" s="182"/>
      <c r="BC214" s="182"/>
      <c r="BD214" s="182"/>
      <c r="BE214" s="182"/>
      <c r="BF214" s="182"/>
      <c r="BG214" s="182"/>
      <c r="BH214" s="182"/>
      <c r="BI214" s="182"/>
      <c r="BJ214" s="182"/>
      <c r="BK214" s="182"/>
      <c r="BL214" s="182"/>
      <c r="BM214" s="182"/>
      <c r="BN214" s="182"/>
      <c r="BO214" s="182"/>
      <c r="BP214" s="182"/>
      <c r="BQ214" s="182"/>
      <c r="BR214" s="182"/>
      <c r="BS214" s="182"/>
      <c r="BT214" s="182"/>
      <c r="BU214" s="182"/>
      <c r="BV214" s="182"/>
      <c r="BW214" s="182"/>
      <c r="BX214" s="182"/>
      <c r="BY214" s="182"/>
      <c r="BZ214" s="182"/>
      <c r="CA214" s="182"/>
      <c r="CB214" s="182"/>
      <c r="CC214" s="182"/>
      <c r="CD214" s="182"/>
      <c r="CE214" s="182"/>
      <c r="CF214" s="182"/>
      <c r="CG214" s="182"/>
      <c r="CH214" s="182"/>
      <c r="CI214" s="182"/>
      <c r="CJ214" s="182"/>
      <c r="CK214" s="182"/>
      <c r="CL214" s="182"/>
      <c r="CM214" s="182"/>
      <c r="CN214" s="182"/>
      <c r="CO214" s="182"/>
      <c r="CP214" s="182"/>
      <c r="CQ214" s="182"/>
      <c r="CR214" s="182"/>
      <c r="CS214" s="182"/>
      <c r="CT214" s="182"/>
      <c r="CU214" s="182"/>
      <c r="CV214" s="182"/>
      <c r="CW214" s="182"/>
      <c r="CX214" s="182"/>
      <c r="CY214" s="182"/>
      <c r="CZ214" s="182"/>
      <c r="DA214" s="182"/>
      <c r="DB214" s="182"/>
      <c r="DC214" s="182"/>
      <c r="DD214" s="182"/>
      <c r="DE214" s="182"/>
      <c r="DF214" s="182"/>
      <c r="DG214" s="182"/>
      <c r="DH214" s="182"/>
      <c r="DI214" s="182"/>
      <c r="DJ214" s="182"/>
      <c r="DK214" s="182"/>
      <c r="DL214" s="182"/>
      <c r="DM214" s="182"/>
      <c r="DN214" s="182"/>
      <c r="DO214" s="182"/>
      <c r="DP214" s="182"/>
      <c r="DQ214" s="182"/>
      <c r="DR214" s="182"/>
      <c r="DS214" s="182"/>
      <c r="DT214" s="182"/>
      <c r="DU214" s="182"/>
      <c r="DV214" s="182"/>
      <c r="DW214" s="182"/>
      <c r="DX214" s="182"/>
      <c r="DY214" s="182"/>
      <c r="DZ214" s="182"/>
      <c r="EA214" s="182"/>
      <c r="EB214" s="182"/>
      <c r="EC214" s="182"/>
      <c r="ED214" s="182"/>
      <c r="EE214" s="182"/>
      <c r="EF214" s="182"/>
      <c r="EG214" s="182"/>
      <c r="EH214" s="182"/>
      <c r="EI214" s="182"/>
      <c r="EJ214" s="182"/>
      <c r="EK214" s="182"/>
      <c r="EL214" s="182"/>
      <c r="EM214" s="182"/>
      <c r="EN214" s="182"/>
      <c r="EO214" s="182"/>
      <c r="EP214" s="182"/>
      <c r="EQ214" s="182"/>
      <c r="ER214" s="182"/>
      <c r="ES214" s="182"/>
      <c r="ET214" s="182"/>
      <c r="EU214" s="182"/>
      <c r="EV214" s="182"/>
      <c r="GU214" s="182"/>
      <c r="GV214" s="182"/>
    </row>
    <row r="215" spans="1:204" s="391" customFormat="1" ht="12.75" hidden="1" customHeight="1">
      <c r="A215" s="86"/>
      <c r="B215" s="457">
        <f>B210-(B211+B213+B214)</f>
        <v>5</v>
      </c>
      <c r="C215" s="457"/>
      <c r="D215" s="458" t="s">
        <v>204</v>
      </c>
      <c r="E215" s="407"/>
      <c r="F215" s="86"/>
      <c r="G215" s="86"/>
      <c r="H215" s="86"/>
      <c r="I215" s="86"/>
      <c r="J215" s="86"/>
      <c r="K215" s="86"/>
      <c r="L215" s="86"/>
      <c r="M215" s="86"/>
      <c r="N215" s="86"/>
      <c r="O215" s="459"/>
      <c r="P215" s="459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485"/>
      <c r="AC215" s="485"/>
      <c r="AD215" s="485"/>
      <c r="AE215" s="485"/>
      <c r="AF215" s="485"/>
      <c r="AG215" s="485"/>
      <c r="AH215" s="485"/>
      <c r="AI215" s="485"/>
      <c r="AJ215" s="485"/>
      <c r="AK215" s="485"/>
      <c r="AL215" s="485"/>
      <c r="AM215" s="485"/>
      <c r="AN215" s="485"/>
      <c r="AO215" s="485"/>
      <c r="AP215" s="485"/>
      <c r="AQ215" s="485"/>
      <c r="AR215" s="485"/>
      <c r="AS215" s="485"/>
      <c r="AT215" s="485"/>
      <c r="AU215" s="485"/>
      <c r="AV215" s="485"/>
      <c r="AW215" s="485"/>
      <c r="AX215" s="485"/>
      <c r="AY215" s="485"/>
      <c r="AZ215" s="485"/>
      <c r="BA215" s="485"/>
      <c r="BB215" s="485"/>
      <c r="BC215" s="485"/>
      <c r="BD215" s="485"/>
      <c r="BE215" s="485"/>
      <c r="BF215" s="86"/>
      <c r="BG215" s="86"/>
      <c r="BH215" s="86"/>
      <c r="BI215" s="86"/>
      <c r="BJ215" s="86"/>
      <c r="BK215" s="86"/>
      <c r="BL215" s="86"/>
      <c r="BM215" s="86"/>
      <c r="BN215" s="86"/>
      <c r="BO215" s="86"/>
      <c r="BP215" s="86"/>
      <c r="BQ215" s="86"/>
      <c r="BR215" s="86"/>
      <c r="BS215" s="86"/>
      <c r="BT215" s="86"/>
      <c r="BU215" s="86"/>
      <c r="BV215" s="86"/>
      <c r="BW215" s="86"/>
      <c r="BX215" s="86"/>
      <c r="BY215" s="86"/>
      <c r="BZ215" s="86"/>
      <c r="CA215" s="86"/>
      <c r="CB215" s="86"/>
      <c r="CC215" s="86"/>
      <c r="CD215" s="86"/>
      <c r="CE215" s="86"/>
      <c r="CF215" s="86"/>
      <c r="CG215" s="86"/>
      <c r="CH215" s="86"/>
      <c r="CI215" s="86"/>
      <c r="CJ215" s="86"/>
      <c r="CK215" s="485"/>
      <c r="CL215" s="485"/>
      <c r="CM215" s="485"/>
      <c r="CN215" s="485"/>
      <c r="CO215" s="485"/>
      <c r="CP215" s="485"/>
      <c r="CQ215" s="485"/>
      <c r="CR215" s="485"/>
      <c r="CS215" s="485"/>
      <c r="CT215" s="485"/>
      <c r="CU215" s="485"/>
      <c r="CV215" s="485"/>
      <c r="CW215" s="485"/>
      <c r="CX215" s="485"/>
      <c r="CY215" s="485"/>
      <c r="CZ215" s="485"/>
      <c r="DA215" s="485"/>
      <c r="DB215" s="485"/>
      <c r="DC215" s="485"/>
      <c r="DD215" s="86"/>
      <c r="DE215" s="86"/>
      <c r="DF215" s="86"/>
      <c r="DG215" s="86"/>
      <c r="DH215" s="86"/>
      <c r="DI215" s="86"/>
      <c r="DJ215" s="86"/>
      <c r="DK215" s="86"/>
      <c r="DL215" s="86"/>
      <c r="DM215" s="86"/>
      <c r="DN215" s="86"/>
      <c r="DO215" s="86"/>
      <c r="DP215" s="86"/>
      <c r="DQ215" s="86"/>
      <c r="DR215" s="86"/>
      <c r="DS215" s="86"/>
      <c r="DT215" s="86"/>
      <c r="DU215" s="86"/>
      <c r="DV215" s="86"/>
      <c r="DW215" s="86"/>
      <c r="DX215" s="86"/>
      <c r="DY215" s="86"/>
      <c r="DZ215" s="86"/>
      <c r="EA215" s="86"/>
      <c r="EB215" s="86"/>
      <c r="EC215" s="86"/>
      <c r="ED215" s="86"/>
      <c r="EE215" s="86"/>
      <c r="EF215" s="86"/>
      <c r="EG215" s="86"/>
      <c r="EH215" s="86"/>
      <c r="EI215" s="86"/>
      <c r="EJ215" s="86"/>
      <c r="EK215" s="86"/>
      <c r="EL215" s="86"/>
      <c r="EM215" s="86"/>
      <c r="EN215" s="86"/>
      <c r="EO215" s="86"/>
      <c r="EP215" s="86"/>
      <c r="EQ215" s="86"/>
      <c r="ER215" s="86"/>
      <c r="ES215" s="86"/>
      <c r="ET215" s="86"/>
      <c r="EU215" s="86"/>
      <c r="EV215" s="86"/>
      <c r="GU215" s="86"/>
      <c r="GV215" s="86"/>
    </row>
    <row r="65536" spans="1:204" s="302" customFormat="1" ht="0" hidden="1" customHeight="1">
      <c r="A65536" s="182"/>
      <c r="B65536" s="182"/>
      <c r="C65536" s="182"/>
      <c r="D65536" s="182"/>
      <c r="E65536" s="182"/>
      <c r="F65536" s="182"/>
      <c r="G65536" s="182"/>
      <c r="H65536" s="182"/>
      <c r="I65536" s="182"/>
      <c r="J65536" s="182"/>
      <c r="K65536" s="182"/>
      <c r="L65536" s="182"/>
      <c r="M65536" s="182"/>
      <c r="N65536" s="182"/>
      <c r="O65536" s="412"/>
      <c r="P65536" s="412"/>
      <c r="Q65536" s="182"/>
      <c r="R65536" s="182"/>
      <c r="S65536" s="182"/>
      <c r="T65536" s="182"/>
      <c r="U65536" s="182"/>
      <c r="V65536" s="182"/>
      <c r="W65536" s="182"/>
      <c r="X65536" s="182"/>
      <c r="Y65536" s="182"/>
      <c r="Z65536" s="182"/>
      <c r="AA65536" s="182"/>
      <c r="AB65536" s="182"/>
      <c r="AC65536" s="182"/>
      <c r="AD65536" s="182"/>
      <c r="AE65536" s="182"/>
      <c r="AF65536" s="182"/>
      <c r="AG65536" s="182"/>
      <c r="AH65536" s="182"/>
      <c r="AI65536" s="182"/>
      <c r="AJ65536" s="182"/>
      <c r="AK65536" s="182"/>
      <c r="AL65536" s="182"/>
      <c r="AM65536" s="182"/>
      <c r="AN65536" s="182"/>
      <c r="AO65536" s="182"/>
      <c r="AP65536" s="182"/>
      <c r="AQ65536" s="182"/>
      <c r="AR65536" s="182"/>
      <c r="AS65536" s="182"/>
      <c r="AT65536" s="182"/>
      <c r="AU65536" s="182"/>
      <c r="AV65536" s="182"/>
      <c r="AW65536" s="182"/>
      <c r="AX65536" s="182"/>
      <c r="AY65536" s="182"/>
      <c r="AZ65536" s="182"/>
      <c r="BA65536" s="182"/>
      <c r="BB65536" s="182"/>
      <c r="BC65536" s="182"/>
      <c r="BD65536" s="182"/>
      <c r="BE65536" s="182"/>
      <c r="BF65536" s="182"/>
      <c r="BG65536" s="182"/>
      <c r="BH65536" s="182"/>
      <c r="BI65536" s="182"/>
      <c r="BJ65536" s="182"/>
      <c r="BK65536" s="182"/>
      <c r="BL65536" s="182"/>
      <c r="BM65536" s="182"/>
      <c r="BN65536" s="182"/>
      <c r="BO65536" s="182"/>
      <c r="BP65536" s="182"/>
      <c r="BQ65536" s="182"/>
      <c r="BR65536" s="182"/>
      <c r="BS65536" s="182"/>
      <c r="BT65536" s="182"/>
      <c r="BU65536" s="182"/>
      <c r="BV65536" s="182"/>
      <c r="BW65536" s="182"/>
      <c r="BX65536" s="182"/>
      <c r="BY65536" s="182"/>
      <c r="BZ65536" s="182"/>
      <c r="CA65536" s="182"/>
      <c r="CB65536" s="182"/>
      <c r="CC65536" s="182"/>
      <c r="CD65536" s="182"/>
      <c r="CE65536" s="182"/>
      <c r="CF65536" s="182"/>
      <c r="CG65536" s="182"/>
      <c r="CH65536" s="182"/>
      <c r="CI65536" s="182"/>
      <c r="CJ65536" s="182"/>
      <c r="CK65536" s="407"/>
      <c r="CL65536" s="407"/>
      <c r="CM65536" s="407"/>
      <c r="CN65536" s="407"/>
      <c r="CO65536" s="407"/>
      <c r="CP65536" s="407"/>
      <c r="CQ65536" s="407"/>
      <c r="CR65536" s="407"/>
      <c r="CS65536" s="407"/>
      <c r="CT65536" s="407"/>
      <c r="CU65536" s="407"/>
      <c r="CV65536" s="407"/>
      <c r="CW65536" s="407"/>
      <c r="CX65536" s="407"/>
      <c r="CY65536" s="407"/>
      <c r="CZ65536" s="407"/>
      <c r="DA65536" s="407"/>
      <c r="DB65536" s="407"/>
      <c r="DC65536" s="407"/>
      <c r="DD65536" s="407"/>
      <c r="DE65536" s="407"/>
      <c r="DF65536" s="407"/>
      <c r="DG65536" s="407"/>
      <c r="DH65536" s="407"/>
      <c r="DI65536" s="407"/>
      <c r="DJ65536" s="407"/>
      <c r="DK65536" s="407"/>
      <c r="DL65536" s="407"/>
      <c r="DM65536" s="407"/>
      <c r="DN65536" s="407"/>
      <c r="DO65536" s="182"/>
      <c r="DP65536" s="182"/>
      <c r="DQ65536" s="182"/>
      <c r="DR65536" s="182"/>
      <c r="DS65536" s="182"/>
      <c r="DT65536" s="182"/>
      <c r="DU65536" s="182"/>
      <c r="DV65536" s="182"/>
      <c r="DW65536" s="182"/>
      <c r="DX65536" s="182"/>
      <c r="DY65536" s="182"/>
      <c r="DZ65536" s="182"/>
      <c r="EA65536" s="182"/>
      <c r="EB65536" s="182"/>
      <c r="EC65536" s="182"/>
      <c r="ED65536" s="182"/>
      <c r="EE65536" s="182"/>
      <c r="EF65536" s="182"/>
      <c r="EG65536" s="182"/>
      <c r="EH65536" s="182"/>
      <c r="EI65536" s="182"/>
      <c r="EJ65536" s="182"/>
      <c r="EK65536" s="182"/>
      <c r="EL65536" s="182"/>
      <c r="EM65536" s="182"/>
      <c r="EN65536" s="182"/>
      <c r="EO65536" s="182"/>
      <c r="EP65536" s="182"/>
      <c r="EQ65536" s="182"/>
      <c r="ER65536" s="182"/>
      <c r="ES65536" s="182"/>
      <c r="ET65536" s="182"/>
      <c r="EU65536" s="182"/>
      <c r="EV65536" s="182"/>
      <c r="GU65536" s="182"/>
      <c r="GV65536" s="182"/>
    </row>
    <row r="1048576" spans="1:204" s="302" customFormat="1" ht="0" hidden="1" customHeight="1">
      <c r="A1048576" s="182"/>
      <c r="B1048576" s="182"/>
      <c r="C1048576" s="182"/>
      <c r="D1048576" s="182"/>
      <c r="E1048576" s="182"/>
      <c r="F1048576" s="182"/>
      <c r="G1048576" s="182"/>
      <c r="H1048576" s="182"/>
      <c r="I1048576" s="182"/>
      <c r="J1048576" s="182"/>
      <c r="K1048576" s="182"/>
      <c r="L1048576" s="182"/>
      <c r="M1048576" s="182"/>
      <c r="N1048576" s="182"/>
      <c r="O1048576" s="412"/>
      <c r="P1048576" s="412"/>
      <c r="Q1048576" s="182"/>
      <c r="R1048576" s="182"/>
      <c r="S1048576" s="182"/>
      <c r="T1048576" s="182"/>
      <c r="U1048576" s="182"/>
      <c r="V1048576" s="182"/>
      <c r="W1048576" s="182"/>
      <c r="X1048576" s="182"/>
      <c r="Y1048576" s="182"/>
      <c r="Z1048576" s="182"/>
      <c r="AA1048576" s="182"/>
      <c r="AB1048576" s="182"/>
      <c r="AC1048576" s="182"/>
      <c r="AD1048576" s="182"/>
      <c r="AE1048576" s="182"/>
      <c r="AF1048576" s="182"/>
      <c r="AG1048576" s="182"/>
      <c r="AH1048576" s="182"/>
      <c r="AI1048576" s="182"/>
      <c r="AJ1048576" s="182"/>
      <c r="AK1048576" s="182"/>
      <c r="AL1048576" s="182"/>
      <c r="AM1048576" s="182"/>
      <c r="AN1048576" s="182"/>
      <c r="AO1048576" s="182"/>
      <c r="AP1048576" s="182"/>
      <c r="AQ1048576" s="182"/>
      <c r="AR1048576" s="182"/>
      <c r="AS1048576" s="182"/>
      <c r="AT1048576" s="182"/>
      <c r="AU1048576" s="182"/>
      <c r="AV1048576" s="182"/>
      <c r="AW1048576" s="182"/>
      <c r="AX1048576" s="182"/>
      <c r="AY1048576" s="182"/>
      <c r="AZ1048576" s="182"/>
      <c r="BA1048576" s="182"/>
      <c r="BB1048576" s="182"/>
      <c r="BC1048576" s="182"/>
      <c r="BD1048576" s="182"/>
      <c r="BE1048576" s="182"/>
      <c r="BF1048576" s="182"/>
      <c r="BG1048576" s="182"/>
      <c r="BH1048576" s="182"/>
      <c r="BI1048576" s="182"/>
      <c r="BJ1048576" s="182"/>
      <c r="BK1048576" s="182"/>
      <c r="BL1048576" s="182"/>
      <c r="BM1048576" s="182"/>
      <c r="BN1048576" s="182"/>
      <c r="BO1048576" s="182"/>
      <c r="BP1048576" s="182"/>
      <c r="BQ1048576" s="182"/>
      <c r="BR1048576" s="182"/>
      <c r="BS1048576" s="182"/>
      <c r="BT1048576" s="182"/>
      <c r="BU1048576" s="182"/>
      <c r="BV1048576" s="182"/>
      <c r="BW1048576" s="182"/>
      <c r="BX1048576" s="182"/>
      <c r="BY1048576" s="182"/>
      <c r="BZ1048576" s="182"/>
      <c r="CA1048576" s="182"/>
      <c r="CB1048576" s="182"/>
      <c r="CC1048576" s="182"/>
      <c r="CD1048576" s="182"/>
      <c r="CE1048576" s="182"/>
      <c r="CF1048576" s="182"/>
      <c r="CG1048576" s="182"/>
      <c r="CH1048576" s="182"/>
      <c r="CI1048576" s="182"/>
      <c r="CJ1048576" s="182"/>
      <c r="CK1048576" s="182"/>
      <c r="CL1048576" s="182"/>
      <c r="CM1048576" s="182"/>
      <c r="CN1048576" s="182"/>
      <c r="CO1048576" s="182"/>
      <c r="CP1048576" s="182"/>
      <c r="CQ1048576" s="182"/>
      <c r="CR1048576" s="182"/>
      <c r="CS1048576" s="182"/>
      <c r="CT1048576" s="182"/>
      <c r="CU1048576" s="182"/>
      <c r="CV1048576" s="182"/>
      <c r="CW1048576" s="182"/>
      <c r="CX1048576" s="182"/>
      <c r="CY1048576" s="182"/>
      <c r="CZ1048576" s="182"/>
      <c r="DA1048576" s="182"/>
      <c r="DB1048576" s="182"/>
      <c r="DC1048576" s="182"/>
      <c r="DD1048576" s="182"/>
      <c r="DE1048576" s="182"/>
      <c r="DF1048576" s="182"/>
      <c r="DG1048576" s="182"/>
      <c r="DH1048576" s="182"/>
      <c r="DI1048576" s="182"/>
      <c r="DJ1048576" s="182"/>
      <c r="DK1048576" s="182"/>
      <c r="DL1048576" s="182"/>
      <c r="DM1048576" s="182"/>
      <c r="DN1048576" s="182"/>
      <c r="DO1048576" s="182"/>
      <c r="DP1048576" s="182"/>
      <c r="DQ1048576" s="182"/>
      <c r="DR1048576" s="182"/>
      <c r="DS1048576" s="182"/>
      <c r="DT1048576" s="182"/>
      <c r="DU1048576" s="182"/>
      <c r="DV1048576" s="182"/>
      <c r="DW1048576" s="182"/>
      <c r="DX1048576" s="182"/>
      <c r="DY1048576" s="182"/>
      <c r="DZ1048576" s="182"/>
      <c r="EA1048576" s="182"/>
      <c r="EB1048576" s="182"/>
      <c r="EC1048576" s="182"/>
      <c r="ED1048576" s="182"/>
      <c r="EE1048576" s="182"/>
      <c r="EF1048576" s="182"/>
      <c r="EG1048576" s="182"/>
      <c r="EH1048576" s="182"/>
      <c r="EI1048576" s="182"/>
      <c r="EJ1048576" s="182"/>
      <c r="EK1048576" s="182"/>
      <c r="EL1048576" s="182"/>
      <c r="EM1048576" s="182"/>
      <c r="EN1048576" s="182"/>
      <c r="EO1048576" s="182"/>
      <c r="EP1048576" s="182"/>
      <c r="EQ1048576" s="182"/>
      <c r="ER1048576" s="182"/>
      <c r="ES1048576" s="182"/>
      <c r="ET1048576" s="182"/>
      <c r="EU1048576" s="182"/>
      <c r="EV1048576" s="182"/>
      <c r="GU1048576" s="182"/>
      <c r="GV1048576" s="182"/>
    </row>
  </sheetData>
  <sheetProtection password="F326" sheet="1" objects="1" scenarios="1"/>
  <sortState ref="HM4:HN8">
    <sortCondition ref="HM4"/>
  </sortState>
  <mergeCells count="149">
    <mergeCell ref="IT2:IT3"/>
    <mergeCell ref="GW2:GW3"/>
    <mergeCell ref="GU2:GU3"/>
    <mergeCell ref="GV2:GV3"/>
    <mergeCell ref="DS2:DS3"/>
    <mergeCell ref="EV2:EV3"/>
    <mergeCell ref="FI2:FI3"/>
    <mergeCell ref="IU2:IU3"/>
    <mergeCell ref="HI2:HI3"/>
    <mergeCell ref="EX2:EX3"/>
    <mergeCell ref="FY2:FY3"/>
    <mergeCell ref="GJ3:GM3"/>
    <mergeCell ref="GO3:GR3"/>
    <mergeCell ref="HH2:HH3"/>
    <mergeCell ref="EF2:EF3"/>
    <mergeCell ref="EJ2:EJ3"/>
    <mergeCell ref="EK2:EK3"/>
    <mergeCell ref="EU2:EU3"/>
    <mergeCell ref="EO2:EO3"/>
    <mergeCell ref="EP2:EP3"/>
    <mergeCell ref="ES2:ES3"/>
    <mergeCell ref="FX2:FX3"/>
    <mergeCell ref="FR2:FR3"/>
    <mergeCell ref="FS2:FS3"/>
    <mergeCell ref="FT2:FT3"/>
    <mergeCell ref="DP1:ET1"/>
    <mergeCell ref="FU2:FU3"/>
    <mergeCell ref="FW2:FW3"/>
    <mergeCell ref="FQ2:FQ3"/>
    <mergeCell ref="DA2:DA3"/>
    <mergeCell ref="DG2:DG3"/>
    <mergeCell ref="DN2:DN3"/>
    <mergeCell ref="FO2:FO3"/>
    <mergeCell ref="EU1:FY1"/>
    <mergeCell ref="EY2:EY3"/>
    <mergeCell ref="EZ2:FD2"/>
    <mergeCell ref="FJ2:FJ3"/>
    <mergeCell ref="FK2:FK3"/>
    <mergeCell ref="FV2:FV3"/>
    <mergeCell ref="EW2:EW3"/>
    <mergeCell ref="FE2:FH2"/>
    <mergeCell ref="ER2:ER3"/>
    <mergeCell ref="EL2:EL3"/>
    <mergeCell ref="ED2:ED3"/>
    <mergeCell ref="EQ2:EQ3"/>
    <mergeCell ref="EE2:EE3"/>
    <mergeCell ref="DQ2:DQ3"/>
    <mergeCell ref="DZ2:EC2"/>
    <mergeCell ref="CK1:DN1"/>
    <mergeCell ref="DK2:DK3"/>
    <mergeCell ref="DL2:DL3"/>
    <mergeCell ref="DM2:DM3"/>
    <mergeCell ref="DF2:DF3"/>
    <mergeCell ref="DB2:DB3"/>
    <mergeCell ref="DC2:DC3"/>
    <mergeCell ref="CK2:CK3"/>
    <mergeCell ref="CO2:CO3"/>
    <mergeCell ref="CL2:CL3"/>
    <mergeCell ref="DJ2:DJ3"/>
    <mergeCell ref="CP2:CT2"/>
    <mergeCell ref="CU2:CX2"/>
    <mergeCell ref="DH2:DH3"/>
    <mergeCell ref="B2:B3"/>
    <mergeCell ref="E2:I2"/>
    <mergeCell ref="J2:M2"/>
    <mergeCell ref="C2:D3"/>
    <mergeCell ref="N2:N3"/>
    <mergeCell ref="O2:O3"/>
    <mergeCell ref="CI2:CI3"/>
    <mergeCell ref="CD2:CD3"/>
    <mergeCell ref="CE2:CE3"/>
    <mergeCell ref="CF2:CF3"/>
    <mergeCell ref="CG2:CG3"/>
    <mergeCell ref="CH2:CH3"/>
    <mergeCell ref="AS2:AS3"/>
    <mergeCell ref="BW2:BW3"/>
    <mergeCell ref="BX2:BX3"/>
    <mergeCell ref="BH2:BH3"/>
    <mergeCell ref="CC2:CC3"/>
    <mergeCell ref="BV2:BV3"/>
    <mergeCell ref="CA2:CA3"/>
    <mergeCell ref="CB2:CB3"/>
    <mergeCell ref="AF2:AF3"/>
    <mergeCell ref="BB2:BB3"/>
    <mergeCell ref="AZ2:AZ3"/>
    <mergeCell ref="BU2:BU3"/>
    <mergeCell ref="S22:T22"/>
    <mergeCell ref="Q2:Q3"/>
    <mergeCell ref="S2:S3"/>
    <mergeCell ref="T2:T3"/>
    <mergeCell ref="AC2:AC3"/>
    <mergeCell ref="X2:X3"/>
    <mergeCell ref="EM2:EM3"/>
    <mergeCell ref="EN2:EN3"/>
    <mergeCell ref="CZ2:CZ3"/>
    <mergeCell ref="DT2:DT3"/>
    <mergeCell ref="DU2:DY2"/>
    <mergeCell ref="DR2:DR3"/>
    <mergeCell ref="DO2:DO3"/>
    <mergeCell ref="EG2:EG3"/>
    <mergeCell ref="AE2:AE3"/>
    <mergeCell ref="GD2:GD3"/>
    <mergeCell ref="AG2:AG3"/>
    <mergeCell ref="AQ2:AQ3"/>
    <mergeCell ref="AM2:AP2"/>
    <mergeCell ref="W2:W3"/>
    <mergeCell ref="Y2:Y3"/>
    <mergeCell ref="Z2:Z3"/>
    <mergeCell ref="AA2:AA3"/>
    <mergeCell ref="CJ2:CJ3"/>
    <mergeCell ref="CN2:CN3"/>
    <mergeCell ref="DI2:DI3"/>
    <mergeCell ref="CM2:CM3"/>
    <mergeCell ref="BD2:BD3"/>
    <mergeCell ref="BE2:BE3"/>
    <mergeCell ref="BI2:BI3"/>
    <mergeCell ref="BJ2:BJ3"/>
    <mergeCell ref="BK2:BK3"/>
    <mergeCell ref="BL2:BP2"/>
    <mergeCell ref="AD2:AD3"/>
    <mergeCell ref="AH2:AL2"/>
    <mergeCell ref="BQ2:BT2"/>
    <mergeCell ref="FP2:FP3"/>
    <mergeCell ref="ET2:ET3"/>
    <mergeCell ref="FL2:FL3"/>
    <mergeCell ref="IV2:IV3"/>
    <mergeCell ref="P2:P3"/>
    <mergeCell ref="R2:R3"/>
    <mergeCell ref="U2:U3"/>
    <mergeCell ref="V2:V3"/>
    <mergeCell ref="AX2:AX3"/>
    <mergeCell ref="GG1:GR1"/>
    <mergeCell ref="GE2:GE3"/>
    <mergeCell ref="GA2:GA3"/>
    <mergeCell ref="GB2:GB3"/>
    <mergeCell ref="GC2:GC3"/>
    <mergeCell ref="AR2:AR3"/>
    <mergeCell ref="AT2:AT3"/>
    <mergeCell ref="GD1:GE1"/>
    <mergeCell ref="BF2:BF3"/>
    <mergeCell ref="BA2:BA3"/>
    <mergeCell ref="BC2:BC3"/>
    <mergeCell ref="AW2:AW3"/>
    <mergeCell ref="BG2:BG3"/>
    <mergeCell ref="AY2:AY3"/>
    <mergeCell ref="DP2:DP3"/>
    <mergeCell ref="FZ2:FZ3"/>
    <mergeCell ref="AC1:BE1"/>
    <mergeCell ref="BG1:CH1"/>
  </mergeCells>
  <phoneticPr fontId="7" type="noConversion"/>
  <conditionalFormatting sqref="Q201 Q129:Q134 Q136:Q176 Q179:Q183 Q35:Q111 Q6:Q33 Q113:Q127 Q203:Q207">
    <cfRule type="cellIs" dxfId="8158" priority="12574" stopIfTrue="1" operator="equal">
      <formula>"SIM"</formula>
    </cfRule>
    <cfRule type="cellIs" dxfId="8157" priority="12575" stopIfTrue="1" operator="equal">
      <formula>"NÃO"</formula>
    </cfRule>
  </conditionalFormatting>
  <conditionalFormatting sqref="DO201 CJ201 BF201 BF4 CJ4 DO4 DO129:DO134 CJ129:CJ134 BF129:BF134 BF136:BF176 CJ136:CJ176 DO136:DO176 DO179:DO183 CJ179:CJ183 BF179:BF183 DO35:DO111 CJ35:CJ111 BF35:BF111 DO6:DO33 CJ6:CJ33 BF6:BF33 BF113:BF127 CJ113:CJ127 DO113:DO127 BF203:BF207 CJ203:CJ207 DO203:DO207">
    <cfRule type="cellIs" dxfId="8156" priority="12570" stopIfTrue="1" operator="equal">
      <formula>0</formula>
    </cfRule>
    <cfRule type="cellIs" dxfId="8155" priority="12576" stopIfTrue="1" operator="notEqual">
      <formula>0</formula>
    </cfRule>
  </conditionalFormatting>
  <conditionalFormatting sqref="C4:D198 C201:D201 C203:D207">
    <cfRule type="expression" dxfId="8154" priority="12573" stopIfTrue="1">
      <formula>IF(AND($C4&lt;&gt;"",$H4+$L4=0),TRUE)</formula>
    </cfRule>
  </conditionalFormatting>
  <conditionalFormatting sqref="P201 P129:P134 P136:P176 P179:P183 P35:P111 P6:P33 P113:P127 P203:P207">
    <cfRule type="cellIs" dxfId="8153" priority="12562" stopIfTrue="1" operator="equal">
      <formula>1</formula>
    </cfRule>
    <cfRule type="cellIs" dxfId="8152" priority="12571" stopIfTrue="1" operator="equal">
      <formula>2</formula>
    </cfRule>
    <cfRule type="cellIs" dxfId="8151" priority="12572" stopIfTrue="1" operator="equal">
      <formula>"X"</formula>
    </cfRule>
  </conditionalFormatting>
  <conditionalFormatting sqref="GU201 GU4 GU129:GU134 GU136:GU176 GU179:GU183 GU35:GU111 GU6:GU33 GU113:GU127 GU203:GU207">
    <cfRule type="cellIs" dxfId="8150" priority="12564" stopIfTrue="1" operator="equal">
      <formula>0</formula>
    </cfRule>
    <cfRule type="cellIs" dxfId="8149" priority="12565" stopIfTrue="1" operator="notEqual">
      <formula>0</formula>
    </cfRule>
  </conditionalFormatting>
  <conditionalFormatting sqref="GV201 GV4 GV129:GV134 GV136:GV176 GV179:GV183 GV35:GV111 GV6:GV33 GV113:GV127 GV203:GV207">
    <cfRule type="cellIs" dxfId="8148" priority="12563" stopIfTrue="1" operator="equal">
      <formula>"STOP"</formula>
    </cfRule>
  </conditionalFormatting>
  <conditionalFormatting sqref="Q173">
    <cfRule type="cellIs" dxfId="8147" priority="12557" stopIfTrue="1" operator="equal">
      <formula>"SIM"</formula>
    </cfRule>
    <cfRule type="cellIs" dxfId="8146" priority="12558" stopIfTrue="1" operator="equal">
      <formula>"NÃO"</formula>
    </cfRule>
  </conditionalFormatting>
  <conditionalFormatting sqref="BF173 CJ173 DO173">
    <cfRule type="cellIs" dxfId="8145" priority="12553" stopIfTrue="1" operator="equal">
      <formula>0</formula>
    </cfRule>
    <cfRule type="cellIs" dxfId="8144" priority="12559" stopIfTrue="1" operator="notEqual">
      <formula>0</formula>
    </cfRule>
  </conditionalFormatting>
  <conditionalFormatting sqref="C173:D173">
    <cfRule type="expression" dxfId="8143" priority="12556" stopIfTrue="1">
      <formula>IF(AND($C173&lt;&gt;"",$H173+$L173=0),TRUE)</formula>
    </cfRule>
  </conditionalFormatting>
  <conditionalFormatting sqref="P173">
    <cfRule type="cellIs" dxfId="8142" priority="12545" stopIfTrue="1" operator="equal">
      <formula>1</formula>
    </cfRule>
    <cfRule type="cellIs" dxfId="8141" priority="12554" stopIfTrue="1" operator="equal">
      <formula>2</formula>
    </cfRule>
    <cfRule type="cellIs" dxfId="8140" priority="12555" stopIfTrue="1" operator="equal">
      <formula>"X"</formula>
    </cfRule>
  </conditionalFormatting>
  <conditionalFormatting sqref="GU173">
    <cfRule type="cellIs" dxfId="8139" priority="12547" stopIfTrue="1" operator="equal">
      <formula>0</formula>
    </cfRule>
    <cfRule type="cellIs" dxfId="8138" priority="12548" stopIfTrue="1" operator="notEqual">
      <formula>0</formula>
    </cfRule>
  </conditionalFormatting>
  <conditionalFormatting sqref="GV173">
    <cfRule type="cellIs" dxfId="8137" priority="12546" stopIfTrue="1" operator="equal">
      <formula>"STOP"</formula>
    </cfRule>
  </conditionalFormatting>
  <conditionalFormatting sqref="Q174">
    <cfRule type="cellIs" dxfId="8136" priority="12540" stopIfTrue="1" operator="equal">
      <formula>"SIM"</formula>
    </cfRule>
    <cfRule type="cellIs" dxfId="8135" priority="12541" stopIfTrue="1" operator="equal">
      <formula>"NÃO"</formula>
    </cfRule>
  </conditionalFormatting>
  <conditionalFormatting sqref="BF174 CJ174 DO174">
    <cfRule type="cellIs" dxfId="8134" priority="12536" stopIfTrue="1" operator="equal">
      <formula>0</formula>
    </cfRule>
    <cfRule type="cellIs" dxfId="8133" priority="12542" stopIfTrue="1" operator="notEqual">
      <formula>0</formula>
    </cfRule>
  </conditionalFormatting>
  <conditionalFormatting sqref="C174:D174">
    <cfRule type="expression" dxfId="8132" priority="12539" stopIfTrue="1">
      <formula>IF(AND($C174&lt;&gt;"",$H174+$L174=0),TRUE)</formula>
    </cfRule>
  </conditionalFormatting>
  <conditionalFormatting sqref="P174">
    <cfRule type="cellIs" dxfId="8131" priority="12528" stopIfTrue="1" operator="equal">
      <formula>1</formula>
    </cfRule>
    <cfRule type="cellIs" dxfId="8130" priority="12537" stopIfTrue="1" operator="equal">
      <formula>2</formula>
    </cfRule>
    <cfRule type="cellIs" dxfId="8129" priority="12538" stopIfTrue="1" operator="equal">
      <formula>"X"</formula>
    </cfRule>
  </conditionalFormatting>
  <conditionalFormatting sqref="GU174">
    <cfRule type="cellIs" dxfId="8128" priority="12530" stopIfTrue="1" operator="equal">
      <formula>0</formula>
    </cfRule>
    <cfRule type="cellIs" dxfId="8127" priority="12531" stopIfTrue="1" operator="notEqual">
      <formula>0</formula>
    </cfRule>
  </conditionalFormatting>
  <conditionalFormatting sqref="GV174">
    <cfRule type="cellIs" dxfId="8126" priority="12529" stopIfTrue="1" operator="equal">
      <formula>"STOP"</formula>
    </cfRule>
  </conditionalFormatting>
  <conditionalFormatting sqref="Q175">
    <cfRule type="cellIs" dxfId="8125" priority="12523" stopIfTrue="1" operator="equal">
      <formula>"SIM"</formula>
    </cfRule>
    <cfRule type="cellIs" dxfId="8124" priority="12524" stopIfTrue="1" operator="equal">
      <formula>"NÃO"</formula>
    </cfRule>
  </conditionalFormatting>
  <conditionalFormatting sqref="BF175 CJ175 DO175">
    <cfRule type="cellIs" dxfId="8123" priority="12519" stopIfTrue="1" operator="equal">
      <formula>0</formula>
    </cfRule>
    <cfRule type="cellIs" dxfId="8122" priority="12525" stopIfTrue="1" operator="notEqual">
      <formula>0</formula>
    </cfRule>
  </conditionalFormatting>
  <conditionalFormatting sqref="C175:D175">
    <cfRule type="expression" dxfId="8121" priority="12522" stopIfTrue="1">
      <formula>IF(AND($C175&lt;&gt;"",$H175+$L175=0),TRUE)</formula>
    </cfRule>
  </conditionalFormatting>
  <conditionalFormatting sqref="P175">
    <cfRule type="cellIs" dxfId="8120" priority="12511" stopIfTrue="1" operator="equal">
      <formula>1</formula>
    </cfRule>
    <cfRule type="cellIs" dxfId="8119" priority="12520" stopIfTrue="1" operator="equal">
      <formula>2</formula>
    </cfRule>
    <cfRule type="cellIs" dxfId="8118" priority="12521" stopIfTrue="1" operator="equal">
      <formula>"X"</formula>
    </cfRule>
  </conditionalFormatting>
  <conditionalFormatting sqref="GU175">
    <cfRule type="cellIs" dxfId="8117" priority="12513" stopIfTrue="1" operator="equal">
      <formula>0</formula>
    </cfRule>
    <cfRule type="cellIs" dxfId="8116" priority="12514" stopIfTrue="1" operator="notEqual">
      <formula>0</formula>
    </cfRule>
  </conditionalFormatting>
  <conditionalFormatting sqref="GV175">
    <cfRule type="cellIs" dxfId="8115" priority="12512" stopIfTrue="1" operator="equal">
      <formula>"STOP"</formula>
    </cfRule>
  </conditionalFormatting>
  <conditionalFormatting sqref="Q176">
    <cfRule type="cellIs" dxfId="8114" priority="12506" stopIfTrue="1" operator="equal">
      <formula>"SIM"</formula>
    </cfRule>
    <cfRule type="cellIs" dxfId="8113" priority="12507" stopIfTrue="1" operator="equal">
      <formula>"NÃO"</formula>
    </cfRule>
  </conditionalFormatting>
  <conditionalFormatting sqref="BF176 CJ176 DO176">
    <cfRule type="cellIs" dxfId="8112" priority="12502" stopIfTrue="1" operator="equal">
      <formula>0</formula>
    </cfRule>
    <cfRule type="cellIs" dxfId="8111" priority="12508" stopIfTrue="1" operator="notEqual">
      <formula>0</formula>
    </cfRule>
  </conditionalFormatting>
  <conditionalFormatting sqref="C176:D176">
    <cfRule type="expression" dxfId="8110" priority="12505" stopIfTrue="1">
      <formula>IF(AND($C176&lt;&gt;"",$H176+$L176=0),TRUE)</formula>
    </cfRule>
  </conditionalFormatting>
  <conditionalFormatting sqref="P176">
    <cfRule type="cellIs" dxfId="8109" priority="12494" stopIfTrue="1" operator="equal">
      <formula>1</formula>
    </cfRule>
    <cfRule type="cellIs" dxfId="8108" priority="12503" stopIfTrue="1" operator="equal">
      <formula>2</formula>
    </cfRule>
    <cfRule type="cellIs" dxfId="8107" priority="12504" stopIfTrue="1" operator="equal">
      <formula>"X"</formula>
    </cfRule>
  </conditionalFormatting>
  <conditionalFormatting sqref="GU176">
    <cfRule type="cellIs" dxfId="8106" priority="12496" stopIfTrue="1" operator="equal">
      <formula>0</formula>
    </cfRule>
    <cfRule type="cellIs" dxfId="8105" priority="12497" stopIfTrue="1" operator="notEqual">
      <formula>0</formula>
    </cfRule>
  </conditionalFormatting>
  <conditionalFormatting sqref="GV176">
    <cfRule type="cellIs" dxfId="8104" priority="12495" stopIfTrue="1" operator="equal">
      <formula>"STOP"</formula>
    </cfRule>
  </conditionalFormatting>
  <conditionalFormatting sqref="Q179">
    <cfRule type="cellIs" dxfId="8103" priority="9718" stopIfTrue="1" operator="equal">
      <formula>"SIM"</formula>
    </cfRule>
    <cfRule type="cellIs" dxfId="8102" priority="9719" stopIfTrue="1" operator="equal">
      <formula>"NÃO"</formula>
    </cfRule>
  </conditionalFormatting>
  <conditionalFormatting sqref="BF179 CJ179 DO179">
    <cfRule type="cellIs" dxfId="8101" priority="9714" stopIfTrue="1" operator="equal">
      <formula>0</formula>
    </cfRule>
    <cfRule type="cellIs" dxfId="8100" priority="9720" stopIfTrue="1" operator="notEqual">
      <formula>0</formula>
    </cfRule>
  </conditionalFormatting>
  <conditionalFormatting sqref="C179:D179">
    <cfRule type="expression" dxfId="8099" priority="9717" stopIfTrue="1">
      <formula>IF(AND($C179&lt;&gt;"",$H179+$L179=0),TRUE)</formula>
    </cfRule>
  </conditionalFormatting>
  <conditionalFormatting sqref="P179">
    <cfRule type="cellIs" dxfId="8098" priority="9706" stopIfTrue="1" operator="equal">
      <formula>1</formula>
    </cfRule>
    <cfRule type="cellIs" dxfId="8097" priority="9715" stopIfTrue="1" operator="equal">
      <formula>2</formula>
    </cfRule>
    <cfRule type="cellIs" dxfId="8096" priority="9716" stopIfTrue="1" operator="equal">
      <formula>"X"</formula>
    </cfRule>
  </conditionalFormatting>
  <conditionalFormatting sqref="GU179">
    <cfRule type="cellIs" dxfId="8095" priority="9708" stopIfTrue="1" operator="equal">
      <formula>0</formula>
    </cfRule>
    <cfRule type="cellIs" dxfId="8094" priority="9709" stopIfTrue="1" operator="notEqual">
      <formula>0</formula>
    </cfRule>
  </conditionalFormatting>
  <conditionalFormatting sqref="GV179">
    <cfRule type="cellIs" dxfId="8093" priority="9707" stopIfTrue="1" operator="equal">
      <formula>"STOP"</formula>
    </cfRule>
  </conditionalFormatting>
  <conditionalFormatting sqref="Q179">
    <cfRule type="cellIs" dxfId="8092" priority="12489" stopIfTrue="1" operator="equal">
      <formula>"SIM"</formula>
    </cfRule>
    <cfRule type="cellIs" dxfId="8091" priority="12490" stopIfTrue="1" operator="equal">
      <formula>"NÃO"</formula>
    </cfRule>
  </conditionalFormatting>
  <conditionalFormatting sqref="BF179 CJ179 DO179">
    <cfRule type="cellIs" dxfId="8090" priority="12485" stopIfTrue="1" operator="equal">
      <formula>0</formula>
    </cfRule>
    <cfRule type="cellIs" dxfId="8089" priority="12491" stopIfTrue="1" operator="notEqual">
      <formula>0</formula>
    </cfRule>
  </conditionalFormatting>
  <conditionalFormatting sqref="C179:D179">
    <cfRule type="expression" dxfId="8088" priority="12488" stopIfTrue="1">
      <formula>IF(AND($C179&lt;&gt;"",$H179+$L179=0),TRUE)</formula>
    </cfRule>
  </conditionalFormatting>
  <conditionalFormatting sqref="P179">
    <cfRule type="cellIs" dxfId="8087" priority="12477" stopIfTrue="1" operator="equal">
      <formula>1</formula>
    </cfRule>
    <cfRule type="cellIs" dxfId="8086" priority="12486" stopIfTrue="1" operator="equal">
      <formula>2</formula>
    </cfRule>
    <cfRule type="cellIs" dxfId="8085" priority="12487" stopIfTrue="1" operator="equal">
      <formula>"X"</formula>
    </cfRule>
  </conditionalFormatting>
  <conditionalFormatting sqref="GU179">
    <cfRule type="cellIs" dxfId="8084" priority="12479" stopIfTrue="1" operator="equal">
      <formula>0</formula>
    </cfRule>
    <cfRule type="cellIs" dxfId="8083" priority="12480" stopIfTrue="1" operator="notEqual">
      <formula>0</formula>
    </cfRule>
  </conditionalFormatting>
  <conditionalFormatting sqref="GV179">
    <cfRule type="cellIs" dxfId="8082" priority="12478" stopIfTrue="1" operator="equal">
      <formula>"STOP"</formula>
    </cfRule>
  </conditionalFormatting>
  <conditionalFormatting sqref="Q180">
    <cfRule type="cellIs" dxfId="8081" priority="12472" stopIfTrue="1" operator="equal">
      <formula>"SIM"</formula>
    </cfRule>
    <cfRule type="cellIs" dxfId="8080" priority="12473" stopIfTrue="1" operator="equal">
      <formula>"NÃO"</formula>
    </cfRule>
  </conditionalFormatting>
  <conditionalFormatting sqref="BF180 CJ180 DO180">
    <cfRule type="cellIs" dxfId="8079" priority="12468" stopIfTrue="1" operator="equal">
      <formula>0</formula>
    </cfRule>
    <cfRule type="cellIs" dxfId="8078" priority="12474" stopIfTrue="1" operator="notEqual">
      <formula>0</formula>
    </cfRule>
  </conditionalFormatting>
  <conditionalFormatting sqref="C180:D180">
    <cfRule type="expression" dxfId="8077" priority="12471" stopIfTrue="1">
      <formula>IF(AND($C180&lt;&gt;"",$H180+$L180=0),TRUE)</formula>
    </cfRule>
  </conditionalFormatting>
  <conditionalFormatting sqref="P180">
    <cfRule type="cellIs" dxfId="8076" priority="12460" stopIfTrue="1" operator="equal">
      <formula>1</formula>
    </cfRule>
    <cfRule type="cellIs" dxfId="8075" priority="12469" stopIfTrue="1" operator="equal">
      <formula>2</formula>
    </cfRule>
    <cfRule type="cellIs" dxfId="8074" priority="12470" stopIfTrue="1" operator="equal">
      <formula>"X"</formula>
    </cfRule>
  </conditionalFormatting>
  <conditionalFormatting sqref="GU180">
    <cfRule type="cellIs" dxfId="8073" priority="12462" stopIfTrue="1" operator="equal">
      <formula>0</formula>
    </cfRule>
    <cfRule type="cellIs" dxfId="8072" priority="12463" stopIfTrue="1" operator="notEqual">
      <formula>0</formula>
    </cfRule>
  </conditionalFormatting>
  <conditionalFormatting sqref="GV180">
    <cfRule type="cellIs" dxfId="8071" priority="12461" stopIfTrue="1" operator="equal">
      <formula>"STOP"</formula>
    </cfRule>
  </conditionalFormatting>
  <conditionalFormatting sqref="Q181">
    <cfRule type="cellIs" dxfId="8070" priority="12455" stopIfTrue="1" operator="equal">
      <formula>"SIM"</formula>
    </cfRule>
    <cfRule type="cellIs" dxfId="8069" priority="12456" stopIfTrue="1" operator="equal">
      <formula>"NÃO"</formula>
    </cfRule>
  </conditionalFormatting>
  <conditionalFormatting sqref="BF181 CJ181 DO181">
    <cfRule type="cellIs" dxfId="8068" priority="12451" stopIfTrue="1" operator="equal">
      <formula>0</formula>
    </cfRule>
    <cfRule type="cellIs" dxfId="8067" priority="12457" stopIfTrue="1" operator="notEqual">
      <formula>0</formula>
    </cfRule>
  </conditionalFormatting>
  <conditionalFormatting sqref="C181:D181">
    <cfRule type="expression" dxfId="8066" priority="12454" stopIfTrue="1">
      <formula>IF(AND($C181&lt;&gt;"",$H181+$L181=0),TRUE)</formula>
    </cfRule>
  </conditionalFormatting>
  <conditionalFormatting sqref="P181">
    <cfRule type="cellIs" dxfId="8065" priority="12443" stopIfTrue="1" operator="equal">
      <formula>1</formula>
    </cfRule>
    <cfRule type="cellIs" dxfId="8064" priority="12452" stopIfTrue="1" operator="equal">
      <formula>2</formula>
    </cfRule>
    <cfRule type="cellIs" dxfId="8063" priority="12453" stopIfTrue="1" operator="equal">
      <formula>"X"</formula>
    </cfRule>
  </conditionalFormatting>
  <conditionalFormatting sqref="GU181">
    <cfRule type="cellIs" dxfId="8062" priority="12445" stopIfTrue="1" operator="equal">
      <formula>0</formula>
    </cfRule>
    <cfRule type="cellIs" dxfId="8061" priority="12446" stopIfTrue="1" operator="notEqual">
      <formula>0</formula>
    </cfRule>
  </conditionalFormatting>
  <conditionalFormatting sqref="GV181">
    <cfRule type="cellIs" dxfId="8060" priority="12444" stopIfTrue="1" operator="equal">
      <formula>"STOP"</formula>
    </cfRule>
  </conditionalFormatting>
  <conditionalFormatting sqref="Q182">
    <cfRule type="cellIs" dxfId="8059" priority="12438" stopIfTrue="1" operator="equal">
      <formula>"SIM"</formula>
    </cfRule>
    <cfRule type="cellIs" dxfId="8058" priority="12439" stopIfTrue="1" operator="equal">
      <formula>"NÃO"</formula>
    </cfRule>
  </conditionalFormatting>
  <conditionalFormatting sqref="BF182 CJ182 DO182">
    <cfRule type="cellIs" dxfId="8057" priority="12434" stopIfTrue="1" operator="equal">
      <formula>0</formula>
    </cfRule>
    <cfRule type="cellIs" dxfId="8056" priority="12440" stopIfTrue="1" operator="notEqual">
      <formula>0</formula>
    </cfRule>
  </conditionalFormatting>
  <conditionalFormatting sqref="C182:D182">
    <cfRule type="expression" dxfId="8055" priority="12437" stopIfTrue="1">
      <formula>IF(AND($C182&lt;&gt;"",$H182+$L182=0),TRUE)</formula>
    </cfRule>
  </conditionalFormatting>
  <conditionalFormatting sqref="P182">
    <cfRule type="cellIs" dxfId="8054" priority="12426" stopIfTrue="1" operator="equal">
      <formula>1</formula>
    </cfRule>
    <cfRule type="cellIs" dxfId="8053" priority="12435" stopIfTrue="1" operator="equal">
      <formula>2</formula>
    </cfRule>
    <cfRule type="cellIs" dxfId="8052" priority="12436" stopIfTrue="1" operator="equal">
      <formula>"X"</formula>
    </cfRule>
  </conditionalFormatting>
  <conditionalFormatting sqref="GU182">
    <cfRule type="cellIs" dxfId="8051" priority="12428" stopIfTrue="1" operator="equal">
      <formula>0</formula>
    </cfRule>
    <cfRule type="cellIs" dxfId="8050" priority="12429" stopIfTrue="1" operator="notEqual">
      <formula>0</formula>
    </cfRule>
  </conditionalFormatting>
  <conditionalFormatting sqref="GV182">
    <cfRule type="cellIs" dxfId="8049" priority="12427" stopIfTrue="1" operator="equal">
      <formula>"STOP"</formula>
    </cfRule>
  </conditionalFormatting>
  <conditionalFormatting sqref="Q183">
    <cfRule type="cellIs" dxfId="8048" priority="12421" stopIfTrue="1" operator="equal">
      <formula>"SIM"</formula>
    </cfRule>
    <cfRule type="cellIs" dxfId="8047" priority="12422" stopIfTrue="1" operator="equal">
      <formula>"NÃO"</formula>
    </cfRule>
  </conditionalFormatting>
  <conditionalFormatting sqref="BF183 CJ183 DO183">
    <cfRule type="cellIs" dxfId="8046" priority="12417" stopIfTrue="1" operator="equal">
      <formula>0</formula>
    </cfRule>
    <cfRule type="cellIs" dxfId="8045" priority="12423" stopIfTrue="1" operator="notEqual">
      <formula>0</formula>
    </cfRule>
  </conditionalFormatting>
  <conditionalFormatting sqref="C183:D183">
    <cfRule type="expression" dxfId="8044" priority="12420" stopIfTrue="1">
      <formula>IF(AND($C183&lt;&gt;"",$H183+$L183=0),TRUE)</formula>
    </cfRule>
  </conditionalFormatting>
  <conditionalFormatting sqref="P183">
    <cfRule type="cellIs" dxfId="8043" priority="12409" stopIfTrue="1" operator="equal">
      <formula>1</formula>
    </cfRule>
    <cfRule type="cellIs" dxfId="8042" priority="12418" stopIfTrue="1" operator="equal">
      <formula>2</formula>
    </cfRule>
    <cfRule type="cellIs" dxfId="8041" priority="12419" stopIfTrue="1" operator="equal">
      <formula>"X"</formula>
    </cfRule>
  </conditionalFormatting>
  <conditionalFormatting sqref="GU183">
    <cfRule type="cellIs" dxfId="8040" priority="12411" stopIfTrue="1" operator="equal">
      <formula>0</formula>
    </cfRule>
    <cfRule type="cellIs" dxfId="8039" priority="12412" stopIfTrue="1" operator="notEqual">
      <formula>0</formula>
    </cfRule>
  </conditionalFormatting>
  <conditionalFormatting sqref="GV183">
    <cfRule type="cellIs" dxfId="8038" priority="12410" stopIfTrue="1" operator="equal">
      <formula>"STOP"</formula>
    </cfRule>
  </conditionalFormatting>
  <conditionalFormatting sqref="Q184">
    <cfRule type="cellIs" dxfId="8037" priority="12404" stopIfTrue="1" operator="equal">
      <formula>"SIM"</formula>
    </cfRule>
    <cfRule type="cellIs" dxfId="8036" priority="12405" stopIfTrue="1" operator="equal">
      <formula>"NÃO"</formula>
    </cfRule>
  </conditionalFormatting>
  <conditionalFormatting sqref="BF184 CJ184 DO184">
    <cfRule type="cellIs" dxfId="8035" priority="12400" stopIfTrue="1" operator="equal">
      <formula>0</formula>
    </cfRule>
    <cfRule type="cellIs" dxfId="8034" priority="12406" stopIfTrue="1" operator="notEqual">
      <formula>0</formula>
    </cfRule>
  </conditionalFormatting>
  <conditionalFormatting sqref="C184:D184">
    <cfRule type="expression" dxfId="8033" priority="12403" stopIfTrue="1">
      <formula>IF(AND($C184&lt;&gt;"",$H184+$L184=0),TRUE)</formula>
    </cfRule>
  </conditionalFormatting>
  <conditionalFormatting sqref="P184">
    <cfRule type="cellIs" dxfId="8032" priority="12392" stopIfTrue="1" operator="equal">
      <formula>1</formula>
    </cfRule>
    <cfRule type="cellIs" dxfId="8031" priority="12401" stopIfTrue="1" operator="equal">
      <formula>2</formula>
    </cfRule>
    <cfRule type="cellIs" dxfId="8030" priority="12402" stopIfTrue="1" operator="equal">
      <formula>"X"</formula>
    </cfRule>
  </conditionalFormatting>
  <conditionalFormatting sqref="GU184">
    <cfRule type="cellIs" dxfId="8029" priority="12394" stopIfTrue="1" operator="equal">
      <formula>0</formula>
    </cfRule>
    <cfRule type="cellIs" dxfId="8028" priority="12395" stopIfTrue="1" operator="notEqual">
      <formula>0</formula>
    </cfRule>
  </conditionalFormatting>
  <conditionalFormatting sqref="GV184">
    <cfRule type="cellIs" dxfId="8027" priority="12393" stopIfTrue="1" operator="equal">
      <formula>"STOP"</formula>
    </cfRule>
  </conditionalFormatting>
  <conditionalFormatting sqref="Q185">
    <cfRule type="cellIs" dxfId="8026" priority="12387" stopIfTrue="1" operator="equal">
      <formula>"SIM"</formula>
    </cfRule>
    <cfRule type="cellIs" dxfId="8025" priority="12388" stopIfTrue="1" operator="equal">
      <formula>"NÃO"</formula>
    </cfRule>
  </conditionalFormatting>
  <conditionalFormatting sqref="BF185 CJ185 DO185">
    <cfRule type="cellIs" dxfId="8024" priority="12383" stopIfTrue="1" operator="equal">
      <formula>0</formula>
    </cfRule>
    <cfRule type="cellIs" dxfId="8023" priority="12389" stopIfTrue="1" operator="notEqual">
      <formula>0</formula>
    </cfRule>
  </conditionalFormatting>
  <conditionalFormatting sqref="C185:D185">
    <cfRule type="expression" dxfId="8022" priority="12386" stopIfTrue="1">
      <formula>IF(AND($C185&lt;&gt;"",$H185+$L185=0),TRUE)</formula>
    </cfRule>
  </conditionalFormatting>
  <conditionalFormatting sqref="P185">
    <cfRule type="cellIs" dxfId="8021" priority="12375" stopIfTrue="1" operator="equal">
      <formula>1</formula>
    </cfRule>
    <cfRule type="cellIs" dxfId="8020" priority="12384" stopIfTrue="1" operator="equal">
      <formula>2</formula>
    </cfRule>
    <cfRule type="cellIs" dxfId="8019" priority="12385" stopIfTrue="1" operator="equal">
      <formula>"X"</formula>
    </cfRule>
  </conditionalFormatting>
  <conditionalFormatting sqref="GU185">
    <cfRule type="cellIs" dxfId="8018" priority="12377" stopIfTrue="1" operator="equal">
      <formula>0</formula>
    </cfRule>
    <cfRule type="cellIs" dxfId="8017" priority="12378" stopIfTrue="1" operator="notEqual">
      <formula>0</formula>
    </cfRule>
  </conditionalFormatting>
  <conditionalFormatting sqref="GV185">
    <cfRule type="cellIs" dxfId="8016" priority="12376" stopIfTrue="1" operator="equal">
      <formula>"STOP"</formula>
    </cfRule>
  </conditionalFormatting>
  <conditionalFormatting sqref="Q186">
    <cfRule type="cellIs" dxfId="8015" priority="12370" stopIfTrue="1" operator="equal">
      <formula>"SIM"</formula>
    </cfRule>
    <cfRule type="cellIs" dxfId="8014" priority="12371" stopIfTrue="1" operator="equal">
      <formula>"NÃO"</formula>
    </cfRule>
  </conditionalFormatting>
  <conditionalFormatting sqref="BF186 CJ186 DO186">
    <cfRule type="cellIs" dxfId="8013" priority="12366" stopIfTrue="1" operator="equal">
      <formula>0</formula>
    </cfRule>
    <cfRule type="cellIs" dxfId="8012" priority="12372" stopIfTrue="1" operator="notEqual">
      <formula>0</formula>
    </cfRule>
  </conditionalFormatting>
  <conditionalFormatting sqref="C186:D186">
    <cfRule type="expression" dxfId="8011" priority="12369" stopIfTrue="1">
      <formula>IF(AND($C186&lt;&gt;"",$H186+$L186=0),TRUE)</formula>
    </cfRule>
  </conditionalFormatting>
  <conditionalFormatting sqref="P186">
    <cfRule type="cellIs" dxfId="8010" priority="12358" stopIfTrue="1" operator="equal">
      <formula>1</formula>
    </cfRule>
    <cfRule type="cellIs" dxfId="8009" priority="12367" stopIfTrue="1" operator="equal">
      <formula>2</formula>
    </cfRule>
    <cfRule type="cellIs" dxfId="8008" priority="12368" stopIfTrue="1" operator="equal">
      <formula>"X"</formula>
    </cfRule>
  </conditionalFormatting>
  <conditionalFormatting sqref="GU186">
    <cfRule type="cellIs" dxfId="8007" priority="12360" stopIfTrue="1" operator="equal">
      <formula>0</formula>
    </cfRule>
    <cfRule type="cellIs" dxfId="8006" priority="12361" stopIfTrue="1" operator="notEqual">
      <formula>0</formula>
    </cfRule>
  </conditionalFormatting>
  <conditionalFormatting sqref="GV186">
    <cfRule type="cellIs" dxfId="8005" priority="12359" stopIfTrue="1" operator="equal">
      <formula>"STOP"</formula>
    </cfRule>
  </conditionalFormatting>
  <conditionalFormatting sqref="Q187">
    <cfRule type="cellIs" dxfId="8004" priority="12353" stopIfTrue="1" operator="equal">
      <formula>"SIM"</formula>
    </cfRule>
    <cfRule type="cellIs" dxfId="8003" priority="12354" stopIfTrue="1" operator="equal">
      <formula>"NÃO"</formula>
    </cfRule>
  </conditionalFormatting>
  <conditionalFormatting sqref="BF187 CJ187 DO187">
    <cfRule type="cellIs" dxfId="8002" priority="12349" stopIfTrue="1" operator="equal">
      <formula>0</formula>
    </cfRule>
    <cfRule type="cellIs" dxfId="8001" priority="12355" stopIfTrue="1" operator="notEqual">
      <formula>0</formula>
    </cfRule>
  </conditionalFormatting>
  <conditionalFormatting sqref="C187:D187">
    <cfRule type="expression" dxfId="8000" priority="12352" stopIfTrue="1">
      <formula>IF(AND($C187&lt;&gt;"",$H187+$L187=0),TRUE)</formula>
    </cfRule>
  </conditionalFormatting>
  <conditionalFormatting sqref="P187">
    <cfRule type="cellIs" dxfId="7999" priority="12341" stopIfTrue="1" operator="equal">
      <formula>1</formula>
    </cfRule>
    <cfRule type="cellIs" dxfId="7998" priority="12350" stopIfTrue="1" operator="equal">
      <formula>2</formula>
    </cfRule>
    <cfRule type="cellIs" dxfId="7997" priority="12351" stopIfTrue="1" operator="equal">
      <formula>"X"</formula>
    </cfRule>
  </conditionalFormatting>
  <conditionalFormatting sqref="GU187">
    <cfRule type="cellIs" dxfId="7996" priority="12343" stopIfTrue="1" operator="equal">
      <formula>0</formula>
    </cfRule>
    <cfRule type="cellIs" dxfId="7995" priority="12344" stopIfTrue="1" operator="notEqual">
      <formula>0</formula>
    </cfRule>
  </conditionalFormatting>
  <conditionalFormatting sqref="GV187">
    <cfRule type="cellIs" dxfId="7994" priority="12342" stopIfTrue="1" operator="equal">
      <formula>"STOP"</formula>
    </cfRule>
  </conditionalFormatting>
  <conditionalFormatting sqref="Q188">
    <cfRule type="cellIs" dxfId="7993" priority="12336" stopIfTrue="1" operator="equal">
      <formula>"SIM"</formula>
    </cfRule>
    <cfRule type="cellIs" dxfId="7992" priority="12337" stopIfTrue="1" operator="equal">
      <formula>"NÃO"</formula>
    </cfRule>
  </conditionalFormatting>
  <conditionalFormatting sqref="BF188 CJ188 DO188">
    <cfRule type="cellIs" dxfId="7991" priority="12332" stopIfTrue="1" operator="equal">
      <formula>0</formula>
    </cfRule>
    <cfRule type="cellIs" dxfId="7990" priority="12338" stopIfTrue="1" operator="notEqual">
      <formula>0</formula>
    </cfRule>
  </conditionalFormatting>
  <conditionalFormatting sqref="C188:D188">
    <cfRule type="expression" dxfId="7989" priority="12335" stopIfTrue="1">
      <formula>IF(AND($C188&lt;&gt;"",$H188+$L188=0),TRUE)</formula>
    </cfRule>
  </conditionalFormatting>
  <conditionalFormatting sqref="P188">
    <cfRule type="cellIs" dxfId="7988" priority="12324" stopIfTrue="1" operator="equal">
      <formula>1</formula>
    </cfRule>
    <cfRule type="cellIs" dxfId="7987" priority="12333" stopIfTrue="1" operator="equal">
      <formula>2</formula>
    </cfRule>
    <cfRule type="cellIs" dxfId="7986" priority="12334" stopIfTrue="1" operator="equal">
      <formula>"X"</formula>
    </cfRule>
  </conditionalFormatting>
  <conditionalFormatting sqref="GU188">
    <cfRule type="cellIs" dxfId="7985" priority="12326" stopIfTrue="1" operator="equal">
      <formula>0</formula>
    </cfRule>
    <cfRule type="cellIs" dxfId="7984" priority="12327" stopIfTrue="1" operator="notEqual">
      <formula>0</formula>
    </cfRule>
  </conditionalFormatting>
  <conditionalFormatting sqref="GV188">
    <cfRule type="cellIs" dxfId="7983" priority="12325" stopIfTrue="1" operator="equal">
      <formula>"STOP"</formula>
    </cfRule>
  </conditionalFormatting>
  <conditionalFormatting sqref="Q189">
    <cfRule type="cellIs" dxfId="7982" priority="12319" stopIfTrue="1" operator="equal">
      <formula>"SIM"</formula>
    </cfRule>
    <cfRule type="cellIs" dxfId="7981" priority="12320" stopIfTrue="1" operator="equal">
      <formula>"NÃO"</formula>
    </cfRule>
  </conditionalFormatting>
  <conditionalFormatting sqref="BF189 CJ189 DO189">
    <cfRule type="cellIs" dxfId="7980" priority="12315" stopIfTrue="1" operator="equal">
      <formula>0</formula>
    </cfRule>
    <cfRule type="cellIs" dxfId="7979" priority="12321" stopIfTrue="1" operator="notEqual">
      <formula>0</formula>
    </cfRule>
  </conditionalFormatting>
  <conditionalFormatting sqref="C189:D189">
    <cfRule type="expression" dxfId="7978" priority="12318" stopIfTrue="1">
      <formula>IF(AND($C189&lt;&gt;"",$H189+$L189=0),TRUE)</formula>
    </cfRule>
  </conditionalFormatting>
  <conditionalFormatting sqref="P189">
    <cfRule type="cellIs" dxfId="7977" priority="12307" stopIfTrue="1" operator="equal">
      <formula>1</formula>
    </cfRule>
    <cfRule type="cellIs" dxfId="7976" priority="12316" stopIfTrue="1" operator="equal">
      <formula>2</formula>
    </cfRule>
    <cfRule type="cellIs" dxfId="7975" priority="12317" stopIfTrue="1" operator="equal">
      <formula>"X"</formula>
    </cfRule>
  </conditionalFormatting>
  <conditionalFormatting sqref="GU189">
    <cfRule type="cellIs" dxfId="7974" priority="12309" stopIfTrue="1" operator="equal">
      <formula>0</formula>
    </cfRule>
    <cfRule type="cellIs" dxfId="7973" priority="12310" stopIfTrue="1" operator="notEqual">
      <formula>0</formula>
    </cfRule>
  </conditionalFormatting>
  <conditionalFormatting sqref="GV189">
    <cfRule type="cellIs" dxfId="7972" priority="12308" stopIfTrue="1" operator="equal">
      <formula>"STOP"</formula>
    </cfRule>
  </conditionalFormatting>
  <conditionalFormatting sqref="Q190">
    <cfRule type="cellIs" dxfId="7971" priority="12302" stopIfTrue="1" operator="equal">
      <formula>"SIM"</formula>
    </cfRule>
    <cfRule type="cellIs" dxfId="7970" priority="12303" stopIfTrue="1" operator="equal">
      <formula>"NÃO"</formula>
    </cfRule>
  </conditionalFormatting>
  <conditionalFormatting sqref="BF190 CJ190 DO190">
    <cfRule type="cellIs" dxfId="7969" priority="12298" stopIfTrue="1" operator="equal">
      <formula>0</formula>
    </cfRule>
    <cfRule type="cellIs" dxfId="7968" priority="12304" stopIfTrue="1" operator="notEqual">
      <formula>0</formula>
    </cfRule>
  </conditionalFormatting>
  <conditionalFormatting sqref="C190:D190">
    <cfRule type="expression" dxfId="7967" priority="12301" stopIfTrue="1">
      <formula>IF(AND($C190&lt;&gt;"",$H190+$L190=0),TRUE)</formula>
    </cfRule>
  </conditionalFormatting>
  <conditionalFormatting sqref="P190">
    <cfRule type="cellIs" dxfId="7966" priority="12290" stopIfTrue="1" operator="equal">
      <formula>1</formula>
    </cfRule>
    <cfRule type="cellIs" dxfId="7965" priority="12299" stopIfTrue="1" operator="equal">
      <formula>2</formula>
    </cfRule>
    <cfRule type="cellIs" dxfId="7964" priority="12300" stopIfTrue="1" operator="equal">
      <formula>"X"</formula>
    </cfRule>
  </conditionalFormatting>
  <conditionalFormatting sqref="GU190">
    <cfRule type="cellIs" dxfId="7963" priority="12292" stopIfTrue="1" operator="equal">
      <formula>0</formula>
    </cfRule>
    <cfRule type="cellIs" dxfId="7962" priority="12293" stopIfTrue="1" operator="notEqual">
      <formula>0</formula>
    </cfRule>
  </conditionalFormatting>
  <conditionalFormatting sqref="GV190">
    <cfRule type="cellIs" dxfId="7961" priority="12291" stopIfTrue="1" operator="equal">
      <formula>"STOP"</formula>
    </cfRule>
  </conditionalFormatting>
  <conditionalFormatting sqref="Q174">
    <cfRule type="cellIs" dxfId="7960" priority="12285" stopIfTrue="1" operator="equal">
      <formula>"SIM"</formula>
    </cfRule>
    <cfRule type="cellIs" dxfId="7959" priority="12286" stopIfTrue="1" operator="equal">
      <formula>"NÃO"</formula>
    </cfRule>
  </conditionalFormatting>
  <conditionalFormatting sqref="BF174 CJ174 DO174">
    <cfRule type="cellIs" dxfId="7958" priority="12281" stopIfTrue="1" operator="equal">
      <formula>0</formula>
    </cfRule>
    <cfRule type="cellIs" dxfId="7957" priority="12287" stopIfTrue="1" operator="notEqual">
      <formula>0</formula>
    </cfRule>
  </conditionalFormatting>
  <conditionalFormatting sqref="C174:D174">
    <cfRule type="expression" dxfId="7956" priority="12284" stopIfTrue="1">
      <formula>IF(AND($C174&lt;&gt;"",$H174+$L174=0),TRUE)</formula>
    </cfRule>
  </conditionalFormatting>
  <conditionalFormatting sqref="P174">
    <cfRule type="cellIs" dxfId="7955" priority="12273" stopIfTrue="1" operator="equal">
      <formula>1</formula>
    </cfRule>
    <cfRule type="cellIs" dxfId="7954" priority="12282" stopIfTrue="1" operator="equal">
      <formula>2</formula>
    </cfRule>
    <cfRule type="cellIs" dxfId="7953" priority="12283" stopIfTrue="1" operator="equal">
      <formula>"X"</formula>
    </cfRule>
  </conditionalFormatting>
  <conditionalFormatting sqref="GU174">
    <cfRule type="cellIs" dxfId="7952" priority="12275" stopIfTrue="1" operator="equal">
      <formula>0</formula>
    </cfRule>
    <cfRule type="cellIs" dxfId="7951" priority="12276" stopIfTrue="1" operator="notEqual">
      <formula>0</formula>
    </cfRule>
  </conditionalFormatting>
  <conditionalFormatting sqref="GV174">
    <cfRule type="cellIs" dxfId="7950" priority="12274" stopIfTrue="1" operator="equal">
      <formula>"STOP"</formula>
    </cfRule>
  </conditionalFormatting>
  <conditionalFormatting sqref="Q176">
    <cfRule type="cellIs" dxfId="7949" priority="12251" stopIfTrue="1" operator="equal">
      <formula>"SIM"</formula>
    </cfRule>
    <cfRule type="cellIs" dxfId="7948" priority="12252" stopIfTrue="1" operator="equal">
      <formula>"NÃO"</formula>
    </cfRule>
  </conditionalFormatting>
  <conditionalFormatting sqref="BF176 CJ176 DO176">
    <cfRule type="cellIs" dxfId="7947" priority="12247" stopIfTrue="1" operator="equal">
      <formula>0</formula>
    </cfRule>
    <cfRule type="cellIs" dxfId="7946" priority="12253" stopIfTrue="1" operator="notEqual">
      <formula>0</formula>
    </cfRule>
  </conditionalFormatting>
  <conditionalFormatting sqref="C176:D176">
    <cfRule type="expression" dxfId="7945" priority="12250" stopIfTrue="1">
      <formula>IF(AND($C176&lt;&gt;"",$H176+$L176=0),TRUE)</formula>
    </cfRule>
  </conditionalFormatting>
  <conditionalFormatting sqref="P176">
    <cfRule type="cellIs" dxfId="7944" priority="12239" stopIfTrue="1" operator="equal">
      <formula>1</formula>
    </cfRule>
    <cfRule type="cellIs" dxfId="7943" priority="12248" stopIfTrue="1" operator="equal">
      <formula>2</formula>
    </cfRule>
    <cfRule type="cellIs" dxfId="7942" priority="12249" stopIfTrue="1" operator="equal">
      <formula>"X"</formula>
    </cfRule>
  </conditionalFormatting>
  <conditionalFormatting sqref="GU176">
    <cfRule type="cellIs" dxfId="7941" priority="12241" stopIfTrue="1" operator="equal">
      <formula>0</formula>
    </cfRule>
    <cfRule type="cellIs" dxfId="7940" priority="12242" stopIfTrue="1" operator="notEqual">
      <formula>0</formula>
    </cfRule>
  </conditionalFormatting>
  <conditionalFormatting sqref="GV176">
    <cfRule type="cellIs" dxfId="7939" priority="12240" stopIfTrue="1" operator="equal">
      <formula>"STOP"</formula>
    </cfRule>
  </conditionalFormatting>
  <conditionalFormatting sqref="Q175">
    <cfRule type="cellIs" dxfId="7938" priority="12268" stopIfTrue="1" operator="equal">
      <formula>"SIM"</formula>
    </cfRule>
    <cfRule type="cellIs" dxfId="7937" priority="12269" stopIfTrue="1" operator="equal">
      <formula>"NÃO"</formula>
    </cfRule>
  </conditionalFormatting>
  <conditionalFormatting sqref="BF175 CJ175 DO175">
    <cfRule type="cellIs" dxfId="7936" priority="12264" stopIfTrue="1" operator="equal">
      <formula>0</formula>
    </cfRule>
    <cfRule type="cellIs" dxfId="7935" priority="12270" stopIfTrue="1" operator="notEqual">
      <formula>0</formula>
    </cfRule>
  </conditionalFormatting>
  <conditionalFormatting sqref="C175:D175">
    <cfRule type="expression" dxfId="7934" priority="12267" stopIfTrue="1">
      <formula>IF(AND($C175&lt;&gt;"",$H175+$L175=0),TRUE)</formula>
    </cfRule>
  </conditionalFormatting>
  <conditionalFormatting sqref="P175">
    <cfRule type="cellIs" dxfId="7933" priority="12256" stopIfTrue="1" operator="equal">
      <formula>1</formula>
    </cfRule>
    <cfRule type="cellIs" dxfId="7932" priority="12265" stopIfTrue="1" operator="equal">
      <formula>2</formula>
    </cfRule>
    <cfRule type="cellIs" dxfId="7931" priority="12266" stopIfTrue="1" operator="equal">
      <formula>"X"</formula>
    </cfRule>
  </conditionalFormatting>
  <conditionalFormatting sqref="GU175">
    <cfRule type="cellIs" dxfId="7930" priority="12258" stopIfTrue="1" operator="equal">
      <formula>0</formula>
    </cfRule>
    <cfRule type="cellIs" dxfId="7929" priority="12259" stopIfTrue="1" operator="notEqual">
      <formula>0</formula>
    </cfRule>
  </conditionalFormatting>
  <conditionalFormatting sqref="GV175">
    <cfRule type="cellIs" dxfId="7928" priority="12257" stopIfTrue="1" operator="equal">
      <formula>"STOP"</formula>
    </cfRule>
  </conditionalFormatting>
  <conditionalFormatting sqref="Q174">
    <cfRule type="cellIs" dxfId="7927" priority="12234" stopIfTrue="1" operator="equal">
      <formula>"SIM"</formula>
    </cfRule>
    <cfRule type="cellIs" dxfId="7926" priority="12235" stopIfTrue="1" operator="equal">
      <formula>"NÃO"</formula>
    </cfRule>
  </conditionalFormatting>
  <conditionalFormatting sqref="BF174 CJ174 DO174">
    <cfRule type="cellIs" dxfId="7925" priority="12230" stopIfTrue="1" operator="equal">
      <formula>0</formula>
    </cfRule>
    <cfRule type="cellIs" dxfId="7924" priority="12236" stopIfTrue="1" operator="notEqual">
      <formula>0</formula>
    </cfRule>
  </conditionalFormatting>
  <conditionalFormatting sqref="C174:D174">
    <cfRule type="expression" dxfId="7923" priority="12233" stopIfTrue="1">
      <formula>IF(AND($C174&lt;&gt;"",$H174+$L174=0),TRUE)</formula>
    </cfRule>
  </conditionalFormatting>
  <conditionalFormatting sqref="P174">
    <cfRule type="cellIs" dxfId="7922" priority="12222" stopIfTrue="1" operator="equal">
      <formula>1</formula>
    </cfRule>
    <cfRule type="cellIs" dxfId="7921" priority="12231" stopIfTrue="1" operator="equal">
      <formula>2</formula>
    </cfRule>
    <cfRule type="cellIs" dxfId="7920" priority="12232" stopIfTrue="1" operator="equal">
      <formula>"X"</formula>
    </cfRule>
  </conditionalFormatting>
  <conditionalFormatting sqref="GU174">
    <cfRule type="cellIs" dxfId="7919" priority="12224" stopIfTrue="1" operator="equal">
      <formula>0</formula>
    </cfRule>
    <cfRule type="cellIs" dxfId="7918" priority="12225" stopIfTrue="1" operator="notEqual">
      <formula>0</formula>
    </cfRule>
  </conditionalFormatting>
  <conditionalFormatting sqref="GV174">
    <cfRule type="cellIs" dxfId="7917" priority="12223" stopIfTrue="1" operator="equal">
      <formula>"STOP"</formula>
    </cfRule>
  </conditionalFormatting>
  <conditionalFormatting sqref="Q175">
    <cfRule type="cellIs" dxfId="7916" priority="12217" stopIfTrue="1" operator="equal">
      <formula>"SIM"</formula>
    </cfRule>
    <cfRule type="cellIs" dxfId="7915" priority="12218" stopIfTrue="1" operator="equal">
      <formula>"NÃO"</formula>
    </cfRule>
  </conditionalFormatting>
  <conditionalFormatting sqref="BF175 CJ175 DO175">
    <cfRule type="cellIs" dxfId="7914" priority="12213" stopIfTrue="1" operator="equal">
      <formula>0</formula>
    </cfRule>
    <cfRule type="cellIs" dxfId="7913" priority="12219" stopIfTrue="1" operator="notEqual">
      <formula>0</formula>
    </cfRule>
  </conditionalFormatting>
  <conditionalFormatting sqref="C175:D175">
    <cfRule type="expression" dxfId="7912" priority="12216" stopIfTrue="1">
      <formula>IF(AND($C175&lt;&gt;"",$H175+$L175=0),TRUE)</formula>
    </cfRule>
  </conditionalFormatting>
  <conditionalFormatting sqref="P175">
    <cfRule type="cellIs" dxfId="7911" priority="12205" stopIfTrue="1" operator="equal">
      <formula>1</formula>
    </cfRule>
    <cfRule type="cellIs" dxfId="7910" priority="12214" stopIfTrue="1" operator="equal">
      <formula>2</formula>
    </cfRule>
    <cfRule type="cellIs" dxfId="7909" priority="12215" stopIfTrue="1" operator="equal">
      <formula>"X"</formula>
    </cfRule>
  </conditionalFormatting>
  <conditionalFormatting sqref="GU175">
    <cfRule type="cellIs" dxfId="7908" priority="12207" stopIfTrue="1" operator="equal">
      <formula>0</formula>
    </cfRule>
    <cfRule type="cellIs" dxfId="7907" priority="12208" stopIfTrue="1" operator="notEqual">
      <formula>0</formula>
    </cfRule>
  </conditionalFormatting>
  <conditionalFormatting sqref="GV175">
    <cfRule type="cellIs" dxfId="7906" priority="12206" stopIfTrue="1" operator="equal">
      <formula>"STOP"</formula>
    </cfRule>
  </conditionalFormatting>
  <conditionalFormatting sqref="Q176">
    <cfRule type="cellIs" dxfId="7905" priority="12200" stopIfTrue="1" operator="equal">
      <formula>"SIM"</formula>
    </cfRule>
    <cfRule type="cellIs" dxfId="7904" priority="12201" stopIfTrue="1" operator="equal">
      <formula>"NÃO"</formula>
    </cfRule>
  </conditionalFormatting>
  <conditionalFormatting sqref="BF176 CJ176 DO176">
    <cfRule type="cellIs" dxfId="7903" priority="12196" stopIfTrue="1" operator="equal">
      <formula>0</formula>
    </cfRule>
    <cfRule type="cellIs" dxfId="7902" priority="12202" stopIfTrue="1" operator="notEqual">
      <formula>0</formula>
    </cfRule>
  </conditionalFormatting>
  <conditionalFormatting sqref="C176:D176">
    <cfRule type="expression" dxfId="7901" priority="12199" stopIfTrue="1">
      <formula>IF(AND($C176&lt;&gt;"",$H176+$L176=0),TRUE)</formula>
    </cfRule>
  </conditionalFormatting>
  <conditionalFormatting sqref="P176">
    <cfRule type="cellIs" dxfId="7900" priority="12188" stopIfTrue="1" operator="equal">
      <formula>1</formula>
    </cfRule>
    <cfRule type="cellIs" dxfId="7899" priority="12197" stopIfTrue="1" operator="equal">
      <formula>2</formula>
    </cfRule>
    <cfRule type="cellIs" dxfId="7898" priority="12198" stopIfTrue="1" operator="equal">
      <formula>"X"</formula>
    </cfRule>
  </conditionalFormatting>
  <conditionalFormatting sqref="GU176">
    <cfRule type="cellIs" dxfId="7897" priority="12190" stopIfTrue="1" operator="equal">
      <formula>0</formula>
    </cfRule>
    <cfRule type="cellIs" dxfId="7896" priority="12191" stopIfTrue="1" operator="notEqual">
      <formula>0</formula>
    </cfRule>
  </conditionalFormatting>
  <conditionalFormatting sqref="GV176">
    <cfRule type="cellIs" dxfId="7895" priority="12189" stopIfTrue="1" operator="equal">
      <formula>"STOP"</formula>
    </cfRule>
  </conditionalFormatting>
  <conditionalFormatting sqref="Q182">
    <cfRule type="cellIs" dxfId="7894" priority="9361" stopIfTrue="1" operator="equal">
      <formula>"SIM"</formula>
    </cfRule>
    <cfRule type="cellIs" dxfId="7893" priority="9362" stopIfTrue="1" operator="equal">
      <formula>"NÃO"</formula>
    </cfRule>
  </conditionalFormatting>
  <conditionalFormatting sqref="BF182 CJ182 DO182">
    <cfRule type="cellIs" dxfId="7892" priority="9357" stopIfTrue="1" operator="equal">
      <formula>0</formula>
    </cfRule>
    <cfRule type="cellIs" dxfId="7891" priority="9363" stopIfTrue="1" operator="notEqual">
      <formula>0</formula>
    </cfRule>
  </conditionalFormatting>
  <conditionalFormatting sqref="C182:D182">
    <cfRule type="expression" dxfId="7890" priority="9360" stopIfTrue="1">
      <formula>IF(AND($C182&lt;&gt;"",$H182+$L182=0),TRUE)</formula>
    </cfRule>
  </conditionalFormatting>
  <conditionalFormatting sqref="P182">
    <cfRule type="cellIs" dxfId="7889" priority="9349" stopIfTrue="1" operator="equal">
      <formula>1</formula>
    </cfRule>
    <cfRule type="cellIs" dxfId="7888" priority="9358" stopIfTrue="1" operator="equal">
      <formula>2</formula>
    </cfRule>
    <cfRule type="cellIs" dxfId="7887" priority="9359" stopIfTrue="1" operator="equal">
      <formula>"X"</formula>
    </cfRule>
  </conditionalFormatting>
  <conditionalFormatting sqref="GU182">
    <cfRule type="cellIs" dxfId="7886" priority="9351" stopIfTrue="1" operator="equal">
      <formula>0</formula>
    </cfRule>
    <cfRule type="cellIs" dxfId="7885" priority="9352" stopIfTrue="1" operator="notEqual">
      <formula>0</formula>
    </cfRule>
  </conditionalFormatting>
  <conditionalFormatting sqref="GV182">
    <cfRule type="cellIs" dxfId="7884" priority="9350" stopIfTrue="1" operator="equal">
      <formula>"STOP"</formula>
    </cfRule>
  </conditionalFormatting>
  <conditionalFormatting sqref="Q175">
    <cfRule type="cellIs" dxfId="7883" priority="12183" stopIfTrue="1" operator="equal">
      <formula>"SIM"</formula>
    </cfRule>
    <cfRule type="cellIs" dxfId="7882" priority="12184" stopIfTrue="1" operator="equal">
      <formula>"NÃO"</formula>
    </cfRule>
  </conditionalFormatting>
  <conditionalFormatting sqref="BF175 CJ175 DO175">
    <cfRule type="cellIs" dxfId="7881" priority="12179" stopIfTrue="1" operator="equal">
      <formula>0</formula>
    </cfRule>
    <cfRule type="cellIs" dxfId="7880" priority="12185" stopIfTrue="1" operator="notEqual">
      <formula>0</formula>
    </cfRule>
  </conditionalFormatting>
  <conditionalFormatting sqref="C175:D175">
    <cfRule type="expression" dxfId="7879" priority="12182" stopIfTrue="1">
      <formula>IF(AND($C175&lt;&gt;"",$H175+$L175=0),TRUE)</formula>
    </cfRule>
  </conditionalFormatting>
  <conditionalFormatting sqref="P175">
    <cfRule type="cellIs" dxfId="7878" priority="12171" stopIfTrue="1" operator="equal">
      <formula>1</formula>
    </cfRule>
    <cfRule type="cellIs" dxfId="7877" priority="12180" stopIfTrue="1" operator="equal">
      <formula>2</formula>
    </cfRule>
    <cfRule type="cellIs" dxfId="7876" priority="12181" stopIfTrue="1" operator="equal">
      <formula>"X"</formula>
    </cfRule>
  </conditionalFormatting>
  <conditionalFormatting sqref="GU175">
    <cfRule type="cellIs" dxfId="7875" priority="12173" stopIfTrue="1" operator="equal">
      <formula>0</formula>
    </cfRule>
    <cfRule type="cellIs" dxfId="7874" priority="12174" stopIfTrue="1" operator="notEqual">
      <formula>0</formula>
    </cfRule>
  </conditionalFormatting>
  <conditionalFormatting sqref="GV175">
    <cfRule type="cellIs" dxfId="7873" priority="12172" stopIfTrue="1" operator="equal">
      <formula>"STOP"</formula>
    </cfRule>
  </conditionalFormatting>
  <conditionalFormatting sqref="Q176">
    <cfRule type="cellIs" dxfId="7872" priority="12166" stopIfTrue="1" operator="equal">
      <formula>"SIM"</formula>
    </cfRule>
    <cfRule type="cellIs" dxfId="7871" priority="12167" stopIfTrue="1" operator="equal">
      <formula>"NÃO"</formula>
    </cfRule>
  </conditionalFormatting>
  <conditionalFormatting sqref="BF176 CJ176 DO176">
    <cfRule type="cellIs" dxfId="7870" priority="12162" stopIfTrue="1" operator="equal">
      <formula>0</formula>
    </cfRule>
    <cfRule type="cellIs" dxfId="7869" priority="12168" stopIfTrue="1" operator="notEqual">
      <formula>0</formula>
    </cfRule>
  </conditionalFormatting>
  <conditionalFormatting sqref="C176:D176">
    <cfRule type="expression" dxfId="7868" priority="12165" stopIfTrue="1">
      <formula>IF(AND($C176&lt;&gt;"",$H176+$L176=0),TRUE)</formula>
    </cfRule>
  </conditionalFormatting>
  <conditionalFormatting sqref="P176">
    <cfRule type="cellIs" dxfId="7867" priority="12154" stopIfTrue="1" operator="equal">
      <formula>1</formula>
    </cfRule>
    <cfRule type="cellIs" dxfId="7866" priority="12163" stopIfTrue="1" operator="equal">
      <formula>2</formula>
    </cfRule>
    <cfRule type="cellIs" dxfId="7865" priority="12164" stopIfTrue="1" operator="equal">
      <formula>"X"</formula>
    </cfRule>
  </conditionalFormatting>
  <conditionalFormatting sqref="GU176">
    <cfRule type="cellIs" dxfId="7864" priority="12156" stopIfTrue="1" operator="equal">
      <formula>0</formula>
    </cfRule>
    <cfRule type="cellIs" dxfId="7863" priority="12157" stopIfTrue="1" operator="notEqual">
      <formula>0</formula>
    </cfRule>
  </conditionalFormatting>
  <conditionalFormatting sqref="GV176">
    <cfRule type="cellIs" dxfId="7862" priority="12155" stopIfTrue="1" operator="equal">
      <formula>"STOP"</formula>
    </cfRule>
  </conditionalFormatting>
  <conditionalFormatting sqref="Q182">
    <cfRule type="cellIs" dxfId="7861" priority="9310" stopIfTrue="1" operator="equal">
      <formula>"SIM"</formula>
    </cfRule>
    <cfRule type="cellIs" dxfId="7860" priority="9311" stopIfTrue="1" operator="equal">
      <formula>"NÃO"</formula>
    </cfRule>
  </conditionalFormatting>
  <conditionalFormatting sqref="BF182 CJ182 DO182">
    <cfRule type="cellIs" dxfId="7859" priority="9306" stopIfTrue="1" operator="equal">
      <formula>0</formula>
    </cfRule>
    <cfRule type="cellIs" dxfId="7858" priority="9312" stopIfTrue="1" operator="notEqual">
      <formula>0</formula>
    </cfRule>
  </conditionalFormatting>
  <conditionalFormatting sqref="C182:D182">
    <cfRule type="expression" dxfId="7857" priority="9309" stopIfTrue="1">
      <formula>IF(AND($C182&lt;&gt;"",$H182+$L182=0),TRUE)</formula>
    </cfRule>
  </conditionalFormatting>
  <conditionalFormatting sqref="P182">
    <cfRule type="cellIs" dxfId="7856" priority="9298" stopIfTrue="1" operator="equal">
      <formula>1</formula>
    </cfRule>
    <cfRule type="cellIs" dxfId="7855" priority="9307" stopIfTrue="1" operator="equal">
      <formula>2</formula>
    </cfRule>
    <cfRule type="cellIs" dxfId="7854" priority="9308" stopIfTrue="1" operator="equal">
      <formula>"X"</formula>
    </cfRule>
  </conditionalFormatting>
  <conditionalFormatting sqref="GU182">
    <cfRule type="cellIs" dxfId="7853" priority="9300" stopIfTrue="1" operator="equal">
      <formula>0</formula>
    </cfRule>
    <cfRule type="cellIs" dxfId="7852" priority="9301" stopIfTrue="1" operator="notEqual">
      <formula>0</formula>
    </cfRule>
  </conditionalFormatting>
  <conditionalFormatting sqref="GV182">
    <cfRule type="cellIs" dxfId="7851" priority="9299" stopIfTrue="1" operator="equal">
      <formula>"STOP"</formula>
    </cfRule>
  </conditionalFormatting>
  <conditionalFormatting sqref="Q174">
    <cfRule type="cellIs" dxfId="7850" priority="12149" stopIfTrue="1" operator="equal">
      <formula>"SIM"</formula>
    </cfRule>
    <cfRule type="cellIs" dxfId="7849" priority="12150" stopIfTrue="1" operator="equal">
      <formula>"NÃO"</formula>
    </cfRule>
  </conditionalFormatting>
  <conditionalFormatting sqref="BF174 CJ174 DO174">
    <cfRule type="cellIs" dxfId="7848" priority="12145" stopIfTrue="1" operator="equal">
      <formula>0</formula>
    </cfRule>
    <cfRule type="cellIs" dxfId="7847" priority="12151" stopIfTrue="1" operator="notEqual">
      <formula>0</formula>
    </cfRule>
  </conditionalFormatting>
  <conditionalFormatting sqref="C174:D174">
    <cfRule type="expression" dxfId="7846" priority="12148" stopIfTrue="1">
      <formula>IF(AND($C174&lt;&gt;"",$H174+$L174=0),TRUE)</formula>
    </cfRule>
  </conditionalFormatting>
  <conditionalFormatting sqref="P174">
    <cfRule type="cellIs" dxfId="7845" priority="12137" stopIfTrue="1" operator="equal">
      <formula>1</formula>
    </cfRule>
    <cfRule type="cellIs" dxfId="7844" priority="12146" stopIfTrue="1" operator="equal">
      <formula>2</formula>
    </cfRule>
    <cfRule type="cellIs" dxfId="7843" priority="12147" stopIfTrue="1" operator="equal">
      <formula>"X"</formula>
    </cfRule>
  </conditionalFormatting>
  <conditionalFormatting sqref="GU174">
    <cfRule type="cellIs" dxfId="7842" priority="12139" stopIfTrue="1" operator="equal">
      <formula>0</formula>
    </cfRule>
    <cfRule type="cellIs" dxfId="7841" priority="12140" stopIfTrue="1" operator="notEqual">
      <formula>0</formula>
    </cfRule>
  </conditionalFormatting>
  <conditionalFormatting sqref="GV174">
    <cfRule type="cellIs" dxfId="7840" priority="12138" stopIfTrue="1" operator="equal">
      <formula>"STOP"</formula>
    </cfRule>
  </conditionalFormatting>
  <conditionalFormatting sqref="Q175">
    <cfRule type="cellIs" dxfId="7839" priority="12132" stopIfTrue="1" operator="equal">
      <formula>"SIM"</formula>
    </cfRule>
    <cfRule type="cellIs" dxfId="7838" priority="12133" stopIfTrue="1" operator="equal">
      <formula>"NÃO"</formula>
    </cfRule>
  </conditionalFormatting>
  <conditionalFormatting sqref="BF175 CJ175 DO175">
    <cfRule type="cellIs" dxfId="7837" priority="12128" stopIfTrue="1" operator="equal">
      <formula>0</formula>
    </cfRule>
    <cfRule type="cellIs" dxfId="7836" priority="12134" stopIfTrue="1" operator="notEqual">
      <formula>0</formula>
    </cfRule>
  </conditionalFormatting>
  <conditionalFormatting sqref="C175:D175">
    <cfRule type="expression" dxfId="7835" priority="12131" stopIfTrue="1">
      <formula>IF(AND($C175&lt;&gt;"",$H175+$L175=0),TRUE)</formula>
    </cfRule>
  </conditionalFormatting>
  <conditionalFormatting sqref="P175">
    <cfRule type="cellIs" dxfId="7834" priority="12120" stopIfTrue="1" operator="equal">
      <formula>1</formula>
    </cfRule>
    <cfRule type="cellIs" dxfId="7833" priority="12129" stopIfTrue="1" operator="equal">
      <formula>2</formula>
    </cfRule>
    <cfRule type="cellIs" dxfId="7832" priority="12130" stopIfTrue="1" operator="equal">
      <formula>"X"</formula>
    </cfRule>
  </conditionalFormatting>
  <conditionalFormatting sqref="GU175">
    <cfRule type="cellIs" dxfId="7831" priority="12122" stopIfTrue="1" operator="equal">
      <formula>0</formula>
    </cfRule>
    <cfRule type="cellIs" dxfId="7830" priority="12123" stopIfTrue="1" operator="notEqual">
      <formula>0</formula>
    </cfRule>
  </conditionalFormatting>
  <conditionalFormatting sqref="GV175">
    <cfRule type="cellIs" dxfId="7829" priority="12121" stopIfTrue="1" operator="equal">
      <formula>"STOP"</formula>
    </cfRule>
  </conditionalFormatting>
  <conditionalFormatting sqref="Q176">
    <cfRule type="cellIs" dxfId="7828" priority="12115" stopIfTrue="1" operator="equal">
      <formula>"SIM"</formula>
    </cfRule>
    <cfRule type="cellIs" dxfId="7827" priority="12116" stopIfTrue="1" operator="equal">
      <formula>"NÃO"</formula>
    </cfRule>
  </conditionalFormatting>
  <conditionalFormatting sqref="BF176 CJ176 DO176">
    <cfRule type="cellIs" dxfId="7826" priority="12111" stopIfTrue="1" operator="equal">
      <formula>0</formula>
    </cfRule>
    <cfRule type="cellIs" dxfId="7825" priority="12117" stopIfTrue="1" operator="notEqual">
      <formula>0</formula>
    </cfRule>
  </conditionalFormatting>
  <conditionalFormatting sqref="C176:D176">
    <cfRule type="expression" dxfId="7824" priority="12114" stopIfTrue="1">
      <formula>IF(AND($C176&lt;&gt;"",$H176+$L176=0),TRUE)</formula>
    </cfRule>
  </conditionalFormatting>
  <conditionalFormatting sqref="P176">
    <cfRule type="cellIs" dxfId="7823" priority="12103" stopIfTrue="1" operator="equal">
      <formula>1</formula>
    </cfRule>
    <cfRule type="cellIs" dxfId="7822" priority="12112" stopIfTrue="1" operator="equal">
      <formula>2</formula>
    </cfRule>
    <cfRule type="cellIs" dxfId="7821" priority="12113" stopIfTrue="1" operator="equal">
      <formula>"X"</formula>
    </cfRule>
  </conditionalFormatting>
  <conditionalFormatting sqref="GU176">
    <cfRule type="cellIs" dxfId="7820" priority="12105" stopIfTrue="1" operator="equal">
      <formula>0</formula>
    </cfRule>
    <cfRule type="cellIs" dxfId="7819" priority="12106" stopIfTrue="1" operator="notEqual">
      <formula>0</formula>
    </cfRule>
  </conditionalFormatting>
  <conditionalFormatting sqref="GV176">
    <cfRule type="cellIs" dxfId="7818" priority="12104" stopIfTrue="1" operator="equal">
      <formula>"STOP"</formula>
    </cfRule>
  </conditionalFormatting>
  <conditionalFormatting sqref="Q182">
    <cfRule type="cellIs" dxfId="7817" priority="9242" stopIfTrue="1" operator="equal">
      <formula>"SIM"</formula>
    </cfRule>
    <cfRule type="cellIs" dxfId="7816" priority="9243" stopIfTrue="1" operator="equal">
      <formula>"NÃO"</formula>
    </cfRule>
  </conditionalFormatting>
  <conditionalFormatting sqref="BF182 CJ182 DO182">
    <cfRule type="cellIs" dxfId="7815" priority="9238" stopIfTrue="1" operator="equal">
      <formula>0</formula>
    </cfRule>
    <cfRule type="cellIs" dxfId="7814" priority="9244" stopIfTrue="1" operator="notEqual">
      <formula>0</formula>
    </cfRule>
  </conditionalFormatting>
  <conditionalFormatting sqref="C182:D182">
    <cfRule type="expression" dxfId="7813" priority="9241" stopIfTrue="1">
      <formula>IF(AND($C182&lt;&gt;"",$H182+$L182=0),TRUE)</formula>
    </cfRule>
  </conditionalFormatting>
  <conditionalFormatting sqref="P182">
    <cfRule type="cellIs" dxfId="7812" priority="9230" stopIfTrue="1" operator="equal">
      <formula>1</formula>
    </cfRule>
    <cfRule type="cellIs" dxfId="7811" priority="9239" stopIfTrue="1" operator="equal">
      <formula>2</formula>
    </cfRule>
    <cfRule type="cellIs" dxfId="7810" priority="9240" stopIfTrue="1" operator="equal">
      <formula>"X"</formula>
    </cfRule>
  </conditionalFormatting>
  <conditionalFormatting sqref="GU182">
    <cfRule type="cellIs" dxfId="7809" priority="9232" stopIfTrue="1" operator="equal">
      <formula>0</formula>
    </cfRule>
    <cfRule type="cellIs" dxfId="7808" priority="9233" stopIfTrue="1" operator="notEqual">
      <formula>0</formula>
    </cfRule>
  </conditionalFormatting>
  <conditionalFormatting sqref="GV182">
    <cfRule type="cellIs" dxfId="7807" priority="9231" stopIfTrue="1" operator="equal">
      <formula>"STOP"</formula>
    </cfRule>
  </conditionalFormatting>
  <conditionalFormatting sqref="Q183">
    <cfRule type="cellIs" dxfId="7806" priority="9225" stopIfTrue="1" operator="equal">
      <formula>"SIM"</formula>
    </cfRule>
    <cfRule type="cellIs" dxfId="7805" priority="9226" stopIfTrue="1" operator="equal">
      <formula>"NÃO"</formula>
    </cfRule>
  </conditionalFormatting>
  <conditionalFormatting sqref="BF183 CJ183 DO183">
    <cfRule type="cellIs" dxfId="7804" priority="9221" stopIfTrue="1" operator="equal">
      <formula>0</formula>
    </cfRule>
    <cfRule type="cellIs" dxfId="7803" priority="9227" stopIfTrue="1" operator="notEqual">
      <formula>0</formula>
    </cfRule>
  </conditionalFormatting>
  <conditionalFormatting sqref="C183:D183">
    <cfRule type="expression" dxfId="7802" priority="9224" stopIfTrue="1">
      <formula>IF(AND($C183&lt;&gt;"",$H183+$L183=0),TRUE)</formula>
    </cfRule>
  </conditionalFormatting>
  <conditionalFormatting sqref="P183">
    <cfRule type="cellIs" dxfId="7801" priority="9213" stopIfTrue="1" operator="equal">
      <formula>1</formula>
    </cfRule>
    <cfRule type="cellIs" dxfId="7800" priority="9222" stopIfTrue="1" operator="equal">
      <formula>2</formula>
    </cfRule>
    <cfRule type="cellIs" dxfId="7799" priority="9223" stopIfTrue="1" operator="equal">
      <formula>"X"</formula>
    </cfRule>
  </conditionalFormatting>
  <conditionalFormatting sqref="GU183">
    <cfRule type="cellIs" dxfId="7798" priority="9215" stopIfTrue="1" operator="equal">
      <formula>0</formula>
    </cfRule>
    <cfRule type="cellIs" dxfId="7797" priority="9216" stopIfTrue="1" operator="notEqual">
      <formula>0</formula>
    </cfRule>
  </conditionalFormatting>
  <conditionalFormatting sqref="GV183">
    <cfRule type="cellIs" dxfId="7796" priority="9214" stopIfTrue="1" operator="equal">
      <formula>"STOP"</formula>
    </cfRule>
  </conditionalFormatting>
  <conditionalFormatting sqref="Q179">
    <cfRule type="cellIs" dxfId="7795" priority="12098" stopIfTrue="1" operator="equal">
      <formula>"SIM"</formula>
    </cfRule>
    <cfRule type="cellIs" dxfId="7794" priority="12099" stopIfTrue="1" operator="equal">
      <formula>"NÃO"</formula>
    </cfRule>
  </conditionalFormatting>
  <conditionalFormatting sqref="BF179 CJ179 DO179">
    <cfRule type="cellIs" dxfId="7793" priority="12094" stopIfTrue="1" operator="equal">
      <formula>0</formula>
    </cfRule>
    <cfRule type="cellIs" dxfId="7792" priority="12100" stopIfTrue="1" operator="notEqual">
      <formula>0</formula>
    </cfRule>
  </conditionalFormatting>
  <conditionalFormatting sqref="C179:D179">
    <cfRule type="expression" dxfId="7791" priority="12097" stopIfTrue="1">
      <formula>IF(AND($C179&lt;&gt;"",$H179+$L179=0),TRUE)</formula>
    </cfRule>
  </conditionalFormatting>
  <conditionalFormatting sqref="P179">
    <cfRule type="cellIs" dxfId="7790" priority="12086" stopIfTrue="1" operator="equal">
      <formula>1</formula>
    </cfRule>
    <cfRule type="cellIs" dxfId="7789" priority="12095" stopIfTrue="1" operator="equal">
      <formula>2</formula>
    </cfRule>
    <cfRule type="cellIs" dxfId="7788" priority="12096" stopIfTrue="1" operator="equal">
      <formula>"X"</formula>
    </cfRule>
  </conditionalFormatting>
  <conditionalFormatting sqref="GU179">
    <cfRule type="cellIs" dxfId="7787" priority="12088" stopIfTrue="1" operator="equal">
      <formula>0</formula>
    </cfRule>
    <cfRule type="cellIs" dxfId="7786" priority="12089" stopIfTrue="1" operator="notEqual">
      <formula>0</formula>
    </cfRule>
  </conditionalFormatting>
  <conditionalFormatting sqref="GV179">
    <cfRule type="cellIs" dxfId="7785" priority="12087" stopIfTrue="1" operator="equal">
      <formula>"STOP"</formula>
    </cfRule>
  </conditionalFormatting>
  <conditionalFormatting sqref="Q175">
    <cfRule type="cellIs" dxfId="7784" priority="12081" stopIfTrue="1" operator="equal">
      <formula>"SIM"</formula>
    </cfRule>
    <cfRule type="cellIs" dxfId="7783" priority="12082" stopIfTrue="1" operator="equal">
      <formula>"NÃO"</formula>
    </cfRule>
  </conditionalFormatting>
  <conditionalFormatting sqref="BF175 CJ175 DO175">
    <cfRule type="cellIs" dxfId="7782" priority="12077" stopIfTrue="1" operator="equal">
      <formula>0</formula>
    </cfRule>
    <cfRule type="cellIs" dxfId="7781" priority="12083" stopIfTrue="1" operator="notEqual">
      <formula>0</formula>
    </cfRule>
  </conditionalFormatting>
  <conditionalFormatting sqref="C175:D175">
    <cfRule type="expression" dxfId="7780" priority="12080" stopIfTrue="1">
      <formula>IF(AND($C175&lt;&gt;"",$H175+$L175=0),TRUE)</formula>
    </cfRule>
  </conditionalFormatting>
  <conditionalFormatting sqref="P175">
    <cfRule type="cellIs" dxfId="7779" priority="12069" stopIfTrue="1" operator="equal">
      <formula>1</formula>
    </cfRule>
    <cfRule type="cellIs" dxfId="7778" priority="12078" stopIfTrue="1" operator="equal">
      <formula>2</formula>
    </cfRule>
    <cfRule type="cellIs" dxfId="7777" priority="12079" stopIfTrue="1" operator="equal">
      <formula>"X"</formula>
    </cfRule>
  </conditionalFormatting>
  <conditionalFormatting sqref="GU175">
    <cfRule type="cellIs" dxfId="7776" priority="12071" stopIfTrue="1" operator="equal">
      <formula>0</formula>
    </cfRule>
    <cfRule type="cellIs" dxfId="7775" priority="12072" stopIfTrue="1" operator="notEqual">
      <formula>0</formula>
    </cfRule>
  </conditionalFormatting>
  <conditionalFormatting sqref="GV175">
    <cfRule type="cellIs" dxfId="7774" priority="12070" stopIfTrue="1" operator="equal">
      <formula>"STOP"</formula>
    </cfRule>
  </conditionalFormatting>
  <conditionalFormatting sqref="Q176">
    <cfRule type="cellIs" dxfId="7773" priority="12064" stopIfTrue="1" operator="equal">
      <formula>"SIM"</formula>
    </cfRule>
    <cfRule type="cellIs" dxfId="7772" priority="12065" stopIfTrue="1" operator="equal">
      <formula>"NÃO"</formula>
    </cfRule>
  </conditionalFormatting>
  <conditionalFormatting sqref="BF176 CJ176 DO176">
    <cfRule type="cellIs" dxfId="7771" priority="12060" stopIfTrue="1" operator="equal">
      <formula>0</formula>
    </cfRule>
    <cfRule type="cellIs" dxfId="7770" priority="12066" stopIfTrue="1" operator="notEqual">
      <formula>0</formula>
    </cfRule>
  </conditionalFormatting>
  <conditionalFormatting sqref="C176:D176">
    <cfRule type="expression" dxfId="7769" priority="12063" stopIfTrue="1">
      <formula>IF(AND($C176&lt;&gt;"",$H176+$L176=0),TRUE)</formula>
    </cfRule>
  </conditionalFormatting>
  <conditionalFormatting sqref="P176">
    <cfRule type="cellIs" dxfId="7768" priority="12052" stopIfTrue="1" operator="equal">
      <formula>1</formula>
    </cfRule>
    <cfRule type="cellIs" dxfId="7767" priority="12061" stopIfTrue="1" operator="equal">
      <formula>2</formula>
    </cfRule>
    <cfRule type="cellIs" dxfId="7766" priority="12062" stopIfTrue="1" operator="equal">
      <formula>"X"</formula>
    </cfRule>
  </conditionalFormatting>
  <conditionalFormatting sqref="GU176">
    <cfRule type="cellIs" dxfId="7765" priority="12054" stopIfTrue="1" operator="equal">
      <formula>0</formula>
    </cfRule>
    <cfRule type="cellIs" dxfId="7764" priority="12055" stopIfTrue="1" operator="notEqual">
      <formula>0</formula>
    </cfRule>
  </conditionalFormatting>
  <conditionalFormatting sqref="GV176">
    <cfRule type="cellIs" dxfId="7763" priority="12053" stopIfTrue="1" operator="equal">
      <formula>"STOP"</formula>
    </cfRule>
  </conditionalFormatting>
  <conditionalFormatting sqref="Q182">
    <cfRule type="cellIs" dxfId="7762" priority="9157" stopIfTrue="1" operator="equal">
      <formula>"SIM"</formula>
    </cfRule>
    <cfRule type="cellIs" dxfId="7761" priority="9158" stopIfTrue="1" operator="equal">
      <formula>"NÃO"</formula>
    </cfRule>
  </conditionalFormatting>
  <conditionalFormatting sqref="BF182 CJ182 DO182">
    <cfRule type="cellIs" dxfId="7760" priority="9153" stopIfTrue="1" operator="equal">
      <formula>0</formula>
    </cfRule>
    <cfRule type="cellIs" dxfId="7759" priority="9159" stopIfTrue="1" operator="notEqual">
      <formula>0</formula>
    </cfRule>
  </conditionalFormatting>
  <conditionalFormatting sqref="C182:D182">
    <cfRule type="expression" dxfId="7758" priority="9156" stopIfTrue="1">
      <formula>IF(AND($C182&lt;&gt;"",$H182+$L182=0),TRUE)</formula>
    </cfRule>
  </conditionalFormatting>
  <conditionalFormatting sqref="P182">
    <cfRule type="cellIs" dxfId="7757" priority="9145" stopIfTrue="1" operator="equal">
      <formula>1</formula>
    </cfRule>
    <cfRule type="cellIs" dxfId="7756" priority="9154" stopIfTrue="1" operator="equal">
      <formula>2</formula>
    </cfRule>
    <cfRule type="cellIs" dxfId="7755" priority="9155" stopIfTrue="1" operator="equal">
      <formula>"X"</formula>
    </cfRule>
  </conditionalFormatting>
  <conditionalFormatting sqref="GU182">
    <cfRule type="cellIs" dxfId="7754" priority="9147" stopIfTrue="1" operator="equal">
      <formula>0</formula>
    </cfRule>
    <cfRule type="cellIs" dxfId="7753" priority="9148" stopIfTrue="1" operator="notEqual">
      <formula>0</formula>
    </cfRule>
  </conditionalFormatting>
  <conditionalFormatting sqref="GV182">
    <cfRule type="cellIs" dxfId="7752" priority="9146" stopIfTrue="1" operator="equal">
      <formula>"STOP"</formula>
    </cfRule>
  </conditionalFormatting>
  <conditionalFormatting sqref="Q175">
    <cfRule type="cellIs" dxfId="7751" priority="12047" stopIfTrue="1" operator="equal">
      <formula>"SIM"</formula>
    </cfRule>
    <cfRule type="cellIs" dxfId="7750" priority="12048" stopIfTrue="1" operator="equal">
      <formula>"NÃO"</formula>
    </cfRule>
  </conditionalFormatting>
  <conditionalFormatting sqref="BF175 CJ175 DO175">
    <cfRule type="cellIs" dxfId="7749" priority="12043" stopIfTrue="1" operator="equal">
      <formula>0</formula>
    </cfRule>
    <cfRule type="cellIs" dxfId="7748" priority="12049" stopIfTrue="1" operator="notEqual">
      <formula>0</formula>
    </cfRule>
  </conditionalFormatting>
  <conditionalFormatting sqref="C175:D175">
    <cfRule type="expression" dxfId="7747" priority="12046" stopIfTrue="1">
      <formula>IF(AND($C175&lt;&gt;"",$H175+$L175=0),TRUE)</formula>
    </cfRule>
  </conditionalFormatting>
  <conditionalFormatting sqref="P175">
    <cfRule type="cellIs" dxfId="7746" priority="12035" stopIfTrue="1" operator="equal">
      <formula>1</formula>
    </cfRule>
    <cfRule type="cellIs" dxfId="7745" priority="12044" stopIfTrue="1" operator="equal">
      <formula>2</formula>
    </cfRule>
    <cfRule type="cellIs" dxfId="7744" priority="12045" stopIfTrue="1" operator="equal">
      <formula>"X"</formula>
    </cfRule>
  </conditionalFormatting>
  <conditionalFormatting sqref="GU175">
    <cfRule type="cellIs" dxfId="7743" priority="12037" stopIfTrue="1" operator="equal">
      <formula>0</formula>
    </cfRule>
    <cfRule type="cellIs" dxfId="7742" priority="12038" stopIfTrue="1" operator="notEqual">
      <formula>0</formula>
    </cfRule>
  </conditionalFormatting>
  <conditionalFormatting sqref="GV175">
    <cfRule type="cellIs" dxfId="7741" priority="12036" stopIfTrue="1" operator="equal">
      <formula>"STOP"</formula>
    </cfRule>
  </conditionalFormatting>
  <conditionalFormatting sqref="Q176">
    <cfRule type="cellIs" dxfId="7740" priority="12030" stopIfTrue="1" operator="equal">
      <formula>"SIM"</formula>
    </cfRule>
    <cfRule type="cellIs" dxfId="7739" priority="12031" stopIfTrue="1" operator="equal">
      <formula>"NÃO"</formula>
    </cfRule>
  </conditionalFormatting>
  <conditionalFormatting sqref="BF176 CJ176 DO176">
    <cfRule type="cellIs" dxfId="7738" priority="12026" stopIfTrue="1" operator="equal">
      <formula>0</formula>
    </cfRule>
    <cfRule type="cellIs" dxfId="7737" priority="12032" stopIfTrue="1" operator="notEqual">
      <formula>0</formula>
    </cfRule>
  </conditionalFormatting>
  <conditionalFormatting sqref="C176:D176">
    <cfRule type="expression" dxfId="7736" priority="12029" stopIfTrue="1">
      <formula>IF(AND($C176&lt;&gt;"",$H176+$L176=0),TRUE)</formula>
    </cfRule>
  </conditionalFormatting>
  <conditionalFormatting sqref="P176">
    <cfRule type="cellIs" dxfId="7735" priority="12018" stopIfTrue="1" operator="equal">
      <formula>1</formula>
    </cfRule>
    <cfRule type="cellIs" dxfId="7734" priority="12027" stopIfTrue="1" operator="equal">
      <formula>2</formula>
    </cfRule>
    <cfRule type="cellIs" dxfId="7733" priority="12028" stopIfTrue="1" operator="equal">
      <formula>"X"</formula>
    </cfRule>
  </conditionalFormatting>
  <conditionalFormatting sqref="GU176">
    <cfRule type="cellIs" dxfId="7732" priority="12020" stopIfTrue="1" operator="equal">
      <formula>0</formula>
    </cfRule>
    <cfRule type="cellIs" dxfId="7731" priority="12021" stopIfTrue="1" operator="notEqual">
      <formula>0</formula>
    </cfRule>
  </conditionalFormatting>
  <conditionalFormatting sqref="GV176">
    <cfRule type="cellIs" dxfId="7730" priority="12019" stopIfTrue="1" operator="equal">
      <formula>"STOP"</formula>
    </cfRule>
  </conditionalFormatting>
  <conditionalFormatting sqref="Q182">
    <cfRule type="cellIs" dxfId="7729" priority="9106" stopIfTrue="1" operator="equal">
      <formula>"SIM"</formula>
    </cfRule>
    <cfRule type="cellIs" dxfId="7728" priority="9107" stopIfTrue="1" operator="equal">
      <formula>"NÃO"</formula>
    </cfRule>
  </conditionalFormatting>
  <conditionalFormatting sqref="BF182 CJ182 DO182">
    <cfRule type="cellIs" dxfId="7727" priority="9102" stopIfTrue="1" operator="equal">
      <formula>0</formula>
    </cfRule>
    <cfRule type="cellIs" dxfId="7726" priority="9108" stopIfTrue="1" operator="notEqual">
      <formula>0</formula>
    </cfRule>
  </conditionalFormatting>
  <conditionalFormatting sqref="C182:D182">
    <cfRule type="expression" dxfId="7725" priority="9105" stopIfTrue="1">
      <formula>IF(AND($C182&lt;&gt;"",$H182+$L182=0),TRUE)</formula>
    </cfRule>
  </conditionalFormatting>
  <conditionalFormatting sqref="P182">
    <cfRule type="cellIs" dxfId="7724" priority="9094" stopIfTrue="1" operator="equal">
      <formula>1</formula>
    </cfRule>
    <cfRule type="cellIs" dxfId="7723" priority="9103" stopIfTrue="1" operator="equal">
      <formula>2</formula>
    </cfRule>
    <cfRule type="cellIs" dxfId="7722" priority="9104" stopIfTrue="1" operator="equal">
      <formula>"X"</formula>
    </cfRule>
  </conditionalFormatting>
  <conditionalFormatting sqref="GU182">
    <cfRule type="cellIs" dxfId="7721" priority="9096" stopIfTrue="1" operator="equal">
      <formula>0</formula>
    </cfRule>
    <cfRule type="cellIs" dxfId="7720" priority="9097" stopIfTrue="1" operator="notEqual">
      <formula>0</formula>
    </cfRule>
  </conditionalFormatting>
  <conditionalFormatting sqref="GV182">
    <cfRule type="cellIs" dxfId="7719" priority="9095" stopIfTrue="1" operator="equal">
      <formula>"STOP"</formula>
    </cfRule>
  </conditionalFormatting>
  <conditionalFormatting sqref="Q183">
    <cfRule type="cellIs" dxfId="7718" priority="9089" stopIfTrue="1" operator="equal">
      <formula>"SIM"</formula>
    </cfRule>
    <cfRule type="cellIs" dxfId="7717" priority="9090" stopIfTrue="1" operator="equal">
      <formula>"NÃO"</formula>
    </cfRule>
  </conditionalFormatting>
  <conditionalFormatting sqref="BF183 CJ183 DO183">
    <cfRule type="cellIs" dxfId="7716" priority="9085" stopIfTrue="1" operator="equal">
      <formula>0</formula>
    </cfRule>
    <cfRule type="cellIs" dxfId="7715" priority="9091" stopIfTrue="1" operator="notEqual">
      <formula>0</formula>
    </cfRule>
  </conditionalFormatting>
  <conditionalFormatting sqref="C183:D183">
    <cfRule type="expression" dxfId="7714" priority="9088" stopIfTrue="1">
      <formula>IF(AND($C183&lt;&gt;"",$H183+$L183=0),TRUE)</formula>
    </cfRule>
  </conditionalFormatting>
  <conditionalFormatting sqref="P183">
    <cfRule type="cellIs" dxfId="7713" priority="9077" stopIfTrue="1" operator="equal">
      <formula>1</formula>
    </cfRule>
    <cfRule type="cellIs" dxfId="7712" priority="9086" stopIfTrue="1" operator="equal">
      <formula>2</formula>
    </cfRule>
    <cfRule type="cellIs" dxfId="7711" priority="9087" stopIfTrue="1" operator="equal">
      <formula>"X"</formula>
    </cfRule>
  </conditionalFormatting>
  <conditionalFormatting sqref="GU183">
    <cfRule type="cellIs" dxfId="7710" priority="9079" stopIfTrue="1" operator="equal">
      <formula>0</formula>
    </cfRule>
    <cfRule type="cellIs" dxfId="7709" priority="9080" stopIfTrue="1" operator="notEqual">
      <formula>0</formula>
    </cfRule>
  </conditionalFormatting>
  <conditionalFormatting sqref="GV183">
    <cfRule type="cellIs" dxfId="7708" priority="9078" stopIfTrue="1" operator="equal">
      <formula>"STOP"</formula>
    </cfRule>
  </conditionalFormatting>
  <conditionalFormatting sqref="Q176">
    <cfRule type="cellIs" dxfId="7707" priority="12013" stopIfTrue="1" operator="equal">
      <formula>"SIM"</formula>
    </cfRule>
    <cfRule type="cellIs" dxfId="7706" priority="12014" stopIfTrue="1" operator="equal">
      <formula>"NÃO"</formula>
    </cfRule>
  </conditionalFormatting>
  <conditionalFormatting sqref="BF176 CJ176 DO176">
    <cfRule type="cellIs" dxfId="7705" priority="12009" stopIfTrue="1" operator="equal">
      <formula>0</formula>
    </cfRule>
    <cfRule type="cellIs" dxfId="7704" priority="12015" stopIfTrue="1" operator="notEqual">
      <formula>0</formula>
    </cfRule>
  </conditionalFormatting>
  <conditionalFormatting sqref="C176:D176">
    <cfRule type="expression" dxfId="7703" priority="12012" stopIfTrue="1">
      <formula>IF(AND($C176&lt;&gt;"",$H176+$L176=0),TRUE)</formula>
    </cfRule>
  </conditionalFormatting>
  <conditionalFormatting sqref="P176">
    <cfRule type="cellIs" dxfId="7702" priority="12001" stopIfTrue="1" operator="equal">
      <formula>1</formula>
    </cfRule>
    <cfRule type="cellIs" dxfId="7701" priority="12010" stopIfTrue="1" operator="equal">
      <formula>2</formula>
    </cfRule>
    <cfRule type="cellIs" dxfId="7700" priority="12011" stopIfTrue="1" operator="equal">
      <formula>"X"</formula>
    </cfRule>
  </conditionalFormatting>
  <conditionalFormatting sqref="GU176">
    <cfRule type="cellIs" dxfId="7699" priority="12003" stopIfTrue="1" operator="equal">
      <formula>0</formula>
    </cfRule>
    <cfRule type="cellIs" dxfId="7698" priority="12004" stopIfTrue="1" operator="notEqual">
      <formula>0</formula>
    </cfRule>
  </conditionalFormatting>
  <conditionalFormatting sqref="GV176">
    <cfRule type="cellIs" dxfId="7697" priority="12002" stopIfTrue="1" operator="equal">
      <formula>"STOP"</formula>
    </cfRule>
  </conditionalFormatting>
  <conditionalFormatting sqref="Q182">
    <cfRule type="cellIs" dxfId="7696" priority="9055" stopIfTrue="1" operator="equal">
      <formula>"SIM"</formula>
    </cfRule>
    <cfRule type="cellIs" dxfId="7695" priority="9056" stopIfTrue="1" operator="equal">
      <formula>"NÃO"</formula>
    </cfRule>
  </conditionalFormatting>
  <conditionalFormatting sqref="BF182 CJ182 DO182">
    <cfRule type="cellIs" dxfId="7694" priority="9051" stopIfTrue="1" operator="equal">
      <formula>0</formula>
    </cfRule>
    <cfRule type="cellIs" dxfId="7693" priority="9057" stopIfTrue="1" operator="notEqual">
      <formula>0</formula>
    </cfRule>
  </conditionalFormatting>
  <conditionalFormatting sqref="C182:D182">
    <cfRule type="expression" dxfId="7692" priority="9054" stopIfTrue="1">
      <formula>IF(AND($C182&lt;&gt;"",$H182+$L182=0),TRUE)</formula>
    </cfRule>
  </conditionalFormatting>
  <conditionalFormatting sqref="P182">
    <cfRule type="cellIs" dxfId="7691" priority="9043" stopIfTrue="1" operator="equal">
      <formula>1</formula>
    </cfRule>
    <cfRule type="cellIs" dxfId="7690" priority="9052" stopIfTrue="1" operator="equal">
      <formula>2</formula>
    </cfRule>
    <cfRule type="cellIs" dxfId="7689" priority="9053" stopIfTrue="1" operator="equal">
      <formula>"X"</formula>
    </cfRule>
  </conditionalFormatting>
  <conditionalFormatting sqref="GU182">
    <cfRule type="cellIs" dxfId="7688" priority="9045" stopIfTrue="1" operator="equal">
      <formula>0</formula>
    </cfRule>
    <cfRule type="cellIs" dxfId="7687" priority="9046" stopIfTrue="1" operator="notEqual">
      <formula>0</formula>
    </cfRule>
  </conditionalFormatting>
  <conditionalFormatting sqref="GV182">
    <cfRule type="cellIs" dxfId="7686" priority="9044" stopIfTrue="1" operator="equal">
      <formula>"STOP"</formula>
    </cfRule>
  </conditionalFormatting>
  <conditionalFormatting sqref="Q183">
    <cfRule type="cellIs" dxfId="7685" priority="9038" stopIfTrue="1" operator="equal">
      <formula>"SIM"</formula>
    </cfRule>
    <cfRule type="cellIs" dxfId="7684" priority="9039" stopIfTrue="1" operator="equal">
      <formula>"NÃO"</formula>
    </cfRule>
  </conditionalFormatting>
  <conditionalFormatting sqref="BF183 CJ183 DO183">
    <cfRule type="cellIs" dxfId="7683" priority="9034" stopIfTrue="1" operator="equal">
      <formula>0</formula>
    </cfRule>
    <cfRule type="cellIs" dxfId="7682" priority="9040" stopIfTrue="1" operator="notEqual">
      <formula>0</formula>
    </cfRule>
  </conditionalFormatting>
  <conditionalFormatting sqref="C183:D183">
    <cfRule type="expression" dxfId="7681" priority="9037" stopIfTrue="1">
      <formula>IF(AND($C183&lt;&gt;"",$H183+$L183=0),TRUE)</formula>
    </cfRule>
  </conditionalFormatting>
  <conditionalFormatting sqref="P183">
    <cfRule type="cellIs" dxfId="7680" priority="9026" stopIfTrue="1" operator="equal">
      <formula>1</formula>
    </cfRule>
    <cfRule type="cellIs" dxfId="7679" priority="9035" stopIfTrue="1" operator="equal">
      <formula>2</formula>
    </cfRule>
    <cfRule type="cellIs" dxfId="7678" priority="9036" stopIfTrue="1" operator="equal">
      <formula>"X"</formula>
    </cfRule>
  </conditionalFormatting>
  <conditionalFormatting sqref="GU183">
    <cfRule type="cellIs" dxfId="7677" priority="9028" stopIfTrue="1" operator="equal">
      <formula>0</formula>
    </cfRule>
    <cfRule type="cellIs" dxfId="7676" priority="9029" stopIfTrue="1" operator="notEqual">
      <formula>0</formula>
    </cfRule>
  </conditionalFormatting>
  <conditionalFormatting sqref="GV183">
    <cfRule type="cellIs" dxfId="7675" priority="9027" stopIfTrue="1" operator="equal">
      <formula>"STOP"</formula>
    </cfRule>
  </conditionalFormatting>
  <conditionalFormatting sqref="Q174">
    <cfRule type="cellIs" dxfId="7674" priority="11996" stopIfTrue="1" operator="equal">
      <formula>"SIM"</formula>
    </cfRule>
    <cfRule type="cellIs" dxfId="7673" priority="11997" stopIfTrue="1" operator="equal">
      <formula>"NÃO"</formula>
    </cfRule>
  </conditionalFormatting>
  <conditionalFormatting sqref="BF174 CJ174 DO174">
    <cfRule type="cellIs" dxfId="7672" priority="11992" stopIfTrue="1" operator="equal">
      <formula>0</formula>
    </cfRule>
    <cfRule type="cellIs" dxfId="7671" priority="11998" stopIfTrue="1" operator="notEqual">
      <formula>0</formula>
    </cfRule>
  </conditionalFormatting>
  <conditionalFormatting sqref="C174:D174">
    <cfRule type="expression" dxfId="7670" priority="11995" stopIfTrue="1">
      <formula>IF(AND($C174&lt;&gt;"",$H174+$L174=0),TRUE)</formula>
    </cfRule>
  </conditionalFormatting>
  <conditionalFormatting sqref="P174">
    <cfRule type="cellIs" dxfId="7669" priority="11984" stopIfTrue="1" operator="equal">
      <formula>1</formula>
    </cfRule>
    <cfRule type="cellIs" dxfId="7668" priority="11993" stopIfTrue="1" operator="equal">
      <formula>2</formula>
    </cfRule>
    <cfRule type="cellIs" dxfId="7667" priority="11994" stopIfTrue="1" operator="equal">
      <formula>"X"</formula>
    </cfRule>
  </conditionalFormatting>
  <conditionalFormatting sqref="GU174">
    <cfRule type="cellIs" dxfId="7666" priority="11986" stopIfTrue="1" operator="equal">
      <formula>0</formula>
    </cfRule>
    <cfRule type="cellIs" dxfId="7665" priority="11987" stopIfTrue="1" operator="notEqual">
      <formula>0</formula>
    </cfRule>
  </conditionalFormatting>
  <conditionalFormatting sqref="GV174">
    <cfRule type="cellIs" dxfId="7664" priority="11985" stopIfTrue="1" operator="equal">
      <formula>"STOP"</formula>
    </cfRule>
  </conditionalFormatting>
  <conditionalFormatting sqref="Q175">
    <cfRule type="cellIs" dxfId="7663" priority="11979" stopIfTrue="1" operator="equal">
      <formula>"SIM"</formula>
    </cfRule>
    <cfRule type="cellIs" dxfId="7662" priority="11980" stopIfTrue="1" operator="equal">
      <formula>"NÃO"</formula>
    </cfRule>
  </conditionalFormatting>
  <conditionalFormatting sqref="BF175 CJ175 DO175">
    <cfRule type="cellIs" dxfId="7661" priority="11975" stopIfTrue="1" operator="equal">
      <formula>0</formula>
    </cfRule>
    <cfRule type="cellIs" dxfId="7660" priority="11981" stopIfTrue="1" operator="notEqual">
      <formula>0</formula>
    </cfRule>
  </conditionalFormatting>
  <conditionalFormatting sqref="C175:D175">
    <cfRule type="expression" dxfId="7659" priority="11978" stopIfTrue="1">
      <formula>IF(AND($C175&lt;&gt;"",$H175+$L175=0),TRUE)</formula>
    </cfRule>
  </conditionalFormatting>
  <conditionalFormatting sqref="P175">
    <cfRule type="cellIs" dxfId="7658" priority="11967" stopIfTrue="1" operator="equal">
      <formula>1</formula>
    </cfRule>
    <cfRule type="cellIs" dxfId="7657" priority="11976" stopIfTrue="1" operator="equal">
      <formula>2</formula>
    </cfRule>
    <cfRule type="cellIs" dxfId="7656" priority="11977" stopIfTrue="1" operator="equal">
      <formula>"X"</formula>
    </cfRule>
  </conditionalFormatting>
  <conditionalFormatting sqref="GU175">
    <cfRule type="cellIs" dxfId="7655" priority="11969" stopIfTrue="1" operator="equal">
      <formula>0</formula>
    </cfRule>
    <cfRule type="cellIs" dxfId="7654" priority="11970" stopIfTrue="1" operator="notEqual">
      <formula>0</formula>
    </cfRule>
  </conditionalFormatting>
  <conditionalFormatting sqref="GV175">
    <cfRule type="cellIs" dxfId="7653" priority="11968" stopIfTrue="1" operator="equal">
      <formula>"STOP"</formula>
    </cfRule>
  </conditionalFormatting>
  <conditionalFormatting sqref="Q176">
    <cfRule type="cellIs" dxfId="7652" priority="11962" stopIfTrue="1" operator="equal">
      <formula>"SIM"</formula>
    </cfRule>
    <cfRule type="cellIs" dxfId="7651" priority="11963" stopIfTrue="1" operator="equal">
      <formula>"NÃO"</formula>
    </cfRule>
  </conditionalFormatting>
  <conditionalFormatting sqref="BF176 CJ176 DO176">
    <cfRule type="cellIs" dxfId="7650" priority="11958" stopIfTrue="1" operator="equal">
      <formula>0</formula>
    </cfRule>
    <cfRule type="cellIs" dxfId="7649" priority="11964" stopIfTrue="1" operator="notEqual">
      <formula>0</formula>
    </cfRule>
  </conditionalFormatting>
  <conditionalFormatting sqref="C176:D176">
    <cfRule type="expression" dxfId="7648" priority="11961" stopIfTrue="1">
      <formula>IF(AND($C176&lt;&gt;"",$H176+$L176=0),TRUE)</formula>
    </cfRule>
  </conditionalFormatting>
  <conditionalFormatting sqref="P176">
    <cfRule type="cellIs" dxfId="7647" priority="11950" stopIfTrue="1" operator="equal">
      <formula>1</formula>
    </cfRule>
    <cfRule type="cellIs" dxfId="7646" priority="11959" stopIfTrue="1" operator="equal">
      <formula>2</formula>
    </cfRule>
    <cfRule type="cellIs" dxfId="7645" priority="11960" stopIfTrue="1" operator="equal">
      <formula>"X"</formula>
    </cfRule>
  </conditionalFormatting>
  <conditionalFormatting sqref="GU176">
    <cfRule type="cellIs" dxfId="7644" priority="11952" stopIfTrue="1" operator="equal">
      <formula>0</formula>
    </cfRule>
    <cfRule type="cellIs" dxfId="7643" priority="11953" stopIfTrue="1" operator="notEqual">
      <formula>0</formula>
    </cfRule>
  </conditionalFormatting>
  <conditionalFormatting sqref="GV176">
    <cfRule type="cellIs" dxfId="7642" priority="11951" stopIfTrue="1" operator="equal">
      <formula>"STOP"</formula>
    </cfRule>
  </conditionalFormatting>
  <conditionalFormatting sqref="Q182">
    <cfRule type="cellIs" dxfId="7641" priority="8970" stopIfTrue="1" operator="equal">
      <formula>"SIM"</formula>
    </cfRule>
    <cfRule type="cellIs" dxfId="7640" priority="8971" stopIfTrue="1" operator="equal">
      <formula>"NÃO"</formula>
    </cfRule>
  </conditionalFormatting>
  <conditionalFormatting sqref="BF182 CJ182 DO182">
    <cfRule type="cellIs" dxfId="7639" priority="8966" stopIfTrue="1" operator="equal">
      <formula>0</formula>
    </cfRule>
    <cfRule type="cellIs" dxfId="7638" priority="8972" stopIfTrue="1" operator="notEqual">
      <formula>0</formula>
    </cfRule>
  </conditionalFormatting>
  <conditionalFormatting sqref="C182:D182">
    <cfRule type="expression" dxfId="7637" priority="8969" stopIfTrue="1">
      <formula>IF(AND($C182&lt;&gt;"",$H182+$L182=0),TRUE)</formula>
    </cfRule>
  </conditionalFormatting>
  <conditionalFormatting sqref="P182">
    <cfRule type="cellIs" dxfId="7636" priority="8958" stopIfTrue="1" operator="equal">
      <formula>1</formula>
    </cfRule>
    <cfRule type="cellIs" dxfId="7635" priority="8967" stopIfTrue="1" operator="equal">
      <formula>2</formula>
    </cfRule>
    <cfRule type="cellIs" dxfId="7634" priority="8968" stopIfTrue="1" operator="equal">
      <formula>"X"</formula>
    </cfRule>
  </conditionalFormatting>
  <conditionalFormatting sqref="GU182">
    <cfRule type="cellIs" dxfId="7633" priority="8960" stopIfTrue="1" operator="equal">
      <formula>0</formula>
    </cfRule>
    <cfRule type="cellIs" dxfId="7632" priority="8961" stopIfTrue="1" operator="notEqual">
      <formula>0</formula>
    </cfRule>
  </conditionalFormatting>
  <conditionalFormatting sqref="GV182">
    <cfRule type="cellIs" dxfId="7631" priority="8959" stopIfTrue="1" operator="equal">
      <formula>"STOP"</formula>
    </cfRule>
  </conditionalFormatting>
  <conditionalFormatting sqref="Q183">
    <cfRule type="cellIs" dxfId="7630" priority="8953" stopIfTrue="1" operator="equal">
      <formula>"SIM"</formula>
    </cfRule>
    <cfRule type="cellIs" dxfId="7629" priority="8954" stopIfTrue="1" operator="equal">
      <formula>"NÃO"</formula>
    </cfRule>
  </conditionalFormatting>
  <conditionalFormatting sqref="BF183 CJ183 DO183">
    <cfRule type="cellIs" dxfId="7628" priority="8949" stopIfTrue="1" operator="equal">
      <formula>0</formula>
    </cfRule>
    <cfRule type="cellIs" dxfId="7627" priority="8955" stopIfTrue="1" operator="notEqual">
      <formula>0</formula>
    </cfRule>
  </conditionalFormatting>
  <conditionalFormatting sqref="C183:D183">
    <cfRule type="expression" dxfId="7626" priority="8952" stopIfTrue="1">
      <formula>IF(AND($C183&lt;&gt;"",$H183+$L183=0),TRUE)</formula>
    </cfRule>
  </conditionalFormatting>
  <conditionalFormatting sqref="P183">
    <cfRule type="cellIs" dxfId="7625" priority="8941" stopIfTrue="1" operator="equal">
      <formula>1</formula>
    </cfRule>
    <cfRule type="cellIs" dxfId="7624" priority="8950" stopIfTrue="1" operator="equal">
      <formula>2</formula>
    </cfRule>
    <cfRule type="cellIs" dxfId="7623" priority="8951" stopIfTrue="1" operator="equal">
      <formula>"X"</formula>
    </cfRule>
  </conditionalFormatting>
  <conditionalFormatting sqref="GU183">
    <cfRule type="cellIs" dxfId="7622" priority="8943" stopIfTrue="1" operator="equal">
      <formula>0</formula>
    </cfRule>
    <cfRule type="cellIs" dxfId="7621" priority="8944" stopIfTrue="1" operator="notEqual">
      <formula>0</formula>
    </cfRule>
  </conditionalFormatting>
  <conditionalFormatting sqref="GV183">
    <cfRule type="cellIs" dxfId="7620" priority="8942" stopIfTrue="1" operator="equal">
      <formula>"STOP"</formula>
    </cfRule>
  </conditionalFormatting>
  <conditionalFormatting sqref="Q179">
    <cfRule type="cellIs" dxfId="7619" priority="11945" stopIfTrue="1" operator="equal">
      <formula>"SIM"</formula>
    </cfRule>
    <cfRule type="cellIs" dxfId="7618" priority="11946" stopIfTrue="1" operator="equal">
      <formula>"NÃO"</formula>
    </cfRule>
  </conditionalFormatting>
  <conditionalFormatting sqref="BF179 CJ179 DO179">
    <cfRule type="cellIs" dxfId="7617" priority="11941" stopIfTrue="1" operator="equal">
      <formula>0</formula>
    </cfRule>
    <cfRule type="cellIs" dxfId="7616" priority="11947" stopIfTrue="1" operator="notEqual">
      <formula>0</formula>
    </cfRule>
  </conditionalFormatting>
  <conditionalFormatting sqref="C179:D179">
    <cfRule type="expression" dxfId="7615" priority="11944" stopIfTrue="1">
      <formula>IF(AND($C179&lt;&gt;"",$H179+$L179=0),TRUE)</formula>
    </cfRule>
  </conditionalFormatting>
  <conditionalFormatting sqref="P179">
    <cfRule type="cellIs" dxfId="7614" priority="11933" stopIfTrue="1" operator="equal">
      <formula>1</formula>
    </cfRule>
    <cfRule type="cellIs" dxfId="7613" priority="11942" stopIfTrue="1" operator="equal">
      <formula>2</formula>
    </cfRule>
    <cfRule type="cellIs" dxfId="7612" priority="11943" stopIfTrue="1" operator="equal">
      <formula>"X"</formula>
    </cfRule>
  </conditionalFormatting>
  <conditionalFormatting sqref="GU179">
    <cfRule type="cellIs" dxfId="7611" priority="11935" stopIfTrue="1" operator="equal">
      <formula>0</formula>
    </cfRule>
    <cfRule type="cellIs" dxfId="7610" priority="11936" stopIfTrue="1" operator="notEqual">
      <formula>0</formula>
    </cfRule>
  </conditionalFormatting>
  <conditionalFormatting sqref="GV179">
    <cfRule type="cellIs" dxfId="7609" priority="11934" stopIfTrue="1" operator="equal">
      <formula>"STOP"</formula>
    </cfRule>
  </conditionalFormatting>
  <conditionalFormatting sqref="Q180">
    <cfRule type="cellIs" dxfId="7608" priority="11928" stopIfTrue="1" operator="equal">
      <formula>"SIM"</formula>
    </cfRule>
    <cfRule type="cellIs" dxfId="7607" priority="11929" stopIfTrue="1" operator="equal">
      <formula>"NÃO"</formula>
    </cfRule>
  </conditionalFormatting>
  <conditionalFormatting sqref="BF180 CJ180 DO180">
    <cfRule type="cellIs" dxfId="7606" priority="11924" stopIfTrue="1" operator="equal">
      <formula>0</formula>
    </cfRule>
    <cfRule type="cellIs" dxfId="7605" priority="11930" stopIfTrue="1" operator="notEqual">
      <formula>0</formula>
    </cfRule>
  </conditionalFormatting>
  <conditionalFormatting sqref="C180:D180">
    <cfRule type="expression" dxfId="7604" priority="11927" stopIfTrue="1">
      <formula>IF(AND($C180&lt;&gt;"",$H180+$L180=0),TRUE)</formula>
    </cfRule>
  </conditionalFormatting>
  <conditionalFormatting sqref="P180">
    <cfRule type="cellIs" dxfId="7603" priority="11916" stopIfTrue="1" operator="equal">
      <formula>1</formula>
    </cfRule>
    <cfRule type="cellIs" dxfId="7602" priority="11925" stopIfTrue="1" operator="equal">
      <formula>2</formula>
    </cfRule>
    <cfRule type="cellIs" dxfId="7601" priority="11926" stopIfTrue="1" operator="equal">
      <formula>"X"</formula>
    </cfRule>
  </conditionalFormatting>
  <conditionalFormatting sqref="GU180">
    <cfRule type="cellIs" dxfId="7600" priority="11918" stopIfTrue="1" operator="equal">
      <formula>0</formula>
    </cfRule>
    <cfRule type="cellIs" dxfId="7599" priority="11919" stopIfTrue="1" operator="notEqual">
      <formula>0</formula>
    </cfRule>
  </conditionalFormatting>
  <conditionalFormatting sqref="GV180">
    <cfRule type="cellIs" dxfId="7598" priority="11917" stopIfTrue="1" operator="equal">
      <formula>"STOP"</formula>
    </cfRule>
  </conditionalFormatting>
  <conditionalFormatting sqref="Q175">
    <cfRule type="cellIs" dxfId="7597" priority="11911" stopIfTrue="1" operator="equal">
      <formula>"SIM"</formula>
    </cfRule>
    <cfRule type="cellIs" dxfId="7596" priority="11912" stopIfTrue="1" operator="equal">
      <formula>"NÃO"</formula>
    </cfRule>
  </conditionalFormatting>
  <conditionalFormatting sqref="BF175 CJ175 DO175">
    <cfRule type="cellIs" dxfId="7595" priority="11907" stopIfTrue="1" operator="equal">
      <formula>0</formula>
    </cfRule>
    <cfRule type="cellIs" dxfId="7594" priority="11913" stopIfTrue="1" operator="notEqual">
      <formula>0</formula>
    </cfRule>
  </conditionalFormatting>
  <conditionalFormatting sqref="C175:D175">
    <cfRule type="expression" dxfId="7593" priority="11910" stopIfTrue="1">
      <formula>IF(AND($C175&lt;&gt;"",$H175+$L175=0),TRUE)</formula>
    </cfRule>
  </conditionalFormatting>
  <conditionalFormatting sqref="P175">
    <cfRule type="cellIs" dxfId="7592" priority="11899" stopIfTrue="1" operator="equal">
      <formula>1</formula>
    </cfRule>
    <cfRule type="cellIs" dxfId="7591" priority="11908" stopIfTrue="1" operator="equal">
      <formula>2</formula>
    </cfRule>
    <cfRule type="cellIs" dxfId="7590" priority="11909" stopIfTrue="1" operator="equal">
      <formula>"X"</formula>
    </cfRule>
  </conditionalFormatting>
  <conditionalFormatting sqref="GU175">
    <cfRule type="cellIs" dxfId="7589" priority="11901" stopIfTrue="1" operator="equal">
      <formula>0</formula>
    </cfRule>
    <cfRule type="cellIs" dxfId="7588" priority="11902" stopIfTrue="1" operator="notEqual">
      <formula>0</formula>
    </cfRule>
  </conditionalFormatting>
  <conditionalFormatting sqref="GV175">
    <cfRule type="cellIs" dxfId="7587" priority="11900" stopIfTrue="1" operator="equal">
      <formula>"STOP"</formula>
    </cfRule>
  </conditionalFormatting>
  <conditionalFormatting sqref="Q176">
    <cfRule type="cellIs" dxfId="7586" priority="11894" stopIfTrue="1" operator="equal">
      <formula>"SIM"</formula>
    </cfRule>
    <cfRule type="cellIs" dxfId="7585" priority="11895" stopIfTrue="1" operator="equal">
      <formula>"NÃO"</formula>
    </cfRule>
  </conditionalFormatting>
  <conditionalFormatting sqref="BF176 CJ176 DO176">
    <cfRule type="cellIs" dxfId="7584" priority="11890" stopIfTrue="1" operator="equal">
      <formula>0</formula>
    </cfRule>
    <cfRule type="cellIs" dxfId="7583" priority="11896" stopIfTrue="1" operator="notEqual">
      <formula>0</formula>
    </cfRule>
  </conditionalFormatting>
  <conditionalFormatting sqref="C176:D176">
    <cfRule type="expression" dxfId="7582" priority="11893" stopIfTrue="1">
      <formula>IF(AND($C176&lt;&gt;"",$H176+$L176=0),TRUE)</formula>
    </cfRule>
  </conditionalFormatting>
  <conditionalFormatting sqref="P176">
    <cfRule type="cellIs" dxfId="7581" priority="11882" stopIfTrue="1" operator="equal">
      <formula>1</formula>
    </cfRule>
    <cfRule type="cellIs" dxfId="7580" priority="11891" stopIfTrue="1" operator="equal">
      <formula>2</formula>
    </cfRule>
    <cfRule type="cellIs" dxfId="7579" priority="11892" stopIfTrue="1" operator="equal">
      <formula>"X"</formula>
    </cfRule>
  </conditionalFormatting>
  <conditionalFormatting sqref="GU176">
    <cfRule type="cellIs" dxfId="7578" priority="11884" stopIfTrue="1" operator="equal">
      <formula>0</formula>
    </cfRule>
    <cfRule type="cellIs" dxfId="7577" priority="11885" stopIfTrue="1" operator="notEqual">
      <formula>0</formula>
    </cfRule>
  </conditionalFormatting>
  <conditionalFormatting sqref="GV176">
    <cfRule type="cellIs" dxfId="7576" priority="11883" stopIfTrue="1" operator="equal">
      <formula>"STOP"</formula>
    </cfRule>
  </conditionalFormatting>
  <conditionalFormatting sqref="Q182">
    <cfRule type="cellIs" dxfId="7575" priority="8868" stopIfTrue="1" operator="equal">
      <formula>"SIM"</formula>
    </cfRule>
    <cfRule type="cellIs" dxfId="7574" priority="8869" stopIfTrue="1" operator="equal">
      <formula>"NÃO"</formula>
    </cfRule>
  </conditionalFormatting>
  <conditionalFormatting sqref="BF182 CJ182 DO182">
    <cfRule type="cellIs" dxfId="7573" priority="8864" stopIfTrue="1" operator="equal">
      <formula>0</formula>
    </cfRule>
    <cfRule type="cellIs" dxfId="7572" priority="8870" stopIfTrue="1" operator="notEqual">
      <formula>0</formula>
    </cfRule>
  </conditionalFormatting>
  <conditionalFormatting sqref="C182:D182">
    <cfRule type="expression" dxfId="7571" priority="8867" stopIfTrue="1">
      <formula>IF(AND($C182&lt;&gt;"",$H182+$L182=0),TRUE)</formula>
    </cfRule>
  </conditionalFormatting>
  <conditionalFormatting sqref="P182">
    <cfRule type="cellIs" dxfId="7570" priority="8856" stopIfTrue="1" operator="equal">
      <formula>1</formula>
    </cfRule>
    <cfRule type="cellIs" dxfId="7569" priority="8865" stopIfTrue="1" operator="equal">
      <formula>2</formula>
    </cfRule>
    <cfRule type="cellIs" dxfId="7568" priority="8866" stopIfTrue="1" operator="equal">
      <formula>"X"</formula>
    </cfRule>
  </conditionalFormatting>
  <conditionalFormatting sqref="GU182">
    <cfRule type="cellIs" dxfId="7567" priority="8858" stopIfTrue="1" operator="equal">
      <formula>0</formula>
    </cfRule>
    <cfRule type="cellIs" dxfId="7566" priority="8859" stopIfTrue="1" operator="notEqual">
      <formula>0</formula>
    </cfRule>
  </conditionalFormatting>
  <conditionalFormatting sqref="GV182">
    <cfRule type="cellIs" dxfId="7565" priority="8857" stopIfTrue="1" operator="equal">
      <formula>"STOP"</formula>
    </cfRule>
  </conditionalFormatting>
  <conditionalFormatting sqref="Q175">
    <cfRule type="cellIs" dxfId="7564" priority="11877" stopIfTrue="1" operator="equal">
      <formula>"SIM"</formula>
    </cfRule>
    <cfRule type="cellIs" dxfId="7563" priority="11878" stopIfTrue="1" operator="equal">
      <formula>"NÃO"</formula>
    </cfRule>
  </conditionalFormatting>
  <conditionalFormatting sqref="BF175 CJ175 DO175">
    <cfRule type="cellIs" dxfId="7562" priority="11873" stopIfTrue="1" operator="equal">
      <formula>0</formula>
    </cfRule>
    <cfRule type="cellIs" dxfId="7561" priority="11879" stopIfTrue="1" operator="notEqual">
      <formula>0</formula>
    </cfRule>
  </conditionalFormatting>
  <conditionalFormatting sqref="C175:D175">
    <cfRule type="expression" dxfId="7560" priority="11876" stopIfTrue="1">
      <formula>IF(AND($C175&lt;&gt;"",$H175+$L175=0),TRUE)</formula>
    </cfRule>
  </conditionalFormatting>
  <conditionalFormatting sqref="P175">
    <cfRule type="cellIs" dxfId="7559" priority="11865" stopIfTrue="1" operator="equal">
      <formula>1</formula>
    </cfRule>
    <cfRule type="cellIs" dxfId="7558" priority="11874" stopIfTrue="1" operator="equal">
      <formula>2</formula>
    </cfRule>
    <cfRule type="cellIs" dxfId="7557" priority="11875" stopIfTrue="1" operator="equal">
      <formula>"X"</formula>
    </cfRule>
  </conditionalFormatting>
  <conditionalFormatting sqref="GU175">
    <cfRule type="cellIs" dxfId="7556" priority="11867" stopIfTrue="1" operator="equal">
      <formula>0</formula>
    </cfRule>
    <cfRule type="cellIs" dxfId="7555" priority="11868" stopIfTrue="1" operator="notEqual">
      <formula>0</formula>
    </cfRule>
  </conditionalFormatting>
  <conditionalFormatting sqref="GV175">
    <cfRule type="cellIs" dxfId="7554" priority="11866" stopIfTrue="1" operator="equal">
      <formula>"STOP"</formula>
    </cfRule>
  </conditionalFormatting>
  <conditionalFormatting sqref="Q176">
    <cfRule type="cellIs" dxfId="7553" priority="11860" stopIfTrue="1" operator="equal">
      <formula>"SIM"</formula>
    </cfRule>
    <cfRule type="cellIs" dxfId="7552" priority="11861" stopIfTrue="1" operator="equal">
      <formula>"NÃO"</formula>
    </cfRule>
  </conditionalFormatting>
  <conditionalFormatting sqref="BF176 CJ176 DO176">
    <cfRule type="cellIs" dxfId="7551" priority="11856" stopIfTrue="1" operator="equal">
      <formula>0</formula>
    </cfRule>
    <cfRule type="cellIs" dxfId="7550" priority="11862" stopIfTrue="1" operator="notEqual">
      <formula>0</formula>
    </cfRule>
  </conditionalFormatting>
  <conditionalFormatting sqref="C176:D176">
    <cfRule type="expression" dxfId="7549" priority="11859" stopIfTrue="1">
      <formula>IF(AND($C176&lt;&gt;"",$H176+$L176=0),TRUE)</formula>
    </cfRule>
  </conditionalFormatting>
  <conditionalFormatting sqref="P176">
    <cfRule type="cellIs" dxfId="7548" priority="11848" stopIfTrue="1" operator="equal">
      <formula>1</formula>
    </cfRule>
    <cfRule type="cellIs" dxfId="7547" priority="11857" stopIfTrue="1" operator="equal">
      <formula>2</formula>
    </cfRule>
    <cfRule type="cellIs" dxfId="7546" priority="11858" stopIfTrue="1" operator="equal">
      <formula>"X"</formula>
    </cfRule>
  </conditionalFormatting>
  <conditionalFormatting sqref="GU176">
    <cfRule type="cellIs" dxfId="7545" priority="11850" stopIfTrue="1" operator="equal">
      <formula>0</formula>
    </cfRule>
    <cfRule type="cellIs" dxfId="7544" priority="11851" stopIfTrue="1" operator="notEqual">
      <formula>0</formula>
    </cfRule>
  </conditionalFormatting>
  <conditionalFormatting sqref="GV176">
    <cfRule type="cellIs" dxfId="7543" priority="11849" stopIfTrue="1" operator="equal">
      <formula>"STOP"</formula>
    </cfRule>
  </conditionalFormatting>
  <conditionalFormatting sqref="Q182">
    <cfRule type="cellIs" dxfId="7542" priority="8817" stopIfTrue="1" operator="equal">
      <formula>"SIM"</formula>
    </cfRule>
    <cfRule type="cellIs" dxfId="7541" priority="8818" stopIfTrue="1" operator="equal">
      <formula>"NÃO"</formula>
    </cfRule>
  </conditionalFormatting>
  <conditionalFormatting sqref="BF182 CJ182 DO182">
    <cfRule type="cellIs" dxfId="7540" priority="8813" stopIfTrue="1" operator="equal">
      <formula>0</formula>
    </cfRule>
    <cfRule type="cellIs" dxfId="7539" priority="8819" stopIfTrue="1" operator="notEqual">
      <formula>0</formula>
    </cfRule>
  </conditionalFormatting>
  <conditionalFormatting sqref="C182:D182">
    <cfRule type="expression" dxfId="7538" priority="8816" stopIfTrue="1">
      <formula>IF(AND($C182&lt;&gt;"",$H182+$L182=0),TRUE)</formula>
    </cfRule>
  </conditionalFormatting>
  <conditionalFormatting sqref="P182">
    <cfRule type="cellIs" dxfId="7537" priority="8805" stopIfTrue="1" operator="equal">
      <formula>1</formula>
    </cfRule>
    <cfRule type="cellIs" dxfId="7536" priority="8814" stopIfTrue="1" operator="equal">
      <formula>2</formula>
    </cfRule>
    <cfRule type="cellIs" dxfId="7535" priority="8815" stopIfTrue="1" operator="equal">
      <formula>"X"</formula>
    </cfRule>
  </conditionalFormatting>
  <conditionalFormatting sqref="GU182">
    <cfRule type="cellIs" dxfId="7534" priority="8807" stopIfTrue="1" operator="equal">
      <formula>0</formula>
    </cfRule>
    <cfRule type="cellIs" dxfId="7533" priority="8808" stopIfTrue="1" operator="notEqual">
      <formula>0</formula>
    </cfRule>
  </conditionalFormatting>
  <conditionalFormatting sqref="GV182">
    <cfRule type="cellIs" dxfId="7532" priority="8806" stopIfTrue="1" operator="equal">
      <formula>"STOP"</formula>
    </cfRule>
  </conditionalFormatting>
  <conditionalFormatting sqref="Q183">
    <cfRule type="cellIs" dxfId="7531" priority="8800" stopIfTrue="1" operator="equal">
      <formula>"SIM"</formula>
    </cfRule>
    <cfRule type="cellIs" dxfId="7530" priority="8801" stopIfTrue="1" operator="equal">
      <formula>"NÃO"</formula>
    </cfRule>
  </conditionalFormatting>
  <conditionalFormatting sqref="BF183 CJ183 DO183">
    <cfRule type="cellIs" dxfId="7529" priority="8796" stopIfTrue="1" operator="equal">
      <formula>0</formula>
    </cfRule>
    <cfRule type="cellIs" dxfId="7528" priority="8802" stopIfTrue="1" operator="notEqual">
      <formula>0</formula>
    </cfRule>
  </conditionalFormatting>
  <conditionalFormatting sqref="C183:D183">
    <cfRule type="expression" dxfId="7527" priority="8799" stopIfTrue="1">
      <formula>IF(AND($C183&lt;&gt;"",$H183+$L183=0),TRUE)</formula>
    </cfRule>
  </conditionalFormatting>
  <conditionalFormatting sqref="P183">
    <cfRule type="cellIs" dxfId="7526" priority="8788" stopIfTrue="1" operator="equal">
      <formula>1</formula>
    </cfRule>
    <cfRule type="cellIs" dxfId="7525" priority="8797" stopIfTrue="1" operator="equal">
      <formula>2</formula>
    </cfRule>
    <cfRule type="cellIs" dxfId="7524" priority="8798" stopIfTrue="1" operator="equal">
      <formula>"X"</formula>
    </cfRule>
  </conditionalFormatting>
  <conditionalFormatting sqref="GU183">
    <cfRule type="cellIs" dxfId="7523" priority="8790" stopIfTrue="1" operator="equal">
      <formula>0</formula>
    </cfRule>
    <cfRule type="cellIs" dxfId="7522" priority="8791" stopIfTrue="1" operator="notEqual">
      <formula>0</formula>
    </cfRule>
  </conditionalFormatting>
  <conditionalFormatting sqref="GV183">
    <cfRule type="cellIs" dxfId="7521" priority="8789" stopIfTrue="1" operator="equal">
      <formula>"STOP"</formula>
    </cfRule>
  </conditionalFormatting>
  <conditionalFormatting sqref="Q176">
    <cfRule type="cellIs" dxfId="7520" priority="11843" stopIfTrue="1" operator="equal">
      <formula>"SIM"</formula>
    </cfRule>
    <cfRule type="cellIs" dxfId="7519" priority="11844" stopIfTrue="1" operator="equal">
      <formula>"NÃO"</formula>
    </cfRule>
  </conditionalFormatting>
  <conditionalFormatting sqref="BF176 CJ176 DO176">
    <cfRule type="cellIs" dxfId="7518" priority="11839" stopIfTrue="1" operator="equal">
      <formula>0</formula>
    </cfRule>
    <cfRule type="cellIs" dxfId="7517" priority="11845" stopIfTrue="1" operator="notEqual">
      <formula>0</formula>
    </cfRule>
  </conditionalFormatting>
  <conditionalFormatting sqref="C176:D176">
    <cfRule type="expression" dxfId="7516" priority="11842" stopIfTrue="1">
      <formula>IF(AND($C176&lt;&gt;"",$H176+$L176=0),TRUE)</formula>
    </cfRule>
  </conditionalFormatting>
  <conditionalFormatting sqref="P176">
    <cfRule type="cellIs" dxfId="7515" priority="11831" stopIfTrue="1" operator="equal">
      <formula>1</formula>
    </cfRule>
    <cfRule type="cellIs" dxfId="7514" priority="11840" stopIfTrue="1" operator="equal">
      <formula>2</formula>
    </cfRule>
    <cfRule type="cellIs" dxfId="7513" priority="11841" stopIfTrue="1" operator="equal">
      <formula>"X"</formula>
    </cfRule>
  </conditionalFormatting>
  <conditionalFormatting sqref="GU176">
    <cfRule type="cellIs" dxfId="7512" priority="11833" stopIfTrue="1" operator="equal">
      <formula>0</formula>
    </cfRule>
    <cfRule type="cellIs" dxfId="7511" priority="11834" stopIfTrue="1" operator="notEqual">
      <formula>0</formula>
    </cfRule>
  </conditionalFormatting>
  <conditionalFormatting sqref="GV176">
    <cfRule type="cellIs" dxfId="7510" priority="11832" stopIfTrue="1" operator="equal">
      <formula>"STOP"</formula>
    </cfRule>
  </conditionalFormatting>
  <conditionalFormatting sqref="Q182">
    <cfRule type="cellIs" dxfId="7509" priority="8766" stopIfTrue="1" operator="equal">
      <formula>"SIM"</formula>
    </cfRule>
    <cfRule type="cellIs" dxfId="7508" priority="8767" stopIfTrue="1" operator="equal">
      <formula>"NÃO"</formula>
    </cfRule>
  </conditionalFormatting>
  <conditionalFormatting sqref="BF182 CJ182 DO182">
    <cfRule type="cellIs" dxfId="7507" priority="8762" stopIfTrue="1" operator="equal">
      <formula>0</formula>
    </cfRule>
    <cfRule type="cellIs" dxfId="7506" priority="8768" stopIfTrue="1" operator="notEqual">
      <formula>0</formula>
    </cfRule>
  </conditionalFormatting>
  <conditionalFormatting sqref="C182:D182">
    <cfRule type="expression" dxfId="7505" priority="8765" stopIfTrue="1">
      <formula>IF(AND($C182&lt;&gt;"",$H182+$L182=0),TRUE)</formula>
    </cfRule>
  </conditionalFormatting>
  <conditionalFormatting sqref="P182">
    <cfRule type="cellIs" dxfId="7504" priority="8754" stopIfTrue="1" operator="equal">
      <formula>1</formula>
    </cfRule>
    <cfRule type="cellIs" dxfId="7503" priority="8763" stopIfTrue="1" operator="equal">
      <formula>2</formula>
    </cfRule>
    <cfRule type="cellIs" dxfId="7502" priority="8764" stopIfTrue="1" operator="equal">
      <formula>"X"</formula>
    </cfRule>
  </conditionalFormatting>
  <conditionalFormatting sqref="GU182">
    <cfRule type="cellIs" dxfId="7501" priority="8756" stopIfTrue="1" operator="equal">
      <formula>0</formula>
    </cfRule>
    <cfRule type="cellIs" dxfId="7500" priority="8757" stopIfTrue="1" operator="notEqual">
      <formula>0</formula>
    </cfRule>
  </conditionalFormatting>
  <conditionalFormatting sqref="GV182">
    <cfRule type="cellIs" dxfId="7499" priority="8755" stopIfTrue="1" operator="equal">
      <formula>"STOP"</formula>
    </cfRule>
  </conditionalFormatting>
  <conditionalFormatting sqref="Q183">
    <cfRule type="cellIs" dxfId="7498" priority="8749" stopIfTrue="1" operator="equal">
      <formula>"SIM"</formula>
    </cfRule>
    <cfRule type="cellIs" dxfId="7497" priority="8750" stopIfTrue="1" operator="equal">
      <formula>"NÃO"</formula>
    </cfRule>
  </conditionalFormatting>
  <conditionalFormatting sqref="BF183 CJ183 DO183">
    <cfRule type="cellIs" dxfId="7496" priority="8745" stopIfTrue="1" operator="equal">
      <formula>0</formula>
    </cfRule>
    <cfRule type="cellIs" dxfId="7495" priority="8751" stopIfTrue="1" operator="notEqual">
      <formula>0</formula>
    </cfRule>
  </conditionalFormatting>
  <conditionalFormatting sqref="C183:D183">
    <cfRule type="expression" dxfId="7494" priority="8748" stopIfTrue="1">
      <formula>IF(AND($C183&lt;&gt;"",$H183+$L183=0),TRUE)</formula>
    </cfRule>
  </conditionalFormatting>
  <conditionalFormatting sqref="P183">
    <cfRule type="cellIs" dxfId="7493" priority="8737" stopIfTrue="1" operator="equal">
      <formula>1</formula>
    </cfRule>
    <cfRule type="cellIs" dxfId="7492" priority="8746" stopIfTrue="1" operator="equal">
      <formula>2</formula>
    </cfRule>
    <cfRule type="cellIs" dxfId="7491" priority="8747" stopIfTrue="1" operator="equal">
      <formula>"X"</formula>
    </cfRule>
  </conditionalFormatting>
  <conditionalFormatting sqref="GU183">
    <cfRule type="cellIs" dxfId="7490" priority="8739" stopIfTrue="1" operator="equal">
      <formula>0</formula>
    </cfRule>
    <cfRule type="cellIs" dxfId="7489" priority="8740" stopIfTrue="1" operator="notEqual">
      <formula>0</formula>
    </cfRule>
  </conditionalFormatting>
  <conditionalFormatting sqref="GV183">
    <cfRule type="cellIs" dxfId="7488" priority="8738" stopIfTrue="1" operator="equal">
      <formula>"STOP"</formula>
    </cfRule>
  </conditionalFormatting>
  <conditionalFormatting sqref="Q175">
    <cfRule type="cellIs" dxfId="7487" priority="11826" stopIfTrue="1" operator="equal">
      <formula>"SIM"</formula>
    </cfRule>
    <cfRule type="cellIs" dxfId="7486" priority="11827" stopIfTrue="1" operator="equal">
      <formula>"NÃO"</formula>
    </cfRule>
  </conditionalFormatting>
  <conditionalFormatting sqref="BF175 CJ175 DO175">
    <cfRule type="cellIs" dxfId="7485" priority="11822" stopIfTrue="1" operator="equal">
      <formula>0</formula>
    </cfRule>
    <cfRule type="cellIs" dxfId="7484" priority="11828" stopIfTrue="1" operator="notEqual">
      <formula>0</formula>
    </cfRule>
  </conditionalFormatting>
  <conditionalFormatting sqref="C175:D175">
    <cfRule type="expression" dxfId="7483" priority="11825" stopIfTrue="1">
      <formula>IF(AND($C175&lt;&gt;"",$H175+$L175=0),TRUE)</formula>
    </cfRule>
  </conditionalFormatting>
  <conditionalFormatting sqref="P175">
    <cfRule type="cellIs" dxfId="7482" priority="11814" stopIfTrue="1" operator="equal">
      <formula>1</formula>
    </cfRule>
    <cfRule type="cellIs" dxfId="7481" priority="11823" stopIfTrue="1" operator="equal">
      <formula>2</formula>
    </cfRule>
    <cfRule type="cellIs" dxfId="7480" priority="11824" stopIfTrue="1" operator="equal">
      <formula>"X"</formula>
    </cfRule>
  </conditionalFormatting>
  <conditionalFormatting sqref="GU175">
    <cfRule type="cellIs" dxfId="7479" priority="11816" stopIfTrue="1" operator="equal">
      <formula>0</formula>
    </cfRule>
    <cfRule type="cellIs" dxfId="7478" priority="11817" stopIfTrue="1" operator="notEqual">
      <formula>0</formula>
    </cfRule>
  </conditionalFormatting>
  <conditionalFormatting sqref="GV175">
    <cfRule type="cellIs" dxfId="7477" priority="11815" stopIfTrue="1" operator="equal">
      <formula>"STOP"</formula>
    </cfRule>
  </conditionalFormatting>
  <conditionalFormatting sqref="Q176">
    <cfRule type="cellIs" dxfId="7476" priority="11809" stopIfTrue="1" operator="equal">
      <formula>"SIM"</formula>
    </cfRule>
    <cfRule type="cellIs" dxfId="7475" priority="11810" stopIfTrue="1" operator="equal">
      <formula>"NÃO"</formula>
    </cfRule>
  </conditionalFormatting>
  <conditionalFormatting sqref="BF176 CJ176 DO176">
    <cfRule type="cellIs" dxfId="7474" priority="11805" stopIfTrue="1" operator="equal">
      <formula>0</formula>
    </cfRule>
    <cfRule type="cellIs" dxfId="7473" priority="11811" stopIfTrue="1" operator="notEqual">
      <formula>0</formula>
    </cfRule>
  </conditionalFormatting>
  <conditionalFormatting sqref="C176:D176">
    <cfRule type="expression" dxfId="7472" priority="11808" stopIfTrue="1">
      <formula>IF(AND($C176&lt;&gt;"",$H176+$L176=0),TRUE)</formula>
    </cfRule>
  </conditionalFormatting>
  <conditionalFormatting sqref="P176">
    <cfRule type="cellIs" dxfId="7471" priority="11797" stopIfTrue="1" operator="equal">
      <formula>1</formula>
    </cfRule>
    <cfRule type="cellIs" dxfId="7470" priority="11806" stopIfTrue="1" operator="equal">
      <formula>2</formula>
    </cfRule>
    <cfRule type="cellIs" dxfId="7469" priority="11807" stopIfTrue="1" operator="equal">
      <formula>"X"</formula>
    </cfRule>
  </conditionalFormatting>
  <conditionalFormatting sqref="GU176">
    <cfRule type="cellIs" dxfId="7468" priority="11799" stopIfTrue="1" operator="equal">
      <formula>0</formula>
    </cfRule>
    <cfRule type="cellIs" dxfId="7467" priority="11800" stopIfTrue="1" operator="notEqual">
      <formula>0</formula>
    </cfRule>
  </conditionalFormatting>
  <conditionalFormatting sqref="GV176">
    <cfRule type="cellIs" dxfId="7466" priority="11798" stopIfTrue="1" operator="equal">
      <formula>"STOP"</formula>
    </cfRule>
  </conditionalFormatting>
  <conditionalFormatting sqref="Q182">
    <cfRule type="cellIs" dxfId="7465" priority="8698" stopIfTrue="1" operator="equal">
      <formula>"SIM"</formula>
    </cfRule>
    <cfRule type="cellIs" dxfId="7464" priority="8699" stopIfTrue="1" operator="equal">
      <formula>"NÃO"</formula>
    </cfRule>
  </conditionalFormatting>
  <conditionalFormatting sqref="BF182 CJ182 DO182">
    <cfRule type="cellIs" dxfId="7463" priority="8694" stopIfTrue="1" operator="equal">
      <formula>0</formula>
    </cfRule>
    <cfRule type="cellIs" dxfId="7462" priority="8700" stopIfTrue="1" operator="notEqual">
      <formula>0</formula>
    </cfRule>
  </conditionalFormatting>
  <conditionalFormatting sqref="C182:D182">
    <cfRule type="expression" dxfId="7461" priority="8697" stopIfTrue="1">
      <formula>IF(AND($C182&lt;&gt;"",$H182+$L182=0),TRUE)</formula>
    </cfRule>
  </conditionalFormatting>
  <conditionalFormatting sqref="P182">
    <cfRule type="cellIs" dxfId="7460" priority="8686" stopIfTrue="1" operator="equal">
      <formula>1</formula>
    </cfRule>
    <cfRule type="cellIs" dxfId="7459" priority="8695" stopIfTrue="1" operator="equal">
      <formula>2</formula>
    </cfRule>
    <cfRule type="cellIs" dxfId="7458" priority="8696" stopIfTrue="1" operator="equal">
      <formula>"X"</formula>
    </cfRule>
  </conditionalFormatting>
  <conditionalFormatting sqref="GU182">
    <cfRule type="cellIs" dxfId="7457" priority="8688" stopIfTrue="1" operator="equal">
      <formula>0</formula>
    </cfRule>
    <cfRule type="cellIs" dxfId="7456" priority="8689" stopIfTrue="1" operator="notEqual">
      <formula>0</formula>
    </cfRule>
  </conditionalFormatting>
  <conditionalFormatting sqref="GV182">
    <cfRule type="cellIs" dxfId="7455" priority="8687" stopIfTrue="1" operator="equal">
      <formula>"STOP"</formula>
    </cfRule>
  </conditionalFormatting>
  <conditionalFormatting sqref="Q183">
    <cfRule type="cellIs" dxfId="7454" priority="8681" stopIfTrue="1" operator="equal">
      <formula>"SIM"</formula>
    </cfRule>
    <cfRule type="cellIs" dxfId="7453" priority="8682" stopIfTrue="1" operator="equal">
      <formula>"NÃO"</formula>
    </cfRule>
  </conditionalFormatting>
  <conditionalFormatting sqref="BF183 CJ183 DO183">
    <cfRule type="cellIs" dxfId="7452" priority="8677" stopIfTrue="1" operator="equal">
      <formula>0</formula>
    </cfRule>
    <cfRule type="cellIs" dxfId="7451" priority="8683" stopIfTrue="1" operator="notEqual">
      <formula>0</formula>
    </cfRule>
  </conditionalFormatting>
  <conditionalFormatting sqref="C183:D183">
    <cfRule type="expression" dxfId="7450" priority="8680" stopIfTrue="1">
      <formula>IF(AND($C183&lt;&gt;"",$H183+$L183=0),TRUE)</formula>
    </cfRule>
  </conditionalFormatting>
  <conditionalFormatting sqref="P183">
    <cfRule type="cellIs" dxfId="7449" priority="8669" stopIfTrue="1" operator="equal">
      <formula>1</formula>
    </cfRule>
    <cfRule type="cellIs" dxfId="7448" priority="8678" stopIfTrue="1" operator="equal">
      <formula>2</formula>
    </cfRule>
    <cfRule type="cellIs" dxfId="7447" priority="8679" stopIfTrue="1" operator="equal">
      <formula>"X"</formula>
    </cfRule>
  </conditionalFormatting>
  <conditionalFormatting sqref="GU183">
    <cfRule type="cellIs" dxfId="7446" priority="8671" stopIfTrue="1" operator="equal">
      <formula>0</formula>
    </cfRule>
    <cfRule type="cellIs" dxfId="7445" priority="8672" stopIfTrue="1" operator="notEqual">
      <formula>0</formula>
    </cfRule>
  </conditionalFormatting>
  <conditionalFormatting sqref="GV183">
    <cfRule type="cellIs" dxfId="7444" priority="8670" stopIfTrue="1" operator="equal">
      <formula>"STOP"</formula>
    </cfRule>
  </conditionalFormatting>
  <conditionalFormatting sqref="Q179">
    <cfRule type="cellIs" dxfId="7443" priority="11792" stopIfTrue="1" operator="equal">
      <formula>"SIM"</formula>
    </cfRule>
    <cfRule type="cellIs" dxfId="7442" priority="11793" stopIfTrue="1" operator="equal">
      <formula>"NÃO"</formula>
    </cfRule>
  </conditionalFormatting>
  <conditionalFormatting sqref="BF179 CJ179 DO179">
    <cfRule type="cellIs" dxfId="7441" priority="11788" stopIfTrue="1" operator="equal">
      <formula>0</formula>
    </cfRule>
    <cfRule type="cellIs" dxfId="7440" priority="11794" stopIfTrue="1" operator="notEqual">
      <formula>0</formula>
    </cfRule>
  </conditionalFormatting>
  <conditionalFormatting sqref="C179:D179">
    <cfRule type="expression" dxfId="7439" priority="11791" stopIfTrue="1">
      <formula>IF(AND($C179&lt;&gt;"",$H179+$L179=0),TRUE)</formula>
    </cfRule>
  </conditionalFormatting>
  <conditionalFormatting sqref="P179">
    <cfRule type="cellIs" dxfId="7438" priority="11780" stopIfTrue="1" operator="equal">
      <formula>1</formula>
    </cfRule>
    <cfRule type="cellIs" dxfId="7437" priority="11789" stopIfTrue="1" operator="equal">
      <formula>2</formula>
    </cfRule>
    <cfRule type="cellIs" dxfId="7436" priority="11790" stopIfTrue="1" operator="equal">
      <formula>"X"</formula>
    </cfRule>
  </conditionalFormatting>
  <conditionalFormatting sqref="GU179">
    <cfRule type="cellIs" dxfId="7435" priority="11782" stopIfTrue="1" operator="equal">
      <formula>0</formula>
    </cfRule>
    <cfRule type="cellIs" dxfId="7434" priority="11783" stopIfTrue="1" operator="notEqual">
      <formula>0</formula>
    </cfRule>
  </conditionalFormatting>
  <conditionalFormatting sqref="GV179">
    <cfRule type="cellIs" dxfId="7433" priority="11781" stopIfTrue="1" operator="equal">
      <formula>"STOP"</formula>
    </cfRule>
  </conditionalFormatting>
  <conditionalFormatting sqref="Q180">
    <cfRule type="cellIs" dxfId="7432" priority="11775" stopIfTrue="1" operator="equal">
      <formula>"SIM"</formula>
    </cfRule>
    <cfRule type="cellIs" dxfId="7431" priority="11776" stopIfTrue="1" operator="equal">
      <formula>"NÃO"</formula>
    </cfRule>
  </conditionalFormatting>
  <conditionalFormatting sqref="BF180 CJ180 DO180">
    <cfRule type="cellIs" dxfId="7430" priority="11771" stopIfTrue="1" operator="equal">
      <formula>0</formula>
    </cfRule>
    <cfRule type="cellIs" dxfId="7429" priority="11777" stopIfTrue="1" operator="notEqual">
      <formula>0</formula>
    </cfRule>
  </conditionalFormatting>
  <conditionalFormatting sqref="C180:D180">
    <cfRule type="expression" dxfId="7428" priority="11774" stopIfTrue="1">
      <formula>IF(AND($C180&lt;&gt;"",$H180+$L180=0),TRUE)</formula>
    </cfRule>
  </conditionalFormatting>
  <conditionalFormatting sqref="P180">
    <cfRule type="cellIs" dxfId="7427" priority="11763" stopIfTrue="1" operator="equal">
      <formula>1</formula>
    </cfRule>
    <cfRule type="cellIs" dxfId="7426" priority="11772" stopIfTrue="1" operator="equal">
      <formula>2</formula>
    </cfRule>
    <cfRule type="cellIs" dxfId="7425" priority="11773" stopIfTrue="1" operator="equal">
      <formula>"X"</formula>
    </cfRule>
  </conditionalFormatting>
  <conditionalFormatting sqref="GU180">
    <cfRule type="cellIs" dxfId="7424" priority="11765" stopIfTrue="1" operator="equal">
      <formula>0</formula>
    </cfRule>
    <cfRule type="cellIs" dxfId="7423" priority="11766" stopIfTrue="1" operator="notEqual">
      <formula>0</formula>
    </cfRule>
  </conditionalFormatting>
  <conditionalFormatting sqref="GV180">
    <cfRule type="cellIs" dxfId="7422" priority="11764" stopIfTrue="1" operator="equal">
      <formula>"STOP"</formula>
    </cfRule>
  </conditionalFormatting>
  <conditionalFormatting sqref="Q176">
    <cfRule type="cellIs" dxfId="7421" priority="11758" stopIfTrue="1" operator="equal">
      <formula>"SIM"</formula>
    </cfRule>
    <cfRule type="cellIs" dxfId="7420" priority="11759" stopIfTrue="1" operator="equal">
      <formula>"NÃO"</formula>
    </cfRule>
  </conditionalFormatting>
  <conditionalFormatting sqref="BF176 CJ176 DO176">
    <cfRule type="cellIs" dxfId="7419" priority="11754" stopIfTrue="1" operator="equal">
      <formula>0</formula>
    </cfRule>
    <cfRule type="cellIs" dxfId="7418" priority="11760" stopIfTrue="1" operator="notEqual">
      <formula>0</formula>
    </cfRule>
  </conditionalFormatting>
  <conditionalFormatting sqref="C176:D176">
    <cfRule type="expression" dxfId="7417" priority="11757" stopIfTrue="1">
      <formula>IF(AND($C176&lt;&gt;"",$H176+$L176=0),TRUE)</formula>
    </cfRule>
  </conditionalFormatting>
  <conditionalFormatting sqref="P176">
    <cfRule type="cellIs" dxfId="7416" priority="11746" stopIfTrue="1" operator="equal">
      <formula>1</formula>
    </cfRule>
    <cfRule type="cellIs" dxfId="7415" priority="11755" stopIfTrue="1" operator="equal">
      <formula>2</formula>
    </cfRule>
    <cfRule type="cellIs" dxfId="7414" priority="11756" stopIfTrue="1" operator="equal">
      <formula>"X"</formula>
    </cfRule>
  </conditionalFormatting>
  <conditionalFormatting sqref="GU176">
    <cfRule type="cellIs" dxfId="7413" priority="11748" stopIfTrue="1" operator="equal">
      <formula>0</formula>
    </cfRule>
    <cfRule type="cellIs" dxfId="7412" priority="11749" stopIfTrue="1" operator="notEqual">
      <formula>0</formula>
    </cfRule>
  </conditionalFormatting>
  <conditionalFormatting sqref="GV176">
    <cfRule type="cellIs" dxfId="7411" priority="11747" stopIfTrue="1" operator="equal">
      <formula>"STOP"</formula>
    </cfRule>
  </conditionalFormatting>
  <conditionalFormatting sqref="Q182">
    <cfRule type="cellIs" dxfId="7410" priority="8613" stopIfTrue="1" operator="equal">
      <formula>"SIM"</formula>
    </cfRule>
    <cfRule type="cellIs" dxfId="7409" priority="8614" stopIfTrue="1" operator="equal">
      <formula>"NÃO"</formula>
    </cfRule>
  </conditionalFormatting>
  <conditionalFormatting sqref="BF182 CJ182 DO182">
    <cfRule type="cellIs" dxfId="7408" priority="8609" stopIfTrue="1" operator="equal">
      <formula>0</formula>
    </cfRule>
    <cfRule type="cellIs" dxfId="7407" priority="8615" stopIfTrue="1" operator="notEqual">
      <formula>0</formula>
    </cfRule>
  </conditionalFormatting>
  <conditionalFormatting sqref="C182:D182">
    <cfRule type="expression" dxfId="7406" priority="8612" stopIfTrue="1">
      <formula>IF(AND($C182&lt;&gt;"",$H182+$L182=0),TRUE)</formula>
    </cfRule>
  </conditionalFormatting>
  <conditionalFormatting sqref="P182">
    <cfRule type="cellIs" dxfId="7405" priority="8601" stopIfTrue="1" operator="equal">
      <formula>1</formula>
    </cfRule>
    <cfRule type="cellIs" dxfId="7404" priority="8610" stopIfTrue="1" operator="equal">
      <formula>2</formula>
    </cfRule>
    <cfRule type="cellIs" dxfId="7403" priority="8611" stopIfTrue="1" operator="equal">
      <formula>"X"</formula>
    </cfRule>
  </conditionalFormatting>
  <conditionalFormatting sqref="GU182">
    <cfRule type="cellIs" dxfId="7402" priority="8603" stopIfTrue="1" operator="equal">
      <formula>0</formula>
    </cfRule>
    <cfRule type="cellIs" dxfId="7401" priority="8604" stopIfTrue="1" operator="notEqual">
      <formula>0</formula>
    </cfRule>
  </conditionalFormatting>
  <conditionalFormatting sqref="GV182">
    <cfRule type="cellIs" dxfId="7400" priority="8602" stopIfTrue="1" operator="equal">
      <formula>"STOP"</formula>
    </cfRule>
  </conditionalFormatting>
  <conditionalFormatting sqref="Q183">
    <cfRule type="cellIs" dxfId="7399" priority="8596" stopIfTrue="1" operator="equal">
      <formula>"SIM"</formula>
    </cfRule>
    <cfRule type="cellIs" dxfId="7398" priority="8597" stopIfTrue="1" operator="equal">
      <formula>"NÃO"</formula>
    </cfRule>
  </conditionalFormatting>
  <conditionalFormatting sqref="BF183 CJ183 DO183">
    <cfRule type="cellIs" dxfId="7397" priority="8592" stopIfTrue="1" operator="equal">
      <formula>0</formula>
    </cfRule>
    <cfRule type="cellIs" dxfId="7396" priority="8598" stopIfTrue="1" operator="notEqual">
      <formula>0</formula>
    </cfRule>
  </conditionalFormatting>
  <conditionalFormatting sqref="C183:D183">
    <cfRule type="expression" dxfId="7395" priority="8595" stopIfTrue="1">
      <formula>IF(AND($C183&lt;&gt;"",$H183+$L183=0),TRUE)</formula>
    </cfRule>
  </conditionalFormatting>
  <conditionalFormatting sqref="P183">
    <cfRule type="cellIs" dxfId="7394" priority="8584" stopIfTrue="1" operator="equal">
      <formula>1</formula>
    </cfRule>
    <cfRule type="cellIs" dxfId="7393" priority="8593" stopIfTrue="1" operator="equal">
      <formula>2</formula>
    </cfRule>
    <cfRule type="cellIs" dxfId="7392" priority="8594" stopIfTrue="1" operator="equal">
      <formula>"X"</formula>
    </cfRule>
  </conditionalFormatting>
  <conditionalFormatting sqref="GU183">
    <cfRule type="cellIs" dxfId="7391" priority="8586" stopIfTrue="1" operator="equal">
      <formula>0</formula>
    </cfRule>
    <cfRule type="cellIs" dxfId="7390" priority="8587" stopIfTrue="1" operator="notEqual">
      <formula>0</formula>
    </cfRule>
  </conditionalFormatting>
  <conditionalFormatting sqref="GV183">
    <cfRule type="cellIs" dxfId="7389" priority="8585" stopIfTrue="1" operator="equal">
      <formula>"STOP"</formula>
    </cfRule>
  </conditionalFormatting>
  <conditionalFormatting sqref="Q176">
    <cfRule type="cellIs" dxfId="7388" priority="11741" stopIfTrue="1" operator="equal">
      <formula>"SIM"</formula>
    </cfRule>
    <cfRule type="cellIs" dxfId="7387" priority="11742" stopIfTrue="1" operator="equal">
      <formula>"NÃO"</formula>
    </cfRule>
  </conditionalFormatting>
  <conditionalFormatting sqref="BF176 CJ176 DO176">
    <cfRule type="cellIs" dxfId="7386" priority="11737" stopIfTrue="1" operator="equal">
      <formula>0</formula>
    </cfRule>
    <cfRule type="cellIs" dxfId="7385" priority="11743" stopIfTrue="1" operator="notEqual">
      <formula>0</formula>
    </cfRule>
  </conditionalFormatting>
  <conditionalFormatting sqref="C176:D176">
    <cfRule type="expression" dxfId="7384" priority="11740" stopIfTrue="1">
      <formula>IF(AND($C176&lt;&gt;"",$H176+$L176=0),TRUE)</formula>
    </cfRule>
  </conditionalFormatting>
  <conditionalFormatting sqref="P176">
    <cfRule type="cellIs" dxfId="7383" priority="11729" stopIfTrue="1" operator="equal">
      <formula>1</formula>
    </cfRule>
    <cfRule type="cellIs" dxfId="7382" priority="11738" stopIfTrue="1" operator="equal">
      <formula>2</formula>
    </cfRule>
    <cfRule type="cellIs" dxfId="7381" priority="11739" stopIfTrue="1" operator="equal">
      <formula>"X"</formula>
    </cfRule>
  </conditionalFormatting>
  <conditionalFormatting sqref="GU176">
    <cfRule type="cellIs" dxfId="7380" priority="11731" stopIfTrue="1" operator="equal">
      <formula>0</formula>
    </cfRule>
    <cfRule type="cellIs" dxfId="7379" priority="11732" stopIfTrue="1" operator="notEqual">
      <formula>0</formula>
    </cfRule>
  </conditionalFormatting>
  <conditionalFormatting sqref="GV176">
    <cfRule type="cellIs" dxfId="7378" priority="11730" stopIfTrue="1" operator="equal">
      <formula>"STOP"</formula>
    </cfRule>
  </conditionalFormatting>
  <conditionalFormatting sqref="Q182">
    <cfRule type="cellIs" dxfId="7377" priority="8562" stopIfTrue="1" operator="equal">
      <formula>"SIM"</formula>
    </cfRule>
    <cfRule type="cellIs" dxfId="7376" priority="8563" stopIfTrue="1" operator="equal">
      <formula>"NÃO"</formula>
    </cfRule>
  </conditionalFormatting>
  <conditionalFormatting sqref="BF182 CJ182 DO182">
    <cfRule type="cellIs" dxfId="7375" priority="8558" stopIfTrue="1" operator="equal">
      <formula>0</formula>
    </cfRule>
    <cfRule type="cellIs" dxfId="7374" priority="8564" stopIfTrue="1" operator="notEqual">
      <formula>0</formula>
    </cfRule>
  </conditionalFormatting>
  <conditionalFormatting sqref="C182:D182">
    <cfRule type="expression" dxfId="7373" priority="8561" stopIfTrue="1">
      <formula>IF(AND($C182&lt;&gt;"",$H182+$L182=0),TRUE)</formula>
    </cfRule>
  </conditionalFormatting>
  <conditionalFormatting sqref="P182">
    <cfRule type="cellIs" dxfId="7372" priority="8550" stopIfTrue="1" operator="equal">
      <formula>1</formula>
    </cfRule>
    <cfRule type="cellIs" dxfId="7371" priority="8559" stopIfTrue="1" operator="equal">
      <formula>2</formula>
    </cfRule>
    <cfRule type="cellIs" dxfId="7370" priority="8560" stopIfTrue="1" operator="equal">
      <formula>"X"</formula>
    </cfRule>
  </conditionalFormatting>
  <conditionalFormatting sqref="GU182">
    <cfRule type="cellIs" dxfId="7369" priority="8552" stopIfTrue="1" operator="equal">
      <formula>0</formula>
    </cfRule>
    <cfRule type="cellIs" dxfId="7368" priority="8553" stopIfTrue="1" operator="notEqual">
      <formula>0</formula>
    </cfRule>
  </conditionalFormatting>
  <conditionalFormatting sqref="GV182">
    <cfRule type="cellIs" dxfId="7367" priority="8551" stopIfTrue="1" operator="equal">
      <formula>"STOP"</formula>
    </cfRule>
  </conditionalFormatting>
  <conditionalFormatting sqref="Q183">
    <cfRule type="cellIs" dxfId="7366" priority="8545" stopIfTrue="1" operator="equal">
      <formula>"SIM"</formula>
    </cfRule>
    <cfRule type="cellIs" dxfId="7365" priority="8546" stopIfTrue="1" operator="equal">
      <formula>"NÃO"</formula>
    </cfRule>
  </conditionalFormatting>
  <conditionalFormatting sqref="BF183 CJ183 DO183">
    <cfRule type="cellIs" dxfId="7364" priority="8541" stopIfTrue="1" operator="equal">
      <formula>0</formula>
    </cfRule>
    <cfRule type="cellIs" dxfId="7363" priority="8547" stopIfTrue="1" operator="notEqual">
      <formula>0</formula>
    </cfRule>
  </conditionalFormatting>
  <conditionalFormatting sqref="C183:D183">
    <cfRule type="expression" dxfId="7362" priority="8544" stopIfTrue="1">
      <formula>IF(AND($C183&lt;&gt;"",$H183+$L183=0),TRUE)</formula>
    </cfRule>
  </conditionalFormatting>
  <conditionalFormatting sqref="P183">
    <cfRule type="cellIs" dxfId="7361" priority="8533" stopIfTrue="1" operator="equal">
      <formula>1</formula>
    </cfRule>
    <cfRule type="cellIs" dxfId="7360" priority="8542" stopIfTrue="1" operator="equal">
      <formula>2</formula>
    </cfRule>
    <cfRule type="cellIs" dxfId="7359" priority="8543" stopIfTrue="1" operator="equal">
      <formula>"X"</formula>
    </cfRule>
  </conditionalFormatting>
  <conditionalFormatting sqref="GU183">
    <cfRule type="cellIs" dxfId="7358" priority="8535" stopIfTrue="1" operator="equal">
      <formula>0</formula>
    </cfRule>
    <cfRule type="cellIs" dxfId="7357" priority="8536" stopIfTrue="1" operator="notEqual">
      <formula>0</formula>
    </cfRule>
  </conditionalFormatting>
  <conditionalFormatting sqref="GV183">
    <cfRule type="cellIs" dxfId="7356" priority="8534" stopIfTrue="1" operator="equal">
      <formula>"STOP"</formula>
    </cfRule>
  </conditionalFormatting>
  <conditionalFormatting sqref="Q179">
    <cfRule type="cellIs" dxfId="7355" priority="11724" stopIfTrue="1" operator="equal">
      <formula>"SIM"</formula>
    </cfRule>
    <cfRule type="cellIs" dxfId="7354" priority="11725" stopIfTrue="1" operator="equal">
      <formula>"NÃO"</formula>
    </cfRule>
  </conditionalFormatting>
  <conditionalFormatting sqref="BF179 CJ179 DO179">
    <cfRule type="cellIs" dxfId="7353" priority="11720" stopIfTrue="1" operator="equal">
      <formula>0</formula>
    </cfRule>
    <cfRule type="cellIs" dxfId="7352" priority="11726" stopIfTrue="1" operator="notEqual">
      <formula>0</formula>
    </cfRule>
  </conditionalFormatting>
  <conditionalFormatting sqref="C179:D179">
    <cfRule type="expression" dxfId="7351" priority="11723" stopIfTrue="1">
      <formula>IF(AND($C179&lt;&gt;"",$H179+$L179=0),TRUE)</formula>
    </cfRule>
  </conditionalFormatting>
  <conditionalFormatting sqref="P179">
    <cfRule type="cellIs" dxfId="7350" priority="11712" stopIfTrue="1" operator="equal">
      <formula>1</formula>
    </cfRule>
    <cfRule type="cellIs" dxfId="7349" priority="11721" stopIfTrue="1" operator="equal">
      <formula>2</formula>
    </cfRule>
    <cfRule type="cellIs" dxfId="7348" priority="11722" stopIfTrue="1" operator="equal">
      <formula>"X"</formula>
    </cfRule>
  </conditionalFormatting>
  <conditionalFormatting sqref="GU179">
    <cfRule type="cellIs" dxfId="7347" priority="11714" stopIfTrue="1" operator="equal">
      <formula>0</formula>
    </cfRule>
    <cfRule type="cellIs" dxfId="7346" priority="11715" stopIfTrue="1" operator="notEqual">
      <formula>0</formula>
    </cfRule>
  </conditionalFormatting>
  <conditionalFormatting sqref="GV179">
    <cfRule type="cellIs" dxfId="7345" priority="11713" stopIfTrue="1" operator="equal">
      <formula>"STOP"</formula>
    </cfRule>
  </conditionalFormatting>
  <conditionalFormatting sqref="Q182">
    <cfRule type="cellIs" dxfId="7344" priority="8511" stopIfTrue="1" operator="equal">
      <formula>"SIM"</formula>
    </cfRule>
    <cfRule type="cellIs" dxfId="7343" priority="8512" stopIfTrue="1" operator="equal">
      <formula>"NÃO"</formula>
    </cfRule>
  </conditionalFormatting>
  <conditionalFormatting sqref="BF182 CJ182 DO182">
    <cfRule type="cellIs" dxfId="7342" priority="8507" stopIfTrue="1" operator="equal">
      <formula>0</formula>
    </cfRule>
    <cfRule type="cellIs" dxfId="7341" priority="8513" stopIfTrue="1" operator="notEqual">
      <formula>0</formula>
    </cfRule>
  </conditionalFormatting>
  <conditionalFormatting sqref="C182:D182">
    <cfRule type="expression" dxfId="7340" priority="8510" stopIfTrue="1">
      <formula>IF(AND($C182&lt;&gt;"",$H182+$L182=0),TRUE)</formula>
    </cfRule>
  </conditionalFormatting>
  <conditionalFormatting sqref="P182">
    <cfRule type="cellIs" dxfId="7339" priority="8499" stopIfTrue="1" operator="equal">
      <formula>1</formula>
    </cfRule>
    <cfRule type="cellIs" dxfId="7338" priority="8508" stopIfTrue="1" operator="equal">
      <formula>2</formula>
    </cfRule>
    <cfRule type="cellIs" dxfId="7337" priority="8509" stopIfTrue="1" operator="equal">
      <formula>"X"</formula>
    </cfRule>
  </conditionalFormatting>
  <conditionalFormatting sqref="GU182">
    <cfRule type="cellIs" dxfId="7336" priority="8501" stopIfTrue="1" operator="equal">
      <formula>0</formula>
    </cfRule>
    <cfRule type="cellIs" dxfId="7335" priority="8502" stopIfTrue="1" operator="notEqual">
      <formula>0</formula>
    </cfRule>
  </conditionalFormatting>
  <conditionalFormatting sqref="GV182">
    <cfRule type="cellIs" dxfId="7334" priority="8500" stopIfTrue="1" operator="equal">
      <formula>"STOP"</formula>
    </cfRule>
  </conditionalFormatting>
  <conditionalFormatting sqref="Q183">
    <cfRule type="cellIs" dxfId="7333" priority="8494" stopIfTrue="1" operator="equal">
      <formula>"SIM"</formula>
    </cfRule>
    <cfRule type="cellIs" dxfId="7332" priority="8495" stopIfTrue="1" operator="equal">
      <formula>"NÃO"</formula>
    </cfRule>
  </conditionalFormatting>
  <conditionalFormatting sqref="BF183 CJ183 DO183">
    <cfRule type="cellIs" dxfId="7331" priority="8490" stopIfTrue="1" operator="equal">
      <formula>0</formula>
    </cfRule>
    <cfRule type="cellIs" dxfId="7330" priority="8496" stopIfTrue="1" operator="notEqual">
      <formula>0</formula>
    </cfRule>
  </conditionalFormatting>
  <conditionalFormatting sqref="C183:D183">
    <cfRule type="expression" dxfId="7329" priority="8493" stopIfTrue="1">
      <formula>IF(AND($C183&lt;&gt;"",$H183+$L183=0),TRUE)</formula>
    </cfRule>
  </conditionalFormatting>
  <conditionalFormatting sqref="P183">
    <cfRule type="cellIs" dxfId="7328" priority="8482" stopIfTrue="1" operator="equal">
      <formula>1</formula>
    </cfRule>
    <cfRule type="cellIs" dxfId="7327" priority="8491" stopIfTrue="1" operator="equal">
      <formula>2</formula>
    </cfRule>
    <cfRule type="cellIs" dxfId="7326" priority="8492" stopIfTrue="1" operator="equal">
      <formula>"X"</formula>
    </cfRule>
  </conditionalFormatting>
  <conditionalFormatting sqref="GU183">
    <cfRule type="cellIs" dxfId="7325" priority="8484" stopIfTrue="1" operator="equal">
      <formula>0</formula>
    </cfRule>
    <cfRule type="cellIs" dxfId="7324" priority="8485" stopIfTrue="1" operator="notEqual">
      <formula>0</formula>
    </cfRule>
  </conditionalFormatting>
  <conditionalFormatting sqref="GV183">
    <cfRule type="cellIs" dxfId="7323" priority="8483" stopIfTrue="1" operator="equal">
      <formula>"STOP"</formula>
    </cfRule>
  </conditionalFormatting>
  <conditionalFormatting sqref="Q179">
    <cfRule type="cellIs" dxfId="7322" priority="11707" stopIfTrue="1" operator="equal">
      <formula>"SIM"</formula>
    </cfRule>
    <cfRule type="cellIs" dxfId="7321" priority="11708" stopIfTrue="1" operator="equal">
      <formula>"NÃO"</formula>
    </cfRule>
  </conditionalFormatting>
  <conditionalFormatting sqref="BF179 CJ179 DO179">
    <cfRule type="cellIs" dxfId="7320" priority="11703" stopIfTrue="1" operator="equal">
      <formula>0</formula>
    </cfRule>
    <cfRule type="cellIs" dxfId="7319" priority="11709" stopIfTrue="1" operator="notEqual">
      <formula>0</formula>
    </cfRule>
  </conditionalFormatting>
  <conditionalFormatting sqref="C179:D179">
    <cfRule type="expression" dxfId="7318" priority="11706" stopIfTrue="1">
      <formula>IF(AND($C179&lt;&gt;"",$H179+$L179=0),TRUE)</formula>
    </cfRule>
  </conditionalFormatting>
  <conditionalFormatting sqref="P179">
    <cfRule type="cellIs" dxfId="7317" priority="11695" stopIfTrue="1" operator="equal">
      <formula>1</formula>
    </cfRule>
    <cfRule type="cellIs" dxfId="7316" priority="11704" stopIfTrue="1" operator="equal">
      <formula>2</formula>
    </cfRule>
    <cfRule type="cellIs" dxfId="7315" priority="11705" stopIfTrue="1" operator="equal">
      <formula>"X"</formula>
    </cfRule>
  </conditionalFormatting>
  <conditionalFormatting sqref="GU179">
    <cfRule type="cellIs" dxfId="7314" priority="11697" stopIfTrue="1" operator="equal">
      <formula>0</formula>
    </cfRule>
    <cfRule type="cellIs" dxfId="7313" priority="11698" stopIfTrue="1" operator="notEqual">
      <formula>0</formula>
    </cfRule>
  </conditionalFormatting>
  <conditionalFormatting sqref="GV179">
    <cfRule type="cellIs" dxfId="7312" priority="11696" stopIfTrue="1" operator="equal">
      <formula>"STOP"</formula>
    </cfRule>
  </conditionalFormatting>
  <conditionalFormatting sqref="Q128">
    <cfRule type="cellIs" dxfId="7311" priority="11690" stopIfTrue="1" operator="equal">
      <formula>"SIM"</formula>
    </cfRule>
    <cfRule type="cellIs" dxfId="7310" priority="11691" stopIfTrue="1" operator="equal">
      <formula>"NÃO"</formula>
    </cfRule>
  </conditionalFormatting>
  <conditionalFormatting sqref="DO128 CJ128 BF128">
    <cfRule type="cellIs" dxfId="7309" priority="11686" stopIfTrue="1" operator="equal">
      <formula>0</formula>
    </cfRule>
    <cfRule type="cellIs" dxfId="7308" priority="11692" stopIfTrue="1" operator="notEqual">
      <formula>0</formula>
    </cfRule>
  </conditionalFormatting>
  <conditionalFormatting sqref="C128:D128">
    <cfRule type="expression" dxfId="7307" priority="11689" stopIfTrue="1">
      <formula>IF(AND($C128&lt;&gt;"",$H128+$L128=0),TRUE)</formula>
    </cfRule>
  </conditionalFormatting>
  <conditionalFormatting sqref="P128">
    <cfRule type="cellIs" dxfId="7306" priority="11678" stopIfTrue="1" operator="equal">
      <formula>1</formula>
    </cfRule>
    <cfRule type="cellIs" dxfId="7305" priority="11687" stopIfTrue="1" operator="equal">
      <formula>2</formula>
    </cfRule>
    <cfRule type="cellIs" dxfId="7304" priority="11688" stopIfTrue="1" operator="equal">
      <formula>"X"</formula>
    </cfRule>
  </conditionalFormatting>
  <conditionalFormatting sqref="GU128">
    <cfRule type="cellIs" dxfId="7303" priority="11680" stopIfTrue="1" operator="equal">
      <formula>0</formula>
    </cfRule>
    <cfRule type="cellIs" dxfId="7302" priority="11681" stopIfTrue="1" operator="notEqual">
      <formula>0</formula>
    </cfRule>
  </conditionalFormatting>
  <conditionalFormatting sqref="GV128">
    <cfRule type="cellIs" dxfId="7301" priority="11679" stopIfTrue="1" operator="equal">
      <formula>"STOP"</formula>
    </cfRule>
  </conditionalFormatting>
  <conditionalFormatting sqref="Q135">
    <cfRule type="cellIs" dxfId="7300" priority="11673" stopIfTrue="1" operator="equal">
      <formula>"SIM"</formula>
    </cfRule>
    <cfRule type="cellIs" dxfId="7299" priority="11674" stopIfTrue="1" operator="equal">
      <formula>"NÃO"</formula>
    </cfRule>
  </conditionalFormatting>
  <conditionalFormatting sqref="BF135 CJ135 DO135">
    <cfRule type="cellIs" dxfId="7298" priority="11669" stopIfTrue="1" operator="equal">
      <formula>0</formula>
    </cfRule>
    <cfRule type="cellIs" dxfId="7297" priority="11675" stopIfTrue="1" operator="notEqual">
      <formula>0</formula>
    </cfRule>
  </conditionalFormatting>
  <conditionalFormatting sqref="C135:D135">
    <cfRule type="expression" dxfId="7296" priority="11672" stopIfTrue="1">
      <formula>IF(AND($C135&lt;&gt;"",$H135+$L135=0),TRUE)</formula>
    </cfRule>
  </conditionalFormatting>
  <conditionalFormatting sqref="P135">
    <cfRule type="cellIs" dxfId="7295" priority="11661" stopIfTrue="1" operator="equal">
      <formula>1</formula>
    </cfRule>
    <cfRule type="cellIs" dxfId="7294" priority="11670" stopIfTrue="1" operator="equal">
      <formula>2</formula>
    </cfRule>
    <cfRule type="cellIs" dxfId="7293" priority="11671" stopIfTrue="1" operator="equal">
      <formula>"X"</formula>
    </cfRule>
  </conditionalFormatting>
  <conditionalFormatting sqref="GU135">
    <cfRule type="cellIs" dxfId="7292" priority="11663" stopIfTrue="1" operator="equal">
      <formula>0</formula>
    </cfRule>
    <cfRule type="cellIs" dxfId="7291" priority="11664" stopIfTrue="1" operator="notEqual">
      <formula>0</formula>
    </cfRule>
  </conditionalFormatting>
  <conditionalFormatting sqref="GV135">
    <cfRule type="cellIs" dxfId="7290" priority="11662" stopIfTrue="1" operator="equal">
      <formula>"STOP"</formula>
    </cfRule>
  </conditionalFormatting>
  <conditionalFormatting sqref="Q174">
    <cfRule type="cellIs" dxfId="7289" priority="11656" stopIfTrue="1" operator="equal">
      <formula>"SIM"</formula>
    </cfRule>
    <cfRule type="cellIs" dxfId="7288" priority="11657" stopIfTrue="1" operator="equal">
      <formula>"NÃO"</formula>
    </cfRule>
  </conditionalFormatting>
  <conditionalFormatting sqref="BF174 CJ174 DO174">
    <cfRule type="cellIs" dxfId="7287" priority="11652" stopIfTrue="1" operator="equal">
      <formula>0</formula>
    </cfRule>
    <cfRule type="cellIs" dxfId="7286" priority="11658" stopIfTrue="1" operator="notEqual">
      <formula>0</formula>
    </cfRule>
  </conditionalFormatting>
  <conditionalFormatting sqref="C174:D174">
    <cfRule type="expression" dxfId="7285" priority="11655" stopIfTrue="1">
      <formula>IF(AND($C174&lt;&gt;"",$H174+$L174=0),TRUE)</formula>
    </cfRule>
  </conditionalFormatting>
  <conditionalFormatting sqref="P174">
    <cfRule type="cellIs" dxfId="7284" priority="11644" stopIfTrue="1" operator="equal">
      <formula>1</formula>
    </cfRule>
    <cfRule type="cellIs" dxfId="7283" priority="11653" stopIfTrue="1" operator="equal">
      <formula>2</formula>
    </cfRule>
    <cfRule type="cellIs" dxfId="7282" priority="11654" stopIfTrue="1" operator="equal">
      <formula>"X"</formula>
    </cfRule>
  </conditionalFormatting>
  <conditionalFormatting sqref="GU174">
    <cfRule type="cellIs" dxfId="7281" priority="11646" stopIfTrue="1" operator="equal">
      <formula>0</formula>
    </cfRule>
    <cfRule type="cellIs" dxfId="7280" priority="11647" stopIfTrue="1" operator="notEqual">
      <formula>0</formula>
    </cfRule>
  </conditionalFormatting>
  <conditionalFormatting sqref="GV174">
    <cfRule type="cellIs" dxfId="7279" priority="11645" stopIfTrue="1" operator="equal">
      <formula>"STOP"</formula>
    </cfRule>
  </conditionalFormatting>
  <conditionalFormatting sqref="Q175">
    <cfRule type="cellIs" dxfId="7278" priority="11639" stopIfTrue="1" operator="equal">
      <formula>"SIM"</formula>
    </cfRule>
    <cfRule type="cellIs" dxfId="7277" priority="11640" stopIfTrue="1" operator="equal">
      <formula>"NÃO"</formula>
    </cfRule>
  </conditionalFormatting>
  <conditionalFormatting sqref="BF175 CJ175 DO175">
    <cfRule type="cellIs" dxfId="7276" priority="11635" stopIfTrue="1" operator="equal">
      <formula>0</formula>
    </cfRule>
    <cfRule type="cellIs" dxfId="7275" priority="11641" stopIfTrue="1" operator="notEqual">
      <formula>0</formula>
    </cfRule>
  </conditionalFormatting>
  <conditionalFormatting sqref="C175:D175">
    <cfRule type="expression" dxfId="7274" priority="11638" stopIfTrue="1">
      <formula>IF(AND($C175&lt;&gt;"",$H175+$L175=0),TRUE)</formula>
    </cfRule>
  </conditionalFormatting>
  <conditionalFormatting sqref="P175">
    <cfRule type="cellIs" dxfId="7273" priority="11627" stopIfTrue="1" operator="equal">
      <formula>1</formula>
    </cfRule>
    <cfRule type="cellIs" dxfId="7272" priority="11636" stopIfTrue="1" operator="equal">
      <formula>2</formula>
    </cfRule>
    <cfRule type="cellIs" dxfId="7271" priority="11637" stopIfTrue="1" operator="equal">
      <formula>"X"</formula>
    </cfRule>
  </conditionalFormatting>
  <conditionalFormatting sqref="GU175">
    <cfRule type="cellIs" dxfId="7270" priority="11629" stopIfTrue="1" operator="equal">
      <formula>0</formula>
    </cfRule>
    <cfRule type="cellIs" dxfId="7269" priority="11630" stopIfTrue="1" operator="notEqual">
      <formula>0</formula>
    </cfRule>
  </conditionalFormatting>
  <conditionalFormatting sqref="GV175">
    <cfRule type="cellIs" dxfId="7268" priority="11628" stopIfTrue="1" operator="equal">
      <formula>"STOP"</formula>
    </cfRule>
  </conditionalFormatting>
  <conditionalFormatting sqref="Q176">
    <cfRule type="cellIs" dxfId="7267" priority="11622" stopIfTrue="1" operator="equal">
      <formula>"SIM"</formula>
    </cfRule>
    <cfRule type="cellIs" dxfId="7266" priority="11623" stopIfTrue="1" operator="equal">
      <formula>"NÃO"</formula>
    </cfRule>
  </conditionalFormatting>
  <conditionalFormatting sqref="BF176 CJ176 DO176">
    <cfRule type="cellIs" dxfId="7265" priority="11618" stopIfTrue="1" operator="equal">
      <formula>0</formula>
    </cfRule>
    <cfRule type="cellIs" dxfId="7264" priority="11624" stopIfTrue="1" operator="notEqual">
      <formula>0</formula>
    </cfRule>
  </conditionalFormatting>
  <conditionalFormatting sqref="C176:D176">
    <cfRule type="expression" dxfId="7263" priority="11621" stopIfTrue="1">
      <formula>IF(AND($C176&lt;&gt;"",$H176+$L176=0),TRUE)</formula>
    </cfRule>
  </conditionalFormatting>
  <conditionalFormatting sqref="P176">
    <cfRule type="cellIs" dxfId="7262" priority="11610" stopIfTrue="1" operator="equal">
      <formula>1</formula>
    </cfRule>
    <cfRule type="cellIs" dxfId="7261" priority="11619" stopIfTrue="1" operator="equal">
      <formula>2</formula>
    </cfRule>
    <cfRule type="cellIs" dxfId="7260" priority="11620" stopIfTrue="1" operator="equal">
      <formula>"X"</formula>
    </cfRule>
  </conditionalFormatting>
  <conditionalFormatting sqref="GU176">
    <cfRule type="cellIs" dxfId="7259" priority="11612" stopIfTrue="1" operator="equal">
      <formula>0</formula>
    </cfRule>
    <cfRule type="cellIs" dxfId="7258" priority="11613" stopIfTrue="1" operator="notEqual">
      <formula>0</formula>
    </cfRule>
  </conditionalFormatting>
  <conditionalFormatting sqref="GV176">
    <cfRule type="cellIs" dxfId="7257" priority="11611" stopIfTrue="1" operator="equal">
      <formula>"STOP"</formula>
    </cfRule>
  </conditionalFormatting>
  <conditionalFormatting sqref="Q184">
    <cfRule type="cellIs" dxfId="7256" priority="8375" stopIfTrue="1" operator="equal">
      <formula>"SIM"</formula>
    </cfRule>
    <cfRule type="cellIs" dxfId="7255" priority="8376" stopIfTrue="1" operator="equal">
      <formula>"NÃO"</formula>
    </cfRule>
  </conditionalFormatting>
  <conditionalFormatting sqref="BF184 CJ184 DO184">
    <cfRule type="cellIs" dxfId="7254" priority="8371" stopIfTrue="1" operator="equal">
      <formula>0</formula>
    </cfRule>
    <cfRule type="cellIs" dxfId="7253" priority="8377" stopIfTrue="1" operator="notEqual">
      <formula>0</formula>
    </cfRule>
  </conditionalFormatting>
  <conditionalFormatting sqref="C184:D184">
    <cfRule type="expression" dxfId="7252" priority="8374" stopIfTrue="1">
      <formula>IF(AND($C184&lt;&gt;"",$H184+$L184=0),TRUE)</formula>
    </cfRule>
  </conditionalFormatting>
  <conditionalFormatting sqref="P184">
    <cfRule type="cellIs" dxfId="7251" priority="8363" stopIfTrue="1" operator="equal">
      <formula>1</formula>
    </cfRule>
    <cfRule type="cellIs" dxfId="7250" priority="8372" stopIfTrue="1" operator="equal">
      <formula>2</formula>
    </cfRule>
    <cfRule type="cellIs" dxfId="7249" priority="8373" stopIfTrue="1" operator="equal">
      <formula>"X"</formula>
    </cfRule>
  </conditionalFormatting>
  <conditionalFormatting sqref="GU184">
    <cfRule type="cellIs" dxfId="7248" priority="8365" stopIfTrue="1" operator="equal">
      <formula>0</formula>
    </cfRule>
    <cfRule type="cellIs" dxfId="7247" priority="8366" stopIfTrue="1" operator="notEqual">
      <formula>0</formula>
    </cfRule>
  </conditionalFormatting>
  <conditionalFormatting sqref="GV184">
    <cfRule type="cellIs" dxfId="7246" priority="8364" stopIfTrue="1" operator="equal">
      <formula>"STOP"</formula>
    </cfRule>
  </conditionalFormatting>
  <conditionalFormatting sqref="Q185">
    <cfRule type="cellIs" dxfId="7245" priority="8358" stopIfTrue="1" operator="equal">
      <formula>"SIM"</formula>
    </cfRule>
    <cfRule type="cellIs" dxfId="7244" priority="8359" stopIfTrue="1" operator="equal">
      <formula>"NÃO"</formula>
    </cfRule>
  </conditionalFormatting>
  <conditionalFormatting sqref="BF185 CJ185 DO185">
    <cfRule type="cellIs" dxfId="7243" priority="8354" stopIfTrue="1" operator="equal">
      <formula>0</formula>
    </cfRule>
    <cfRule type="cellIs" dxfId="7242" priority="8360" stopIfTrue="1" operator="notEqual">
      <formula>0</formula>
    </cfRule>
  </conditionalFormatting>
  <conditionalFormatting sqref="C185:D185">
    <cfRule type="expression" dxfId="7241" priority="8357" stopIfTrue="1">
      <formula>IF(AND($C185&lt;&gt;"",$H185+$L185=0),TRUE)</formula>
    </cfRule>
  </conditionalFormatting>
  <conditionalFormatting sqref="P185">
    <cfRule type="cellIs" dxfId="7240" priority="8346" stopIfTrue="1" operator="equal">
      <formula>1</formula>
    </cfRule>
    <cfRule type="cellIs" dxfId="7239" priority="8355" stopIfTrue="1" operator="equal">
      <formula>2</formula>
    </cfRule>
    <cfRule type="cellIs" dxfId="7238" priority="8356" stopIfTrue="1" operator="equal">
      <formula>"X"</formula>
    </cfRule>
  </conditionalFormatting>
  <conditionalFormatting sqref="GU185">
    <cfRule type="cellIs" dxfId="7237" priority="8348" stopIfTrue="1" operator="equal">
      <formula>0</formula>
    </cfRule>
    <cfRule type="cellIs" dxfId="7236" priority="8349" stopIfTrue="1" operator="notEqual">
      <formula>0</formula>
    </cfRule>
  </conditionalFormatting>
  <conditionalFormatting sqref="GV185">
    <cfRule type="cellIs" dxfId="7235" priority="8347" stopIfTrue="1" operator="equal">
      <formula>"STOP"</formula>
    </cfRule>
  </conditionalFormatting>
  <conditionalFormatting sqref="Q179">
    <cfRule type="cellIs" dxfId="7234" priority="11605" stopIfTrue="1" operator="equal">
      <formula>"SIM"</formula>
    </cfRule>
    <cfRule type="cellIs" dxfId="7233" priority="11606" stopIfTrue="1" operator="equal">
      <formula>"NÃO"</formula>
    </cfRule>
  </conditionalFormatting>
  <conditionalFormatting sqref="BF179 CJ179 DO179">
    <cfRule type="cellIs" dxfId="7232" priority="11601" stopIfTrue="1" operator="equal">
      <formula>0</formula>
    </cfRule>
    <cfRule type="cellIs" dxfId="7231" priority="11607" stopIfTrue="1" operator="notEqual">
      <formula>0</formula>
    </cfRule>
  </conditionalFormatting>
  <conditionalFormatting sqref="C179:D179">
    <cfRule type="expression" dxfId="7230" priority="11604" stopIfTrue="1">
      <formula>IF(AND($C179&lt;&gt;"",$H179+$L179=0),TRUE)</formula>
    </cfRule>
  </conditionalFormatting>
  <conditionalFormatting sqref="P179">
    <cfRule type="cellIs" dxfId="7229" priority="11593" stopIfTrue="1" operator="equal">
      <formula>1</formula>
    </cfRule>
    <cfRule type="cellIs" dxfId="7228" priority="11602" stopIfTrue="1" operator="equal">
      <formula>2</formula>
    </cfRule>
    <cfRule type="cellIs" dxfId="7227" priority="11603" stopIfTrue="1" operator="equal">
      <formula>"X"</formula>
    </cfRule>
  </conditionalFormatting>
  <conditionalFormatting sqref="GU179">
    <cfRule type="cellIs" dxfId="7226" priority="11595" stopIfTrue="1" operator="equal">
      <formula>0</formula>
    </cfRule>
    <cfRule type="cellIs" dxfId="7225" priority="11596" stopIfTrue="1" operator="notEqual">
      <formula>0</formula>
    </cfRule>
  </conditionalFormatting>
  <conditionalFormatting sqref="GV179">
    <cfRule type="cellIs" dxfId="7224" priority="11594" stopIfTrue="1" operator="equal">
      <formula>"STOP"</formula>
    </cfRule>
  </conditionalFormatting>
  <conditionalFormatting sqref="Q180">
    <cfRule type="cellIs" dxfId="7223" priority="11588" stopIfTrue="1" operator="equal">
      <formula>"SIM"</formula>
    </cfRule>
    <cfRule type="cellIs" dxfId="7222" priority="11589" stopIfTrue="1" operator="equal">
      <formula>"NÃO"</formula>
    </cfRule>
  </conditionalFormatting>
  <conditionalFormatting sqref="BF180 CJ180 DO180">
    <cfRule type="cellIs" dxfId="7221" priority="11584" stopIfTrue="1" operator="equal">
      <formula>0</formula>
    </cfRule>
    <cfRule type="cellIs" dxfId="7220" priority="11590" stopIfTrue="1" operator="notEqual">
      <formula>0</formula>
    </cfRule>
  </conditionalFormatting>
  <conditionalFormatting sqref="C180:D180">
    <cfRule type="expression" dxfId="7219" priority="11587" stopIfTrue="1">
      <formula>IF(AND($C180&lt;&gt;"",$H180+$L180=0),TRUE)</formula>
    </cfRule>
  </conditionalFormatting>
  <conditionalFormatting sqref="P180">
    <cfRule type="cellIs" dxfId="7218" priority="11576" stopIfTrue="1" operator="equal">
      <formula>1</formula>
    </cfRule>
    <cfRule type="cellIs" dxfId="7217" priority="11585" stopIfTrue="1" operator="equal">
      <formula>2</formula>
    </cfRule>
    <cfRule type="cellIs" dxfId="7216" priority="11586" stopIfTrue="1" operator="equal">
      <formula>"X"</formula>
    </cfRule>
  </conditionalFormatting>
  <conditionalFormatting sqref="GU180">
    <cfRule type="cellIs" dxfId="7215" priority="11578" stopIfTrue="1" operator="equal">
      <formula>0</formula>
    </cfRule>
    <cfRule type="cellIs" dxfId="7214" priority="11579" stopIfTrue="1" operator="notEqual">
      <formula>0</formula>
    </cfRule>
  </conditionalFormatting>
  <conditionalFormatting sqref="GV180">
    <cfRule type="cellIs" dxfId="7213" priority="11577" stopIfTrue="1" operator="equal">
      <formula>"STOP"</formula>
    </cfRule>
  </conditionalFormatting>
  <conditionalFormatting sqref="Q181">
    <cfRule type="cellIs" dxfId="7212" priority="11571" stopIfTrue="1" operator="equal">
      <formula>"SIM"</formula>
    </cfRule>
    <cfRule type="cellIs" dxfId="7211" priority="11572" stopIfTrue="1" operator="equal">
      <formula>"NÃO"</formula>
    </cfRule>
  </conditionalFormatting>
  <conditionalFormatting sqref="BF181 CJ181 DO181">
    <cfRule type="cellIs" dxfId="7210" priority="11567" stopIfTrue="1" operator="equal">
      <formula>0</formula>
    </cfRule>
    <cfRule type="cellIs" dxfId="7209" priority="11573" stopIfTrue="1" operator="notEqual">
      <formula>0</formula>
    </cfRule>
  </conditionalFormatting>
  <conditionalFormatting sqref="C181:D181">
    <cfRule type="expression" dxfId="7208" priority="11570" stopIfTrue="1">
      <formula>IF(AND($C181&lt;&gt;"",$H181+$L181=0),TRUE)</formula>
    </cfRule>
  </conditionalFormatting>
  <conditionalFormatting sqref="P181">
    <cfRule type="cellIs" dxfId="7207" priority="11559" stopIfTrue="1" operator="equal">
      <formula>1</formula>
    </cfRule>
    <cfRule type="cellIs" dxfId="7206" priority="11568" stopIfTrue="1" operator="equal">
      <formula>2</formula>
    </cfRule>
    <cfRule type="cellIs" dxfId="7205" priority="11569" stopIfTrue="1" operator="equal">
      <formula>"X"</formula>
    </cfRule>
  </conditionalFormatting>
  <conditionalFormatting sqref="GU181">
    <cfRule type="cellIs" dxfId="7204" priority="11561" stopIfTrue="1" operator="equal">
      <formula>0</formula>
    </cfRule>
    <cfRule type="cellIs" dxfId="7203" priority="11562" stopIfTrue="1" operator="notEqual">
      <formula>0</formula>
    </cfRule>
  </conditionalFormatting>
  <conditionalFormatting sqref="GV181">
    <cfRule type="cellIs" dxfId="7202" priority="11560" stopIfTrue="1" operator="equal">
      <formula>"STOP"</formula>
    </cfRule>
  </conditionalFormatting>
  <conditionalFormatting sqref="Q182">
    <cfRule type="cellIs" dxfId="7201" priority="11554" stopIfTrue="1" operator="equal">
      <formula>"SIM"</formula>
    </cfRule>
    <cfRule type="cellIs" dxfId="7200" priority="11555" stopIfTrue="1" operator="equal">
      <formula>"NÃO"</formula>
    </cfRule>
  </conditionalFormatting>
  <conditionalFormatting sqref="BF182 CJ182 DO182">
    <cfRule type="cellIs" dxfId="7199" priority="11550" stopIfTrue="1" operator="equal">
      <formula>0</formula>
    </cfRule>
    <cfRule type="cellIs" dxfId="7198" priority="11556" stopIfTrue="1" operator="notEqual">
      <formula>0</formula>
    </cfRule>
  </conditionalFormatting>
  <conditionalFormatting sqref="C182:D182">
    <cfRule type="expression" dxfId="7197" priority="11553" stopIfTrue="1">
      <formula>IF(AND($C182&lt;&gt;"",$H182+$L182=0),TRUE)</formula>
    </cfRule>
  </conditionalFormatting>
  <conditionalFormatting sqref="P182">
    <cfRule type="cellIs" dxfId="7196" priority="11542" stopIfTrue="1" operator="equal">
      <formula>1</formula>
    </cfRule>
    <cfRule type="cellIs" dxfId="7195" priority="11551" stopIfTrue="1" operator="equal">
      <formula>2</formula>
    </cfRule>
    <cfRule type="cellIs" dxfId="7194" priority="11552" stopIfTrue="1" operator="equal">
      <formula>"X"</formula>
    </cfRule>
  </conditionalFormatting>
  <conditionalFormatting sqref="GU182">
    <cfRule type="cellIs" dxfId="7193" priority="11544" stopIfTrue="1" operator="equal">
      <formula>0</formula>
    </cfRule>
    <cfRule type="cellIs" dxfId="7192" priority="11545" stopIfTrue="1" operator="notEqual">
      <formula>0</formula>
    </cfRule>
  </conditionalFormatting>
  <conditionalFormatting sqref="GV182">
    <cfRule type="cellIs" dxfId="7191" priority="11543" stopIfTrue="1" operator="equal">
      <formula>"STOP"</formula>
    </cfRule>
  </conditionalFormatting>
  <conditionalFormatting sqref="Q183">
    <cfRule type="cellIs" dxfId="7190" priority="11537" stopIfTrue="1" operator="equal">
      <formula>"SIM"</formula>
    </cfRule>
    <cfRule type="cellIs" dxfId="7189" priority="11538" stopIfTrue="1" operator="equal">
      <formula>"NÃO"</formula>
    </cfRule>
  </conditionalFormatting>
  <conditionalFormatting sqref="BF183 CJ183 DO183">
    <cfRule type="cellIs" dxfId="7188" priority="11533" stopIfTrue="1" operator="equal">
      <formula>0</formula>
    </cfRule>
    <cfRule type="cellIs" dxfId="7187" priority="11539" stopIfTrue="1" operator="notEqual">
      <formula>0</formula>
    </cfRule>
  </conditionalFormatting>
  <conditionalFormatting sqref="C183:D183">
    <cfRule type="expression" dxfId="7186" priority="11536" stopIfTrue="1">
      <formula>IF(AND($C183&lt;&gt;"",$H183+$L183=0),TRUE)</formula>
    </cfRule>
  </conditionalFormatting>
  <conditionalFormatting sqref="P183">
    <cfRule type="cellIs" dxfId="7185" priority="11525" stopIfTrue="1" operator="equal">
      <formula>1</formula>
    </cfRule>
    <cfRule type="cellIs" dxfId="7184" priority="11534" stopIfTrue="1" operator="equal">
      <formula>2</formula>
    </cfRule>
    <cfRule type="cellIs" dxfId="7183" priority="11535" stopIfTrue="1" operator="equal">
      <formula>"X"</formula>
    </cfRule>
  </conditionalFormatting>
  <conditionalFormatting sqref="GU183">
    <cfRule type="cellIs" dxfId="7182" priority="11527" stopIfTrue="1" operator="equal">
      <formula>0</formula>
    </cfRule>
    <cfRule type="cellIs" dxfId="7181" priority="11528" stopIfTrue="1" operator="notEqual">
      <formula>0</formula>
    </cfRule>
  </conditionalFormatting>
  <conditionalFormatting sqref="GV183">
    <cfRule type="cellIs" dxfId="7180" priority="11526" stopIfTrue="1" operator="equal">
      <formula>"STOP"</formula>
    </cfRule>
  </conditionalFormatting>
  <conditionalFormatting sqref="Q184">
    <cfRule type="cellIs" dxfId="7179" priority="11520" stopIfTrue="1" operator="equal">
      <formula>"SIM"</formula>
    </cfRule>
    <cfRule type="cellIs" dxfId="7178" priority="11521" stopIfTrue="1" operator="equal">
      <formula>"NÃO"</formula>
    </cfRule>
  </conditionalFormatting>
  <conditionalFormatting sqref="BF184 CJ184 DO184">
    <cfRule type="cellIs" dxfId="7177" priority="11516" stopIfTrue="1" operator="equal">
      <formula>0</formula>
    </cfRule>
    <cfRule type="cellIs" dxfId="7176" priority="11522" stopIfTrue="1" operator="notEqual">
      <formula>0</formula>
    </cfRule>
  </conditionalFormatting>
  <conditionalFormatting sqref="C184:D184">
    <cfRule type="expression" dxfId="7175" priority="11519" stopIfTrue="1">
      <formula>IF(AND($C184&lt;&gt;"",$H184+$L184=0),TRUE)</formula>
    </cfRule>
  </conditionalFormatting>
  <conditionalFormatting sqref="P184">
    <cfRule type="cellIs" dxfId="7174" priority="11508" stopIfTrue="1" operator="equal">
      <formula>1</formula>
    </cfRule>
    <cfRule type="cellIs" dxfId="7173" priority="11517" stopIfTrue="1" operator="equal">
      <formula>2</formula>
    </cfRule>
    <cfRule type="cellIs" dxfId="7172" priority="11518" stopIfTrue="1" operator="equal">
      <formula>"X"</formula>
    </cfRule>
  </conditionalFormatting>
  <conditionalFormatting sqref="GU184">
    <cfRule type="cellIs" dxfId="7171" priority="11510" stopIfTrue="1" operator="equal">
      <formula>0</formula>
    </cfRule>
    <cfRule type="cellIs" dxfId="7170" priority="11511" stopIfTrue="1" operator="notEqual">
      <formula>0</formula>
    </cfRule>
  </conditionalFormatting>
  <conditionalFormatting sqref="GV184">
    <cfRule type="cellIs" dxfId="7169" priority="11509" stopIfTrue="1" operator="equal">
      <formula>"STOP"</formula>
    </cfRule>
  </conditionalFormatting>
  <conditionalFormatting sqref="Q185">
    <cfRule type="cellIs" dxfId="7168" priority="11503" stopIfTrue="1" operator="equal">
      <formula>"SIM"</formula>
    </cfRule>
    <cfRule type="cellIs" dxfId="7167" priority="11504" stopIfTrue="1" operator="equal">
      <formula>"NÃO"</formula>
    </cfRule>
  </conditionalFormatting>
  <conditionalFormatting sqref="BF185 CJ185 DO185">
    <cfRule type="cellIs" dxfId="7166" priority="11499" stopIfTrue="1" operator="equal">
      <formula>0</formula>
    </cfRule>
    <cfRule type="cellIs" dxfId="7165" priority="11505" stopIfTrue="1" operator="notEqual">
      <formula>0</formula>
    </cfRule>
  </conditionalFormatting>
  <conditionalFormatting sqref="C185:D185">
    <cfRule type="expression" dxfId="7164" priority="11502" stopIfTrue="1">
      <formula>IF(AND($C185&lt;&gt;"",$H185+$L185=0),TRUE)</formula>
    </cfRule>
  </conditionalFormatting>
  <conditionalFormatting sqref="P185">
    <cfRule type="cellIs" dxfId="7163" priority="11491" stopIfTrue="1" operator="equal">
      <formula>1</formula>
    </cfRule>
    <cfRule type="cellIs" dxfId="7162" priority="11500" stopIfTrue="1" operator="equal">
      <formula>2</formula>
    </cfRule>
    <cfRule type="cellIs" dxfId="7161" priority="11501" stopIfTrue="1" operator="equal">
      <formula>"X"</formula>
    </cfRule>
  </conditionalFormatting>
  <conditionalFormatting sqref="GU185">
    <cfRule type="cellIs" dxfId="7160" priority="11493" stopIfTrue="1" operator="equal">
      <formula>0</formula>
    </cfRule>
    <cfRule type="cellIs" dxfId="7159" priority="11494" stopIfTrue="1" operator="notEqual">
      <formula>0</formula>
    </cfRule>
  </conditionalFormatting>
  <conditionalFormatting sqref="GV185">
    <cfRule type="cellIs" dxfId="7158" priority="11492" stopIfTrue="1" operator="equal">
      <formula>"STOP"</formula>
    </cfRule>
  </conditionalFormatting>
  <conditionalFormatting sqref="Q175">
    <cfRule type="cellIs" dxfId="7157" priority="11486" stopIfTrue="1" operator="equal">
      <formula>"SIM"</formula>
    </cfRule>
    <cfRule type="cellIs" dxfId="7156" priority="11487" stopIfTrue="1" operator="equal">
      <formula>"NÃO"</formula>
    </cfRule>
  </conditionalFormatting>
  <conditionalFormatting sqref="BF175 CJ175 DO175">
    <cfRule type="cellIs" dxfId="7155" priority="11482" stopIfTrue="1" operator="equal">
      <formula>0</formula>
    </cfRule>
    <cfRule type="cellIs" dxfId="7154" priority="11488" stopIfTrue="1" operator="notEqual">
      <formula>0</formula>
    </cfRule>
  </conditionalFormatting>
  <conditionalFormatting sqref="C175:D175">
    <cfRule type="expression" dxfId="7153" priority="11485" stopIfTrue="1">
      <formula>IF(AND($C175&lt;&gt;"",$H175+$L175=0),TRUE)</formula>
    </cfRule>
  </conditionalFormatting>
  <conditionalFormatting sqref="P175">
    <cfRule type="cellIs" dxfId="7152" priority="11474" stopIfTrue="1" operator="equal">
      <formula>1</formula>
    </cfRule>
    <cfRule type="cellIs" dxfId="7151" priority="11483" stopIfTrue="1" operator="equal">
      <formula>2</formula>
    </cfRule>
    <cfRule type="cellIs" dxfId="7150" priority="11484" stopIfTrue="1" operator="equal">
      <formula>"X"</formula>
    </cfRule>
  </conditionalFormatting>
  <conditionalFormatting sqref="GU175">
    <cfRule type="cellIs" dxfId="7149" priority="11476" stopIfTrue="1" operator="equal">
      <formula>0</formula>
    </cfRule>
    <cfRule type="cellIs" dxfId="7148" priority="11477" stopIfTrue="1" operator="notEqual">
      <formula>0</formula>
    </cfRule>
  </conditionalFormatting>
  <conditionalFormatting sqref="GV175">
    <cfRule type="cellIs" dxfId="7147" priority="11475" stopIfTrue="1" operator="equal">
      <formula>"STOP"</formula>
    </cfRule>
  </conditionalFormatting>
  <conditionalFormatting sqref="Q176">
    <cfRule type="cellIs" dxfId="7146" priority="11469" stopIfTrue="1" operator="equal">
      <formula>"SIM"</formula>
    </cfRule>
    <cfRule type="cellIs" dxfId="7145" priority="11470" stopIfTrue="1" operator="equal">
      <formula>"NÃO"</formula>
    </cfRule>
  </conditionalFormatting>
  <conditionalFormatting sqref="BF176 CJ176 DO176">
    <cfRule type="cellIs" dxfId="7144" priority="11465" stopIfTrue="1" operator="equal">
      <formula>0</formula>
    </cfRule>
    <cfRule type="cellIs" dxfId="7143" priority="11471" stopIfTrue="1" operator="notEqual">
      <formula>0</formula>
    </cfRule>
  </conditionalFormatting>
  <conditionalFormatting sqref="C176:D176">
    <cfRule type="expression" dxfId="7142" priority="11468" stopIfTrue="1">
      <formula>IF(AND($C176&lt;&gt;"",$H176+$L176=0),TRUE)</formula>
    </cfRule>
  </conditionalFormatting>
  <conditionalFormatting sqref="P176">
    <cfRule type="cellIs" dxfId="7141" priority="11457" stopIfTrue="1" operator="equal">
      <formula>1</formula>
    </cfRule>
    <cfRule type="cellIs" dxfId="7140" priority="11466" stopIfTrue="1" operator="equal">
      <formula>2</formula>
    </cfRule>
    <cfRule type="cellIs" dxfId="7139" priority="11467" stopIfTrue="1" operator="equal">
      <formula>"X"</formula>
    </cfRule>
  </conditionalFormatting>
  <conditionalFormatting sqref="GU176">
    <cfRule type="cellIs" dxfId="7138" priority="11459" stopIfTrue="1" operator="equal">
      <formula>0</formula>
    </cfRule>
    <cfRule type="cellIs" dxfId="7137" priority="11460" stopIfTrue="1" operator="notEqual">
      <formula>0</formula>
    </cfRule>
  </conditionalFormatting>
  <conditionalFormatting sqref="GV176">
    <cfRule type="cellIs" dxfId="7136" priority="11458" stopIfTrue="1" operator="equal">
      <formula>"STOP"</formula>
    </cfRule>
  </conditionalFormatting>
  <conditionalFormatting sqref="Q181">
    <cfRule type="cellIs" dxfId="7135" priority="8188" stopIfTrue="1" operator="equal">
      <formula>"SIM"</formula>
    </cfRule>
    <cfRule type="cellIs" dxfId="7134" priority="8189" stopIfTrue="1" operator="equal">
      <formula>"NÃO"</formula>
    </cfRule>
  </conditionalFormatting>
  <conditionalFormatting sqref="BF181 CJ181 DO181">
    <cfRule type="cellIs" dxfId="7133" priority="8184" stopIfTrue="1" operator="equal">
      <formula>0</formula>
    </cfRule>
    <cfRule type="cellIs" dxfId="7132" priority="8190" stopIfTrue="1" operator="notEqual">
      <formula>0</formula>
    </cfRule>
  </conditionalFormatting>
  <conditionalFormatting sqref="C181:D181">
    <cfRule type="expression" dxfId="7131" priority="8187" stopIfTrue="1">
      <formula>IF(AND($C181&lt;&gt;"",$H181+$L181=0),TRUE)</formula>
    </cfRule>
  </conditionalFormatting>
  <conditionalFormatting sqref="P181">
    <cfRule type="cellIs" dxfId="7130" priority="8176" stopIfTrue="1" operator="equal">
      <formula>1</formula>
    </cfRule>
    <cfRule type="cellIs" dxfId="7129" priority="8185" stopIfTrue="1" operator="equal">
      <formula>2</formula>
    </cfRule>
    <cfRule type="cellIs" dxfId="7128" priority="8186" stopIfTrue="1" operator="equal">
      <formula>"X"</formula>
    </cfRule>
  </conditionalFormatting>
  <conditionalFormatting sqref="GU181">
    <cfRule type="cellIs" dxfId="7127" priority="8178" stopIfTrue="1" operator="equal">
      <formula>0</formula>
    </cfRule>
    <cfRule type="cellIs" dxfId="7126" priority="8179" stopIfTrue="1" operator="notEqual">
      <formula>0</formula>
    </cfRule>
  </conditionalFormatting>
  <conditionalFormatting sqref="GV181">
    <cfRule type="cellIs" dxfId="7125" priority="8177" stopIfTrue="1" operator="equal">
      <formula>"STOP"</formula>
    </cfRule>
  </conditionalFormatting>
  <conditionalFormatting sqref="Q175">
    <cfRule type="cellIs" dxfId="7124" priority="11452" stopIfTrue="1" operator="equal">
      <formula>"SIM"</formula>
    </cfRule>
    <cfRule type="cellIs" dxfId="7123" priority="11453" stopIfTrue="1" operator="equal">
      <formula>"NÃO"</formula>
    </cfRule>
  </conditionalFormatting>
  <conditionalFormatting sqref="BF175 CJ175 DO175">
    <cfRule type="cellIs" dxfId="7122" priority="11448" stopIfTrue="1" operator="equal">
      <formula>0</formula>
    </cfRule>
    <cfRule type="cellIs" dxfId="7121" priority="11454" stopIfTrue="1" operator="notEqual">
      <formula>0</formula>
    </cfRule>
  </conditionalFormatting>
  <conditionalFormatting sqref="C175:D175">
    <cfRule type="expression" dxfId="7120" priority="11451" stopIfTrue="1">
      <formula>IF(AND($C175&lt;&gt;"",$H175+$L175=0),TRUE)</formula>
    </cfRule>
  </conditionalFormatting>
  <conditionalFormatting sqref="P175">
    <cfRule type="cellIs" dxfId="7119" priority="11440" stopIfTrue="1" operator="equal">
      <formula>1</formula>
    </cfRule>
    <cfRule type="cellIs" dxfId="7118" priority="11449" stopIfTrue="1" operator="equal">
      <formula>2</formula>
    </cfRule>
    <cfRule type="cellIs" dxfId="7117" priority="11450" stopIfTrue="1" operator="equal">
      <formula>"X"</formula>
    </cfRule>
  </conditionalFormatting>
  <conditionalFormatting sqref="GU175">
    <cfRule type="cellIs" dxfId="7116" priority="11442" stopIfTrue="1" operator="equal">
      <formula>0</formula>
    </cfRule>
    <cfRule type="cellIs" dxfId="7115" priority="11443" stopIfTrue="1" operator="notEqual">
      <formula>0</formula>
    </cfRule>
  </conditionalFormatting>
  <conditionalFormatting sqref="GV175">
    <cfRule type="cellIs" dxfId="7114" priority="11441" stopIfTrue="1" operator="equal">
      <formula>"STOP"</formula>
    </cfRule>
  </conditionalFormatting>
  <conditionalFormatting sqref="Q176">
    <cfRule type="cellIs" dxfId="7113" priority="11435" stopIfTrue="1" operator="equal">
      <formula>"SIM"</formula>
    </cfRule>
    <cfRule type="cellIs" dxfId="7112" priority="11436" stopIfTrue="1" operator="equal">
      <formula>"NÃO"</formula>
    </cfRule>
  </conditionalFormatting>
  <conditionalFormatting sqref="BF176 CJ176 DO176">
    <cfRule type="cellIs" dxfId="7111" priority="11431" stopIfTrue="1" operator="equal">
      <formula>0</formula>
    </cfRule>
    <cfRule type="cellIs" dxfId="7110" priority="11437" stopIfTrue="1" operator="notEqual">
      <formula>0</formula>
    </cfRule>
  </conditionalFormatting>
  <conditionalFormatting sqref="C176:D176">
    <cfRule type="expression" dxfId="7109" priority="11434" stopIfTrue="1">
      <formula>IF(AND($C176&lt;&gt;"",$H176+$L176=0),TRUE)</formula>
    </cfRule>
  </conditionalFormatting>
  <conditionalFormatting sqref="P176">
    <cfRule type="cellIs" dxfId="7108" priority="11423" stopIfTrue="1" operator="equal">
      <formula>1</formula>
    </cfRule>
    <cfRule type="cellIs" dxfId="7107" priority="11432" stopIfTrue="1" operator="equal">
      <formula>2</formula>
    </cfRule>
    <cfRule type="cellIs" dxfId="7106" priority="11433" stopIfTrue="1" operator="equal">
      <formula>"X"</formula>
    </cfRule>
  </conditionalFormatting>
  <conditionalFormatting sqref="GU176">
    <cfRule type="cellIs" dxfId="7105" priority="11425" stopIfTrue="1" operator="equal">
      <formula>0</formula>
    </cfRule>
    <cfRule type="cellIs" dxfId="7104" priority="11426" stopIfTrue="1" operator="notEqual">
      <formula>0</formula>
    </cfRule>
  </conditionalFormatting>
  <conditionalFormatting sqref="GV176">
    <cfRule type="cellIs" dxfId="7103" priority="11424" stopIfTrue="1" operator="equal">
      <formula>"STOP"</formula>
    </cfRule>
  </conditionalFormatting>
  <conditionalFormatting sqref="Q180">
    <cfRule type="cellIs" dxfId="7102" priority="8137" stopIfTrue="1" operator="equal">
      <formula>"SIM"</formula>
    </cfRule>
    <cfRule type="cellIs" dxfId="7101" priority="8138" stopIfTrue="1" operator="equal">
      <formula>"NÃO"</formula>
    </cfRule>
  </conditionalFormatting>
  <conditionalFormatting sqref="BF180 CJ180 DO180">
    <cfRule type="cellIs" dxfId="7100" priority="8133" stopIfTrue="1" operator="equal">
      <formula>0</formula>
    </cfRule>
    <cfRule type="cellIs" dxfId="7099" priority="8139" stopIfTrue="1" operator="notEqual">
      <formula>0</formula>
    </cfRule>
  </conditionalFormatting>
  <conditionalFormatting sqref="C180:D180">
    <cfRule type="expression" dxfId="7098" priority="8136" stopIfTrue="1">
      <formula>IF(AND($C180&lt;&gt;"",$H180+$L180=0),TRUE)</formula>
    </cfRule>
  </conditionalFormatting>
  <conditionalFormatting sqref="P180">
    <cfRule type="cellIs" dxfId="7097" priority="8125" stopIfTrue="1" operator="equal">
      <formula>1</formula>
    </cfRule>
    <cfRule type="cellIs" dxfId="7096" priority="8134" stopIfTrue="1" operator="equal">
      <formula>2</formula>
    </cfRule>
    <cfRule type="cellIs" dxfId="7095" priority="8135" stopIfTrue="1" operator="equal">
      <formula>"X"</formula>
    </cfRule>
  </conditionalFormatting>
  <conditionalFormatting sqref="GU180">
    <cfRule type="cellIs" dxfId="7094" priority="8127" stopIfTrue="1" operator="equal">
      <formula>0</formula>
    </cfRule>
    <cfRule type="cellIs" dxfId="7093" priority="8128" stopIfTrue="1" operator="notEqual">
      <formula>0</formula>
    </cfRule>
  </conditionalFormatting>
  <conditionalFormatting sqref="GV180">
    <cfRule type="cellIs" dxfId="7092" priority="8126" stopIfTrue="1" operator="equal">
      <formula>"STOP"</formula>
    </cfRule>
  </conditionalFormatting>
  <conditionalFormatting sqref="Q181">
    <cfRule type="cellIs" dxfId="7091" priority="8120" stopIfTrue="1" operator="equal">
      <formula>"SIM"</formula>
    </cfRule>
    <cfRule type="cellIs" dxfId="7090" priority="8121" stopIfTrue="1" operator="equal">
      <formula>"NÃO"</formula>
    </cfRule>
  </conditionalFormatting>
  <conditionalFormatting sqref="BF181 CJ181 DO181">
    <cfRule type="cellIs" dxfId="7089" priority="8116" stopIfTrue="1" operator="equal">
      <formula>0</formula>
    </cfRule>
    <cfRule type="cellIs" dxfId="7088" priority="8122" stopIfTrue="1" operator="notEqual">
      <formula>0</formula>
    </cfRule>
  </conditionalFormatting>
  <conditionalFormatting sqref="C181:D181">
    <cfRule type="expression" dxfId="7087" priority="8119" stopIfTrue="1">
      <formula>IF(AND($C181&lt;&gt;"",$H181+$L181=0),TRUE)</formula>
    </cfRule>
  </conditionalFormatting>
  <conditionalFormatting sqref="P181">
    <cfRule type="cellIs" dxfId="7086" priority="8108" stopIfTrue="1" operator="equal">
      <formula>1</formula>
    </cfRule>
    <cfRule type="cellIs" dxfId="7085" priority="8117" stopIfTrue="1" operator="equal">
      <formula>2</formula>
    </cfRule>
    <cfRule type="cellIs" dxfId="7084" priority="8118" stopIfTrue="1" operator="equal">
      <formula>"X"</formula>
    </cfRule>
  </conditionalFormatting>
  <conditionalFormatting sqref="GU181">
    <cfRule type="cellIs" dxfId="7083" priority="8110" stopIfTrue="1" operator="equal">
      <formula>0</formula>
    </cfRule>
    <cfRule type="cellIs" dxfId="7082" priority="8111" stopIfTrue="1" operator="notEqual">
      <formula>0</formula>
    </cfRule>
  </conditionalFormatting>
  <conditionalFormatting sqref="GV181">
    <cfRule type="cellIs" dxfId="7081" priority="8109" stopIfTrue="1" operator="equal">
      <formula>"STOP"</formula>
    </cfRule>
  </conditionalFormatting>
  <conditionalFormatting sqref="Q176">
    <cfRule type="cellIs" dxfId="7080" priority="11418" stopIfTrue="1" operator="equal">
      <formula>"SIM"</formula>
    </cfRule>
    <cfRule type="cellIs" dxfId="7079" priority="11419" stopIfTrue="1" operator="equal">
      <formula>"NÃO"</formula>
    </cfRule>
  </conditionalFormatting>
  <conditionalFormatting sqref="BF176 CJ176 DO176">
    <cfRule type="cellIs" dxfId="7078" priority="11414" stopIfTrue="1" operator="equal">
      <formula>0</formula>
    </cfRule>
    <cfRule type="cellIs" dxfId="7077" priority="11420" stopIfTrue="1" operator="notEqual">
      <formula>0</formula>
    </cfRule>
  </conditionalFormatting>
  <conditionalFormatting sqref="C176:D176">
    <cfRule type="expression" dxfId="7076" priority="11417" stopIfTrue="1">
      <formula>IF(AND($C176&lt;&gt;"",$H176+$L176=0),TRUE)</formula>
    </cfRule>
  </conditionalFormatting>
  <conditionalFormatting sqref="P176">
    <cfRule type="cellIs" dxfId="7075" priority="11406" stopIfTrue="1" operator="equal">
      <formula>1</formula>
    </cfRule>
    <cfRule type="cellIs" dxfId="7074" priority="11415" stopIfTrue="1" operator="equal">
      <formula>2</formula>
    </cfRule>
    <cfRule type="cellIs" dxfId="7073" priority="11416" stopIfTrue="1" operator="equal">
      <formula>"X"</formula>
    </cfRule>
  </conditionalFormatting>
  <conditionalFormatting sqref="GU176">
    <cfRule type="cellIs" dxfId="7072" priority="11408" stopIfTrue="1" operator="equal">
      <formula>0</formula>
    </cfRule>
    <cfRule type="cellIs" dxfId="7071" priority="11409" stopIfTrue="1" operator="notEqual">
      <formula>0</formula>
    </cfRule>
  </conditionalFormatting>
  <conditionalFormatting sqref="GV176">
    <cfRule type="cellIs" dxfId="7070" priority="11407" stopIfTrue="1" operator="equal">
      <formula>"STOP"</formula>
    </cfRule>
  </conditionalFormatting>
  <conditionalFormatting sqref="Q183">
    <cfRule type="cellIs" dxfId="7069" priority="8086" stopIfTrue="1" operator="equal">
      <formula>"SIM"</formula>
    </cfRule>
    <cfRule type="cellIs" dxfId="7068" priority="8087" stopIfTrue="1" operator="equal">
      <formula>"NÃO"</formula>
    </cfRule>
  </conditionalFormatting>
  <conditionalFormatting sqref="BF183 CJ183 DO183">
    <cfRule type="cellIs" dxfId="7067" priority="8082" stopIfTrue="1" operator="equal">
      <formula>0</formula>
    </cfRule>
    <cfRule type="cellIs" dxfId="7066" priority="8088" stopIfTrue="1" operator="notEqual">
      <formula>0</formula>
    </cfRule>
  </conditionalFormatting>
  <conditionalFormatting sqref="C183:D183">
    <cfRule type="expression" dxfId="7065" priority="8085" stopIfTrue="1">
      <formula>IF(AND($C183&lt;&gt;"",$H183+$L183=0),TRUE)</formula>
    </cfRule>
  </conditionalFormatting>
  <conditionalFormatting sqref="P183">
    <cfRule type="cellIs" dxfId="7064" priority="8074" stopIfTrue="1" operator="equal">
      <formula>1</formula>
    </cfRule>
    <cfRule type="cellIs" dxfId="7063" priority="8083" stopIfTrue="1" operator="equal">
      <formula>2</formula>
    </cfRule>
    <cfRule type="cellIs" dxfId="7062" priority="8084" stopIfTrue="1" operator="equal">
      <formula>"X"</formula>
    </cfRule>
  </conditionalFormatting>
  <conditionalFormatting sqref="GU183">
    <cfRule type="cellIs" dxfId="7061" priority="8076" stopIfTrue="1" operator="equal">
      <formula>0</formula>
    </cfRule>
    <cfRule type="cellIs" dxfId="7060" priority="8077" stopIfTrue="1" operator="notEqual">
      <formula>0</formula>
    </cfRule>
  </conditionalFormatting>
  <conditionalFormatting sqref="GV183">
    <cfRule type="cellIs" dxfId="7059" priority="8075" stopIfTrue="1" operator="equal">
      <formula>"STOP"</formula>
    </cfRule>
  </conditionalFormatting>
  <conditionalFormatting sqref="Q184">
    <cfRule type="cellIs" dxfId="7058" priority="8069" stopIfTrue="1" operator="equal">
      <formula>"SIM"</formula>
    </cfRule>
    <cfRule type="cellIs" dxfId="7057" priority="8070" stopIfTrue="1" operator="equal">
      <formula>"NÃO"</formula>
    </cfRule>
  </conditionalFormatting>
  <conditionalFormatting sqref="BF184 CJ184 DO184">
    <cfRule type="cellIs" dxfId="7056" priority="8065" stopIfTrue="1" operator="equal">
      <formula>0</formula>
    </cfRule>
    <cfRule type="cellIs" dxfId="7055" priority="8071" stopIfTrue="1" operator="notEqual">
      <formula>0</formula>
    </cfRule>
  </conditionalFormatting>
  <conditionalFormatting sqref="C184:D184">
    <cfRule type="expression" dxfId="7054" priority="8068" stopIfTrue="1">
      <formula>IF(AND($C184&lt;&gt;"",$H184+$L184=0),TRUE)</formula>
    </cfRule>
  </conditionalFormatting>
  <conditionalFormatting sqref="P184">
    <cfRule type="cellIs" dxfId="7053" priority="8057" stopIfTrue="1" operator="equal">
      <formula>1</formula>
    </cfRule>
    <cfRule type="cellIs" dxfId="7052" priority="8066" stopIfTrue="1" operator="equal">
      <formula>2</formula>
    </cfRule>
    <cfRule type="cellIs" dxfId="7051" priority="8067" stopIfTrue="1" operator="equal">
      <formula>"X"</formula>
    </cfRule>
  </conditionalFormatting>
  <conditionalFormatting sqref="GU184">
    <cfRule type="cellIs" dxfId="7050" priority="8059" stopIfTrue="1" operator="equal">
      <formula>0</formula>
    </cfRule>
    <cfRule type="cellIs" dxfId="7049" priority="8060" stopIfTrue="1" operator="notEqual">
      <formula>0</formula>
    </cfRule>
  </conditionalFormatting>
  <conditionalFormatting sqref="GV184">
    <cfRule type="cellIs" dxfId="7048" priority="8058" stopIfTrue="1" operator="equal">
      <formula>"STOP"</formula>
    </cfRule>
  </conditionalFormatting>
  <conditionalFormatting sqref="Q175">
    <cfRule type="cellIs" dxfId="7047" priority="11401" stopIfTrue="1" operator="equal">
      <formula>"SIM"</formula>
    </cfRule>
    <cfRule type="cellIs" dxfId="7046" priority="11402" stopIfTrue="1" operator="equal">
      <formula>"NÃO"</formula>
    </cfRule>
  </conditionalFormatting>
  <conditionalFormatting sqref="BF175 CJ175 DO175">
    <cfRule type="cellIs" dxfId="7045" priority="11397" stopIfTrue="1" operator="equal">
      <formula>0</formula>
    </cfRule>
    <cfRule type="cellIs" dxfId="7044" priority="11403" stopIfTrue="1" operator="notEqual">
      <formula>0</formula>
    </cfRule>
  </conditionalFormatting>
  <conditionalFormatting sqref="C175:D175">
    <cfRule type="expression" dxfId="7043" priority="11400" stopIfTrue="1">
      <formula>IF(AND($C175&lt;&gt;"",$H175+$L175=0),TRUE)</formula>
    </cfRule>
  </conditionalFormatting>
  <conditionalFormatting sqref="P175">
    <cfRule type="cellIs" dxfId="7042" priority="11389" stopIfTrue="1" operator="equal">
      <formula>1</formula>
    </cfRule>
    <cfRule type="cellIs" dxfId="7041" priority="11398" stopIfTrue="1" operator="equal">
      <formula>2</formula>
    </cfRule>
    <cfRule type="cellIs" dxfId="7040" priority="11399" stopIfTrue="1" operator="equal">
      <formula>"X"</formula>
    </cfRule>
  </conditionalFormatting>
  <conditionalFormatting sqref="GU175">
    <cfRule type="cellIs" dxfId="7039" priority="11391" stopIfTrue="1" operator="equal">
      <formula>0</formula>
    </cfRule>
    <cfRule type="cellIs" dxfId="7038" priority="11392" stopIfTrue="1" operator="notEqual">
      <formula>0</formula>
    </cfRule>
  </conditionalFormatting>
  <conditionalFormatting sqref="GV175">
    <cfRule type="cellIs" dxfId="7037" priority="11390" stopIfTrue="1" operator="equal">
      <formula>"STOP"</formula>
    </cfRule>
  </conditionalFormatting>
  <conditionalFormatting sqref="Q176">
    <cfRule type="cellIs" dxfId="7036" priority="11384" stopIfTrue="1" operator="equal">
      <formula>"SIM"</formula>
    </cfRule>
    <cfRule type="cellIs" dxfId="7035" priority="11385" stopIfTrue="1" operator="equal">
      <formula>"NÃO"</formula>
    </cfRule>
  </conditionalFormatting>
  <conditionalFormatting sqref="BF176 CJ176 DO176">
    <cfRule type="cellIs" dxfId="7034" priority="11380" stopIfTrue="1" operator="equal">
      <formula>0</formula>
    </cfRule>
    <cfRule type="cellIs" dxfId="7033" priority="11386" stopIfTrue="1" operator="notEqual">
      <formula>0</formula>
    </cfRule>
  </conditionalFormatting>
  <conditionalFormatting sqref="C176:D176">
    <cfRule type="expression" dxfId="7032" priority="11383" stopIfTrue="1">
      <formula>IF(AND($C176&lt;&gt;"",$H176+$L176=0),TRUE)</formula>
    </cfRule>
  </conditionalFormatting>
  <conditionalFormatting sqref="P176">
    <cfRule type="cellIs" dxfId="7031" priority="11372" stopIfTrue="1" operator="equal">
      <formula>1</formula>
    </cfRule>
    <cfRule type="cellIs" dxfId="7030" priority="11381" stopIfTrue="1" operator="equal">
      <formula>2</formula>
    </cfRule>
    <cfRule type="cellIs" dxfId="7029" priority="11382" stopIfTrue="1" operator="equal">
      <formula>"X"</formula>
    </cfRule>
  </conditionalFormatting>
  <conditionalFormatting sqref="GU176">
    <cfRule type="cellIs" dxfId="7028" priority="11374" stopIfTrue="1" operator="equal">
      <formula>0</formula>
    </cfRule>
    <cfRule type="cellIs" dxfId="7027" priority="11375" stopIfTrue="1" operator="notEqual">
      <formula>0</formula>
    </cfRule>
  </conditionalFormatting>
  <conditionalFormatting sqref="GV176">
    <cfRule type="cellIs" dxfId="7026" priority="11373" stopIfTrue="1" operator="equal">
      <formula>"STOP"</formula>
    </cfRule>
  </conditionalFormatting>
  <conditionalFormatting sqref="Q182">
    <cfRule type="cellIs" dxfId="7025" priority="8018" stopIfTrue="1" operator="equal">
      <formula>"SIM"</formula>
    </cfRule>
    <cfRule type="cellIs" dxfId="7024" priority="8019" stopIfTrue="1" operator="equal">
      <formula>"NÃO"</formula>
    </cfRule>
  </conditionalFormatting>
  <conditionalFormatting sqref="BF182 CJ182 DO182">
    <cfRule type="cellIs" dxfId="7023" priority="8014" stopIfTrue="1" operator="equal">
      <formula>0</formula>
    </cfRule>
    <cfRule type="cellIs" dxfId="7022" priority="8020" stopIfTrue="1" operator="notEqual">
      <formula>0</formula>
    </cfRule>
  </conditionalFormatting>
  <conditionalFormatting sqref="C182:D182">
    <cfRule type="expression" dxfId="7021" priority="8017" stopIfTrue="1">
      <formula>IF(AND($C182&lt;&gt;"",$H182+$L182=0),TRUE)</formula>
    </cfRule>
  </conditionalFormatting>
  <conditionalFormatting sqref="P182">
    <cfRule type="cellIs" dxfId="7020" priority="8006" stopIfTrue="1" operator="equal">
      <formula>1</formula>
    </cfRule>
    <cfRule type="cellIs" dxfId="7019" priority="8015" stopIfTrue="1" operator="equal">
      <formula>2</formula>
    </cfRule>
    <cfRule type="cellIs" dxfId="7018" priority="8016" stopIfTrue="1" operator="equal">
      <formula>"X"</formula>
    </cfRule>
  </conditionalFormatting>
  <conditionalFormatting sqref="GU182">
    <cfRule type="cellIs" dxfId="7017" priority="8008" stopIfTrue="1" operator="equal">
      <formula>0</formula>
    </cfRule>
    <cfRule type="cellIs" dxfId="7016" priority="8009" stopIfTrue="1" operator="notEqual">
      <formula>0</formula>
    </cfRule>
  </conditionalFormatting>
  <conditionalFormatting sqref="GV182">
    <cfRule type="cellIs" dxfId="7015" priority="8007" stopIfTrue="1" operator="equal">
      <formula>"STOP"</formula>
    </cfRule>
  </conditionalFormatting>
  <conditionalFormatting sqref="Q183">
    <cfRule type="cellIs" dxfId="7014" priority="8001" stopIfTrue="1" operator="equal">
      <formula>"SIM"</formula>
    </cfRule>
    <cfRule type="cellIs" dxfId="7013" priority="8002" stopIfTrue="1" operator="equal">
      <formula>"NÃO"</formula>
    </cfRule>
  </conditionalFormatting>
  <conditionalFormatting sqref="BF183 CJ183 DO183">
    <cfRule type="cellIs" dxfId="7012" priority="7997" stopIfTrue="1" operator="equal">
      <formula>0</formula>
    </cfRule>
    <cfRule type="cellIs" dxfId="7011" priority="8003" stopIfTrue="1" operator="notEqual">
      <formula>0</formula>
    </cfRule>
  </conditionalFormatting>
  <conditionalFormatting sqref="C183:D183">
    <cfRule type="expression" dxfId="7010" priority="8000" stopIfTrue="1">
      <formula>IF(AND($C183&lt;&gt;"",$H183+$L183=0),TRUE)</formula>
    </cfRule>
  </conditionalFormatting>
  <conditionalFormatting sqref="P183">
    <cfRule type="cellIs" dxfId="7009" priority="7989" stopIfTrue="1" operator="equal">
      <formula>1</formula>
    </cfRule>
    <cfRule type="cellIs" dxfId="7008" priority="7998" stopIfTrue="1" operator="equal">
      <formula>2</formula>
    </cfRule>
    <cfRule type="cellIs" dxfId="7007" priority="7999" stopIfTrue="1" operator="equal">
      <formula>"X"</formula>
    </cfRule>
  </conditionalFormatting>
  <conditionalFormatting sqref="GU183">
    <cfRule type="cellIs" dxfId="7006" priority="7991" stopIfTrue="1" operator="equal">
      <formula>0</formula>
    </cfRule>
    <cfRule type="cellIs" dxfId="7005" priority="7992" stopIfTrue="1" operator="notEqual">
      <formula>0</formula>
    </cfRule>
  </conditionalFormatting>
  <conditionalFormatting sqref="GV183">
    <cfRule type="cellIs" dxfId="7004" priority="7990" stopIfTrue="1" operator="equal">
      <formula>"STOP"</formula>
    </cfRule>
  </conditionalFormatting>
  <conditionalFormatting sqref="Q179">
    <cfRule type="cellIs" dxfId="7003" priority="11367" stopIfTrue="1" operator="equal">
      <formula>"SIM"</formula>
    </cfRule>
    <cfRule type="cellIs" dxfId="7002" priority="11368" stopIfTrue="1" operator="equal">
      <formula>"NÃO"</formula>
    </cfRule>
  </conditionalFormatting>
  <conditionalFormatting sqref="BF179 CJ179 DO179">
    <cfRule type="cellIs" dxfId="7001" priority="11363" stopIfTrue="1" operator="equal">
      <formula>0</formula>
    </cfRule>
    <cfRule type="cellIs" dxfId="7000" priority="11369" stopIfTrue="1" operator="notEqual">
      <formula>0</formula>
    </cfRule>
  </conditionalFormatting>
  <conditionalFormatting sqref="C179:D179">
    <cfRule type="expression" dxfId="6999" priority="11366" stopIfTrue="1">
      <formula>IF(AND($C179&lt;&gt;"",$H179+$L179=0),TRUE)</formula>
    </cfRule>
  </conditionalFormatting>
  <conditionalFormatting sqref="P179">
    <cfRule type="cellIs" dxfId="6998" priority="11355" stopIfTrue="1" operator="equal">
      <formula>1</formula>
    </cfRule>
    <cfRule type="cellIs" dxfId="6997" priority="11364" stopIfTrue="1" operator="equal">
      <formula>2</formula>
    </cfRule>
    <cfRule type="cellIs" dxfId="6996" priority="11365" stopIfTrue="1" operator="equal">
      <formula>"X"</formula>
    </cfRule>
  </conditionalFormatting>
  <conditionalFormatting sqref="GU179">
    <cfRule type="cellIs" dxfId="6995" priority="11357" stopIfTrue="1" operator="equal">
      <formula>0</formula>
    </cfRule>
    <cfRule type="cellIs" dxfId="6994" priority="11358" stopIfTrue="1" operator="notEqual">
      <formula>0</formula>
    </cfRule>
  </conditionalFormatting>
  <conditionalFormatting sqref="GV179">
    <cfRule type="cellIs" dxfId="6993" priority="11356" stopIfTrue="1" operator="equal">
      <formula>"STOP"</formula>
    </cfRule>
  </conditionalFormatting>
  <conditionalFormatting sqref="Q180">
    <cfRule type="cellIs" dxfId="6992" priority="11350" stopIfTrue="1" operator="equal">
      <formula>"SIM"</formula>
    </cfRule>
    <cfRule type="cellIs" dxfId="6991" priority="11351" stopIfTrue="1" operator="equal">
      <formula>"NÃO"</formula>
    </cfRule>
  </conditionalFormatting>
  <conditionalFormatting sqref="BF180 CJ180 DO180">
    <cfRule type="cellIs" dxfId="6990" priority="11346" stopIfTrue="1" operator="equal">
      <formula>0</formula>
    </cfRule>
    <cfRule type="cellIs" dxfId="6989" priority="11352" stopIfTrue="1" operator="notEqual">
      <formula>0</formula>
    </cfRule>
  </conditionalFormatting>
  <conditionalFormatting sqref="C180:D180">
    <cfRule type="expression" dxfId="6988" priority="11349" stopIfTrue="1">
      <formula>IF(AND($C180&lt;&gt;"",$H180+$L180=0),TRUE)</formula>
    </cfRule>
  </conditionalFormatting>
  <conditionalFormatting sqref="P180">
    <cfRule type="cellIs" dxfId="6987" priority="11338" stopIfTrue="1" operator="equal">
      <formula>1</formula>
    </cfRule>
    <cfRule type="cellIs" dxfId="6986" priority="11347" stopIfTrue="1" operator="equal">
      <formula>2</formula>
    </cfRule>
    <cfRule type="cellIs" dxfId="6985" priority="11348" stopIfTrue="1" operator="equal">
      <formula>"X"</formula>
    </cfRule>
  </conditionalFormatting>
  <conditionalFormatting sqref="GU180">
    <cfRule type="cellIs" dxfId="6984" priority="11340" stopIfTrue="1" operator="equal">
      <formula>0</formula>
    </cfRule>
    <cfRule type="cellIs" dxfId="6983" priority="11341" stopIfTrue="1" operator="notEqual">
      <formula>0</formula>
    </cfRule>
  </conditionalFormatting>
  <conditionalFormatting sqref="GV180">
    <cfRule type="cellIs" dxfId="6982" priority="11339" stopIfTrue="1" operator="equal">
      <formula>"STOP"</formula>
    </cfRule>
  </conditionalFormatting>
  <conditionalFormatting sqref="Q176">
    <cfRule type="cellIs" dxfId="6981" priority="11333" stopIfTrue="1" operator="equal">
      <formula>"SIM"</formula>
    </cfRule>
    <cfRule type="cellIs" dxfId="6980" priority="11334" stopIfTrue="1" operator="equal">
      <formula>"NÃO"</formula>
    </cfRule>
  </conditionalFormatting>
  <conditionalFormatting sqref="BF176 CJ176 DO176">
    <cfRule type="cellIs" dxfId="6979" priority="11329" stopIfTrue="1" operator="equal">
      <formula>0</formula>
    </cfRule>
    <cfRule type="cellIs" dxfId="6978" priority="11335" stopIfTrue="1" operator="notEqual">
      <formula>0</formula>
    </cfRule>
  </conditionalFormatting>
  <conditionalFormatting sqref="C176:D176">
    <cfRule type="expression" dxfId="6977" priority="11332" stopIfTrue="1">
      <formula>IF(AND($C176&lt;&gt;"",$H176+$L176=0),TRUE)</formula>
    </cfRule>
  </conditionalFormatting>
  <conditionalFormatting sqref="P176">
    <cfRule type="cellIs" dxfId="6976" priority="11321" stopIfTrue="1" operator="equal">
      <formula>1</formula>
    </cfRule>
    <cfRule type="cellIs" dxfId="6975" priority="11330" stopIfTrue="1" operator="equal">
      <formula>2</formula>
    </cfRule>
    <cfRule type="cellIs" dxfId="6974" priority="11331" stopIfTrue="1" operator="equal">
      <formula>"X"</formula>
    </cfRule>
  </conditionalFormatting>
  <conditionalFormatting sqref="GU176">
    <cfRule type="cellIs" dxfId="6973" priority="11323" stopIfTrue="1" operator="equal">
      <formula>0</formula>
    </cfRule>
    <cfRule type="cellIs" dxfId="6972" priority="11324" stopIfTrue="1" operator="notEqual">
      <formula>0</formula>
    </cfRule>
  </conditionalFormatting>
  <conditionalFormatting sqref="GV176">
    <cfRule type="cellIs" dxfId="6971" priority="11322" stopIfTrue="1" operator="equal">
      <formula>"STOP"</formula>
    </cfRule>
  </conditionalFormatting>
  <conditionalFormatting sqref="Q184">
    <cfRule type="cellIs" dxfId="6970" priority="7933" stopIfTrue="1" operator="equal">
      <formula>"SIM"</formula>
    </cfRule>
    <cfRule type="cellIs" dxfId="6969" priority="7934" stopIfTrue="1" operator="equal">
      <formula>"NÃO"</formula>
    </cfRule>
  </conditionalFormatting>
  <conditionalFormatting sqref="BF184 CJ184 DO184">
    <cfRule type="cellIs" dxfId="6968" priority="7929" stopIfTrue="1" operator="equal">
      <formula>0</formula>
    </cfRule>
    <cfRule type="cellIs" dxfId="6967" priority="7935" stopIfTrue="1" operator="notEqual">
      <formula>0</formula>
    </cfRule>
  </conditionalFormatting>
  <conditionalFormatting sqref="C184:D184">
    <cfRule type="expression" dxfId="6966" priority="7932" stopIfTrue="1">
      <formula>IF(AND($C184&lt;&gt;"",$H184+$L184=0),TRUE)</formula>
    </cfRule>
  </conditionalFormatting>
  <conditionalFormatting sqref="P184">
    <cfRule type="cellIs" dxfId="6965" priority="7921" stopIfTrue="1" operator="equal">
      <formula>1</formula>
    </cfRule>
    <cfRule type="cellIs" dxfId="6964" priority="7930" stopIfTrue="1" operator="equal">
      <formula>2</formula>
    </cfRule>
    <cfRule type="cellIs" dxfId="6963" priority="7931" stopIfTrue="1" operator="equal">
      <formula>"X"</formula>
    </cfRule>
  </conditionalFormatting>
  <conditionalFormatting sqref="GU184">
    <cfRule type="cellIs" dxfId="6962" priority="7923" stopIfTrue="1" operator="equal">
      <formula>0</formula>
    </cfRule>
    <cfRule type="cellIs" dxfId="6961" priority="7924" stopIfTrue="1" operator="notEqual">
      <formula>0</formula>
    </cfRule>
  </conditionalFormatting>
  <conditionalFormatting sqref="GV184">
    <cfRule type="cellIs" dxfId="6960" priority="7922" stopIfTrue="1" operator="equal">
      <formula>"STOP"</formula>
    </cfRule>
  </conditionalFormatting>
  <conditionalFormatting sqref="Q182">
    <cfRule type="cellIs" dxfId="6959" priority="7916" stopIfTrue="1" operator="equal">
      <formula>"SIM"</formula>
    </cfRule>
    <cfRule type="cellIs" dxfId="6958" priority="7917" stopIfTrue="1" operator="equal">
      <formula>"NÃO"</formula>
    </cfRule>
  </conditionalFormatting>
  <conditionalFormatting sqref="BF182 CJ182 DO182">
    <cfRule type="cellIs" dxfId="6957" priority="7912" stopIfTrue="1" operator="equal">
      <formula>0</formula>
    </cfRule>
    <cfRule type="cellIs" dxfId="6956" priority="7918" stopIfTrue="1" operator="notEqual">
      <formula>0</formula>
    </cfRule>
  </conditionalFormatting>
  <conditionalFormatting sqref="C182:D182">
    <cfRule type="expression" dxfId="6955" priority="7915" stopIfTrue="1">
      <formula>IF(AND($C182&lt;&gt;"",$H182+$L182=0),TRUE)</formula>
    </cfRule>
  </conditionalFormatting>
  <conditionalFormatting sqref="P182">
    <cfRule type="cellIs" dxfId="6954" priority="7904" stopIfTrue="1" operator="equal">
      <formula>1</formula>
    </cfRule>
    <cfRule type="cellIs" dxfId="6953" priority="7913" stopIfTrue="1" operator="equal">
      <formula>2</formula>
    </cfRule>
    <cfRule type="cellIs" dxfId="6952" priority="7914" stopIfTrue="1" operator="equal">
      <formula>"X"</formula>
    </cfRule>
  </conditionalFormatting>
  <conditionalFormatting sqref="GU182">
    <cfRule type="cellIs" dxfId="6951" priority="7906" stopIfTrue="1" operator="equal">
      <formula>0</formula>
    </cfRule>
    <cfRule type="cellIs" dxfId="6950" priority="7907" stopIfTrue="1" operator="notEqual">
      <formula>0</formula>
    </cfRule>
  </conditionalFormatting>
  <conditionalFormatting sqref="GV182">
    <cfRule type="cellIs" dxfId="6949" priority="7905" stopIfTrue="1" operator="equal">
      <formula>"STOP"</formula>
    </cfRule>
  </conditionalFormatting>
  <conditionalFormatting sqref="Q176">
    <cfRule type="cellIs" dxfId="6948" priority="11316" stopIfTrue="1" operator="equal">
      <formula>"SIM"</formula>
    </cfRule>
    <cfRule type="cellIs" dxfId="6947" priority="11317" stopIfTrue="1" operator="equal">
      <formula>"NÃO"</formula>
    </cfRule>
  </conditionalFormatting>
  <conditionalFormatting sqref="BF176 CJ176 DO176">
    <cfRule type="cellIs" dxfId="6946" priority="11312" stopIfTrue="1" operator="equal">
      <formula>0</formula>
    </cfRule>
    <cfRule type="cellIs" dxfId="6945" priority="11318" stopIfTrue="1" operator="notEqual">
      <formula>0</formula>
    </cfRule>
  </conditionalFormatting>
  <conditionalFormatting sqref="C176:D176">
    <cfRule type="expression" dxfId="6944" priority="11315" stopIfTrue="1">
      <formula>IF(AND($C176&lt;&gt;"",$H176+$L176=0),TRUE)</formula>
    </cfRule>
  </conditionalFormatting>
  <conditionalFormatting sqref="P176">
    <cfRule type="cellIs" dxfId="6943" priority="11304" stopIfTrue="1" operator="equal">
      <formula>1</formula>
    </cfRule>
    <cfRule type="cellIs" dxfId="6942" priority="11313" stopIfTrue="1" operator="equal">
      <formula>2</formula>
    </cfRule>
    <cfRule type="cellIs" dxfId="6941" priority="11314" stopIfTrue="1" operator="equal">
      <formula>"X"</formula>
    </cfRule>
  </conditionalFormatting>
  <conditionalFormatting sqref="GU176">
    <cfRule type="cellIs" dxfId="6940" priority="11306" stopIfTrue="1" operator="equal">
      <formula>0</formula>
    </cfRule>
    <cfRule type="cellIs" dxfId="6939" priority="11307" stopIfTrue="1" operator="notEqual">
      <formula>0</formula>
    </cfRule>
  </conditionalFormatting>
  <conditionalFormatting sqref="GV176">
    <cfRule type="cellIs" dxfId="6938" priority="11305" stopIfTrue="1" operator="equal">
      <formula>"STOP"</formula>
    </cfRule>
  </conditionalFormatting>
  <conditionalFormatting sqref="Q184">
    <cfRule type="cellIs" dxfId="6937" priority="7882" stopIfTrue="1" operator="equal">
      <formula>"SIM"</formula>
    </cfRule>
    <cfRule type="cellIs" dxfId="6936" priority="7883" stopIfTrue="1" operator="equal">
      <formula>"NÃO"</formula>
    </cfRule>
  </conditionalFormatting>
  <conditionalFormatting sqref="BF184 CJ184 DO184">
    <cfRule type="cellIs" dxfId="6935" priority="7878" stopIfTrue="1" operator="equal">
      <formula>0</formula>
    </cfRule>
    <cfRule type="cellIs" dxfId="6934" priority="7884" stopIfTrue="1" operator="notEqual">
      <formula>0</formula>
    </cfRule>
  </conditionalFormatting>
  <conditionalFormatting sqref="C184:D184">
    <cfRule type="expression" dxfId="6933" priority="7881" stopIfTrue="1">
      <formula>IF(AND($C184&lt;&gt;"",$H184+$L184=0),TRUE)</formula>
    </cfRule>
  </conditionalFormatting>
  <conditionalFormatting sqref="P184">
    <cfRule type="cellIs" dxfId="6932" priority="7870" stopIfTrue="1" operator="equal">
      <formula>1</formula>
    </cfRule>
    <cfRule type="cellIs" dxfId="6931" priority="7879" stopIfTrue="1" operator="equal">
      <formula>2</formula>
    </cfRule>
    <cfRule type="cellIs" dxfId="6930" priority="7880" stopIfTrue="1" operator="equal">
      <formula>"X"</formula>
    </cfRule>
  </conditionalFormatting>
  <conditionalFormatting sqref="GU184">
    <cfRule type="cellIs" dxfId="6929" priority="7872" stopIfTrue="1" operator="equal">
      <formula>0</formula>
    </cfRule>
    <cfRule type="cellIs" dxfId="6928" priority="7873" stopIfTrue="1" operator="notEqual">
      <formula>0</formula>
    </cfRule>
  </conditionalFormatting>
  <conditionalFormatting sqref="GV184">
    <cfRule type="cellIs" dxfId="6927" priority="7871" stopIfTrue="1" operator="equal">
      <formula>"STOP"</formula>
    </cfRule>
  </conditionalFormatting>
  <conditionalFormatting sqref="Q180">
    <cfRule type="cellIs" dxfId="6926" priority="7865" stopIfTrue="1" operator="equal">
      <formula>"SIM"</formula>
    </cfRule>
    <cfRule type="cellIs" dxfId="6925" priority="7866" stopIfTrue="1" operator="equal">
      <formula>"NÃO"</formula>
    </cfRule>
  </conditionalFormatting>
  <conditionalFormatting sqref="BF180 CJ180 DO180">
    <cfRule type="cellIs" dxfId="6924" priority="7861" stopIfTrue="1" operator="equal">
      <formula>0</formula>
    </cfRule>
    <cfRule type="cellIs" dxfId="6923" priority="7867" stopIfTrue="1" operator="notEqual">
      <formula>0</formula>
    </cfRule>
  </conditionalFormatting>
  <conditionalFormatting sqref="C180:D180">
    <cfRule type="expression" dxfId="6922" priority="7864" stopIfTrue="1">
      <formula>IF(AND($C180&lt;&gt;"",$H180+$L180=0),TRUE)</formula>
    </cfRule>
  </conditionalFormatting>
  <conditionalFormatting sqref="P180">
    <cfRule type="cellIs" dxfId="6921" priority="7853" stopIfTrue="1" operator="equal">
      <formula>1</formula>
    </cfRule>
    <cfRule type="cellIs" dxfId="6920" priority="7862" stopIfTrue="1" operator="equal">
      <formula>2</formula>
    </cfRule>
    <cfRule type="cellIs" dxfId="6919" priority="7863" stopIfTrue="1" operator="equal">
      <formula>"X"</formula>
    </cfRule>
  </conditionalFormatting>
  <conditionalFormatting sqref="GU180">
    <cfRule type="cellIs" dxfId="6918" priority="7855" stopIfTrue="1" operator="equal">
      <formula>0</formula>
    </cfRule>
    <cfRule type="cellIs" dxfId="6917" priority="7856" stopIfTrue="1" operator="notEqual">
      <formula>0</formula>
    </cfRule>
  </conditionalFormatting>
  <conditionalFormatting sqref="GV180">
    <cfRule type="cellIs" dxfId="6916" priority="7854" stopIfTrue="1" operator="equal">
      <formula>"STOP"</formula>
    </cfRule>
  </conditionalFormatting>
  <conditionalFormatting sqref="Q179">
    <cfRule type="cellIs" dxfId="6915" priority="11299" stopIfTrue="1" operator="equal">
      <formula>"SIM"</formula>
    </cfRule>
    <cfRule type="cellIs" dxfId="6914" priority="11300" stopIfTrue="1" operator="equal">
      <formula>"NÃO"</formula>
    </cfRule>
  </conditionalFormatting>
  <conditionalFormatting sqref="BF179 CJ179 DO179">
    <cfRule type="cellIs" dxfId="6913" priority="11295" stopIfTrue="1" operator="equal">
      <formula>0</formula>
    </cfRule>
    <cfRule type="cellIs" dxfId="6912" priority="11301" stopIfTrue="1" operator="notEqual">
      <formula>0</formula>
    </cfRule>
  </conditionalFormatting>
  <conditionalFormatting sqref="C179:D179">
    <cfRule type="expression" dxfId="6911" priority="11298" stopIfTrue="1">
      <formula>IF(AND($C179&lt;&gt;"",$H179+$L179=0),TRUE)</formula>
    </cfRule>
  </conditionalFormatting>
  <conditionalFormatting sqref="P179">
    <cfRule type="cellIs" dxfId="6910" priority="11287" stopIfTrue="1" operator="equal">
      <formula>1</formula>
    </cfRule>
    <cfRule type="cellIs" dxfId="6909" priority="11296" stopIfTrue="1" operator="equal">
      <formula>2</formula>
    </cfRule>
    <cfRule type="cellIs" dxfId="6908" priority="11297" stopIfTrue="1" operator="equal">
      <formula>"X"</formula>
    </cfRule>
  </conditionalFormatting>
  <conditionalFormatting sqref="GU179">
    <cfRule type="cellIs" dxfId="6907" priority="11289" stopIfTrue="1" operator="equal">
      <formula>0</formula>
    </cfRule>
    <cfRule type="cellIs" dxfId="6906" priority="11290" stopIfTrue="1" operator="notEqual">
      <formula>0</formula>
    </cfRule>
  </conditionalFormatting>
  <conditionalFormatting sqref="GV179">
    <cfRule type="cellIs" dxfId="6905" priority="11288" stopIfTrue="1" operator="equal">
      <formula>"STOP"</formula>
    </cfRule>
  </conditionalFormatting>
  <conditionalFormatting sqref="Q182">
    <cfRule type="cellIs" dxfId="6904" priority="7831" stopIfTrue="1" operator="equal">
      <formula>"SIM"</formula>
    </cfRule>
    <cfRule type="cellIs" dxfId="6903" priority="7832" stopIfTrue="1" operator="equal">
      <formula>"NÃO"</formula>
    </cfRule>
  </conditionalFormatting>
  <conditionalFormatting sqref="BF182 CJ182 DO182">
    <cfRule type="cellIs" dxfId="6902" priority="7827" stopIfTrue="1" operator="equal">
      <formula>0</formula>
    </cfRule>
    <cfRule type="cellIs" dxfId="6901" priority="7833" stopIfTrue="1" operator="notEqual">
      <formula>0</formula>
    </cfRule>
  </conditionalFormatting>
  <conditionalFormatting sqref="C182:D182">
    <cfRule type="expression" dxfId="6900" priority="7830" stopIfTrue="1">
      <formula>IF(AND($C182&lt;&gt;"",$H182+$L182=0),TRUE)</formula>
    </cfRule>
  </conditionalFormatting>
  <conditionalFormatting sqref="P182">
    <cfRule type="cellIs" dxfId="6899" priority="7819" stopIfTrue="1" operator="equal">
      <formula>1</formula>
    </cfRule>
    <cfRule type="cellIs" dxfId="6898" priority="7828" stopIfTrue="1" operator="equal">
      <formula>2</formula>
    </cfRule>
    <cfRule type="cellIs" dxfId="6897" priority="7829" stopIfTrue="1" operator="equal">
      <formula>"X"</formula>
    </cfRule>
  </conditionalFormatting>
  <conditionalFormatting sqref="GU182">
    <cfRule type="cellIs" dxfId="6896" priority="7821" stopIfTrue="1" operator="equal">
      <formula>0</formula>
    </cfRule>
    <cfRule type="cellIs" dxfId="6895" priority="7822" stopIfTrue="1" operator="notEqual">
      <formula>0</formula>
    </cfRule>
  </conditionalFormatting>
  <conditionalFormatting sqref="GV182">
    <cfRule type="cellIs" dxfId="6894" priority="7820" stopIfTrue="1" operator="equal">
      <formula>"STOP"</formula>
    </cfRule>
  </conditionalFormatting>
  <conditionalFormatting sqref="Q183">
    <cfRule type="cellIs" dxfId="6893" priority="7814" stopIfTrue="1" operator="equal">
      <formula>"SIM"</formula>
    </cfRule>
    <cfRule type="cellIs" dxfId="6892" priority="7815" stopIfTrue="1" operator="equal">
      <formula>"NÃO"</formula>
    </cfRule>
  </conditionalFormatting>
  <conditionalFormatting sqref="BF183 CJ183 DO183">
    <cfRule type="cellIs" dxfId="6891" priority="7810" stopIfTrue="1" operator="equal">
      <formula>0</formula>
    </cfRule>
    <cfRule type="cellIs" dxfId="6890" priority="7816" stopIfTrue="1" operator="notEqual">
      <formula>0</formula>
    </cfRule>
  </conditionalFormatting>
  <conditionalFormatting sqref="C183:D183">
    <cfRule type="expression" dxfId="6889" priority="7813" stopIfTrue="1">
      <formula>IF(AND($C183&lt;&gt;"",$H183+$L183=0),TRUE)</formula>
    </cfRule>
  </conditionalFormatting>
  <conditionalFormatting sqref="P183">
    <cfRule type="cellIs" dxfId="6888" priority="7802" stopIfTrue="1" operator="equal">
      <formula>1</formula>
    </cfRule>
    <cfRule type="cellIs" dxfId="6887" priority="7811" stopIfTrue="1" operator="equal">
      <formula>2</formula>
    </cfRule>
    <cfRule type="cellIs" dxfId="6886" priority="7812" stopIfTrue="1" operator="equal">
      <formula>"X"</formula>
    </cfRule>
  </conditionalFormatting>
  <conditionalFormatting sqref="GU183">
    <cfRule type="cellIs" dxfId="6885" priority="7804" stopIfTrue="1" operator="equal">
      <formula>0</formula>
    </cfRule>
    <cfRule type="cellIs" dxfId="6884" priority="7805" stopIfTrue="1" operator="notEqual">
      <formula>0</formula>
    </cfRule>
  </conditionalFormatting>
  <conditionalFormatting sqref="GV183">
    <cfRule type="cellIs" dxfId="6883" priority="7803" stopIfTrue="1" operator="equal">
      <formula>"STOP"</formula>
    </cfRule>
  </conditionalFormatting>
  <conditionalFormatting sqref="Q179">
    <cfRule type="cellIs" dxfId="6882" priority="11282" stopIfTrue="1" operator="equal">
      <formula>"SIM"</formula>
    </cfRule>
    <cfRule type="cellIs" dxfId="6881" priority="11283" stopIfTrue="1" operator="equal">
      <formula>"NÃO"</formula>
    </cfRule>
  </conditionalFormatting>
  <conditionalFormatting sqref="BF179 CJ179 DO179">
    <cfRule type="cellIs" dxfId="6880" priority="11278" stopIfTrue="1" operator="equal">
      <formula>0</formula>
    </cfRule>
    <cfRule type="cellIs" dxfId="6879" priority="11284" stopIfTrue="1" operator="notEqual">
      <formula>0</formula>
    </cfRule>
  </conditionalFormatting>
  <conditionalFormatting sqref="C179:D179">
    <cfRule type="expression" dxfId="6878" priority="11281" stopIfTrue="1">
      <formula>IF(AND($C179&lt;&gt;"",$H179+$L179=0),TRUE)</formula>
    </cfRule>
  </conditionalFormatting>
  <conditionalFormatting sqref="P179">
    <cfRule type="cellIs" dxfId="6877" priority="11270" stopIfTrue="1" operator="equal">
      <formula>1</formula>
    </cfRule>
    <cfRule type="cellIs" dxfId="6876" priority="11279" stopIfTrue="1" operator="equal">
      <formula>2</formula>
    </cfRule>
    <cfRule type="cellIs" dxfId="6875" priority="11280" stopIfTrue="1" operator="equal">
      <formula>"X"</formula>
    </cfRule>
  </conditionalFormatting>
  <conditionalFormatting sqref="GU179">
    <cfRule type="cellIs" dxfId="6874" priority="11272" stopIfTrue="1" operator="equal">
      <formula>0</formula>
    </cfRule>
    <cfRule type="cellIs" dxfId="6873" priority="11273" stopIfTrue="1" operator="notEqual">
      <formula>0</formula>
    </cfRule>
  </conditionalFormatting>
  <conditionalFormatting sqref="GV179">
    <cfRule type="cellIs" dxfId="6872" priority="11271" stopIfTrue="1" operator="equal">
      <formula>"STOP"</formula>
    </cfRule>
  </conditionalFormatting>
  <conditionalFormatting sqref="Q175">
    <cfRule type="cellIs" dxfId="6871" priority="11265" stopIfTrue="1" operator="equal">
      <formula>"SIM"</formula>
    </cfRule>
    <cfRule type="cellIs" dxfId="6870" priority="11266" stopIfTrue="1" operator="equal">
      <formula>"NÃO"</formula>
    </cfRule>
  </conditionalFormatting>
  <conditionalFormatting sqref="BF175 CJ175 DO175">
    <cfRule type="cellIs" dxfId="6869" priority="11261" stopIfTrue="1" operator="equal">
      <formula>0</formula>
    </cfRule>
    <cfRule type="cellIs" dxfId="6868" priority="11267" stopIfTrue="1" operator="notEqual">
      <formula>0</formula>
    </cfRule>
  </conditionalFormatting>
  <conditionalFormatting sqref="C175:D175">
    <cfRule type="expression" dxfId="6867" priority="11264" stopIfTrue="1">
      <formula>IF(AND($C175&lt;&gt;"",$H175+$L175=0),TRUE)</formula>
    </cfRule>
  </conditionalFormatting>
  <conditionalFormatting sqref="P175">
    <cfRule type="cellIs" dxfId="6866" priority="11253" stopIfTrue="1" operator="equal">
      <formula>1</formula>
    </cfRule>
    <cfRule type="cellIs" dxfId="6865" priority="11262" stopIfTrue="1" operator="equal">
      <formula>2</formula>
    </cfRule>
    <cfRule type="cellIs" dxfId="6864" priority="11263" stopIfTrue="1" operator="equal">
      <formula>"X"</formula>
    </cfRule>
  </conditionalFormatting>
  <conditionalFormatting sqref="GU175">
    <cfRule type="cellIs" dxfId="6863" priority="11255" stopIfTrue="1" operator="equal">
      <formula>0</formula>
    </cfRule>
    <cfRule type="cellIs" dxfId="6862" priority="11256" stopIfTrue="1" operator="notEqual">
      <formula>0</formula>
    </cfRule>
  </conditionalFormatting>
  <conditionalFormatting sqref="GV175">
    <cfRule type="cellIs" dxfId="6861" priority="11254" stopIfTrue="1" operator="equal">
      <formula>"STOP"</formula>
    </cfRule>
  </conditionalFormatting>
  <conditionalFormatting sqref="Q176">
    <cfRule type="cellIs" dxfId="6860" priority="11248" stopIfTrue="1" operator="equal">
      <formula>"SIM"</formula>
    </cfRule>
    <cfRule type="cellIs" dxfId="6859" priority="11249" stopIfTrue="1" operator="equal">
      <formula>"NÃO"</formula>
    </cfRule>
  </conditionalFormatting>
  <conditionalFormatting sqref="BF176 CJ176 DO176">
    <cfRule type="cellIs" dxfId="6858" priority="11244" stopIfTrue="1" operator="equal">
      <formula>0</formula>
    </cfRule>
    <cfRule type="cellIs" dxfId="6857" priority="11250" stopIfTrue="1" operator="notEqual">
      <formula>0</formula>
    </cfRule>
  </conditionalFormatting>
  <conditionalFormatting sqref="C176:D176">
    <cfRule type="expression" dxfId="6856" priority="11247" stopIfTrue="1">
      <formula>IF(AND($C176&lt;&gt;"",$H176+$L176=0),TRUE)</formula>
    </cfRule>
  </conditionalFormatting>
  <conditionalFormatting sqref="P176">
    <cfRule type="cellIs" dxfId="6855" priority="11236" stopIfTrue="1" operator="equal">
      <formula>1</formula>
    </cfRule>
    <cfRule type="cellIs" dxfId="6854" priority="11245" stopIfTrue="1" operator="equal">
      <formula>2</formula>
    </cfRule>
    <cfRule type="cellIs" dxfId="6853" priority="11246" stopIfTrue="1" operator="equal">
      <formula>"X"</formula>
    </cfRule>
  </conditionalFormatting>
  <conditionalFormatting sqref="GU176">
    <cfRule type="cellIs" dxfId="6852" priority="11238" stopIfTrue="1" operator="equal">
      <formula>0</formula>
    </cfRule>
    <cfRule type="cellIs" dxfId="6851" priority="11239" stopIfTrue="1" operator="notEqual">
      <formula>0</formula>
    </cfRule>
  </conditionalFormatting>
  <conditionalFormatting sqref="GV176">
    <cfRule type="cellIs" dxfId="6850" priority="11237" stopIfTrue="1" operator="equal">
      <formula>"STOP"</formula>
    </cfRule>
  </conditionalFormatting>
  <conditionalFormatting sqref="Q181">
    <cfRule type="cellIs" dxfId="6849" priority="7746" stopIfTrue="1" operator="equal">
      <formula>"SIM"</formula>
    </cfRule>
    <cfRule type="cellIs" dxfId="6848" priority="7747" stopIfTrue="1" operator="equal">
      <formula>"NÃO"</formula>
    </cfRule>
  </conditionalFormatting>
  <conditionalFormatting sqref="BF181 CJ181 DO181">
    <cfRule type="cellIs" dxfId="6847" priority="7742" stopIfTrue="1" operator="equal">
      <formula>0</formula>
    </cfRule>
    <cfRule type="cellIs" dxfId="6846" priority="7748" stopIfTrue="1" operator="notEqual">
      <formula>0</formula>
    </cfRule>
  </conditionalFormatting>
  <conditionalFormatting sqref="C181:D181">
    <cfRule type="expression" dxfId="6845" priority="7745" stopIfTrue="1">
      <formula>IF(AND($C181&lt;&gt;"",$H181+$L181=0),TRUE)</formula>
    </cfRule>
  </conditionalFormatting>
  <conditionalFormatting sqref="P181">
    <cfRule type="cellIs" dxfId="6844" priority="7734" stopIfTrue="1" operator="equal">
      <formula>1</formula>
    </cfRule>
    <cfRule type="cellIs" dxfId="6843" priority="7743" stopIfTrue="1" operator="equal">
      <formula>2</formula>
    </cfRule>
    <cfRule type="cellIs" dxfId="6842" priority="7744" stopIfTrue="1" operator="equal">
      <formula>"X"</formula>
    </cfRule>
  </conditionalFormatting>
  <conditionalFormatting sqref="GU181">
    <cfRule type="cellIs" dxfId="6841" priority="7736" stopIfTrue="1" operator="equal">
      <formula>0</formula>
    </cfRule>
    <cfRule type="cellIs" dxfId="6840" priority="7737" stopIfTrue="1" operator="notEqual">
      <formula>0</formula>
    </cfRule>
  </conditionalFormatting>
  <conditionalFormatting sqref="GV181">
    <cfRule type="cellIs" dxfId="6839" priority="7735" stopIfTrue="1" operator="equal">
      <formula>"STOP"</formula>
    </cfRule>
  </conditionalFormatting>
  <conditionalFormatting sqref="Q182">
    <cfRule type="cellIs" dxfId="6838" priority="7729" stopIfTrue="1" operator="equal">
      <formula>"SIM"</formula>
    </cfRule>
    <cfRule type="cellIs" dxfId="6837" priority="7730" stopIfTrue="1" operator="equal">
      <formula>"NÃO"</formula>
    </cfRule>
  </conditionalFormatting>
  <conditionalFormatting sqref="BF182 CJ182 DO182">
    <cfRule type="cellIs" dxfId="6836" priority="7725" stopIfTrue="1" operator="equal">
      <formula>0</formula>
    </cfRule>
    <cfRule type="cellIs" dxfId="6835" priority="7731" stopIfTrue="1" operator="notEqual">
      <formula>0</formula>
    </cfRule>
  </conditionalFormatting>
  <conditionalFormatting sqref="C182:D182">
    <cfRule type="expression" dxfId="6834" priority="7728" stopIfTrue="1">
      <formula>IF(AND($C182&lt;&gt;"",$H182+$L182=0),TRUE)</formula>
    </cfRule>
  </conditionalFormatting>
  <conditionalFormatting sqref="P182">
    <cfRule type="cellIs" dxfId="6833" priority="7717" stopIfTrue="1" operator="equal">
      <formula>1</formula>
    </cfRule>
    <cfRule type="cellIs" dxfId="6832" priority="7726" stopIfTrue="1" operator="equal">
      <formula>2</formula>
    </cfRule>
    <cfRule type="cellIs" dxfId="6831" priority="7727" stopIfTrue="1" operator="equal">
      <formula>"X"</formula>
    </cfRule>
  </conditionalFormatting>
  <conditionalFormatting sqref="GU182">
    <cfRule type="cellIs" dxfId="6830" priority="7719" stopIfTrue="1" operator="equal">
      <formula>0</formula>
    </cfRule>
    <cfRule type="cellIs" dxfId="6829" priority="7720" stopIfTrue="1" operator="notEqual">
      <formula>0</formula>
    </cfRule>
  </conditionalFormatting>
  <conditionalFormatting sqref="GV182">
    <cfRule type="cellIs" dxfId="6828" priority="7718" stopIfTrue="1" operator="equal">
      <formula>"STOP"</formula>
    </cfRule>
  </conditionalFormatting>
  <conditionalFormatting sqref="Q179">
    <cfRule type="cellIs" dxfId="6827" priority="11231" stopIfTrue="1" operator="equal">
      <formula>"SIM"</formula>
    </cfRule>
    <cfRule type="cellIs" dxfId="6826" priority="11232" stopIfTrue="1" operator="equal">
      <formula>"NÃO"</formula>
    </cfRule>
  </conditionalFormatting>
  <conditionalFormatting sqref="BF179 CJ179 DO179">
    <cfRule type="cellIs" dxfId="6825" priority="11227" stopIfTrue="1" operator="equal">
      <formula>0</formula>
    </cfRule>
    <cfRule type="cellIs" dxfId="6824" priority="11233" stopIfTrue="1" operator="notEqual">
      <formula>0</formula>
    </cfRule>
  </conditionalFormatting>
  <conditionalFormatting sqref="C179:D179">
    <cfRule type="expression" dxfId="6823" priority="11230" stopIfTrue="1">
      <formula>IF(AND($C179&lt;&gt;"",$H179+$L179=0),TRUE)</formula>
    </cfRule>
  </conditionalFormatting>
  <conditionalFormatting sqref="P179">
    <cfRule type="cellIs" dxfId="6822" priority="11219" stopIfTrue="1" operator="equal">
      <formula>1</formula>
    </cfRule>
    <cfRule type="cellIs" dxfId="6821" priority="11228" stopIfTrue="1" operator="equal">
      <formula>2</formula>
    </cfRule>
    <cfRule type="cellIs" dxfId="6820" priority="11229" stopIfTrue="1" operator="equal">
      <formula>"X"</formula>
    </cfRule>
  </conditionalFormatting>
  <conditionalFormatting sqref="GU179">
    <cfRule type="cellIs" dxfId="6819" priority="11221" stopIfTrue="1" operator="equal">
      <formula>0</formula>
    </cfRule>
    <cfRule type="cellIs" dxfId="6818" priority="11222" stopIfTrue="1" operator="notEqual">
      <formula>0</formula>
    </cfRule>
  </conditionalFormatting>
  <conditionalFormatting sqref="GV179">
    <cfRule type="cellIs" dxfId="6817" priority="11220" stopIfTrue="1" operator="equal">
      <formula>"STOP"</formula>
    </cfRule>
  </conditionalFormatting>
  <conditionalFormatting sqref="Q180">
    <cfRule type="cellIs" dxfId="6816" priority="11214" stopIfTrue="1" operator="equal">
      <formula>"SIM"</formula>
    </cfRule>
    <cfRule type="cellIs" dxfId="6815" priority="11215" stopIfTrue="1" operator="equal">
      <formula>"NÃO"</formula>
    </cfRule>
  </conditionalFormatting>
  <conditionalFormatting sqref="BF180 CJ180 DO180">
    <cfRule type="cellIs" dxfId="6814" priority="11210" stopIfTrue="1" operator="equal">
      <formula>0</formula>
    </cfRule>
    <cfRule type="cellIs" dxfId="6813" priority="11216" stopIfTrue="1" operator="notEqual">
      <formula>0</formula>
    </cfRule>
  </conditionalFormatting>
  <conditionalFormatting sqref="C180:D180">
    <cfRule type="expression" dxfId="6812" priority="11213" stopIfTrue="1">
      <formula>IF(AND($C180&lt;&gt;"",$H180+$L180=0),TRUE)</formula>
    </cfRule>
  </conditionalFormatting>
  <conditionalFormatting sqref="P180">
    <cfRule type="cellIs" dxfId="6811" priority="11202" stopIfTrue="1" operator="equal">
      <formula>1</formula>
    </cfRule>
    <cfRule type="cellIs" dxfId="6810" priority="11211" stopIfTrue="1" operator="equal">
      <formula>2</formula>
    </cfRule>
    <cfRule type="cellIs" dxfId="6809" priority="11212" stopIfTrue="1" operator="equal">
      <formula>"X"</formula>
    </cfRule>
  </conditionalFormatting>
  <conditionalFormatting sqref="GU180">
    <cfRule type="cellIs" dxfId="6808" priority="11204" stopIfTrue="1" operator="equal">
      <formula>0</formula>
    </cfRule>
    <cfRule type="cellIs" dxfId="6807" priority="11205" stopIfTrue="1" operator="notEqual">
      <formula>0</formula>
    </cfRule>
  </conditionalFormatting>
  <conditionalFormatting sqref="GV180">
    <cfRule type="cellIs" dxfId="6806" priority="11203" stopIfTrue="1" operator="equal">
      <formula>"STOP"</formula>
    </cfRule>
  </conditionalFormatting>
  <conditionalFormatting sqref="Q181">
    <cfRule type="cellIs" dxfId="6805" priority="11197" stopIfTrue="1" operator="equal">
      <formula>"SIM"</formula>
    </cfRule>
    <cfRule type="cellIs" dxfId="6804" priority="11198" stopIfTrue="1" operator="equal">
      <formula>"NÃO"</formula>
    </cfRule>
  </conditionalFormatting>
  <conditionalFormatting sqref="BF181 CJ181 DO181">
    <cfRule type="cellIs" dxfId="6803" priority="11193" stopIfTrue="1" operator="equal">
      <formula>0</formula>
    </cfRule>
    <cfRule type="cellIs" dxfId="6802" priority="11199" stopIfTrue="1" operator="notEqual">
      <formula>0</formula>
    </cfRule>
  </conditionalFormatting>
  <conditionalFormatting sqref="C181:D181">
    <cfRule type="expression" dxfId="6801" priority="11196" stopIfTrue="1">
      <formula>IF(AND($C181&lt;&gt;"",$H181+$L181=0),TRUE)</formula>
    </cfRule>
  </conditionalFormatting>
  <conditionalFormatting sqref="P181">
    <cfRule type="cellIs" dxfId="6800" priority="11185" stopIfTrue="1" operator="equal">
      <formula>1</formula>
    </cfRule>
    <cfRule type="cellIs" dxfId="6799" priority="11194" stopIfTrue="1" operator="equal">
      <formula>2</formula>
    </cfRule>
    <cfRule type="cellIs" dxfId="6798" priority="11195" stopIfTrue="1" operator="equal">
      <formula>"X"</formula>
    </cfRule>
  </conditionalFormatting>
  <conditionalFormatting sqref="GU181">
    <cfRule type="cellIs" dxfId="6797" priority="11187" stopIfTrue="1" operator="equal">
      <formula>0</formula>
    </cfRule>
    <cfRule type="cellIs" dxfId="6796" priority="11188" stopIfTrue="1" operator="notEqual">
      <formula>0</formula>
    </cfRule>
  </conditionalFormatting>
  <conditionalFormatting sqref="GV181">
    <cfRule type="cellIs" dxfId="6795" priority="11186" stopIfTrue="1" operator="equal">
      <formula>"STOP"</formula>
    </cfRule>
  </conditionalFormatting>
  <conditionalFormatting sqref="Q176">
    <cfRule type="cellIs" dxfId="6794" priority="11180" stopIfTrue="1" operator="equal">
      <formula>"SIM"</formula>
    </cfRule>
    <cfRule type="cellIs" dxfId="6793" priority="11181" stopIfTrue="1" operator="equal">
      <formula>"NÃO"</formula>
    </cfRule>
  </conditionalFormatting>
  <conditionalFormatting sqref="BF176 CJ176 DO176">
    <cfRule type="cellIs" dxfId="6792" priority="11176" stopIfTrue="1" operator="equal">
      <formula>0</formula>
    </cfRule>
    <cfRule type="cellIs" dxfId="6791" priority="11182" stopIfTrue="1" operator="notEqual">
      <formula>0</formula>
    </cfRule>
  </conditionalFormatting>
  <conditionalFormatting sqref="C176:D176">
    <cfRule type="expression" dxfId="6790" priority="11179" stopIfTrue="1">
      <formula>IF(AND($C176&lt;&gt;"",$H176+$L176=0),TRUE)</formula>
    </cfRule>
  </conditionalFormatting>
  <conditionalFormatting sqref="P176">
    <cfRule type="cellIs" dxfId="6789" priority="11168" stopIfTrue="1" operator="equal">
      <formula>1</formula>
    </cfRule>
    <cfRule type="cellIs" dxfId="6788" priority="11177" stopIfTrue="1" operator="equal">
      <formula>2</formula>
    </cfRule>
    <cfRule type="cellIs" dxfId="6787" priority="11178" stopIfTrue="1" operator="equal">
      <formula>"X"</formula>
    </cfRule>
  </conditionalFormatting>
  <conditionalFormatting sqref="GU176">
    <cfRule type="cellIs" dxfId="6786" priority="11170" stopIfTrue="1" operator="equal">
      <formula>0</formula>
    </cfRule>
    <cfRule type="cellIs" dxfId="6785" priority="11171" stopIfTrue="1" operator="notEqual">
      <formula>0</formula>
    </cfRule>
  </conditionalFormatting>
  <conditionalFormatting sqref="GV176">
    <cfRule type="cellIs" dxfId="6784" priority="11169" stopIfTrue="1" operator="equal">
      <formula>"STOP"</formula>
    </cfRule>
  </conditionalFormatting>
  <conditionalFormatting sqref="Q184">
    <cfRule type="cellIs" dxfId="6783" priority="7644" stopIfTrue="1" operator="equal">
      <formula>"SIM"</formula>
    </cfRule>
    <cfRule type="cellIs" dxfId="6782" priority="7645" stopIfTrue="1" operator="equal">
      <formula>"NÃO"</formula>
    </cfRule>
  </conditionalFormatting>
  <conditionalFormatting sqref="BF184 CJ184 DO184">
    <cfRule type="cellIs" dxfId="6781" priority="7640" stopIfTrue="1" operator="equal">
      <formula>0</formula>
    </cfRule>
    <cfRule type="cellIs" dxfId="6780" priority="7646" stopIfTrue="1" operator="notEqual">
      <formula>0</formula>
    </cfRule>
  </conditionalFormatting>
  <conditionalFormatting sqref="C184:D184">
    <cfRule type="expression" dxfId="6779" priority="7643" stopIfTrue="1">
      <formula>IF(AND($C184&lt;&gt;"",$H184+$L184=0),TRUE)</formula>
    </cfRule>
  </conditionalFormatting>
  <conditionalFormatting sqref="P184">
    <cfRule type="cellIs" dxfId="6778" priority="7632" stopIfTrue="1" operator="equal">
      <formula>1</formula>
    </cfRule>
    <cfRule type="cellIs" dxfId="6777" priority="7641" stopIfTrue="1" operator="equal">
      <formula>2</formula>
    </cfRule>
    <cfRule type="cellIs" dxfId="6776" priority="7642" stopIfTrue="1" operator="equal">
      <formula>"X"</formula>
    </cfRule>
  </conditionalFormatting>
  <conditionalFormatting sqref="GU184">
    <cfRule type="cellIs" dxfId="6775" priority="7634" stopIfTrue="1" operator="equal">
      <formula>0</formula>
    </cfRule>
    <cfRule type="cellIs" dxfId="6774" priority="7635" stopIfTrue="1" operator="notEqual">
      <formula>0</formula>
    </cfRule>
  </conditionalFormatting>
  <conditionalFormatting sqref="GV184">
    <cfRule type="cellIs" dxfId="6773" priority="7633" stopIfTrue="1" operator="equal">
      <formula>"STOP"</formula>
    </cfRule>
  </conditionalFormatting>
  <conditionalFormatting sqref="Q182">
    <cfRule type="cellIs" dxfId="6772" priority="7627" stopIfTrue="1" operator="equal">
      <formula>"SIM"</formula>
    </cfRule>
    <cfRule type="cellIs" dxfId="6771" priority="7628" stopIfTrue="1" operator="equal">
      <formula>"NÃO"</formula>
    </cfRule>
  </conditionalFormatting>
  <conditionalFormatting sqref="BF182 CJ182 DO182">
    <cfRule type="cellIs" dxfId="6770" priority="7623" stopIfTrue="1" operator="equal">
      <formula>0</formula>
    </cfRule>
    <cfRule type="cellIs" dxfId="6769" priority="7629" stopIfTrue="1" operator="notEqual">
      <formula>0</formula>
    </cfRule>
  </conditionalFormatting>
  <conditionalFormatting sqref="C182:D182">
    <cfRule type="expression" dxfId="6768" priority="7626" stopIfTrue="1">
      <formula>IF(AND($C182&lt;&gt;"",$H182+$L182=0),TRUE)</formula>
    </cfRule>
  </conditionalFormatting>
  <conditionalFormatting sqref="P182">
    <cfRule type="cellIs" dxfId="6767" priority="7615" stopIfTrue="1" operator="equal">
      <formula>1</formula>
    </cfRule>
    <cfRule type="cellIs" dxfId="6766" priority="7624" stopIfTrue="1" operator="equal">
      <formula>2</formula>
    </cfRule>
    <cfRule type="cellIs" dxfId="6765" priority="7625" stopIfTrue="1" operator="equal">
      <formula>"X"</formula>
    </cfRule>
  </conditionalFormatting>
  <conditionalFormatting sqref="GU182">
    <cfRule type="cellIs" dxfId="6764" priority="7617" stopIfTrue="1" operator="equal">
      <formula>0</formula>
    </cfRule>
    <cfRule type="cellIs" dxfId="6763" priority="7618" stopIfTrue="1" operator="notEqual">
      <formula>0</formula>
    </cfRule>
  </conditionalFormatting>
  <conditionalFormatting sqref="GV182">
    <cfRule type="cellIs" dxfId="6762" priority="7616" stopIfTrue="1" operator="equal">
      <formula>"STOP"</formula>
    </cfRule>
  </conditionalFormatting>
  <conditionalFormatting sqref="Q176">
    <cfRule type="cellIs" dxfId="6761" priority="11163" stopIfTrue="1" operator="equal">
      <formula>"SIM"</formula>
    </cfRule>
    <cfRule type="cellIs" dxfId="6760" priority="11164" stopIfTrue="1" operator="equal">
      <formula>"NÃO"</formula>
    </cfRule>
  </conditionalFormatting>
  <conditionalFormatting sqref="BF176 CJ176 DO176">
    <cfRule type="cellIs" dxfId="6759" priority="11159" stopIfTrue="1" operator="equal">
      <formula>0</formula>
    </cfRule>
    <cfRule type="cellIs" dxfId="6758" priority="11165" stopIfTrue="1" operator="notEqual">
      <formula>0</formula>
    </cfRule>
  </conditionalFormatting>
  <conditionalFormatting sqref="C176:D176">
    <cfRule type="expression" dxfId="6757" priority="11162" stopIfTrue="1">
      <formula>IF(AND($C176&lt;&gt;"",$H176+$L176=0),TRUE)</formula>
    </cfRule>
  </conditionalFormatting>
  <conditionalFormatting sqref="P176">
    <cfRule type="cellIs" dxfId="6756" priority="11151" stopIfTrue="1" operator="equal">
      <formula>1</formula>
    </cfRule>
    <cfRule type="cellIs" dxfId="6755" priority="11160" stopIfTrue="1" operator="equal">
      <formula>2</formula>
    </cfRule>
    <cfRule type="cellIs" dxfId="6754" priority="11161" stopIfTrue="1" operator="equal">
      <formula>"X"</formula>
    </cfRule>
  </conditionalFormatting>
  <conditionalFormatting sqref="GU176">
    <cfRule type="cellIs" dxfId="6753" priority="11153" stopIfTrue="1" operator="equal">
      <formula>0</formula>
    </cfRule>
    <cfRule type="cellIs" dxfId="6752" priority="11154" stopIfTrue="1" operator="notEqual">
      <formula>0</formula>
    </cfRule>
  </conditionalFormatting>
  <conditionalFormatting sqref="GV176">
    <cfRule type="cellIs" dxfId="6751" priority="11152" stopIfTrue="1" operator="equal">
      <formula>"STOP"</formula>
    </cfRule>
  </conditionalFormatting>
  <conditionalFormatting sqref="Q184">
    <cfRule type="cellIs" dxfId="6750" priority="7593" stopIfTrue="1" operator="equal">
      <formula>"SIM"</formula>
    </cfRule>
    <cfRule type="cellIs" dxfId="6749" priority="7594" stopIfTrue="1" operator="equal">
      <formula>"NÃO"</formula>
    </cfRule>
  </conditionalFormatting>
  <conditionalFormatting sqref="BF184 CJ184 DO184">
    <cfRule type="cellIs" dxfId="6748" priority="7589" stopIfTrue="1" operator="equal">
      <formula>0</formula>
    </cfRule>
    <cfRule type="cellIs" dxfId="6747" priority="7595" stopIfTrue="1" operator="notEqual">
      <formula>0</formula>
    </cfRule>
  </conditionalFormatting>
  <conditionalFormatting sqref="C184:D184">
    <cfRule type="expression" dxfId="6746" priority="7592" stopIfTrue="1">
      <formula>IF(AND($C184&lt;&gt;"",$H184+$L184=0),TRUE)</formula>
    </cfRule>
  </conditionalFormatting>
  <conditionalFormatting sqref="P184">
    <cfRule type="cellIs" dxfId="6745" priority="7581" stopIfTrue="1" operator="equal">
      <formula>1</formula>
    </cfRule>
    <cfRule type="cellIs" dxfId="6744" priority="7590" stopIfTrue="1" operator="equal">
      <formula>2</formula>
    </cfRule>
    <cfRule type="cellIs" dxfId="6743" priority="7591" stopIfTrue="1" operator="equal">
      <formula>"X"</formula>
    </cfRule>
  </conditionalFormatting>
  <conditionalFormatting sqref="GU184">
    <cfRule type="cellIs" dxfId="6742" priority="7583" stopIfTrue="1" operator="equal">
      <formula>0</formula>
    </cfRule>
    <cfRule type="cellIs" dxfId="6741" priority="7584" stopIfTrue="1" operator="notEqual">
      <formula>0</formula>
    </cfRule>
  </conditionalFormatting>
  <conditionalFormatting sqref="GV184">
    <cfRule type="cellIs" dxfId="6740" priority="7582" stopIfTrue="1" operator="equal">
      <formula>"STOP"</formula>
    </cfRule>
  </conditionalFormatting>
  <conditionalFormatting sqref="Q181">
    <cfRule type="cellIs" dxfId="6739" priority="7576" stopIfTrue="1" operator="equal">
      <formula>"SIM"</formula>
    </cfRule>
    <cfRule type="cellIs" dxfId="6738" priority="7577" stopIfTrue="1" operator="equal">
      <formula>"NÃO"</formula>
    </cfRule>
  </conditionalFormatting>
  <conditionalFormatting sqref="BF181 CJ181 DO181">
    <cfRule type="cellIs" dxfId="6737" priority="7572" stopIfTrue="1" operator="equal">
      <formula>0</formula>
    </cfRule>
    <cfRule type="cellIs" dxfId="6736" priority="7578" stopIfTrue="1" operator="notEqual">
      <formula>0</formula>
    </cfRule>
  </conditionalFormatting>
  <conditionalFormatting sqref="C181:D181">
    <cfRule type="expression" dxfId="6735" priority="7575" stopIfTrue="1">
      <formula>IF(AND($C181&lt;&gt;"",$H181+$L181=0),TRUE)</formula>
    </cfRule>
  </conditionalFormatting>
  <conditionalFormatting sqref="P181">
    <cfRule type="cellIs" dxfId="6734" priority="7564" stopIfTrue="1" operator="equal">
      <formula>1</formula>
    </cfRule>
    <cfRule type="cellIs" dxfId="6733" priority="7573" stopIfTrue="1" operator="equal">
      <formula>2</formula>
    </cfRule>
    <cfRule type="cellIs" dxfId="6732" priority="7574" stopIfTrue="1" operator="equal">
      <formula>"X"</formula>
    </cfRule>
  </conditionalFormatting>
  <conditionalFormatting sqref="GU181">
    <cfRule type="cellIs" dxfId="6731" priority="7566" stopIfTrue="1" operator="equal">
      <formula>0</formula>
    </cfRule>
    <cfRule type="cellIs" dxfId="6730" priority="7567" stopIfTrue="1" operator="notEqual">
      <formula>0</formula>
    </cfRule>
  </conditionalFormatting>
  <conditionalFormatting sqref="GV181">
    <cfRule type="cellIs" dxfId="6729" priority="7565" stopIfTrue="1" operator="equal">
      <formula>"STOP"</formula>
    </cfRule>
  </conditionalFormatting>
  <conditionalFormatting sqref="Q179">
    <cfRule type="cellIs" dxfId="6728" priority="11146" stopIfTrue="1" operator="equal">
      <formula>"SIM"</formula>
    </cfRule>
    <cfRule type="cellIs" dxfId="6727" priority="11147" stopIfTrue="1" operator="equal">
      <formula>"NÃO"</formula>
    </cfRule>
  </conditionalFormatting>
  <conditionalFormatting sqref="BF179 CJ179 DO179">
    <cfRule type="cellIs" dxfId="6726" priority="11142" stopIfTrue="1" operator="equal">
      <formula>0</formula>
    </cfRule>
    <cfRule type="cellIs" dxfId="6725" priority="11148" stopIfTrue="1" operator="notEqual">
      <formula>0</formula>
    </cfRule>
  </conditionalFormatting>
  <conditionalFormatting sqref="C179:D179">
    <cfRule type="expression" dxfId="6724" priority="11145" stopIfTrue="1">
      <formula>IF(AND($C179&lt;&gt;"",$H179+$L179=0),TRUE)</formula>
    </cfRule>
  </conditionalFormatting>
  <conditionalFormatting sqref="P179">
    <cfRule type="cellIs" dxfId="6723" priority="11134" stopIfTrue="1" operator="equal">
      <formula>1</formula>
    </cfRule>
    <cfRule type="cellIs" dxfId="6722" priority="11143" stopIfTrue="1" operator="equal">
      <formula>2</formula>
    </cfRule>
    <cfRule type="cellIs" dxfId="6721" priority="11144" stopIfTrue="1" operator="equal">
      <formula>"X"</formula>
    </cfRule>
  </conditionalFormatting>
  <conditionalFormatting sqref="GU179">
    <cfRule type="cellIs" dxfId="6720" priority="11136" stopIfTrue="1" operator="equal">
      <formula>0</formula>
    </cfRule>
    <cfRule type="cellIs" dxfId="6719" priority="11137" stopIfTrue="1" operator="notEqual">
      <formula>0</formula>
    </cfRule>
  </conditionalFormatting>
  <conditionalFormatting sqref="GV179">
    <cfRule type="cellIs" dxfId="6718" priority="11135" stopIfTrue="1" operator="equal">
      <formula>"STOP"</formula>
    </cfRule>
  </conditionalFormatting>
  <conditionalFormatting sqref="Q183">
    <cfRule type="cellIs" dxfId="6717" priority="7542" stopIfTrue="1" operator="equal">
      <formula>"SIM"</formula>
    </cfRule>
    <cfRule type="cellIs" dxfId="6716" priority="7543" stopIfTrue="1" operator="equal">
      <formula>"NÃO"</formula>
    </cfRule>
  </conditionalFormatting>
  <conditionalFormatting sqref="BF183 CJ183 DO183">
    <cfRule type="cellIs" dxfId="6715" priority="7538" stopIfTrue="1" operator="equal">
      <formula>0</formula>
    </cfRule>
    <cfRule type="cellIs" dxfId="6714" priority="7544" stopIfTrue="1" operator="notEqual">
      <formula>0</formula>
    </cfRule>
  </conditionalFormatting>
  <conditionalFormatting sqref="C183:D183">
    <cfRule type="expression" dxfId="6713" priority="7541" stopIfTrue="1">
      <formula>IF(AND($C183&lt;&gt;"",$H183+$L183=0),TRUE)</formula>
    </cfRule>
  </conditionalFormatting>
  <conditionalFormatting sqref="P183">
    <cfRule type="cellIs" dxfId="6712" priority="7530" stopIfTrue="1" operator="equal">
      <formula>1</formula>
    </cfRule>
    <cfRule type="cellIs" dxfId="6711" priority="7539" stopIfTrue="1" operator="equal">
      <formula>2</formula>
    </cfRule>
    <cfRule type="cellIs" dxfId="6710" priority="7540" stopIfTrue="1" operator="equal">
      <formula>"X"</formula>
    </cfRule>
  </conditionalFormatting>
  <conditionalFormatting sqref="GU183">
    <cfRule type="cellIs" dxfId="6709" priority="7532" stopIfTrue="1" operator="equal">
      <formula>0</formula>
    </cfRule>
    <cfRule type="cellIs" dxfId="6708" priority="7533" stopIfTrue="1" operator="notEqual">
      <formula>0</formula>
    </cfRule>
  </conditionalFormatting>
  <conditionalFormatting sqref="GV183">
    <cfRule type="cellIs" dxfId="6707" priority="7531" stopIfTrue="1" operator="equal">
      <formula>"STOP"</formula>
    </cfRule>
  </conditionalFormatting>
  <conditionalFormatting sqref="Q184">
    <cfRule type="cellIs" dxfId="6706" priority="7525" stopIfTrue="1" operator="equal">
      <formula>"SIM"</formula>
    </cfRule>
    <cfRule type="cellIs" dxfId="6705" priority="7526" stopIfTrue="1" operator="equal">
      <formula>"NÃO"</formula>
    </cfRule>
  </conditionalFormatting>
  <conditionalFormatting sqref="BF184 CJ184 DO184">
    <cfRule type="cellIs" dxfId="6704" priority="7521" stopIfTrue="1" operator="equal">
      <formula>0</formula>
    </cfRule>
    <cfRule type="cellIs" dxfId="6703" priority="7527" stopIfTrue="1" operator="notEqual">
      <formula>0</formula>
    </cfRule>
  </conditionalFormatting>
  <conditionalFormatting sqref="C184:D184">
    <cfRule type="expression" dxfId="6702" priority="7524" stopIfTrue="1">
      <formula>IF(AND($C184&lt;&gt;"",$H184+$L184=0),TRUE)</formula>
    </cfRule>
  </conditionalFormatting>
  <conditionalFormatting sqref="P184">
    <cfRule type="cellIs" dxfId="6701" priority="7513" stopIfTrue="1" operator="equal">
      <formula>1</formula>
    </cfRule>
    <cfRule type="cellIs" dxfId="6700" priority="7522" stopIfTrue="1" operator="equal">
      <formula>2</formula>
    </cfRule>
    <cfRule type="cellIs" dxfId="6699" priority="7523" stopIfTrue="1" operator="equal">
      <formula>"X"</formula>
    </cfRule>
  </conditionalFormatting>
  <conditionalFormatting sqref="GU184">
    <cfRule type="cellIs" dxfId="6698" priority="7515" stopIfTrue="1" operator="equal">
      <formula>0</formula>
    </cfRule>
    <cfRule type="cellIs" dxfId="6697" priority="7516" stopIfTrue="1" operator="notEqual">
      <formula>0</formula>
    </cfRule>
  </conditionalFormatting>
  <conditionalFormatting sqref="GV184">
    <cfRule type="cellIs" dxfId="6696" priority="7514" stopIfTrue="1" operator="equal">
      <formula>"STOP"</formula>
    </cfRule>
  </conditionalFormatting>
  <conditionalFormatting sqref="Q179">
    <cfRule type="cellIs" dxfId="6695" priority="11129" stopIfTrue="1" operator="equal">
      <formula>"SIM"</formula>
    </cfRule>
    <cfRule type="cellIs" dxfId="6694" priority="11130" stopIfTrue="1" operator="equal">
      <formula>"NÃO"</formula>
    </cfRule>
  </conditionalFormatting>
  <conditionalFormatting sqref="BF179 CJ179 DO179">
    <cfRule type="cellIs" dxfId="6693" priority="11125" stopIfTrue="1" operator="equal">
      <formula>0</formula>
    </cfRule>
    <cfRule type="cellIs" dxfId="6692" priority="11131" stopIfTrue="1" operator="notEqual">
      <formula>0</formula>
    </cfRule>
  </conditionalFormatting>
  <conditionalFormatting sqref="C179:D179">
    <cfRule type="expression" dxfId="6691" priority="11128" stopIfTrue="1">
      <formula>IF(AND($C179&lt;&gt;"",$H179+$L179=0),TRUE)</formula>
    </cfRule>
  </conditionalFormatting>
  <conditionalFormatting sqref="P179">
    <cfRule type="cellIs" dxfId="6690" priority="11117" stopIfTrue="1" operator="equal">
      <formula>1</formula>
    </cfRule>
    <cfRule type="cellIs" dxfId="6689" priority="11126" stopIfTrue="1" operator="equal">
      <formula>2</formula>
    </cfRule>
    <cfRule type="cellIs" dxfId="6688" priority="11127" stopIfTrue="1" operator="equal">
      <formula>"X"</formula>
    </cfRule>
  </conditionalFormatting>
  <conditionalFormatting sqref="GU179">
    <cfRule type="cellIs" dxfId="6687" priority="11119" stopIfTrue="1" operator="equal">
      <formula>0</formula>
    </cfRule>
    <cfRule type="cellIs" dxfId="6686" priority="11120" stopIfTrue="1" operator="notEqual">
      <formula>0</formula>
    </cfRule>
  </conditionalFormatting>
  <conditionalFormatting sqref="GV179">
    <cfRule type="cellIs" dxfId="6685" priority="11118" stopIfTrue="1" operator="equal">
      <formula>"STOP"</formula>
    </cfRule>
  </conditionalFormatting>
  <conditionalFormatting sqref="Q176">
    <cfRule type="cellIs" dxfId="6684" priority="11112" stopIfTrue="1" operator="equal">
      <formula>"SIM"</formula>
    </cfRule>
    <cfRule type="cellIs" dxfId="6683" priority="11113" stopIfTrue="1" operator="equal">
      <formula>"NÃO"</formula>
    </cfRule>
  </conditionalFormatting>
  <conditionalFormatting sqref="BF176 CJ176 DO176">
    <cfRule type="cellIs" dxfId="6682" priority="11108" stopIfTrue="1" operator="equal">
      <formula>0</formula>
    </cfRule>
    <cfRule type="cellIs" dxfId="6681" priority="11114" stopIfTrue="1" operator="notEqual">
      <formula>0</formula>
    </cfRule>
  </conditionalFormatting>
  <conditionalFormatting sqref="C176:D176">
    <cfRule type="expression" dxfId="6680" priority="11111" stopIfTrue="1">
      <formula>IF(AND($C176&lt;&gt;"",$H176+$L176=0),TRUE)</formula>
    </cfRule>
  </conditionalFormatting>
  <conditionalFormatting sqref="P176">
    <cfRule type="cellIs" dxfId="6679" priority="11100" stopIfTrue="1" operator="equal">
      <formula>1</formula>
    </cfRule>
    <cfRule type="cellIs" dxfId="6678" priority="11109" stopIfTrue="1" operator="equal">
      <formula>2</formula>
    </cfRule>
    <cfRule type="cellIs" dxfId="6677" priority="11110" stopIfTrue="1" operator="equal">
      <formula>"X"</formula>
    </cfRule>
  </conditionalFormatting>
  <conditionalFormatting sqref="GU176">
    <cfRule type="cellIs" dxfId="6676" priority="11102" stopIfTrue="1" operator="equal">
      <formula>0</formula>
    </cfRule>
    <cfRule type="cellIs" dxfId="6675" priority="11103" stopIfTrue="1" operator="notEqual">
      <formula>0</formula>
    </cfRule>
  </conditionalFormatting>
  <conditionalFormatting sqref="GV176">
    <cfRule type="cellIs" dxfId="6674" priority="11101" stopIfTrue="1" operator="equal">
      <formula>"STOP"</formula>
    </cfRule>
  </conditionalFormatting>
  <conditionalFormatting sqref="Q182">
    <cfRule type="cellIs" dxfId="6673" priority="7474" stopIfTrue="1" operator="equal">
      <formula>"SIM"</formula>
    </cfRule>
    <cfRule type="cellIs" dxfId="6672" priority="7475" stopIfTrue="1" operator="equal">
      <formula>"NÃO"</formula>
    </cfRule>
  </conditionalFormatting>
  <conditionalFormatting sqref="BF182 CJ182 DO182">
    <cfRule type="cellIs" dxfId="6671" priority="7470" stopIfTrue="1" operator="equal">
      <formula>0</formula>
    </cfRule>
    <cfRule type="cellIs" dxfId="6670" priority="7476" stopIfTrue="1" operator="notEqual">
      <formula>0</formula>
    </cfRule>
  </conditionalFormatting>
  <conditionalFormatting sqref="C182:D182">
    <cfRule type="expression" dxfId="6669" priority="7473" stopIfTrue="1">
      <formula>IF(AND($C182&lt;&gt;"",$H182+$L182=0),TRUE)</formula>
    </cfRule>
  </conditionalFormatting>
  <conditionalFormatting sqref="P182">
    <cfRule type="cellIs" dxfId="6668" priority="7462" stopIfTrue="1" operator="equal">
      <formula>1</formula>
    </cfRule>
    <cfRule type="cellIs" dxfId="6667" priority="7471" stopIfTrue="1" operator="equal">
      <formula>2</formula>
    </cfRule>
    <cfRule type="cellIs" dxfId="6666" priority="7472" stopIfTrue="1" operator="equal">
      <formula>"X"</formula>
    </cfRule>
  </conditionalFormatting>
  <conditionalFormatting sqref="GU182">
    <cfRule type="cellIs" dxfId="6665" priority="7464" stopIfTrue="1" operator="equal">
      <formula>0</formula>
    </cfRule>
    <cfRule type="cellIs" dxfId="6664" priority="7465" stopIfTrue="1" operator="notEqual">
      <formula>0</formula>
    </cfRule>
  </conditionalFormatting>
  <conditionalFormatting sqref="GV182">
    <cfRule type="cellIs" dxfId="6663" priority="7463" stopIfTrue="1" operator="equal">
      <formula>"STOP"</formula>
    </cfRule>
  </conditionalFormatting>
  <conditionalFormatting sqref="Q183">
    <cfRule type="cellIs" dxfId="6662" priority="7457" stopIfTrue="1" operator="equal">
      <formula>"SIM"</formula>
    </cfRule>
    <cfRule type="cellIs" dxfId="6661" priority="7458" stopIfTrue="1" operator="equal">
      <formula>"NÃO"</formula>
    </cfRule>
  </conditionalFormatting>
  <conditionalFormatting sqref="BF183 CJ183 DO183">
    <cfRule type="cellIs" dxfId="6660" priority="7453" stopIfTrue="1" operator="equal">
      <formula>0</formula>
    </cfRule>
    <cfRule type="cellIs" dxfId="6659" priority="7459" stopIfTrue="1" operator="notEqual">
      <formula>0</formula>
    </cfRule>
  </conditionalFormatting>
  <conditionalFormatting sqref="C183:D183">
    <cfRule type="expression" dxfId="6658" priority="7456" stopIfTrue="1">
      <formula>IF(AND($C183&lt;&gt;"",$H183+$L183=0),TRUE)</formula>
    </cfRule>
  </conditionalFormatting>
  <conditionalFormatting sqref="P183">
    <cfRule type="cellIs" dxfId="6657" priority="7445" stopIfTrue="1" operator="equal">
      <formula>1</formula>
    </cfRule>
    <cfRule type="cellIs" dxfId="6656" priority="7454" stopIfTrue="1" operator="equal">
      <formula>2</formula>
    </cfRule>
    <cfRule type="cellIs" dxfId="6655" priority="7455" stopIfTrue="1" operator="equal">
      <formula>"X"</formula>
    </cfRule>
  </conditionalFormatting>
  <conditionalFormatting sqref="GU183">
    <cfRule type="cellIs" dxfId="6654" priority="7447" stopIfTrue="1" operator="equal">
      <formula>0</formula>
    </cfRule>
    <cfRule type="cellIs" dxfId="6653" priority="7448" stopIfTrue="1" operator="notEqual">
      <formula>0</formula>
    </cfRule>
  </conditionalFormatting>
  <conditionalFormatting sqref="GV183">
    <cfRule type="cellIs" dxfId="6652" priority="7446" stopIfTrue="1" operator="equal">
      <formula>"STOP"</formula>
    </cfRule>
  </conditionalFormatting>
  <conditionalFormatting sqref="Q179">
    <cfRule type="cellIs" dxfId="6651" priority="11095" stopIfTrue="1" operator="equal">
      <formula>"SIM"</formula>
    </cfRule>
    <cfRule type="cellIs" dxfId="6650" priority="11096" stopIfTrue="1" operator="equal">
      <formula>"NÃO"</formula>
    </cfRule>
  </conditionalFormatting>
  <conditionalFormatting sqref="BF179 CJ179 DO179">
    <cfRule type="cellIs" dxfId="6649" priority="11091" stopIfTrue="1" operator="equal">
      <formula>0</formula>
    </cfRule>
    <cfRule type="cellIs" dxfId="6648" priority="11097" stopIfTrue="1" operator="notEqual">
      <formula>0</formula>
    </cfRule>
  </conditionalFormatting>
  <conditionalFormatting sqref="C179:D179">
    <cfRule type="expression" dxfId="6647" priority="11094" stopIfTrue="1">
      <formula>IF(AND($C179&lt;&gt;"",$H179+$L179=0),TRUE)</formula>
    </cfRule>
  </conditionalFormatting>
  <conditionalFormatting sqref="P179">
    <cfRule type="cellIs" dxfId="6646" priority="11083" stopIfTrue="1" operator="equal">
      <formula>1</formula>
    </cfRule>
    <cfRule type="cellIs" dxfId="6645" priority="11092" stopIfTrue="1" operator="equal">
      <formula>2</formula>
    </cfRule>
    <cfRule type="cellIs" dxfId="6644" priority="11093" stopIfTrue="1" operator="equal">
      <formula>"X"</formula>
    </cfRule>
  </conditionalFormatting>
  <conditionalFormatting sqref="GU179">
    <cfRule type="cellIs" dxfId="6643" priority="11085" stopIfTrue="1" operator="equal">
      <formula>0</formula>
    </cfRule>
    <cfRule type="cellIs" dxfId="6642" priority="11086" stopIfTrue="1" operator="notEqual">
      <formula>0</formula>
    </cfRule>
  </conditionalFormatting>
  <conditionalFormatting sqref="GV179">
    <cfRule type="cellIs" dxfId="6641" priority="11084" stopIfTrue="1" operator="equal">
      <formula>"STOP"</formula>
    </cfRule>
  </conditionalFormatting>
  <conditionalFormatting sqref="Q180">
    <cfRule type="cellIs" dxfId="6640" priority="11078" stopIfTrue="1" operator="equal">
      <formula>"SIM"</formula>
    </cfRule>
    <cfRule type="cellIs" dxfId="6639" priority="11079" stopIfTrue="1" operator="equal">
      <formula>"NÃO"</formula>
    </cfRule>
  </conditionalFormatting>
  <conditionalFormatting sqref="BF180 CJ180 DO180">
    <cfRule type="cellIs" dxfId="6638" priority="11074" stopIfTrue="1" operator="equal">
      <formula>0</formula>
    </cfRule>
    <cfRule type="cellIs" dxfId="6637" priority="11080" stopIfTrue="1" operator="notEqual">
      <formula>0</formula>
    </cfRule>
  </conditionalFormatting>
  <conditionalFormatting sqref="C180:D180">
    <cfRule type="expression" dxfId="6636" priority="11077" stopIfTrue="1">
      <formula>IF(AND($C180&lt;&gt;"",$H180+$L180=0),TRUE)</formula>
    </cfRule>
  </conditionalFormatting>
  <conditionalFormatting sqref="P180">
    <cfRule type="cellIs" dxfId="6635" priority="11066" stopIfTrue="1" operator="equal">
      <formula>1</formula>
    </cfRule>
    <cfRule type="cellIs" dxfId="6634" priority="11075" stopIfTrue="1" operator="equal">
      <formula>2</formula>
    </cfRule>
    <cfRule type="cellIs" dxfId="6633" priority="11076" stopIfTrue="1" operator="equal">
      <formula>"X"</formula>
    </cfRule>
  </conditionalFormatting>
  <conditionalFormatting sqref="GU180">
    <cfRule type="cellIs" dxfId="6632" priority="11068" stopIfTrue="1" operator="equal">
      <formula>0</formula>
    </cfRule>
    <cfRule type="cellIs" dxfId="6631" priority="11069" stopIfTrue="1" operator="notEqual">
      <formula>0</formula>
    </cfRule>
  </conditionalFormatting>
  <conditionalFormatting sqref="GV180">
    <cfRule type="cellIs" dxfId="6630" priority="11067" stopIfTrue="1" operator="equal">
      <formula>"STOP"</formula>
    </cfRule>
  </conditionalFormatting>
  <conditionalFormatting sqref="Q181">
    <cfRule type="cellIs" dxfId="6629" priority="11061" stopIfTrue="1" operator="equal">
      <formula>"SIM"</formula>
    </cfRule>
    <cfRule type="cellIs" dxfId="6628" priority="11062" stopIfTrue="1" operator="equal">
      <formula>"NÃO"</formula>
    </cfRule>
  </conditionalFormatting>
  <conditionalFormatting sqref="BF181 CJ181 DO181">
    <cfRule type="cellIs" dxfId="6627" priority="11057" stopIfTrue="1" operator="equal">
      <formula>0</formula>
    </cfRule>
    <cfRule type="cellIs" dxfId="6626" priority="11063" stopIfTrue="1" operator="notEqual">
      <formula>0</formula>
    </cfRule>
  </conditionalFormatting>
  <conditionalFormatting sqref="C181:D181">
    <cfRule type="expression" dxfId="6625" priority="11060" stopIfTrue="1">
      <formula>IF(AND($C181&lt;&gt;"",$H181+$L181=0),TRUE)</formula>
    </cfRule>
  </conditionalFormatting>
  <conditionalFormatting sqref="P181">
    <cfRule type="cellIs" dxfId="6624" priority="11049" stopIfTrue="1" operator="equal">
      <formula>1</formula>
    </cfRule>
    <cfRule type="cellIs" dxfId="6623" priority="11058" stopIfTrue="1" operator="equal">
      <formula>2</formula>
    </cfRule>
    <cfRule type="cellIs" dxfId="6622" priority="11059" stopIfTrue="1" operator="equal">
      <formula>"X"</formula>
    </cfRule>
  </conditionalFormatting>
  <conditionalFormatting sqref="GU181">
    <cfRule type="cellIs" dxfId="6621" priority="11051" stopIfTrue="1" operator="equal">
      <formula>0</formula>
    </cfRule>
    <cfRule type="cellIs" dxfId="6620" priority="11052" stopIfTrue="1" operator="notEqual">
      <formula>0</formula>
    </cfRule>
  </conditionalFormatting>
  <conditionalFormatting sqref="GV181">
    <cfRule type="cellIs" dxfId="6619" priority="11050" stopIfTrue="1" operator="equal">
      <formula>"STOP"</formula>
    </cfRule>
  </conditionalFormatting>
  <conditionalFormatting sqref="Q184">
    <cfRule type="cellIs" dxfId="6618" priority="7389" stopIfTrue="1" operator="equal">
      <formula>"SIM"</formula>
    </cfRule>
    <cfRule type="cellIs" dxfId="6617" priority="7390" stopIfTrue="1" operator="equal">
      <formula>"NÃO"</formula>
    </cfRule>
  </conditionalFormatting>
  <conditionalFormatting sqref="BF184 CJ184 DO184">
    <cfRule type="cellIs" dxfId="6616" priority="7385" stopIfTrue="1" operator="equal">
      <formula>0</formula>
    </cfRule>
    <cfRule type="cellIs" dxfId="6615" priority="7391" stopIfTrue="1" operator="notEqual">
      <formula>0</formula>
    </cfRule>
  </conditionalFormatting>
  <conditionalFormatting sqref="C184:D184">
    <cfRule type="expression" dxfId="6614" priority="7388" stopIfTrue="1">
      <formula>IF(AND($C184&lt;&gt;"",$H184+$L184=0),TRUE)</formula>
    </cfRule>
  </conditionalFormatting>
  <conditionalFormatting sqref="P184">
    <cfRule type="cellIs" dxfId="6613" priority="7377" stopIfTrue="1" operator="equal">
      <formula>1</formula>
    </cfRule>
    <cfRule type="cellIs" dxfId="6612" priority="7386" stopIfTrue="1" operator="equal">
      <formula>2</formula>
    </cfRule>
    <cfRule type="cellIs" dxfId="6611" priority="7387" stopIfTrue="1" operator="equal">
      <formula>"X"</formula>
    </cfRule>
  </conditionalFormatting>
  <conditionalFormatting sqref="GU184">
    <cfRule type="cellIs" dxfId="6610" priority="7379" stopIfTrue="1" operator="equal">
      <formula>0</formula>
    </cfRule>
    <cfRule type="cellIs" dxfId="6609" priority="7380" stopIfTrue="1" operator="notEqual">
      <formula>0</formula>
    </cfRule>
  </conditionalFormatting>
  <conditionalFormatting sqref="GV184">
    <cfRule type="cellIs" dxfId="6608" priority="7378" stopIfTrue="1" operator="equal">
      <formula>"STOP"</formula>
    </cfRule>
  </conditionalFormatting>
  <conditionalFormatting sqref="Q185">
    <cfRule type="cellIs" dxfId="6607" priority="7372" stopIfTrue="1" operator="equal">
      <formula>"SIM"</formula>
    </cfRule>
    <cfRule type="cellIs" dxfId="6606" priority="7373" stopIfTrue="1" operator="equal">
      <formula>"NÃO"</formula>
    </cfRule>
  </conditionalFormatting>
  <conditionalFormatting sqref="BF185 CJ185 DO185">
    <cfRule type="cellIs" dxfId="6605" priority="7368" stopIfTrue="1" operator="equal">
      <formula>0</formula>
    </cfRule>
    <cfRule type="cellIs" dxfId="6604" priority="7374" stopIfTrue="1" operator="notEqual">
      <formula>0</formula>
    </cfRule>
  </conditionalFormatting>
  <conditionalFormatting sqref="C185:D185">
    <cfRule type="expression" dxfId="6603" priority="7371" stopIfTrue="1">
      <formula>IF(AND($C185&lt;&gt;"",$H185+$L185=0),TRUE)</formula>
    </cfRule>
  </conditionalFormatting>
  <conditionalFormatting sqref="P185">
    <cfRule type="cellIs" dxfId="6602" priority="7360" stopIfTrue="1" operator="equal">
      <formula>1</formula>
    </cfRule>
    <cfRule type="cellIs" dxfId="6601" priority="7369" stopIfTrue="1" operator="equal">
      <formula>2</formula>
    </cfRule>
    <cfRule type="cellIs" dxfId="6600" priority="7370" stopIfTrue="1" operator="equal">
      <formula>"X"</formula>
    </cfRule>
  </conditionalFormatting>
  <conditionalFormatting sqref="GU185">
    <cfRule type="cellIs" dxfId="6599" priority="7362" stopIfTrue="1" operator="equal">
      <formula>0</formula>
    </cfRule>
    <cfRule type="cellIs" dxfId="6598" priority="7363" stopIfTrue="1" operator="notEqual">
      <formula>0</formula>
    </cfRule>
  </conditionalFormatting>
  <conditionalFormatting sqref="GV185">
    <cfRule type="cellIs" dxfId="6597" priority="7361" stopIfTrue="1" operator="equal">
      <formula>"STOP"</formula>
    </cfRule>
  </conditionalFormatting>
  <conditionalFormatting sqref="Q179">
    <cfRule type="cellIs" dxfId="6596" priority="11044" stopIfTrue="1" operator="equal">
      <formula>"SIM"</formula>
    </cfRule>
    <cfRule type="cellIs" dxfId="6595" priority="11045" stopIfTrue="1" operator="equal">
      <formula>"NÃO"</formula>
    </cfRule>
  </conditionalFormatting>
  <conditionalFormatting sqref="BF179 CJ179 DO179">
    <cfRule type="cellIs" dxfId="6594" priority="11040" stopIfTrue="1" operator="equal">
      <formula>0</formula>
    </cfRule>
    <cfRule type="cellIs" dxfId="6593" priority="11046" stopIfTrue="1" operator="notEqual">
      <formula>0</formula>
    </cfRule>
  </conditionalFormatting>
  <conditionalFormatting sqref="C179:D179">
    <cfRule type="expression" dxfId="6592" priority="11043" stopIfTrue="1">
      <formula>IF(AND($C179&lt;&gt;"",$H179+$L179=0),TRUE)</formula>
    </cfRule>
  </conditionalFormatting>
  <conditionalFormatting sqref="P179">
    <cfRule type="cellIs" dxfId="6591" priority="11032" stopIfTrue="1" operator="equal">
      <formula>1</formula>
    </cfRule>
    <cfRule type="cellIs" dxfId="6590" priority="11041" stopIfTrue="1" operator="equal">
      <formula>2</formula>
    </cfRule>
    <cfRule type="cellIs" dxfId="6589" priority="11042" stopIfTrue="1" operator="equal">
      <formula>"X"</formula>
    </cfRule>
  </conditionalFormatting>
  <conditionalFormatting sqref="GU179">
    <cfRule type="cellIs" dxfId="6588" priority="11034" stopIfTrue="1" operator="equal">
      <formula>0</formula>
    </cfRule>
    <cfRule type="cellIs" dxfId="6587" priority="11035" stopIfTrue="1" operator="notEqual">
      <formula>0</formula>
    </cfRule>
  </conditionalFormatting>
  <conditionalFormatting sqref="GV179">
    <cfRule type="cellIs" dxfId="6586" priority="11033" stopIfTrue="1" operator="equal">
      <formula>"STOP"</formula>
    </cfRule>
  </conditionalFormatting>
  <conditionalFormatting sqref="Q184">
    <cfRule type="cellIs" dxfId="6585" priority="7338" stopIfTrue="1" operator="equal">
      <formula>"SIM"</formula>
    </cfRule>
    <cfRule type="cellIs" dxfId="6584" priority="7339" stopIfTrue="1" operator="equal">
      <formula>"NÃO"</formula>
    </cfRule>
  </conditionalFormatting>
  <conditionalFormatting sqref="BF184 CJ184 DO184">
    <cfRule type="cellIs" dxfId="6583" priority="7334" stopIfTrue="1" operator="equal">
      <formula>0</formula>
    </cfRule>
    <cfRule type="cellIs" dxfId="6582" priority="7340" stopIfTrue="1" operator="notEqual">
      <formula>0</formula>
    </cfRule>
  </conditionalFormatting>
  <conditionalFormatting sqref="C184:D184">
    <cfRule type="expression" dxfId="6581" priority="7337" stopIfTrue="1">
      <formula>IF(AND($C184&lt;&gt;"",$H184+$L184=0),TRUE)</formula>
    </cfRule>
  </conditionalFormatting>
  <conditionalFormatting sqref="P184">
    <cfRule type="cellIs" dxfId="6580" priority="7326" stopIfTrue="1" operator="equal">
      <formula>1</formula>
    </cfRule>
    <cfRule type="cellIs" dxfId="6579" priority="7335" stopIfTrue="1" operator="equal">
      <formula>2</formula>
    </cfRule>
    <cfRule type="cellIs" dxfId="6578" priority="7336" stopIfTrue="1" operator="equal">
      <formula>"X"</formula>
    </cfRule>
  </conditionalFormatting>
  <conditionalFormatting sqref="GU184">
    <cfRule type="cellIs" dxfId="6577" priority="7328" stopIfTrue="1" operator="equal">
      <formula>0</formula>
    </cfRule>
    <cfRule type="cellIs" dxfId="6576" priority="7329" stopIfTrue="1" operator="notEqual">
      <formula>0</formula>
    </cfRule>
  </conditionalFormatting>
  <conditionalFormatting sqref="GV184">
    <cfRule type="cellIs" dxfId="6575" priority="7327" stopIfTrue="1" operator="equal">
      <formula>"STOP"</formula>
    </cfRule>
  </conditionalFormatting>
  <conditionalFormatting sqref="Q185">
    <cfRule type="cellIs" dxfId="6574" priority="7321" stopIfTrue="1" operator="equal">
      <formula>"SIM"</formula>
    </cfRule>
    <cfRule type="cellIs" dxfId="6573" priority="7322" stopIfTrue="1" operator="equal">
      <formula>"NÃO"</formula>
    </cfRule>
  </conditionalFormatting>
  <conditionalFormatting sqref="BF185 CJ185 DO185">
    <cfRule type="cellIs" dxfId="6572" priority="7317" stopIfTrue="1" operator="equal">
      <formula>0</formula>
    </cfRule>
    <cfRule type="cellIs" dxfId="6571" priority="7323" stopIfTrue="1" operator="notEqual">
      <formula>0</formula>
    </cfRule>
  </conditionalFormatting>
  <conditionalFormatting sqref="C185:D185">
    <cfRule type="expression" dxfId="6570" priority="7320" stopIfTrue="1">
      <formula>IF(AND($C185&lt;&gt;"",$H185+$L185=0),TRUE)</formula>
    </cfRule>
  </conditionalFormatting>
  <conditionalFormatting sqref="P185">
    <cfRule type="cellIs" dxfId="6569" priority="7309" stopIfTrue="1" operator="equal">
      <formula>1</formula>
    </cfRule>
    <cfRule type="cellIs" dxfId="6568" priority="7318" stopIfTrue="1" operator="equal">
      <formula>2</formula>
    </cfRule>
    <cfRule type="cellIs" dxfId="6567" priority="7319" stopIfTrue="1" operator="equal">
      <formula>"X"</formula>
    </cfRule>
  </conditionalFormatting>
  <conditionalFormatting sqref="GU185">
    <cfRule type="cellIs" dxfId="6566" priority="7311" stopIfTrue="1" operator="equal">
      <formula>0</formula>
    </cfRule>
    <cfRule type="cellIs" dxfId="6565" priority="7312" stopIfTrue="1" operator="notEqual">
      <formula>0</formula>
    </cfRule>
  </conditionalFormatting>
  <conditionalFormatting sqref="GV185">
    <cfRule type="cellIs" dxfId="6564" priority="7310" stopIfTrue="1" operator="equal">
      <formula>"STOP"</formula>
    </cfRule>
  </conditionalFormatting>
  <conditionalFormatting sqref="Q179">
    <cfRule type="cellIs" dxfId="6563" priority="11027" stopIfTrue="1" operator="equal">
      <formula>"SIM"</formula>
    </cfRule>
    <cfRule type="cellIs" dxfId="6562" priority="11028" stopIfTrue="1" operator="equal">
      <formula>"NÃO"</formula>
    </cfRule>
  </conditionalFormatting>
  <conditionalFormatting sqref="BF179 CJ179 DO179">
    <cfRule type="cellIs" dxfId="6561" priority="11023" stopIfTrue="1" operator="equal">
      <formula>0</formula>
    </cfRule>
    <cfRule type="cellIs" dxfId="6560" priority="11029" stopIfTrue="1" operator="notEqual">
      <formula>0</formula>
    </cfRule>
  </conditionalFormatting>
  <conditionalFormatting sqref="C179:D179">
    <cfRule type="expression" dxfId="6559" priority="11026" stopIfTrue="1">
      <formula>IF(AND($C179&lt;&gt;"",$H179+$L179=0),TRUE)</formula>
    </cfRule>
  </conditionalFormatting>
  <conditionalFormatting sqref="P179">
    <cfRule type="cellIs" dxfId="6558" priority="11015" stopIfTrue="1" operator="equal">
      <formula>1</formula>
    </cfRule>
    <cfRule type="cellIs" dxfId="6557" priority="11024" stopIfTrue="1" operator="equal">
      <formula>2</formula>
    </cfRule>
    <cfRule type="cellIs" dxfId="6556" priority="11025" stopIfTrue="1" operator="equal">
      <formula>"X"</formula>
    </cfRule>
  </conditionalFormatting>
  <conditionalFormatting sqref="GU179">
    <cfRule type="cellIs" dxfId="6555" priority="11017" stopIfTrue="1" operator="equal">
      <formula>0</formula>
    </cfRule>
    <cfRule type="cellIs" dxfId="6554" priority="11018" stopIfTrue="1" operator="notEqual">
      <formula>0</formula>
    </cfRule>
  </conditionalFormatting>
  <conditionalFormatting sqref="GV179">
    <cfRule type="cellIs" dxfId="6553" priority="11016" stopIfTrue="1" operator="equal">
      <formula>"STOP"</formula>
    </cfRule>
  </conditionalFormatting>
  <conditionalFormatting sqref="Q180">
    <cfRule type="cellIs" dxfId="6552" priority="11010" stopIfTrue="1" operator="equal">
      <formula>"SIM"</formula>
    </cfRule>
    <cfRule type="cellIs" dxfId="6551" priority="11011" stopIfTrue="1" operator="equal">
      <formula>"NÃO"</formula>
    </cfRule>
  </conditionalFormatting>
  <conditionalFormatting sqref="BF180 CJ180 DO180">
    <cfRule type="cellIs" dxfId="6550" priority="11006" stopIfTrue="1" operator="equal">
      <formula>0</formula>
    </cfRule>
    <cfRule type="cellIs" dxfId="6549" priority="11012" stopIfTrue="1" operator="notEqual">
      <formula>0</formula>
    </cfRule>
  </conditionalFormatting>
  <conditionalFormatting sqref="C180:D180">
    <cfRule type="expression" dxfId="6548" priority="11009" stopIfTrue="1">
      <formula>IF(AND($C180&lt;&gt;"",$H180+$L180=0),TRUE)</formula>
    </cfRule>
  </conditionalFormatting>
  <conditionalFormatting sqref="P180">
    <cfRule type="cellIs" dxfId="6547" priority="10998" stopIfTrue="1" operator="equal">
      <formula>1</formula>
    </cfRule>
    <cfRule type="cellIs" dxfId="6546" priority="11007" stopIfTrue="1" operator="equal">
      <formula>2</formula>
    </cfRule>
    <cfRule type="cellIs" dxfId="6545" priority="11008" stopIfTrue="1" operator="equal">
      <formula>"X"</formula>
    </cfRule>
  </conditionalFormatting>
  <conditionalFormatting sqref="GU180">
    <cfRule type="cellIs" dxfId="6544" priority="11000" stopIfTrue="1" operator="equal">
      <formula>0</formula>
    </cfRule>
    <cfRule type="cellIs" dxfId="6543" priority="11001" stopIfTrue="1" operator="notEqual">
      <formula>0</formula>
    </cfRule>
  </conditionalFormatting>
  <conditionalFormatting sqref="GV180">
    <cfRule type="cellIs" dxfId="6542" priority="10999" stopIfTrue="1" operator="equal">
      <formula>"STOP"</formula>
    </cfRule>
  </conditionalFormatting>
  <conditionalFormatting sqref="Q181">
    <cfRule type="cellIs" dxfId="6541" priority="7270" stopIfTrue="1" operator="equal">
      <formula>"SIM"</formula>
    </cfRule>
    <cfRule type="cellIs" dxfId="6540" priority="7271" stopIfTrue="1" operator="equal">
      <formula>"NÃO"</formula>
    </cfRule>
  </conditionalFormatting>
  <conditionalFormatting sqref="BF181 CJ181 DO181">
    <cfRule type="cellIs" dxfId="6539" priority="7266" stopIfTrue="1" operator="equal">
      <formula>0</formula>
    </cfRule>
    <cfRule type="cellIs" dxfId="6538" priority="7272" stopIfTrue="1" operator="notEqual">
      <formula>0</formula>
    </cfRule>
  </conditionalFormatting>
  <conditionalFormatting sqref="C181:D181">
    <cfRule type="expression" dxfId="6537" priority="7269" stopIfTrue="1">
      <formula>IF(AND($C181&lt;&gt;"",$H181+$L181=0),TRUE)</formula>
    </cfRule>
  </conditionalFormatting>
  <conditionalFormatting sqref="P181">
    <cfRule type="cellIs" dxfId="6536" priority="7258" stopIfTrue="1" operator="equal">
      <formula>1</formula>
    </cfRule>
    <cfRule type="cellIs" dxfId="6535" priority="7267" stopIfTrue="1" operator="equal">
      <formula>2</formula>
    </cfRule>
    <cfRule type="cellIs" dxfId="6534" priority="7268" stopIfTrue="1" operator="equal">
      <formula>"X"</formula>
    </cfRule>
  </conditionalFormatting>
  <conditionalFormatting sqref="GU181">
    <cfRule type="cellIs" dxfId="6533" priority="7260" stopIfTrue="1" operator="equal">
      <formula>0</formula>
    </cfRule>
    <cfRule type="cellIs" dxfId="6532" priority="7261" stopIfTrue="1" operator="notEqual">
      <formula>0</formula>
    </cfRule>
  </conditionalFormatting>
  <conditionalFormatting sqref="GV181">
    <cfRule type="cellIs" dxfId="6531" priority="7259" stopIfTrue="1" operator="equal">
      <formula>"STOP"</formula>
    </cfRule>
  </conditionalFormatting>
  <conditionalFormatting sqref="Q179">
    <cfRule type="cellIs" dxfId="6530" priority="10993" stopIfTrue="1" operator="equal">
      <formula>"SIM"</formula>
    </cfRule>
    <cfRule type="cellIs" dxfId="6529" priority="10994" stopIfTrue="1" operator="equal">
      <formula>"NÃO"</formula>
    </cfRule>
  </conditionalFormatting>
  <conditionalFormatting sqref="BF179 CJ179 DO179">
    <cfRule type="cellIs" dxfId="6528" priority="10989" stopIfTrue="1" operator="equal">
      <formula>0</formula>
    </cfRule>
    <cfRule type="cellIs" dxfId="6527" priority="10995" stopIfTrue="1" operator="notEqual">
      <formula>0</formula>
    </cfRule>
  </conditionalFormatting>
  <conditionalFormatting sqref="C179:D179">
    <cfRule type="expression" dxfId="6526" priority="10992" stopIfTrue="1">
      <formula>IF(AND($C179&lt;&gt;"",$H179+$L179=0),TRUE)</formula>
    </cfRule>
  </conditionalFormatting>
  <conditionalFormatting sqref="P179">
    <cfRule type="cellIs" dxfId="6525" priority="10981" stopIfTrue="1" operator="equal">
      <formula>1</formula>
    </cfRule>
    <cfRule type="cellIs" dxfId="6524" priority="10990" stopIfTrue="1" operator="equal">
      <formula>2</formula>
    </cfRule>
    <cfRule type="cellIs" dxfId="6523" priority="10991" stopIfTrue="1" operator="equal">
      <formula>"X"</formula>
    </cfRule>
  </conditionalFormatting>
  <conditionalFormatting sqref="GU179">
    <cfRule type="cellIs" dxfId="6522" priority="10983" stopIfTrue="1" operator="equal">
      <formula>0</formula>
    </cfRule>
    <cfRule type="cellIs" dxfId="6521" priority="10984" stopIfTrue="1" operator="notEqual">
      <formula>0</formula>
    </cfRule>
  </conditionalFormatting>
  <conditionalFormatting sqref="GV179">
    <cfRule type="cellIs" dxfId="6520" priority="10982" stopIfTrue="1" operator="equal">
      <formula>"STOP"</formula>
    </cfRule>
  </conditionalFormatting>
  <conditionalFormatting sqref="Q180">
    <cfRule type="cellIs" dxfId="6519" priority="10976" stopIfTrue="1" operator="equal">
      <formula>"SIM"</formula>
    </cfRule>
    <cfRule type="cellIs" dxfId="6518" priority="10977" stopIfTrue="1" operator="equal">
      <formula>"NÃO"</formula>
    </cfRule>
  </conditionalFormatting>
  <conditionalFormatting sqref="BF180 CJ180 DO180">
    <cfRule type="cellIs" dxfId="6517" priority="10972" stopIfTrue="1" operator="equal">
      <formula>0</formula>
    </cfRule>
    <cfRule type="cellIs" dxfId="6516" priority="10978" stopIfTrue="1" operator="notEqual">
      <formula>0</formula>
    </cfRule>
  </conditionalFormatting>
  <conditionalFormatting sqref="C180:D180">
    <cfRule type="expression" dxfId="6515" priority="10975" stopIfTrue="1">
      <formula>IF(AND($C180&lt;&gt;"",$H180+$L180=0),TRUE)</formula>
    </cfRule>
  </conditionalFormatting>
  <conditionalFormatting sqref="P180">
    <cfRule type="cellIs" dxfId="6514" priority="10964" stopIfTrue="1" operator="equal">
      <formula>1</formula>
    </cfRule>
    <cfRule type="cellIs" dxfId="6513" priority="10973" stopIfTrue="1" operator="equal">
      <formula>2</formula>
    </cfRule>
    <cfRule type="cellIs" dxfId="6512" priority="10974" stopIfTrue="1" operator="equal">
      <formula>"X"</formula>
    </cfRule>
  </conditionalFormatting>
  <conditionalFormatting sqref="GU180">
    <cfRule type="cellIs" dxfId="6511" priority="10966" stopIfTrue="1" operator="equal">
      <formula>0</formula>
    </cfRule>
    <cfRule type="cellIs" dxfId="6510" priority="10967" stopIfTrue="1" operator="notEqual">
      <formula>0</formula>
    </cfRule>
  </conditionalFormatting>
  <conditionalFormatting sqref="GV180">
    <cfRule type="cellIs" dxfId="6509" priority="10965" stopIfTrue="1" operator="equal">
      <formula>"STOP"</formula>
    </cfRule>
  </conditionalFormatting>
  <conditionalFormatting sqref="Q174">
    <cfRule type="cellIs" dxfId="6508" priority="10959" stopIfTrue="1" operator="equal">
      <formula>"SIM"</formula>
    </cfRule>
    <cfRule type="cellIs" dxfId="6507" priority="10960" stopIfTrue="1" operator="equal">
      <formula>"NÃO"</formula>
    </cfRule>
  </conditionalFormatting>
  <conditionalFormatting sqref="BF174 CJ174 DO174">
    <cfRule type="cellIs" dxfId="6506" priority="10955" stopIfTrue="1" operator="equal">
      <formula>0</formula>
    </cfRule>
    <cfRule type="cellIs" dxfId="6505" priority="10961" stopIfTrue="1" operator="notEqual">
      <formula>0</formula>
    </cfRule>
  </conditionalFormatting>
  <conditionalFormatting sqref="C174:D174">
    <cfRule type="expression" dxfId="6504" priority="10958" stopIfTrue="1">
      <formula>IF(AND($C174&lt;&gt;"",$H174+$L174=0),TRUE)</formula>
    </cfRule>
  </conditionalFormatting>
  <conditionalFormatting sqref="P174">
    <cfRule type="cellIs" dxfId="6503" priority="10947" stopIfTrue="1" operator="equal">
      <formula>1</formula>
    </cfRule>
    <cfRule type="cellIs" dxfId="6502" priority="10956" stopIfTrue="1" operator="equal">
      <formula>2</formula>
    </cfRule>
    <cfRule type="cellIs" dxfId="6501" priority="10957" stopIfTrue="1" operator="equal">
      <formula>"X"</formula>
    </cfRule>
  </conditionalFormatting>
  <conditionalFormatting sqref="GU174">
    <cfRule type="cellIs" dxfId="6500" priority="10949" stopIfTrue="1" operator="equal">
      <formula>0</formula>
    </cfRule>
    <cfRule type="cellIs" dxfId="6499" priority="10950" stopIfTrue="1" operator="notEqual">
      <formula>0</formula>
    </cfRule>
  </conditionalFormatting>
  <conditionalFormatting sqref="GV174">
    <cfRule type="cellIs" dxfId="6498" priority="10948" stopIfTrue="1" operator="equal">
      <formula>"STOP"</formula>
    </cfRule>
  </conditionalFormatting>
  <conditionalFormatting sqref="Q175">
    <cfRule type="cellIs" dxfId="6497" priority="10942" stopIfTrue="1" operator="equal">
      <formula>"SIM"</formula>
    </cfRule>
    <cfRule type="cellIs" dxfId="6496" priority="10943" stopIfTrue="1" operator="equal">
      <formula>"NÃO"</formula>
    </cfRule>
  </conditionalFormatting>
  <conditionalFormatting sqref="BF175 CJ175 DO175">
    <cfRule type="cellIs" dxfId="6495" priority="10938" stopIfTrue="1" operator="equal">
      <formula>0</formula>
    </cfRule>
    <cfRule type="cellIs" dxfId="6494" priority="10944" stopIfTrue="1" operator="notEqual">
      <formula>0</formula>
    </cfRule>
  </conditionalFormatting>
  <conditionalFormatting sqref="C175:D175">
    <cfRule type="expression" dxfId="6493" priority="10941" stopIfTrue="1">
      <formula>IF(AND($C175&lt;&gt;"",$H175+$L175=0),TRUE)</formula>
    </cfRule>
  </conditionalFormatting>
  <conditionalFormatting sqref="P175">
    <cfRule type="cellIs" dxfId="6492" priority="10930" stopIfTrue="1" operator="equal">
      <formula>1</formula>
    </cfRule>
    <cfRule type="cellIs" dxfId="6491" priority="10939" stopIfTrue="1" operator="equal">
      <formula>2</formula>
    </cfRule>
    <cfRule type="cellIs" dxfId="6490" priority="10940" stopIfTrue="1" operator="equal">
      <formula>"X"</formula>
    </cfRule>
  </conditionalFormatting>
  <conditionalFormatting sqref="GU175">
    <cfRule type="cellIs" dxfId="6489" priority="10932" stopIfTrue="1" operator="equal">
      <formula>0</formula>
    </cfRule>
    <cfRule type="cellIs" dxfId="6488" priority="10933" stopIfTrue="1" operator="notEqual">
      <formula>0</formula>
    </cfRule>
  </conditionalFormatting>
  <conditionalFormatting sqref="GV175">
    <cfRule type="cellIs" dxfId="6487" priority="10931" stopIfTrue="1" operator="equal">
      <formula>"STOP"</formula>
    </cfRule>
  </conditionalFormatting>
  <conditionalFormatting sqref="Q176">
    <cfRule type="cellIs" dxfId="6486" priority="10925" stopIfTrue="1" operator="equal">
      <formula>"SIM"</formula>
    </cfRule>
    <cfRule type="cellIs" dxfId="6485" priority="10926" stopIfTrue="1" operator="equal">
      <formula>"NÃO"</formula>
    </cfRule>
  </conditionalFormatting>
  <conditionalFormatting sqref="BF176 CJ176 DO176">
    <cfRule type="cellIs" dxfId="6484" priority="10921" stopIfTrue="1" operator="equal">
      <formula>0</formula>
    </cfRule>
    <cfRule type="cellIs" dxfId="6483" priority="10927" stopIfTrue="1" operator="notEqual">
      <formula>0</formula>
    </cfRule>
  </conditionalFormatting>
  <conditionalFormatting sqref="C176:D176">
    <cfRule type="expression" dxfId="6482" priority="10924" stopIfTrue="1">
      <formula>IF(AND($C176&lt;&gt;"",$H176+$L176=0),TRUE)</formula>
    </cfRule>
  </conditionalFormatting>
  <conditionalFormatting sqref="P176">
    <cfRule type="cellIs" dxfId="6481" priority="10913" stopIfTrue="1" operator="equal">
      <formula>1</formula>
    </cfRule>
    <cfRule type="cellIs" dxfId="6480" priority="10922" stopIfTrue="1" operator="equal">
      <formula>2</formula>
    </cfRule>
    <cfRule type="cellIs" dxfId="6479" priority="10923" stopIfTrue="1" operator="equal">
      <formula>"X"</formula>
    </cfRule>
  </conditionalFormatting>
  <conditionalFormatting sqref="GU176">
    <cfRule type="cellIs" dxfId="6478" priority="10915" stopIfTrue="1" operator="equal">
      <formula>0</formula>
    </cfRule>
    <cfRule type="cellIs" dxfId="6477" priority="10916" stopIfTrue="1" operator="notEqual">
      <formula>0</formula>
    </cfRule>
  </conditionalFormatting>
  <conditionalFormatting sqref="GV176">
    <cfRule type="cellIs" dxfId="6476" priority="10914" stopIfTrue="1" operator="equal">
      <formula>"STOP"</formula>
    </cfRule>
  </conditionalFormatting>
  <conditionalFormatting sqref="Q187">
    <cfRule type="cellIs" dxfId="6475" priority="7168" stopIfTrue="1" operator="equal">
      <formula>"SIM"</formula>
    </cfRule>
    <cfRule type="cellIs" dxfId="6474" priority="7169" stopIfTrue="1" operator="equal">
      <formula>"NÃO"</formula>
    </cfRule>
  </conditionalFormatting>
  <conditionalFormatting sqref="BF187 CJ187 DO187">
    <cfRule type="cellIs" dxfId="6473" priority="7164" stopIfTrue="1" operator="equal">
      <formula>0</formula>
    </cfRule>
    <cfRule type="cellIs" dxfId="6472" priority="7170" stopIfTrue="1" operator="notEqual">
      <formula>0</formula>
    </cfRule>
  </conditionalFormatting>
  <conditionalFormatting sqref="C187:D187">
    <cfRule type="expression" dxfId="6471" priority="7167" stopIfTrue="1">
      <formula>IF(AND($C187&lt;&gt;"",$H187+$L187=0),TRUE)</formula>
    </cfRule>
  </conditionalFormatting>
  <conditionalFormatting sqref="P187">
    <cfRule type="cellIs" dxfId="6470" priority="7156" stopIfTrue="1" operator="equal">
      <formula>1</formula>
    </cfRule>
    <cfRule type="cellIs" dxfId="6469" priority="7165" stopIfTrue="1" operator="equal">
      <formula>2</formula>
    </cfRule>
    <cfRule type="cellIs" dxfId="6468" priority="7166" stopIfTrue="1" operator="equal">
      <formula>"X"</formula>
    </cfRule>
  </conditionalFormatting>
  <conditionalFormatting sqref="GU187">
    <cfRule type="cellIs" dxfId="6467" priority="7158" stopIfTrue="1" operator="equal">
      <formula>0</formula>
    </cfRule>
    <cfRule type="cellIs" dxfId="6466" priority="7159" stopIfTrue="1" operator="notEqual">
      <formula>0</formula>
    </cfRule>
  </conditionalFormatting>
  <conditionalFormatting sqref="GV187">
    <cfRule type="cellIs" dxfId="6465" priority="7157" stopIfTrue="1" operator="equal">
      <formula>"STOP"</formula>
    </cfRule>
  </conditionalFormatting>
  <conditionalFormatting sqref="Q180">
    <cfRule type="cellIs" dxfId="6464" priority="7151" stopIfTrue="1" operator="equal">
      <formula>"SIM"</formula>
    </cfRule>
    <cfRule type="cellIs" dxfId="6463" priority="7152" stopIfTrue="1" operator="equal">
      <formula>"NÃO"</formula>
    </cfRule>
  </conditionalFormatting>
  <conditionalFormatting sqref="BF180 CJ180 DO180">
    <cfRule type="cellIs" dxfId="6462" priority="7147" stopIfTrue="1" operator="equal">
      <formula>0</formula>
    </cfRule>
    <cfRule type="cellIs" dxfId="6461" priority="7153" stopIfTrue="1" operator="notEqual">
      <formula>0</formula>
    </cfRule>
  </conditionalFormatting>
  <conditionalFormatting sqref="C180:D180">
    <cfRule type="expression" dxfId="6460" priority="7150" stopIfTrue="1">
      <formula>IF(AND($C180&lt;&gt;"",$H180+$L180=0),TRUE)</formula>
    </cfRule>
  </conditionalFormatting>
  <conditionalFormatting sqref="P180">
    <cfRule type="cellIs" dxfId="6459" priority="7139" stopIfTrue="1" operator="equal">
      <formula>1</formula>
    </cfRule>
    <cfRule type="cellIs" dxfId="6458" priority="7148" stopIfTrue="1" operator="equal">
      <formula>2</formula>
    </cfRule>
    <cfRule type="cellIs" dxfId="6457" priority="7149" stopIfTrue="1" operator="equal">
      <formula>"X"</formula>
    </cfRule>
  </conditionalFormatting>
  <conditionalFormatting sqref="GU180">
    <cfRule type="cellIs" dxfId="6456" priority="7141" stopIfTrue="1" operator="equal">
      <formula>0</formula>
    </cfRule>
    <cfRule type="cellIs" dxfId="6455" priority="7142" stopIfTrue="1" operator="notEqual">
      <formula>0</formula>
    </cfRule>
  </conditionalFormatting>
  <conditionalFormatting sqref="GV180">
    <cfRule type="cellIs" dxfId="6454" priority="7140" stopIfTrue="1" operator="equal">
      <formula>"STOP"</formula>
    </cfRule>
  </conditionalFormatting>
  <conditionalFormatting sqref="Q179">
    <cfRule type="cellIs" dxfId="6453" priority="10908" stopIfTrue="1" operator="equal">
      <formula>"SIM"</formula>
    </cfRule>
    <cfRule type="cellIs" dxfId="6452" priority="10909" stopIfTrue="1" operator="equal">
      <formula>"NÃO"</formula>
    </cfRule>
  </conditionalFormatting>
  <conditionalFormatting sqref="BF179 CJ179 DO179">
    <cfRule type="cellIs" dxfId="6451" priority="10904" stopIfTrue="1" operator="equal">
      <formula>0</formula>
    </cfRule>
    <cfRule type="cellIs" dxfId="6450" priority="10910" stopIfTrue="1" operator="notEqual">
      <formula>0</formula>
    </cfRule>
  </conditionalFormatting>
  <conditionalFormatting sqref="C179:D179">
    <cfRule type="expression" dxfId="6449" priority="10907" stopIfTrue="1">
      <formula>IF(AND($C179&lt;&gt;"",$H179+$L179=0),TRUE)</formula>
    </cfRule>
  </conditionalFormatting>
  <conditionalFormatting sqref="P179">
    <cfRule type="cellIs" dxfId="6448" priority="10896" stopIfTrue="1" operator="equal">
      <formula>1</formula>
    </cfRule>
    <cfRule type="cellIs" dxfId="6447" priority="10905" stopIfTrue="1" operator="equal">
      <formula>2</formula>
    </cfRule>
    <cfRule type="cellIs" dxfId="6446" priority="10906" stopIfTrue="1" operator="equal">
      <formula>"X"</formula>
    </cfRule>
  </conditionalFormatting>
  <conditionalFormatting sqref="GU179">
    <cfRule type="cellIs" dxfId="6445" priority="10898" stopIfTrue="1" operator="equal">
      <formula>0</formula>
    </cfRule>
    <cfRule type="cellIs" dxfId="6444" priority="10899" stopIfTrue="1" operator="notEqual">
      <formula>0</formula>
    </cfRule>
  </conditionalFormatting>
  <conditionalFormatting sqref="GV179">
    <cfRule type="cellIs" dxfId="6443" priority="10897" stopIfTrue="1" operator="equal">
      <formula>"STOP"</formula>
    </cfRule>
  </conditionalFormatting>
  <conditionalFormatting sqref="Q180">
    <cfRule type="cellIs" dxfId="6442" priority="10891" stopIfTrue="1" operator="equal">
      <formula>"SIM"</formula>
    </cfRule>
    <cfRule type="cellIs" dxfId="6441" priority="10892" stopIfTrue="1" operator="equal">
      <formula>"NÃO"</formula>
    </cfRule>
  </conditionalFormatting>
  <conditionalFormatting sqref="BF180 CJ180 DO180">
    <cfRule type="cellIs" dxfId="6440" priority="10887" stopIfTrue="1" operator="equal">
      <formula>0</formula>
    </cfRule>
    <cfRule type="cellIs" dxfId="6439" priority="10893" stopIfTrue="1" operator="notEqual">
      <formula>0</formula>
    </cfRule>
  </conditionalFormatting>
  <conditionalFormatting sqref="C180:D180">
    <cfRule type="expression" dxfId="6438" priority="10890" stopIfTrue="1">
      <formula>IF(AND($C180&lt;&gt;"",$H180+$L180=0),TRUE)</formula>
    </cfRule>
  </conditionalFormatting>
  <conditionalFormatting sqref="P180">
    <cfRule type="cellIs" dxfId="6437" priority="10879" stopIfTrue="1" operator="equal">
      <formula>1</formula>
    </cfRule>
    <cfRule type="cellIs" dxfId="6436" priority="10888" stopIfTrue="1" operator="equal">
      <formula>2</formula>
    </cfRule>
    <cfRule type="cellIs" dxfId="6435" priority="10889" stopIfTrue="1" operator="equal">
      <formula>"X"</formula>
    </cfRule>
  </conditionalFormatting>
  <conditionalFormatting sqref="GU180">
    <cfRule type="cellIs" dxfId="6434" priority="10881" stopIfTrue="1" operator="equal">
      <formula>0</formula>
    </cfRule>
    <cfRule type="cellIs" dxfId="6433" priority="10882" stopIfTrue="1" operator="notEqual">
      <formula>0</formula>
    </cfRule>
  </conditionalFormatting>
  <conditionalFormatting sqref="GV180">
    <cfRule type="cellIs" dxfId="6432" priority="10880" stopIfTrue="1" operator="equal">
      <formula>"STOP"</formula>
    </cfRule>
  </conditionalFormatting>
  <conditionalFormatting sqref="Q181">
    <cfRule type="cellIs" dxfId="6431" priority="10874" stopIfTrue="1" operator="equal">
      <formula>"SIM"</formula>
    </cfRule>
    <cfRule type="cellIs" dxfId="6430" priority="10875" stopIfTrue="1" operator="equal">
      <formula>"NÃO"</formula>
    </cfRule>
  </conditionalFormatting>
  <conditionalFormatting sqref="BF181 CJ181 DO181">
    <cfRule type="cellIs" dxfId="6429" priority="10870" stopIfTrue="1" operator="equal">
      <formula>0</formula>
    </cfRule>
    <cfRule type="cellIs" dxfId="6428" priority="10876" stopIfTrue="1" operator="notEqual">
      <formula>0</formula>
    </cfRule>
  </conditionalFormatting>
  <conditionalFormatting sqref="C181:D181">
    <cfRule type="expression" dxfId="6427" priority="10873" stopIfTrue="1">
      <formula>IF(AND($C181&lt;&gt;"",$H181+$L181=0),TRUE)</formula>
    </cfRule>
  </conditionalFormatting>
  <conditionalFormatting sqref="P181">
    <cfRule type="cellIs" dxfId="6426" priority="10862" stopIfTrue="1" operator="equal">
      <formula>1</formula>
    </cfRule>
    <cfRule type="cellIs" dxfId="6425" priority="10871" stopIfTrue="1" operator="equal">
      <formula>2</formula>
    </cfRule>
    <cfRule type="cellIs" dxfId="6424" priority="10872" stopIfTrue="1" operator="equal">
      <formula>"X"</formula>
    </cfRule>
  </conditionalFormatting>
  <conditionalFormatting sqref="GU181">
    <cfRule type="cellIs" dxfId="6423" priority="10864" stopIfTrue="1" operator="equal">
      <formula>0</formula>
    </cfRule>
    <cfRule type="cellIs" dxfId="6422" priority="10865" stopIfTrue="1" operator="notEqual">
      <formula>0</formula>
    </cfRule>
  </conditionalFormatting>
  <conditionalFormatting sqref="GV181">
    <cfRule type="cellIs" dxfId="6421" priority="10863" stopIfTrue="1" operator="equal">
      <formula>"STOP"</formula>
    </cfRule>
  </conditionalFormatting>
  <conditionalFormatting sqref="Q182">
    <cfRule type="cellIs" dxfId="6420" priority="10857" stopIfTrue="1" operator="equal">
      <formula>"SIM"</formula>
    </cfRule>
    <cfRule type="cellIs" dxfId="6419" priority="10858" stopIfTrue="1" operator="equal">
      <formula>"NÃO"</formula>
    </cfRule>
  </conditionalFormatting>
  <conditionalFormatting sqref="BF182 CJ182 DO182">
    <cfRule type="cellIs" dxfId="6418" priority="10853" stopIfTrue="1" operator="equal">
      <formula>0</formula>
    </cfRule>
    <cfRule type="cellIs" dxfId="6417" priority="10859" stopIfTrue="1" operator="notEqual">
      <formula>0</formula>
    </cfRule>
  </conditionalFormatting>
  <conditionalFormatting sqref="C182:D182">
    <cfRule type="expression" dxfId="6416" priority="10856" stopIfTrue="1">
      <formula>IF(AND($C182&lt;&gt;"",$H182+$L182=0),TRUE)</formula>
    </cfRule>
  </conditionalFormatting>
  <conditionalFormatting sqref="P182">
    <cfRule type="cellIs" dxfId="6415" priority="10845" stopIfTrue="1" operator="equal">
      <formula>1</formula>
    </cfRule>
    <cfRule type="cellIs" dxfId="6414" priority="10854" stopIfTrue="1" operator="equal">
      <formula>2</formula>
    </cfRule>
    <cfRule type="cellIs" dxfId="6413" priority="10855" stopIfTrue="1" operator="equal">
      <formula>"X"</formula>
    </cfRule>
  </conditionalFormatting>
  <conditionalFormatting sqref="GU182">
    <cfRule type="cellIs" dxfId="6412" priority="10847" stopIfTrue="1" operator="equal">
      <formula>0</formula>
    </cfRule>
    <cfRule type="cellIs" dxfId="6411" priority="10848" stopIfTrue="1" operator="notEqual">
      <formula>0</formula>
    </cfRule>
  </conditionalFormatting>
  <conditionalFormatting sqref="GV182">
    <cfRule type="cellIs" dxfId="6410" priority="10846" stopIfTrue="1" operator="equal">
      <formula>"STOP"</formula>
    </cfRule>
  </conditionalFormatting>
  <conditionalFormatting sqref="Q175">
    <cfRule type="cellIs" dxfId="6409" priority="10840" stopIfTrue="1" operator="equal">
      <formula>"SIM"</formula>
    </cfRule>
    <cfRule type="cellIs" dxfId="6408" priority="10841" stopIfTrue="1" operator="equal">
      <formula>"NÃO"</formula>
    </cfRule>
  </conditionalFormatting>
  <conditionalFormatting sqref="BF175 CJ175 DO175">
    <cfRule type="cellIs" dxfId="6407" priority="10836" stopIfTrue="1" operator="equal">
      <formula>0</formula>
    </cfRule>
    <cfRule type="cellIs" dxfId="6406" priority="10842" stopIfTrue="1" operator="notEqual">
      <formula>0</formula>
    </cfRule>
  </conditionalFormatting>
  <conditionalFormatting sqref="C175:D175">
    <cfRule type="expression" dxfId="6405" priority="10839" stopIfTrue="1">
      <formula>IF(AND($C175&lt;&gt;"",$H175+$L175=0),TRUE)</formula>
    </cfRule>
  </conditionalFormatting>
  <conditionalFormatting sqref="P175">
    <cfRule type="cellIs" dxfId="6404" priority="10828" stopIfTrue="1" operator="equal">
      <formula>1</formula>
    </cfRule>
    <cfRule type="cellIs" dxfId="6403" priority="10837" stopIfTrue="1" operator="equal">
      <formula>2</formula>
    </cfRule>
    <cfRule type="cellIs" dxfId="6402" priority="10838" stopIfTrue="1" operator="equal">
      <formula>"X"</formula>
    </cfRule>
  </conditionalFormatting>
  <conditionalFormatting sqref="GU175">
    <cfRule type="cellIs" dxfId="6401" priority="10830" stopIfTrue="1" operator="equal">
      <formula>0</formula>
    </cfRule>
    <cfRule type="cellIs" dxfId="6400" priority="10831" stopIfTrue="1" operator="notEqual">
      <formula>0</formula>
    </cfRule>
  </conditionalFormatting>
  <conditionalFormatting sqref="GV175">
    <cfRule type="cellIs" dxfId="6399" priority="10829" stopIfTrue="1" operator="equal">
      <formula>"STOP"</formula>
    </cfRule>
  </conditionalFormatting>
  <conditionalFormatting sqref="Q176">
    <cfRule type="cellIs" dxfId="6398" priority="10823" stopIfTrue="1" operator="equal">
      <formula>"SIM"</formula>
    </cfRule>
    <cfRule type="cellIs" dxfId="6397" priority="10824" stopIfTrue="1" operator="equal">
      <formula>"NÃO"</formula>
    </cfRule>
  </conditionalFormatting>
  <conditionalFormatting sqref="BF176 CJ176 DO176">
    <cfRule type="cellIs" dxfId="6396" priority="10819" stopIfTrue="1" operator="equal">
      <formula>0</formula>
    </cfRule>
    <cfRule type="cellIs" dxfId="6395" priority="10825" stopIfTrue="1" operator="notEqual">
      <formula>0</formula>
    </cfRule>
  </conditionalFormatting>
  <conditionalFormatting sqref="C176:D176">
    <cfRule type="expression" dxfId="6394" priority="10822" stopIfTrue="1">
      <formula>IF(AND($C176&lt;&gt;"",$H176+$L176=0),TRUE)</formula>
    </cfRule>
  </conditionalFormatting>
  <conditionalFormatting sqref="P176">
    <cfRule type="cellIs" dxfId="6393" priority="10811" stopIfTrue="1" operator="equal">
      <formula>1</formula>
    </cfRule>
    <cfRule type="cellIs" dxfId="6392" priority="10820" stopIfTrue="1" operator="equal">
      <formula>2</formula>
    </cfRule>
    <cfRule type="cellIs" dxfId="6391" priority="10821" stopIfTrue="1" operator="equal">
      <formula>"X"</formula>
    </cfRule>
  </conditionalFormatting>
  <conditionalFormatting sqref="GU176">
    <cfRule type="cellIs" dxfId="6390" priority="10813" stopIfTrue="1" operator="equal">
      <formula>0</formula>
    </cfRule>
    <cfRule type="cellIs" dxfId="6389" priority="10814" stopIfTrue="1" operator="notEqual">
      <formula>0</formula>
    </cfRule>
  </conditionalFormatting>
  <conditionalFormatting sqref="GV176">
    <cfRule type="cellIs" dxfId="6388" priority="10812" stopIfTrue="1" operator="equal">
      <formula>"STOP"</formula>
    </cfRule>
  </conditionalFormatting>
  <conditionalFormatting sqref="Q181">
    <cfRule type="cellIs" dxfId="6387" priority="7032" stopIfTrue="1" operator="equal">
      <formula>"SIM"</formula>
    </cfRule>
    <cfRule type="cellIs" dxfId="6386" priority="7033" stopIfTrue="1" operator="equal">
      <formula>"NÃO"</formula>
    </cfRule>
  </conditionalFormatting>
  <conditionalFormatting sqref="BF181 CJ181 DO181">
    <cfRule type="cellIs" dxfId="6385" priority="7028" stopIfTrue="1" operator="equal">
      <formula>0</formula>
    </cfRule>
    <cfRule type="cellIs" dxfId="6384" priority="7034" stopIfTrue="1" operator="notEqual">
      <formula>0</formula>
    </cfRule>
  </conditionalFormatting>
  <conditionalFormatting sqref="C181:D181">
    <cfRule type="expression" dxfId="6383" priority="7031" stopIfTrue="1">
      <formula>IF(AND($C181&lt;&gt;"",$H181+$L181=0),TRUE)</formula>
    </cfRule>
  </conditionalFormatting>
  <conditionalFormatting sqref="P181">
    <cfRule type="cellIs" dxfId="6382" priority="7020" stopIfTrue="1" operator="equal">
      <formula>1</formula>
    </cfRule>
    <cfRule type="cellIs" dxfId="6381" priority="7029" stopIfTrue="1" operator="equal">
      <formula>2</formula>
    </cfRule>
    <cfRule type="cellIs" dxfId="6380" priority="7030" stopIfTrue="1" operator="equal">
      <formula>"X"</formula>
    </cfRule>
  </conditionalFormatting>
  <conditionalFormatting sqref="GU181">
    <cfRule type="cellIs" dxfId="6379" priority="7022" stopIfTrue="1" operator="equal">
      <formula>0</formula>
    </cfRule>
    <cfRule type="cellIs" dxfId="6378" priority="7023" stopIfTrue="1" operator="notEqual">
      <formula>0</formula>
    </cfRule>
  </conditionalFormatting>
  <conditionalFormatting sqref="GV181">
    <cfRule type="cellIs" dxfId="6377" priority="7021" stopIfTrue="1" operator="equal">
      <formula>"STOP"</formula>
    </cfRule>
  </conditionalFormatting>
  <conditionalFormatting sqref="Q175">
    <cfRule type="cellIs" dxfId="6376" priority="10806" stopIfTrue="1" operator="equal">
      <formula>"SIM"</formula>
    </cfRule>
    <cfRule type="cellIs" dxfId="6375" priority="10807" stopIfTrue="1" operator="equal">
      <formula>"NÃO"</formula>
    </cfRule>
  </conditionalFormatting>
  <conditionalFormatting sqref="BF175 CJ175 DO175">
    <cfRule type="cellIs" dxfId="6374" priority="10802" stopIfTrue="1" operator="equal">
      <formula>0</formula>
    </cfRule>
    <cfRule type="cellIs" dxfId="6373" priority="10808" stopIfTrue="1" operator="notEqual">
      <formula>0</formula>
    </cfRule>
  </conditionalFormatting>
  <conditionalFormatting sqref="C175:D175">
    <cfRule type="expression" dxfId="6372" priority="10805" stopIfTrue="1">
      <formula>IF(AND($C175&lt;&gt;"",$H175+$L175=0),TRUE)</formula>
    </cfRule>
  </conditionalFormatting>
  <conditionalFormatting sqref="P175">
    <cfRule type="cellIs" dxfId="6371" priority="10794" stopIfTrue="1" operator="equal">
      <formula>1</formula>
    </cfRule>
    <cfRule type="cellIs" dxfId="6370" priority="10803" stopIfTrue="1" operator="equal">
      <formula>2</formula>
    </cfRule>
    <cfRule type="cellIs" dxfId="6369" priority="10804" stopIfTrue="1" operator="equal">
      <formula>"X"</formula>
    </cfRule>
  </conditionalFormatting>
  <conditionalFormatting sqref="GU175">
    <cfRule type="cellIs" dxfId="6368" priority="10796" stopIfTrue="1" operator="equal">
      <formula>0</formula>
    </cfRule>
    <cfRule type="cellIs" dxfId="6367" priority="10797" stopIfTrue="1" operator="notEqual">
      <formula>0</formula>
    </cfRule>
  </conditionalFormatting>
  <conditionalFormatting sqref="GV175">
    <cfRule type="cellIs" dxfId="6366" priority="10795" stopIfTrue="1" operator="equal">
      <formula>"STOP"</formula>
    </cfRule>
  </conditionalFormatting>
  <conditionalFormatting sqref="Q176">
    <cfRule type="cellIs" dxfId="6365" priority="10789" stopIfTrue="1" operator="equal">
      <formula>"SIM"</formula>
    </cfRule>
    <cfRule type="cellIs" dxfId="6364" priority="10790" stopIfTrue="1" operator="equal">
      <formula>"NÃO"</formula>
    </cfRule>
  </conditionalFormatting>
  <conditionalFormatting sqref="BF176 CJ176 DO176">
    <cfRule type="cellIs" dxfId="6363" priority="10785" stopIfTrue="1" operator="equal">
      <formula>0</formula>
    </cfRule>
    <cfRule type="cellIs" dxfId="6362" priority="10791" stopIfTrue="1" operator="notEqual">
      <formula>0</formula>
    </cfRule>
  </conditionalFormatting>
  <conditionalFormatting sqref="C176:D176">
    <cfRule type="expression" dxfId="6361" priority="10788" stopIfTrue="1">
      <formula>IF(AND($C176&lt;&gt;"",$H176+$L176=0),TRUE)</formula>
    </cfRule>
  </conditionalFormatting>
  <conditionalFormatting sqref="P176">
    <cfRule type="cellIs" dxfId="6360" priority="10777" stopIfTrue="1" operator="equal">
      <formula>1</formula>
    </cfRule>
    <cfRule type="cellIs" dxfId="6359" priority="10786" stopIfTrue="1" operator="equal">
      <formula>2</formula>
    </cfRule>
    <cfRule type="cellIs" dxfId="6358" priority="10787" stopIfTrue="1" operator="equal">
      <formula>"X"</formula>
    </cfRule>
  </conditionalFormatting>
  <conditionalFormatting sqref="GU176">
    <cfRule type="cellIs" dxfId="6357" priority="10779" stopIfTrue="1" operator="equal">
      <formula>0</formula>
    </cfRule>
    <cfRule type="cellIs" dxfId="6356" priority="10780" stopIfTrue="1" operator="notEqual">
      <formula>0</formula>
    </cfRule>
  </conditionalFormatting>
  <conditionalFormatting sqref="GV176">
    <cfRule type="cellIs" dxfId="6355" priority="10778" stopIfTrue="1" operator="equal">
      <formula>"STOP"</formula>
    </cfRule>
  </conditionalFormatting>
  <conditionalFormatting sqref="Q180">
    <cfRule type="cellIs" dxfId="6354" priority="6981" stopIfTrue="1" operator="equal">
      <formula>"SIM"</formula>
    </cfRule>
    <cfRule type="cellIs" dxfId="6353" priority="6982" stopIfTrue="1" operator="equal">
      <formula>"NÃO"</formula>
    </cfRule>
  </conditionalFormatting>
  <conditionalFormatting sqref="BF180 CJ180 DO180">
    <cfRule type="cellIs" dxfId="6352" priority="6977" stopIfTrue="1" operator="equal">
      <formula>0</formula>
    </cfRule>
    <cfRule type="cellIs" dxfId="6351" priority="6983" stopIfTrue="1" operator="notEqual">
      <formula>0</formula>
    </cfRule>
  </conditionalFormatting>
  <conditionalFormatting sqref="C180:D180">
    <cfRule type="expression" dxfId="6350" priority="6980" stopIfTrue="1">
      <formula>IF(AND($C180&lt;&gt;"",$H180+$L180=0),TRUE)</formula>
    </cfRule>
  </conditionalFormatting>
  <conditionalFormatting sqref="P180">
    <cfRule type="cellIs" dxfId="6349" priority="6969" stopIfTrue="1" operator="equal">
      <formula>1</formula>
    </cfRule>
    <cfRule type="cellIs" dxfId="6348" priority="6978" stopIfTrue="1" operator="equal">
      <formula>2</formula>
    </cfRule>
    <cfRule type="cellIs" dxfId="6347" priority="6979" stopIfTrue="1" operator="equal">
      <formula>"X"</formula>
    </cfRule>
  </conditionalFormatting>
  <conditionalFormatting sqref="GU180">
    <cfRule type="cellIs" dxfId="6346" priority="6971" stopIfTrue="1" operator="equal">
      <formula>0</formula>
    </cfRule>
    <cfRule type="cellIs" dxfId="6345" priority="6972" stopIfTrue="1" operator="notEqual">
      <formula>0</formula>
    </cfRule>
  </conditionalFormatting>
  <conditionalFormatting sqref="GV180">
    <cfRule type="cellIs" dxfId="6344" priority="6970" stopIfTrue="1" operator="equal">
      <formula>"STOP"</formula>
    </cfRule>
  </conditionalFormatting>
  <conditionalFormatting sqref="Q181">
    <cfRule type="cellIs" dxfId="6343" priority="6964" stopIfTrue="1" operator="equal">
      <formula>"SIM"</formula>
    </cfRule>
    <cfRule type="cellIs" dxfId="6342" priority="6965" stopIfTrue="1" operator="equal">
      <formula>"NÃO"</formula>
    </cfRule>
  </conditionalFormatting>
  <conditionalFormatting sqref="BF181 CJ181 DO181">
    <cfRule type="cellIs" dxfId="6341" priority="6960" stopIfTrue="1" operator="equal">
      <formula>0</formula>
    </cfRule>
    <cfRule type="cellIs" dxfId="6340" priority="6966" stopIfTrue="1" operator="notEqual">
      <formula>0</formula>
    </cfRule>
  </conditionalFormatting>
  <conditionalFormatting sqref="C181:D181">
    <cfRule type="expression" dxfId="6339" priority="6963" stopIfTrue="1">
      <formula>IF(AND($C181&lt;&gt;"",$H181+$L181=0),TRUE)</formula>
    </cfRule>
  </conditionalFormatting>
  <conditionalFormatting sqref="P181">
    <cfRule type="cellIs" dxfId="6338" priority="6952" stopIfTrue="1" operator="equal">
      <formula>1</formula>
    </cfRule>
    <cfRule type="cellIs" dxfId="6337" priority="6961" stopIfTrue="1" operator="equal">
      <formula>2</formula>
    </cfRule>
    <cfRule type="cellIs" dxfId="6336" priority="6962" stopIfTrue="1" operator="equal">
      <formula>"X"</formula>
    </cfRule>
  </conditionalFormatting>
  <conditionalFormatting sqref="GU181">
    <cfRule type="cellIs" dxfId="6335" priority="6954" stopIfTrue="1" operator="equal">
      <formula>0</formula>
    </cfRule>
    <cfRule type="cellIs" dxfId="6334" priority="6955" stopIfTrue="1" operator="notEqual">
      <formula>0</formula>
    </cfRule>
  </conditionalFormatting>
  <conditionalFormatting sqref="GV181">
    <cfRule type="cellIs" dxfId="6333" priority="6953" stopIfTrue="1" operator="equal">
      <formula>"STOP"</formula>
    </cfRule>
  </conditionalFormatting>
  <conditionalFormatting sqref="Q176">
    <cfRule type="cellIs" dxfId="6332" priority="10772" stopIfTrue="1" operator="equal">
      <formula>"SIM"</formula>
    </cfRule>
    <cfRule type="cellIs" dxfId="6331" priority="10773" stopIfTrue="1" operator="equal">
      <formula>"NÃO"</formula>
    </cfRule>
  </conditionalFormatting>
  <conditionalFormatting sqref="BF176 CJ176 DO176">
    <cfRule type="cellIs" dxfId="6330" priority="10768" stopIfTrue="1" operator="equal">
      <formula>0</formula>
    </cfRule>
    <cfRule type="cellIs" dxfId="6329" priority="10774" stopIfTrue="1" operator="notEqual">
      <formula>0</formula>
    </cfRule>
  </conditionalFormatting>
  <conditionalFormatting sqref="C176:D176">
    <cfRule type="expression" dxfId="6328" priority="10771" stopIfTrue="1">
      <formula>IF(AND($C176&lt;&gt;"",$H176+$L176=0),TRUE)</formula>
    </cfRule>
  </conditionalFormatting>
  <conditionalFormatting sqref="P176">
    <cfRule type="cellIs" dxfId="6327" priority="10760" stopIfTrue="1" operator="equal">
      <formula>1</formula>
    </cfRule>
    <cfRule type="cellIs" dxfId="6326" priority="10769" stopIfTrue="1" operator="equal">
      <formula>2</formula>
    </cfRule>
    <cfRule type="cellIs" dxfId="6325" priority="10770" stopIfTrue="1" operator="equal">
      <formula>"X"</formula>
    </cfRule>
  </conditionalFormatting>
  <conditionalFormatting sqref="GU176">
    <cfRule type="cellIs" dxfId="6324" priority="10762" stopIfTrue="1" operator="equal">
      <formula>0</formula>
    </cfRule>
    <cfRule type="cellIs" dxfId="6323" priority="10763" stopIfTrue="1" operator="notEqual">
      <formula>0</formula>
    </cfRule>
  </conditionalFormatting>
  <conditionalFormatting sqref="GV176">
    <cfRule type="cellIs" dxfId="6322" priority="10761" stopIfTrue="1" operator="equal">
      <formula>"STOP"</formula>
    </cfRule>
  </conditionalFormatting>
  <conditionalFormatting sqref="Q183">
    <cfRule type="cellIs" dxfId="6321" priority="6930" stopIfTrue="1" operator="equal">
      <formula>"SIM"</formula>
    </cfRule>
    <cfRule type="cellIs" dxfId="6320" priority="6931" stopIfTrue="1" operator="equal">
      <formula>"NÃO"</formula>
    </cfRule>
  </conditionalFormatting>
  <conditionalFormatting sqref="BF183 CJ183 DO183">
    <cfRule type="cellIs" dxfId="6319" priority="6926" stopIfTrue="1" operator="equal">
      <formula>0</formula>
    </cfRule>
    <cfRule type="cellIs" dxfId="6318" priority="6932" stopIfTrue="1" operator="notEqual">
      <formula>0</formula>
    </cfRule>
  </conditionalFormatting>
  <conditionalFormatting sqref="C183:D183">
    <cfRule type="expression" dxfId="6317" priority="6929" stopIfTrue="1">
      <formula>IF(AND($C183&lt;&gt;"",$H183+$L183=0),TRUE)</formula>
    </cfRule>
  </conditionalFormatting>
  <conditionalFormatting sqref="P183">
    <cfRule type="cellIs" dxfId="6316" priority="6918" stopIfTrue="1" operator="equal">
      <formula>1</formula>
    </cfRule>
    <cfRule type="cellIs" dxfId="6315" priority="6927" stopIfTrue="1" operator="equal">
      <formula>2</formula>
    </cfRule>
    <cfRule type="cellIs" dxfId="6314" priority="6928" stopIfTrue="1" operator="equal">
      <formula>"X"</formula>
    </cfRule>
  </conditionalFormatting>
  <conditionalFormatting sqref="GU183">
    <cfRule type="cellIs" dxfId="6313" priority="6920" stopIfTrue="1" operator="equal">
      <formula>0</formula>
    </cfRule>
    <cfRule type="cellIs" dxfId="6312" priority="6921" stopIfTrue="1" operator="notEqual">
      <formula>0</formula>
    </cfRule>
  </conditionalFormatting>
  <conditionalFormatting sqref="GV183">
    <cfRule type="cellIs" dxfId="6311" priority="6919" stopIfTrue="1" operator="equal">
      <formula>"STOP"</formula>
    </cfRule>
  </conditionalFormatting>
  <conditionalFormatting sqref="Q184">
    <cfRule type="cellIs" dxfId="6310" priority="6913" stopIfTrue="1" operator="equal">
      <formula>"SIM"</formula>
    </cfRule>
    <cfRule type="cellIs" dxfId="6309" priority="6914" stopIfTrue="1" operator="equal">
      <formula>"NÃO"</formula>
    </cfRule>
  </conditionalFormatting>
  <conditionalFormatting sqref="BF184 CJ184 DO184">
    <cfRule type="cellIs" dxfId="6308" priority="6909" stopIfTrue="1" operator="equal">
      <formula>0</formula>
    </cfRule>
    <cfRule type="cellIs" dxfId="6307" priority="6915" stopIfTrue="1" operator="notEqual">
      <formula>0</formula>
    </cfRule>
  </conditionalFormatting>
  <conditionalFormatting sqref="C184:D184">
    <cfRule type="expression" dxfId="6306" priority="6912" stopIfTrue="1">
      <formula>IF(AND($C184&lt;&gt;"",$H184+$L184=0),TRUE)</formula>
    </cfRule>
  </conditionalFormatting>
  <conditionalFormatting sqref="P184">
    <cfRule type="cellIs" dxfId="6305" priority="6901" stopIfTrue="1" operator="equal">
      <formula>1</formula>
    </cfRule>
    <cfRule type="cellIs" dxfId="6304" priority="6910" stopIfTrue="1" operator="equal">
      <formula>2</formula>
    </cfRule>
    <cfRule type="cellIs" dxfId="6303" priority="6911" stopIfTrue="1" operator="equal">
      <formula>"X"</formula>
    </cfRule>
  </conditionalFormatting>
  <conditionalFormatting sqref="GU184">
    <cfRule type="cellIs" dxfId="6302" priority="6903" stopIfTrue="1" operator="equal">
      <formula>0</formula>
    </cfRule>
    <cfRule type="cellIs" dxfId="6301" priority="6904" stopIfTrue="1" operator="notEqual">
      <formula>0</formula>
    </cfRule>
  </conditionalFormatting>
  <conditionalFormatting sqref="GV184">
    <cfRule type="cellIs" dxfId="6300" priority="6902" stopIfTrue="1" operator="equal">
      <formula>"STOP"</formula>
    </cfRule>
  </conditionalFormatting>
  <conditionalFormatting sqref="Q175">
    <cfRule type="cellIs" dxfId="6299" priority="10755" stopIfTrue="1" operator="equal">
      <formula>"SIM"</formula>
    </cfRule>
    <cfRule type="cellIs" dxfId="6298" priority="10756" stopIfTrue="1" operator="equal">
      <formula>"NÃO"</formula>
    </cfRule>
  </conditionalFormatting>
  <conditionalFormatting sqref="BF175 CJ175 DO175">
    <cfRule type="cellIs" dxfId="6297" priority="10751" stopIfTrue="1" operator="equal">
      <formula>0</formula>
    </cfRule>
    <cfRule type="cellIs" dxfId="6296" priority="10757" stopIfTrue="1" operator="notEqual">
      <formula>0</formula>
    </cfRule>
  </conditionalFormatting>
  <conditionalFormatting sqref="C175:D175">
    <cfRule type="expression" dxfId="6295" priority="10754" stopIfTrue="1">
      <formula>IF(AND($C175&lt;&gt;"",$H175+$L175=0),TRUE)</formula>
    </cfRule>
  </conditionalFormatting>
  <conditionalFormatting sqref="P175">
    <cfRule type="cellIs" dxfId="6294" priority="10743" stopIfTrue="1" operator="equal">
      <formula>1</formula>
    </cfRule>
    <cfRule type="cellIs" dxfId="6293" priority="10752" stopIfTrue="1" operator="equal">
      <formula>2</formula>
    </cfRule>
    <cfRule type="cellIs" dxfId="6292" priority="10753" stopIfTrue="1" operator="equal">
      <formula>"X"</formula>
    </cfRule>
  </conditionalFormatting>
  <conditionalFormatting sqref="GU175">
    <cfRule type="cellIs" dxfId="6291" priority="10745" stopIfTrue="1" operator="equal">
      <formula>0</formula>
    </cfRule>
    <cfRule type="cellIs" dxfId="6290" priority="10746" stopIfTrue="1" operator="notEqual">
      <formula>0</formula>
    </cfRule>
  </conditionalFormatting>
  <conditionalFormatting sqref="GV175">
    <cfRule type="cellIs" dxfId="6289" priority="10744" stopIfTrue="1" operator="equal">
      <formula>"STOP"</formula>
    </cfRule>
  </conditionalFormatting>
  <conditionalFormatting sqref="Q176">
    <cfRule type="cellIs" dxfId="6288" priority="10738" stopIfTrue="1" operator="equal">
      <formula>"SIM"</formula>
    </cfRule>
    <cfRule type="cellIs" dxfId="6287" priority="10739" stopIfTrue="1" operator="equal">
      <formula>"NÃO"</formula>
    </cfRule>
  </conditionalFormatting>
  <conditionalFormatting sqref="BF176 CJ176 DO176">
    <cfRule type="cellIs" dxfId="6286" priority="10734" stopIfTrue="1" operator="equal">
      <formula>0</formula>
    </cfRule>
    <cfRule type="cellIs" dxfId="6285" priority="10740" stopIfTrue="1" operator="notEqual">
      <formula>0</formula>
    </cfRule>
  </conditionalFormatting>
  <conditionalFormatting sqref="C176:D176">
    <cfRule type="expression" dxfId="6284" priority="10737" stopIfTrue="1">
      <formula>IF(AND($C176&lt;&gt;"",$H176+$L176=0),TRUE)</formula>
    </cfRule>
  </conditionalFormatting>
  <conditionalFormatting sqref="P176">
    <cfRule type="cellIs" dxfId="6283" priority="10726" stopIfTrue="1" operator="equal">
      <formula>1</formula>
    </cfRule>
    <cfRule type="cellIs" dxfId="6282" priority="10735" stopIfTrue="1" operator="equal">
      <formula>2</formula>
    </cfRule>
    <cfRule type="cellIs" dxfId="6281" priority="10736" stopIfTrue="1" operator="equal">
      <formula>"X"</formula>
    </cfRule>
  </conditionalFormatting>
  <conditionalFormatting sqref="GU176">
    <cfRule type="cellIs" dxfId="6280" priority="10728" stopIfTrue="1" operator="equal">
      <formula>0</formula>
    </cfRule>
    <cfRule type="cellIs" dxfId="6279" priority="10729" stopIfTrue="1" operator="notEqual">
      <formula>0</formula>
    </cfRule>
  </conditionalFormatting>
  <conditionalFormatting sqref="GV176">
    <cfRule type="cellIs" dxfId="6278" priority="10727" stopIfTrue="1" operator="equal">
      <formula>"STOP"</formula>
    </cfRule>
  </conditionalFormatting>
  <conditionalFormatting sqref="Q182">
    <cfRule type="cellIs" dxfId="6277" priority="6862" stopIfTrue="1" operator="equal">
      <formula>"SIM"</formula>
    </cfRule>
    <cfRule type="cellIs" dxfId="6276" priority="6863" stopIfTrue="1" operator="equal">
      <formula>"NÃO"</formula>
    </cfRule>
  </conditionalFormatting>
  <conditionalFormatting sqref="BF182 CJ182 DO182">
    <cfRule type="cellIs" dxfId="6275" priority="6858" stopIfTrue="1" operator="equal">
      <formula>0</formula>
    </cfRule>
    <cfRule type="cellIs" dxfId="6274" priority="6864" stopIfTrue="1" operator="notEqual">
      <formula>0</formula>
    </cfRule>
  </conditionalFormatting>
  <conditionalFormatting sqref="C182:D182">
    <cfRule type="expression" dxfId="6273" priority="6861" stopIfTrue="1">
      <formula>IF(AND($C182&lt;&gt;"",$H182+$L182=0),TRUE)</formula>
    </cfRule>
  </conditionalFormatting>
  <conditionalFormatting sqref="P182">
    <cfRule type="cellIs" dxfId="6272" priority="6850" stopIfTrue="1" operator="equal">
      <formula>1</formula>
    </cfRule>
    <cfRule type="cellIs" dxfId="6271" priority="6859" stopIfTrue="1" operator="equal">
      <formula>2</formula>
    </cfRule>
    <cfRule type="cellIs" dxfId="6270" priority="6860" stopIfTrue="1" operator="equal">
      <formula>"X"</formula>
    </cfRule>
  </conditionalFormatting>
  <conditionalFormatting sqref="GU182">
    <cfRule type="cellIs" dxfId="6269" priority="6852" stopIfTrue="1" operator="equal">
      <formula>0</formula>
    </cfRule>
    <cfRule type="cellIs" dxfId="6268" priority="6853" stopIfTrue="1" operator="notEqual">
      <formula>0</formula>
    </cfRule>
  </conditionalFormatting>
  <conditionalFormatting sqref="GV182">
    <cfRule type="cellIs" dxfId="6267" priority="6851" stopIfTrue="1" operator="equal">
      <formula>"STOP"</formula>
    </cfRule>
  </conditionalFormatting>
  <conditionalFormatting sqref="Q183">
    <cfRule type="cellIs" dxfId="6266" priority="6845" stopIfTrue="1" operator="equal">
      <formula>"SIM"</formula>
    </cfRule>
    <cfRule type="cellIs" dxfId="6265" priority="6846" stopIfTrue="1" operator="equal">
      <formula>"NÃO"</formula>
    </cfRule>
  </conditionalFormatting>
  <conditionalFormatting sqref="BF183 CJ183 DO183">
    <cfRule type="cellIs" dxfId="6264" priority="6841" stopIfTrue="1" operator="equal">
      <formula>0</formula>
    </cfRule>
    <cfRule type="cellIs" dxfId="6263" priority="6847" stopIfTrue="1" operator="notEqual">
      <formula>0</formula>
    </cfRule>
  </conditionalFormatting>
  <conditionalFormatting sqref="C183:D183">
    <cfRule type="expression" dxfId="6262" priority="6844" stopIfTrue="1">
      <formula>IF(AND($C183&lt;&gt;"",$H183+$L183=0),TRUE)</formula>
    </cfRule>
  </conditionalFormatting>
  <conditionalFormatting sqref="P183">
    <cfRule type="cellIs" dxfId="6261" priority="6833" stopIfTrue="1" operator="equal">
      <formula>1</formula>
    </cfRule>
    <cfRule type="cellIs" dxfId="6260" priority="6842" stopIfTrue="1" operator="equal">
      <formula>2</formula>
    </cfRule>
    <cfRule type="cellIs" dxfId="6259" priority="6843" stopIfTrue="1" operator="equal">
      <formula>"X"</formula>
    </cfRule>
  </conditionalFormatting>
  <conditionalFormatting sqref="GU183">
    <cfRule type="cellIs" dxfId="6258" priority="6835" stopIfTrue="1" operator="equal">
      <formula>0</formula>
    </cfRule>
    <cfRule type="cellIs" dxfId="6257" priority="6836" stopIfTrue="1" operator="notEqual">
      <formula>0</formula>
    </cfRule>
  </conditionalFormatting>
  <conditionalFormatting sqref="GV183">
    <cfRule type="cellIs" dxfId="6256" priority="6834" stopIfTrue="1" operator="equal">
      <formula>"STOP"</formula>
    </cfRule>
  </conditionalFormatting>
  <conditionalFormatting sqref="Q179">
    <cfRule type="cellIs" dxfId="6255" priority="10721" stopIfTrue="1" operator="equal">
      <formula>"SIM"</formula>
    </cfRule>
    <cfRule type="cellIs" dxfId="6254" priority="10722" stopIfTrue="1" operator="equal">
      <formula>"NÃO"</formula>
    </cfRule>
  </conditionalFormatting>
  <conditionalFormatting sqref="BF179 CJ179 DO179">
    <cfRule type="cellIs" dxfId="6253" priority="10717" stopIfTrue="1" operator="equal">
      <formula>0</formula>
    </cfRule>
    <cfRule type="cellIs" dxfId="6252" priority="10723" stopIfTrue="1" operator="notEqual">
      <formula>0</formula>
    </cfRule>
  </conditionalFormatting>
  <conditionalFormatting sqref="C179:D179">
    <cfRule type="expression" dxfId="6251" priority="10720" stopIfTrue="1">
      <formula>IF(AND($C179&lt;&gt;"",$H179+$L179=0),TRUE)</formula>
    </cfRule>
  </conditionalFormatting>
  <conditionalFormatting sqref="P179">
    <cfRule type="cellIs" dxfId="6250" priority="10709" stopIfTrue="1" operator="equal">
      <formula>1</formula>
    </cfRule>
    <cfRule type="cellIs" dxfId="6249" priority="10718" stopIfTrue="1" operator="equal">
      <formula>2</formula>
    </cfRule>
    <cfRule type="cellIs" dxfId="6248" priority="10719" stopIfTrue="1" operator="equal">
      <formula>"X"</formula>
    </cfRule>
  </conditionalFormatting>
  <conditionalFormatting sqref="GU179">
    <cfRule type="cellIs" dxfId="6247" priority="10711" stopIfTrue="1" operator="equal">
      <formula>0</formula>
    </cfRule>
    <cfRule type="cellIs" dxfId="6246" priority="10712" stopIfTrue="1" operator="notEqual">
      <formula>0</formula>
    </cfRule>
  </conditionalFormatting>
  <conditionalFormatting sqref="GV179">
    <cfRule type="cellIs" dxfId="6245" priority="10710" stopIfTrue="1" operator="equal">
      <formula>"STOP"</formula>
    </cfRule>
  </conditionalFormatting>
  <conditionalFormatting sqref="Q180">
    <cfRule type="cellIs" dxfId="6244" priority="10704" stopIfTrue="1" operator="equal">
      <formula>"SIM"</formula>
    </cfRule>
    <cfRule type="cellIs" dxfId="6243" priority="10705" stopIfTrue="1" operator="equal">
      <formula>"NÃO"</formula>
    </cfRule>
  </conditionalFormatting>
  <conditionalFormatting sqref="BF180 CJ180 DO180">
    <cfRule type="cellIs" dxfId="6242" priority="10700" stopIfTrue="1" operator="equal">
      <formula>0</formula>
    </cfRule>
    <cfRule type="cellIs" dxfId="6241" priority="10706" stopIfTrue="1" operator="notEqual">
      <formula>0</formula>
    </cfRule>
  </conditionalFormatting>
  <conditionalFormatting sqref="C180:D180">
    <cfRule type="expression" dxfId="6240" priority="10703" stopIfTrue="1">
      <formula>IF(AND($C180&lt;&gt;"",$H180+$L180=0),TRUE)</formula>
    </cfRule>
  </conditionalFormatting>
  <conditionalFormatting sqref="P180">
    <cfRule type="cellIs" dxfId="6239" priority="10692" stopIfTrue="1" operator="equal">
      <formula>1</formula>
    </cfRule>
    <cfRule type="cellIs" dxfId="6238" priority="10701" stopIfTrue="1" operator="equal">
      <formula>2</formula>
    </cfRule>
    <cfRule type="cellIs" dxfId="6237" priority="10702" stopIfTrue="1" operator="equal">
      <formula>"X"</formula>
    </cfRule>
  </conditionalFormatting>
  <conditionalFormatting sqref="GU180">
    <cfRule type="cellIs" dxfId="6236" priority="10694" stopIfTrue="1" operator="equal">
      <formula>0</formula>
    </cfRule>
    <cfRule type="cellIs" dxfId="6235" priority="10695" stopIfTrue="1" operator="notEqual">
      <formula>0</formula>
    </cfRule>
  </conditionalFormatting>
  <conditionalFormatting sqref="GV180">
    <cfRule type="cellIs" dxfId="6234" priority="10693" stopIfTrue="1" operator="equal">
      <formula>"STOP"</formula>
    </cfRule>
  </conditionalFormatting>
  <conditionalFormatting sqref="Q176">
    <cfRule type="cellIs" dxfId="6233" priority="10687" stopIfTrue="1" operator="equal">
      <formula>"SIM"</formula>
    </cfRule>
    <cfRule type="cellIs" dxfId="6232" priority="10688" stopIfTrue="1" operator="equal">
      <formula>"NÃO"</formula>
    </cfRule>
  </conditionalFormatting>
  <conditionalFormatting sqref="BF176 CJ176 DO176">
    <cfRule type="cellIs" dxfId="6231" priority="10683" stopIfTrue="1" operator="equal">
      <formula>0</formula>
    </cfRule>
    <cfRule type="cellIs" dxfId="6230" priority="10689" stopIfTrue="1" operator="notEqual">
      <formula>0</formula>
    </cfRule>
  </conditionalFormatting>
  <conditionalFormatting sqref="C176:D176">
    <cfRule type="expression" dxfId="6229" priority="10686" stopIfTrue="1">
      <formula>IF(AND($C176&lt;&gt;"",$H176+$L176=0),TRUE)</formula>
    </cfRule>
  </conditionalFormatting>
  <conditionalFormatting sqref="P176">
    <cfRule type="cellIs" dxfId="6228" priority="10675" stopIfTrue="1" operator="equal">
      <formula>1</formula>
    </cfRule>
    <cfRule type="cellIs" dxfId="6227" priority="10684" stopIfTrue="1" operator="equal">
      <formula>2</formula>
    </cfRule>
    <cfRule type="cellIs" dxfId="6226" priority="10685" stopIfTrue="1" operator="equal">
      <formula>"X"</formula>
    </cfRule>
  </conditionalFormatting>
  <conditionalFormatting sqref="GU176">
    <cfRule type="cellIs" dxfId="6225" priority="10677" stopIfTrue="1" operator="equal">
      <formula>0</formula>
    </cfRule>
    <cfRule type="cellIs" dxfId="6224" priority="10678" stopIfTrue="1" operator="notEqual">
      <formula>0</formula>
    </cfRule>
  </conditionalFormatting>
  <conditionalFormatting sqref="GV176">
    <cfRule type="cellIs" dxfId="6223" priority="10676" stopIfTrue="1" operator="equal">
      <formula>"STOP"</formula>
    </cfRule>
  </conditionalFormatting>
  <conditionalFormatting sqref="Q184">
    <cfRule type="cellIs" dxfId="6222" priority="6777" stopIfTrue="1" operator="equal">
      <formula>"SIM"</formula>
    </cfRule>
    <cfRule type="cellIs" dxfId="6221" priority="6778" stopIfTrue="1" operator="equal">
      <formula>"NÃO"</formula>
    </cfRule>
  </conditionalFormatting>
  <conditionalFormatting sqref="BF184 CJ184 DO184">
    <cfRule type="cellIs" dxfId="6220" priority="6773" stopIfTrue="1" operator="equal">
      <formula>0</formula>
    </cfRule>
    <cfRule type="cellIs" dxfId="6219" priority="6779" stopIfTrue="1" operator="notEqual">
      <formula>0</formula>
    </cfRule>
  </conditionalFormatting>
  <conditionalFormatting sqref="C184:D184">
    <cfRule type="expression" dxfId="6218" priority="6776" stopIfTrue="1">
      <formula>IF(AND($C184&lt;&gt;"",$H184+$L184=0),TRUE)</formula>
    </cfRule>
  </conditionalFormatting>
  <conditionalFormatting sqref="P184">
    <cfRule type="cellIs" dxfId="6217" priority="6765" stopIfTrue="1" operator="equal">
      <formula>1</formula>
    </cfRule>
    <cfRule type="cellIs" dxfId="6216" priority="6774" stopIfTrue="1" operator="equal">
      <formula>2</formula>
    </cfRule>
    <cfRule type="cellIs" dxfId="6215" priority="6775" stopIfTrue="1" operator="equal">
      <formula>"X"</formula>
    </cfRule>
  </conditionalFormatting>
  <conditionalFormatting sqref="GU184">
    <cfRule type="cellIs" dxfId="6214" priority="6767" stopIfTrue="1" operator="equal">
      <formula>0</formula>
    </cfRule>
    <cfRule type="cellIs" dxfId="6213" priority="6768" stopIfTrue="1" operator="notEqual">
      <formula>0</formula>
    </cfRule>
  </conditionalFormatting>
  <conditionalFormatting sqref="GV184">
    <cfRule type="cellIs" dxfId="6212" priority="6766" stopIfTrue="1" operator="equal">
      <formula>"STOP"</formula>
    </cfRule>
  </conditionalFormatting>
  <conditionalFormatting sqref="Q182">
    <cfRule type="cellIs" dxfId="6211" priority="6760" stopIfTrue="1" operator="equal">
      <formula>"SIM"</formula>
    </cfRule>
    <cfRule type="cellIs" dxfId="6210" priority="6761" stopIfTrue="1" operator="equal">
      <formula>"NÃO"</formula>
    </cfRule>
  </conditionalFormatting>
  <conditionalFormatting sqref="BF182 CJ182 DO182">
    <cfRule type="cellIs" dxfId="6209" priority="6756" stopIfTrue="1" operator="equal">
      <formula>0</formula>
    </cfRule>
    <cfRule type="cellIs" dxfId="6208" priority="6762" stopIfTrue="1" operator="notEqual">
      <formula>0</formula>
    </cfRule>
  </conditionalFormatting>
  <conditionalFormatting sqref="C182:D182">
    <cfRule type="expression" dxfId="6207" priority="6759" stopIfTrue="1">
      <formula>IF(AND($C182&lt;&gt;"",$H182+$L182=0),TRUE)</formula>
    </cfRule>
  </conditionalFormatting>
  <conditionalFormatting sqref="P182">
    <cfRule type="cellIs" dxfId="6206" priority="6748" stopIfTrue="1" operator="equal">
      <formula>1</formula>
    </cfRule>
    <cfRule type="cellIs" dxfId="6205" priority="6757" stopIfTrue="1" operator="equal">
      <formula>2</formula>
    </cfRule>
    <cfRule type="cellIs" dxfId="6204" priority="6758" stopIfTrue="1" operator="equal">
      <formula>"X"</formula>
    </cfRule>
  </conditionalFormatting>
  <conditionalFormatting sqref="GU182">
    <cfRule type="cellIs" dxfId="6203" priority="6750" stopIfTrue="1" operator="equal">
      <formula>0</formula>
    </cfRule>
    <cfRule type="cellIs" dxfId="6202" priority="6751" stopIfTrue="1" operator="notEqual">
      <formula>0</formula>
    </cfRule>
  </conditionalFormatting>
  <conditionalFormatting sqref="GV182">
    <cfRule type="cellIs" dxfId="6201" priority="6749" stopIfTrue="1" operator="equal">
      <formula>"STOP"</formula>
    </cfRule>
  </conditionalFormatting>
  <conditionalFormatting sqref="Q176">
    <cfRule type="cellIs" dxfId="6200" priority="10670" stopIfTrue="1" operator="equal">
      <formula>"SIM"</formula>
    </cfRule>
    <cfRule type="cellIs" dxfId="6199" priority="10671" stopIfTrue="1" operator="equal">
      <formula>"NÃO"</formula>
    </cfRule>
  </conditionalFormatting>
  <conditionalFormatting sqref="BF176 CJ176 DO176">
    <cfRule type="cellIs" dxfId="6198" priority="10666" stopIfTrue="1" operator="equal">
      <formula>0</formula>
    </cfRule>
    <cfRule type="cellIs" dxfId="6197" priority="10672" stopIfTrue="1" operator="notEqual">
      <formula>0</formula>
    </cfRule>
  </conditionalFormatting>
  <conditionalFormatting sqref="C176:D176">
    <cfRule type="expression" dxfId="6196" priority="10669" stopIfTrue="1">
      <formula>IF(AND($C176&lt;&gt;"",$H176+$L176=0),TRUE)</formula>
    </cfRule>
  </conditionalFormatting>
  <conditionalFormatting sqref="P176">
    <cfRule type="cellIs" dxfId="6195" priority="10658" stopIfTrue="1" operator="equal">
      <formula>1</formula>
    </cfRule>
    <cfRule type="cellIs" dxfId="6194" priority="10667" stopIfTrue="1" operator="equal">
      <formula>2</formula>
    </cfRule>
    <cfRule type="cellIs" dxfId="6193" priority="10668" stopIfTrue="1" operator="equal">
      <formula>"X"</formula>
    </cfRule>
  </conditionalFormatting>
  <conditionalFormatting sqref="GU176">
    <cfRule type="cellIs" dxfId="6192" priority="10660" stopIfTrue="1" operator="equal">
      <formula>0</formula>
    </cfRule>
    <cfRule type="cellIs" dxfId="6191" priority="10661" stopIfTrue="1" operator="notEqual">
      <formula>0</formula>
    </cfRule>
  </conditionalFormatting>
  <conditionalFormatting sqref="GV176">
    <cfRule type="cellIs" dxfId="6190" priority="10659" stopIfTrue="1" operator="equal">
      <formula>"STOP"</formula>
    </cfRule>
  </conditionalFormatting>
  <conditionalFormatting sqref="Q184">
    <cfRule type="cellIs" dxfId="6189" priority="6726" stopIfTrue="1" operator="equal">
      <formula>"SIM"</formula>
    </cfRule>
    <cfRule type="cellIs" dxfId="6188" priority="6727" stopIfTrue="1" operator="equal">
      <formula>"NÃO"</formula>
    </cfRule>
  </conditionalFormatting>
  <conditionalFormatting sqref="BF184 CJ184 DO184">
    <cfRule type="cellIs" dxfId="6187" priority="6722" stopIfTrue="1" operator="equal">
      <formula>0</formula>
    </cfRule>
    <cfRule type="cellIs" dxfId="6186" priority="6728" stopIfTrue="1" operator="notEqual">
      <formula>0</formula>
    </cfRule>
  </conditionalFormatting>
  <conditionalFormatting sqref="C184:D184">
    <cfRule type="expression" dxfId="6185" priority="6725" stopIfTrue="1">
      <formula>IF(AND($C184&lt;&gt;"",$H184+$L184=0),TRUE)</formula>
    </cfRule>
  </conditionalFormatting>
  <conditionalFormatting sqref="P184">
    <cfRule type="cellIs" dxfId="6184" priority="6714" stopIfTrue="1" operator="equal">
      <formula>1</formula>
    </cfRule>
    <cfRule type="cellIs" dxfId="6183" priority="6723" stopIfTrue="1" operator="equal">
      <formula>2</formula>
    </cfRule>
    <cfRule type="cellIs" dxfId="6182" priority="6724" stopIfTrue="1" operator="equal">
      <formula>"X"</formula>
    </cfRule>
  </conditionalFormatting>
  <conditionalFormatting sqref="GU184">
    <cfRule type="cellIs" dxfId="6181" priority="6716" stopIfTrue="1" operator="equal">
      <formula>0</formula>
    </cfRule>
    <cfRule type="cellIs" dxfId="6180" priority="6717" stopIfTrue="1" operator="notEqual">
      <formula>0</formula>
    </cfRule>
  </conditionalFormatting>
  <conditionalFormatting sqref="GV184">
    <cfRule type="cellIs" dxfId="6179" priority="6715" stopIfTrue="1" operator="equal">
      <formula>"STOP"</formula>
    </cfRule>
  </conditionalFormatting>
  <conditionalFormatting sqref="Q180">
    <cfRule type="cellIs" dxfId="6178" priority="6709" stopIfTrue="1" operator="equal">
      <formula>"SIM"</formula>
    </cfRule>
    <cfRule type="cellIs" dxfId="6177" priority="6710" stopIfTrue="1" operator="equal">
      <formula>"NÃO"</formula>
    </cfRule>
  </conditionalFormatting>
  <conditionalFormatting sqref="BF180 CJ180 DO180">
    <cfRule type="cellIs" dxfId="6176" priority="6705" stopIfTrue="1" operator="equal">
      <formula>0</formula>
    </cfRule>
    <cfRule type="cellIs" dxfId="6175" priority="6711" stopIfTrue="1" operator="notEqual">
      <formula>0</formula>
    </cfRule>
  </conditionalFormatting>
  <conditionalFormatting sqref="C180:D180">
    <cfRule type="expression" dxfId="6174" priority="6708" stopIfTrue="1">
      <formula>IF(AND($C180&lt;&gt;"",$H180+$L180=0),TRUE)</formula>
    </cfRule>
  </conditionalFormatting>
  <conditionalFormatting sqref="P180">
    <cfRule type="cellIs" dxfId="6173" priority="6697" stopIfTrue="1" operator="equal">
      <formula>1</formula>
    </cfRule>
    <cfRule type="cellIs" dxfId="6172" priority="6706" stopIfTrue="1" operator="equal">
      <formula>2</formula>
    </cfRule>
    <cfRule type="cellIs" dxfId="6171" priority="6707" stopIfTrue="1" operator="equal">
      <formula>"X"</formula>
    </cfRule>
  </conditionalFormatting>
  <conditionalFormatting sqref="GU180">
    <cfRule type="cellIs" dxfId="6170" priority="6699" stopIfTrue="1" operator="equal">
      <formula>0</formula>
    </cfRule>
    <cfRule type="cellIs" dxfId="6169" priority="6700" stopIfTrue="1" operator="notEqual">
      <formula>0</formula>
    </cfRule>
  </conditionalFormatting>
  <conditionalFormatting sqref="GV180">
    <cfRule type="cellIs" dxfId="6168" priority="6698" stopIfTrue="1" operator="equal">
      <formula>"STOP"</formula>
    </cfRule>
  </conditionalFormatting>
  <conditionalFormatting sqref="Q179">
    <cfRule type="cellIs" dxfId="6167" priority="10653" stopIfTrue="1" operator="equal">
      <formula>"SIM"</formula>
    </cfRule>
    <cfRule type="cellIs" dxfId="6166" priority="10654" stopIfTrue="1" operator="equal">
      <formula>"NÃO"</formula>
    </cfRule>
  </conditionalFormatting>
  <conditionalFormatting sqref="BF179 CJ179 DO179">
    <cfRule type="cellIs" dxfId="6165" priority="10649" stopIfTrue="1" operator="equal">
      <formula>0</formula>
    </cfRule>
    <cfRule type="cellIs" dxfId="6164" priority="10655" stopIfTrue="1" operator="notEqual">
      <formula>0</formula>
    </cfRule>
  </conditionalFormatting>
  <conditionalFormatting sqref="C179:D179">
    <cfRule type="expression" dxfId="6163" priority="10652" stopIfTrue="1">
      <formula>IF(AND($C179&lt;&gt;"",$H179+$L179=0),TRUE)</formula>
    </cfRule>
  </conditionalFormatting>
  <conditionalFormatting sqref="P179">
    <cfRule type="cellIs" dxfId="6162" priority="10641" stopIfTrue="1" operator="equal">
      <formula>1</formula>
    </cfRule>
    <cfRule type="cellIs" dxfId="6161" priority="10650" stopIfTrue="1" operator="equal">
      <formula>2</formula>
    </cfRule>
    <cfRule type="cellIs" dxfId="6160" priority="10651" stopIfTrue="1" operator="equal">
      <formula>"X"</formula>
    </cfRule>
  </conditionalFormatting>
  <conditionalFormatting sqref="GU179">
    <cfRule type="cellIs" dxfId="6159" priority="10643" stopIfTrue="1" operator="equal">
      <formula>0</formula>
    </cfRule>
    <cfRule type="cellIs" dxfId="6158" priority="10644" stopIfTrue="1" operator="notEqual">
      <formula>0</formula>
    </cfRule>
  </conditionalFormatting>
  <conditionalFormatting sqref="GV179">
    <cfRule type="cellIs" dxfId="6157" priority="10642" stopIfTrue="1" operator="equal">
      <formula>"STOP"</formula>
    </cfRule>
  </conditionalFormatting>
  <conditionalFormatting sqref="Q182">
    <cfRule type="cellIs" dxfId="6156" priority="6675" stopIfTrue="1" operator="equal">
      <formula>"SIM"</formula>
    </cfRule>
    <cfRule type="cellIs" dxfId="6155" priority="6676" stopIfTrue="1" operator="equal">
      <formula>"NÃO"</formula>
    </cfRule>
  </conditionalFormatting>
  <conditionalFormatting sqref="BF182 CJ182 DO182">
    <cfRule type="cellIs" dxfId="6154" priority="6671" stopIfTrue="1" operator="equal">
      <formula>0</formula>
    </cfRule>
    <cfRule type="cellIs" dxfId="6153" priority="6677" stopIfTrue="1" operator="notEqual">
      <formula>0</formula>
    </cfRule>
  </conditionalFormatting>
  <conditionalFormatting sqref="C182:D182">
    <cfRule type="expression" dxfId="6152" priority="6674" stopIfTrue="1">
      <formula>IF(AND($C182&lt;&gt;"",$H182+$L182=0),TRUE)</formula>
    </cfRule>
  </conditionalFormatting>
  <conditionalFormatting sqref="P182">
    <cfRule type="cellIs" dxfId="6151" priority="6663" stopIfTrue="1" operator="equal">
      <formula>1</formula>
    </cfRule>
    <cfRule type="cellIs" dxfId="6150" priority="6672" stopIfTrue="1" operator="equal">
      <formula>2</formula>
    </cfRule>
    <cfRule type="cellIs" dxfId="6149" priority="6673" stopIfTrue="1" operator="equal">
      <formula>"X"</formula>
    </cfRule>
  </conditionalFormatting>
  <conditionalFormatting sqref="GU182">
    <cfRule type="cellIs" dxfId="6148" priority="6665" stopIfTrue="1" operator="equal">
      <formula>0</formula>
    </cfRule>
    <cfRule type="cellIs" dxfId="6147" priority="6666" stopIfTrue="1" operator="notEqual">
      <formula>0</formula>
    </cfRule>
  </conditionalFormatting>
  <conditionalFormatting sqref="GV182">
    <cfRule type="cellIs" dxfId="6146" priority="6664" stopIfTrue="1" operator="equal">
      <formula>"STOP"</formula>
    </cfRule>
  </conditionalFormatting>
  <conditionalFormatting sqref="Q183">
    <cfRule type="cellIs" dxfId="6145" priority="6658" stopIfTrue="1" operator="equal">
      <formula>"SIM"</formula>
    </cfRule>
    <cfRule type="cellIs" dxfId="6144" priority="6659" stopIfTrue="1" operator="equal">
      <formula>"NÃO"</formula>
    </cfRule>
  </conditionalFormatting>
  <conditionalFormatting sqref="BF183 CJ183 DO183">
    <cfRule type="cellIs" dxfId="6143" priority="6654" stopIfTrue="1" operator="equal">
      <formula>0</formula>
    </cfRule>
    <cfRule type="cellIs" dxfId="6142" priority="6660" stopIfTrue="1" operator="notEqual">
      <formula>0</formula>
    </cfRule>
  </conditionalFormatting>
  <conditionalFormatting sqref="C183:D183">
    <cfRule type="expression" dxfId="6141" priority="6657" stopIfTrue="1">
      <formula>IF(AND($C183&lt;&gt;"",$H183+$L183=0),TRUE)</formula>
    </cfRule>
  </conditionalFormatting>
  <conditionalFormatting sqref="P183">
    <cfRule type="cellIs" dxfId="6140" priority="6646" stopIfTrue="1" operator="equal">
      <formula>1</formula>
    </cfRule>
    <cfRule type="cellIs" dxfId="6139" priority="6655" stopIfTrue="1" operator="equal">
      <formula>2</formula>
    </cfRule>
    <cfRule type="cellIs" dxfId="6138" priority="6656" stopIfTrue="1" operator="equal">
      <formula>"X"</formula>
    </cfRule>
  </conditionalFormatting>
  <conditionalFormatting sqref="GU183">
    <cfRule type="cellIs" dxfId="6137" priority="6648" stopIfTrue="1" operator="equal">
      <formula>0</formula>
    </cfRule>
    <cfRule type="cellIs" dxfId="6136" priority="6649" stopIfTrue="1" operator="notEqual">
      <formula>0</formula>
    </cfRule>
  </conditionalFormatting>
  <conditionalFormatting sqref="GV183">
    <cfRule type="cellIs" dxfId="6135" priority="6647" stopIfTrue="1" operator="equal">
      <formula>"STOP"</formula>
    </cfRule>
  </conditionalFormatting>
  <conditionalFormatting sqref="Q179">
    <cfRule type="cellIs" dxfId="6134" priority="10636" stopIfTrue="1" operator="equal">
      <formula>"SIM"</formula>
    </cfRule>
    <cfRule type="cellIs" dxfId="6133" priority="10637" stopIfTrue="1" operator="equal">
      <formula>"NÃO"</formula>
    </cfRule>
  </conditionalFormatting>
  <conditionalFormatting sqref="BF179 CJ179 DO179">
    <cfRule type="cellIs" dxfId="6132" priority="10632" stopIfTrue="1" operator="equal">
      <formula>0</formula>
    </cfRule>
    <cfRule type="cellIs" dxfId="6131" priority="10638" stopIfTrue="1" operator="notEqual">
      <formula>0</formula>
    </cfRule>
  </conditionalFormatting>
  <conditionalFormatting sqref="C179:D179">
    <cfRule type="expression" dxfId="6130" priority="10635" stopIfTrue="1">
      <formula>IF(AND($C179&lt;&gt;"",$H179+$L179=0),TRUE)</formula>
    </cfRule>
  </conditionalFormatting>
  <conditionalFormatting sqref="P179">
    <cfRule type="cellIs" dxfId="6129" priority="10624" stopIfTrue="1" operator="equal">
      <formula>1</formula>
    </cfRule>
    <cfRule type="cellIs" dxfId="6128" priority="10633" stopIfTrue="1" operator="equal">
      <formula>2</formula>
    </cfRule>
    <cfRule type="cellIs" dxfId="6127" priority="10634" stopIfTrue="1" operator="equal">
      <formula>"X"</formula>
    </cfRule>
  </conditionalFormatting>
  <conditionalFormatting sqref="GU179">
    <cfRule type="cellIs" dxfId="6126" priority="10626" stopIfTrue="1" operator="equal">
      <formula>0</formula>
    </cfRule>
    <cfRule type="cellIs" dxfId="6125" priority="10627" stopIfTrue="1" operator="notEqual">
      <formula>0</formula>
    </cfRule>
  </conditionalFormatting>
  <conditionalFormatting sqref="GV179">
    <cfRule type="cellIs" dxfId="6124" priority="10625" stopIfTrue="1" operator="equal">
      <formula>"STOP"</formula>
    </cfRule>
  </conditionalFormatting>
  <conditionalFormatting sqref="Q175">
    <cfRule type="cellIs" dxfId="6123" priority="10619" stopIfTrue="1" operator="equal">
      <formula>"SIM"</formula>
    </cfRule>
    <cfRule type="cellIs" dxfId="6122" priority="10620" stopIfTrue="1" operator="equal">
      <formula>"NÃO"</formula>
    </cfRule>
  </conditionalFormatting>
  <conditionalFormatting sqref="BF175 CJ175 DO175">
    <cfRule type="cellIs" dxfId="6121" priority="10615" stopIfTrue="1" operator="equal">
      <formula>0</formula>
    </cfRule>
    <cfRule type="cellIs" dxfId="6120" priority="10621" stopIfTrue="1" operator="notEqual">
      <formula>0</formula>
    </cfRule>
  </conditionalFormatting>
  <conditionalFormatting sqref="C175:D175">
    <cfRule type="expression" dxfId="6119" priority="10618" stopIfTrue="1">
      <formula>IF(AND($C175&lt;&gt;"",$H175+$L175=0),TRUE)</formula>
    </cfRule>
  </conditionalFormatting>
  <conditionalFormatting sqref="P175">
    <cfRule type="cellIs" dxfId="6118" priority="10607" stopIfTrue="1" operator="equal">
      <formula>1</formula>
    </cfRule>
    <cfRule type="cellIs" dxfId="6117" priority="10616" stopIfTrue="1" operator="equal">
      <formula>2</formula>
    </cfRule>
    <cfRule type="cellIs" dxfId="6116" priority="10617" stopIfTrue="1" operator="equal">
      <formula>"X"</formula>
    </cfRule>
  </conditionalFormatting>
  <conditionalFormatting sqref="GU175">
    <cfRule type="cellIs" dxfId="6115" priority="10609" stopIfTrue="1" operator="equal">
      <formula>0</formula>
    </cfRule>
    <cfRule type="cellIs" dxfId="6114" priority="10610" stopIfTrue="1" operator="notEqual">
      <formula>0</formula>
    </cfRule>
  </conditionalFormatting>
  <conditionalFormatting sqref="GV175">
    <cfRule type="cellIs" dxfId="6113" priority="10608" stopIfTrue="1" operator="equal">
      <formula>"STOP"</formula>
    </cfRule>
  </conditionalFormatting>
  <conditionalFormatting sqref="Q176">
    <cfRule type="cellIs" dxfId="6112" priority="10602" stopIfTrue="1" operator="equal">
      <formula>"SIM"</formula>
    </cfRule>
    <cfRule type="cellIs" dxfId="6111" priority="10603" stopIfTrue="1" operator="equal">
      <formula>"NÃO"</formula>
    </cfRule>
  </conditionalFormatting>
  <conditionalFormatting sqref="BF176 CJ176 DO176">
    <cfRule type="cellIs" dxfId="6110" priority="10598" stopIfTrue="1" operator="equal">
      <formula>0</formula>
    </cfRule>
    <cfRule type="cellIs" dxfId="6109" priority="10604" stopIfTrue="1" operator="notEqual">
      <formula>0</formula>
    </cfRule>
  </conditionalFormatting>
  <conditionalFormatting sqref="C176:D176">
    <cfRule type="expression" dxfId="6108" priority="10601" stopIfTrue="1">
      <formula>IF(AND($C176&lt;&gt;"",$H176+$L176=0),TRUE)</formula>
    </cfRule>
  </conditionalFormatting>
  <conditionalFormatting sqref="P176">
    <cfRule type="cellIs" dxfId="6107" priority="10590" stopIfTrue="1" operator="equal">
      <formula>1</formula>
    </cfRule>
    <cfRule type="cellIs" dxfId="6106" priority="10599" stopIfTrue="1" operator="equal">
      <formula>2</formula>
    </cfRule>
    <cfRule type="cellIs" dxfId="6105" priority="10600" stopIfTrue="1" operator="equal">
      <formula>"X"</formula>
    </cfRule>
  </conditionalFormatting>
  <conditionalFormatting sqref="GU176">
    <cfRule type="cellIs" dxfId="6104" priority="10592" stopIfTrue="1" operator="equal">
      <formula>0</formula>
    </cfRule>
    <cfRule type="cellIs" dxfId="6103" priority="10593" stopIfTrue="1" operator="notEqual">
      <formula>0</formula>
    </cfRule>
  </conditionalFormatting>
  <conditionalFormatting sqref="GV176">
    <cfRule type="cellIs" dxfId="6102" priority="10591" stopIfTrue="1" operator="equal">
      <formula>"STOP"</formula>
    </cfRule>
  </conditionalFormatting>
  <conditionalFormatting sqref="Q181">
    <cfRule type="cellIs" dxfId="6101" priority="6590" stopIfTrue="1" operator="equal">
      <formula>"SIM"</formula>
    </cfRule>
    <cfRule type="cellIs" dxfId="6100" priority="6591" stopIfTrue="1" operator="equal">
      <formula>"NÃO"</formula>
    </cfRule>
  </conditionalFormatting>
  <conditionalFormatting sqref="BF181 CJ181 DO181">
    <cfRule type="cellIs" dxfId="6099" priority="6586" stopIfTrue="1" operator="equal">
      <formula>0</formula>
    </cfRule>
    <cfRule type="cellIs" dxfId="6098" priority="6592" stopIfTrue="1" operator="notEqual">
      <formula>0</formula>
    </cfRule>
  </conditionalFormatting>
  <conditionalFormatting sqref="C181:D181">
    <cfRule type="expression" dxfId="6097" priority="6589" stopIfTrue="1">
      <formula>IF(AND($C181&lt;&gt;"",$H181+$L181=0),TRUE)</formula>
    </cfRule>
  </conditionalFormatting>
  <conditionalFormatting sqref="P181">
    <cfRule type="cellIs" dxfId="6096" priority="6578" stopIfTrue="1" operator="equal">
      <formula>1</formula>
    </cfRule>
    <cfRule type="cellIs" dxfId="6095" priority="6587" stopIfTrue="1" operator="equal">
      <formula>2</formula>
    </cfRule>
    <cfRule type="cellIs" dxfId="6094" priority="6588" stopIfTrue="1" operator="equal">
      <formula>"X"</formula>
    </cfRule>
  </conditionalFormatting>
  <conditionalFormatting sqref="GU181">
    <cfRule type="cellIs" dxfId="6093" priority="6580" stopIfTrue="1" operator="equal">
      <formula>0</formula>
    </cfRule>
    <cfRule type="cellIs" dxfId="6092" priority="6581" stopIfTrue="1" operator="notEqual">
      <formula>0</formula>
    </cfRule>
  </conditionalFormatting>
  <conditionalFormatting sqref="GV181">
    <cfRule type="cellIs" dxfId="6091" priority="6579" stopIfTrue="1" operator="equal">
      <formula>"STOP"</formula>
    </cfRule>
  </conditionalFormatting>
  <conditionalFormatting sqref="Q182">
    <cfRule type="cellIs" dxfId="6090" priority="6573" stopIfTrue="1" operator="equal">
      <formula>"SIM"</formula>
    </cfRule>
    <cfRule type="cellIs" dxfId="6089" priority="6574" stopIfTrue="1" operator="equal">
      <formula>"NÃO"</formula>
    </cfRule>
  </conditionalFormatting>
  <conditionalFormatting sqref="BF182 CJ182 DO182">
    <cfRule type="cellIs" dxfId="6088" priority="6569" stopIfTrue="1" operator="equal">
      <formula>0</formula>
    </cfRule>
    <cfRule type="cellIs" dxfId="6087" priority="6575" stopIfTrue="1" operator="notEqual">
      <formula>0</formula>
    </cfRule>
  </conditionalFormatting>
  <conditionalFormatting sqref="C182:D182">
    <cfRule type="expression" dxfId="6086" priority="6572" stopIfTrue="1">
      <formula>IF(AND($C182&lt;&gt;"",$H182+$L182=0),TRUE)</formula>
    </cfRule>
  </conditionalFormatting>
  <conditionalFormatting sqref="P182">
    <cfRule type="cellIs" dxfId="6085" priority="6561" stopIfTrue="1" operator="equal">
      <formula>1</formula>
    </cfRule>
    <cfRule type="cellIs" dxfId="6084" priority="6570" stopIfTrue="1" operator="equal">
      <formula>2</formula>
    </cfRule>
    <cfRule type="cellIs" dxfId="6083" priority="6571" stopIfTrue="1" operator="equal">
      <formula>"X"</formula>
    </cfRule>
  </conditionalFormatting>
  <conditionalFormatting sqref="GU182">
    <cfRule type="cellIs" dxfId="6082" priority="6563" stopIfTrue="1" operator="equal">
      <formula>0</formula>
    </cfRule>
    <cfRule type="cellIs" dxfId="6081" priority="6564" stopIfTrue="1" operator="notEqual">
      <formula>0</formula>
    </cfRule>
  </conditionalFormatting>
  <conditionalFormatting sqref="GV182">
    <cfRule type="cellIs" dxfId="6080" priority="6562" stopIfTrue="1" operator="equal">
      <formula>"STOP"</formula>
    </cfRule>
  </conditionalFormatting>
  <conditionalFormatting sqref="Q179">
    <cfRule type="cellIs" dxfId="6079" priority="10585" stopIfTrue="1" operator="equal">
      <formula>"SIM"</formula>
    </cfRule>
    <cfRule type="cellIs" dxfId="6078" priority="10586" stopIfTrue="1" operator="equal">
      <formula>"NÃO"</formula>
    </cfRule>
  </conditionalFormatting>
  <conditionalFormatting sqref="BF179 CJ179 DO179">
    <cfRule type="cellIs" dxfId="6077" priority="10581" stopIfTrue="1" operator="equal">
      <formula>0</formula>
    </cfRule>
    <cfRule type="cellIs" dxfId="6076" priority="10587" stopIfTrue="1" operator="notEqual">
      <formula>0</formula>
    </cfRule>
  </conditionalFormatting>
  <conditionalFormatting sqref="C179:D179">
    <cfRule type="expression" dxfId="6075" priority="10584" stopIfTrue="1">
      <formula>IF(AND($C179&lt;&gt;"",$H179+$L179=0),TRUE)</formula>
    </cfRule>
  </conditionalFormatting>
  <conditionalFormatting sqref="P179">
    <cfRule type="cellIs" dxfId="6074" priority="10573" stopIfTrue="1" operator="equal">
      <formula>1</formula>
    </cfRule>
    <cfRule type="cellIs" dxfId="6073" priority="10582" stopIfTrue="1" operator="equal">
      <formula>2</formula>
    </cfRule>
    <cfRule type="cellIs" dxfId="6072" priority="10583" stopIfTrue="1" operator="equal">
      <formula>"X"</formula>
    </cfRule>
  </conditionalFormatting>
  <conditionalFormatting sqref="GU179">
    <cfRule type="cellIs" dxfId="6071" priority="10575" stopIfTrue="1" operator="equal">
      <formula>0</formula>
    </cfRule>
    <cfRule type="cellIs" dxfId="6070" priority="10576" stopIfTrue="1" operator="notEqual">
      <formula>0</formula>
    </cfRule>
  </conditionalFormatting>
  <conditionalFormatting sqref="GV179">
    <cfRule type="cellIs" dxfId="6069" priority="10574" stopIfTrue="1" operator="equal">
      <formula>"STOP"</formula>
    </cfRule>
  </conditionalFormatting>
  <conditionalFormatting sqref="Q180">
    <cfRule type="cellIs" dxfId="6068" priority="10568" stopIfTrue="1" operator="equal">
      <formula>"SIM"</formula>
    </cfRule>
    <cfRule type="cellIs" dxfId="6067" priority="10569" stopIfTrue="1" operator="equal">
      <formula>"NÃO"</formula>
    </cfRule>
  </conditionalFormatting>
  <conditionalFormatting sqref="BF180 CJ180 DO180">
    <cfRule type="cellIs" dxfId="6066" priority="10564" stopIfTrue="1" operator="equal">
      <formula>0</formula>
    </cfRule>
    <cfRule type="cellIs" dxfId="6065" priority="10570" stopIfTrue="1" operator="notEqual">
      <formula>0</formula>
    </cfRule>
  </conditionalFormatting>
  <conditionalFormatting sqref="C180:D180">
    <cfRule type="expression" dxfId="6064" priority="10567" stopIfTrue="1">
      <formula>IF(AND($C180&lt;&gt;"",$H180+$L180=0),TRUE)</formula>
    </cfRule>
  </conditionalFormatting>
  <conditionalFormatting sqref="P180">
    <cfRule type="cellIs" dxfId="6063" priority="10556" stopIfTrue="1" operator="equal">
      <formula>1</formula>
    </cfRule>
    <cfRule type="cellIs" dxfId="6062" priority="10565" stopIfTrue="1" operator="equal">
      <formula>2</formula>
    </cfRule>
    <cfRule type="cellIs" dxfId="6061" priority="10566" stopIfTrue="1" operator="equal">
      <formula>"X"</formula>
    </cfRule>
  </conditionalFormatting>
  <conditionalFormatting sqref="GU180">
    <cfRule type="cellIs" dxfId="6060" priority="10558" stopIfTrue="1" operator="equal">
      <formula>0</formula>
    </cfRule>
    <cfRule type="cellIs" dxfId="6059" priority="10559" stopIfTrue="1" operator="notEqual">
      <formula>0</formula>
    </cfRule>
  </conditionalFormatting>
  <conditionalFormatting sqref="GV180">
    <cfRule type="cellIs" dxfId="6058" priority="10557" stopIfTrue="1" operator="equal">
      <formula>"STOP"</formula>
    </cfRule>
  </conditionalFormatting>
  <conditionalFormatting sqref="Q181">
    <cfRule type="cellIs" dxfId="6057" priority="10551" stopIfTrue="1" operator="equal">
      <formula>"SIM"</formula>
    </cfRule>
    <cfRule type="cellIs" dxfId="6056" priority="10552" stopIfTrue="1" operator="equal">
      <formula>"NÃO"</formula>
    </cfRule>
  </conditionalFormatting>
  <conditionalFormatting sqref="BF181 CJ181 DO181">
    <cfRule type="cellIs" dxfId="6055" priority="10547" stopIfTrue="1" operator="equal">
      <formula>0</formula>
    </cfRule>
    <cfRule type="cellIs" dxfId="6054" priority="10553" stopIfTrue="1" operator="notEqual">
      <formula>0</formula>
    </cfRule>
  </conditionalFormatting>
  <conditionalFormatting sqref="C181:D181">
    <cfRule type="expression" dxfId="6053" priority="10550" stopIfTrue="1">
      <formula>IF(AND($C181&lt;&gt;"",$H181+$L181=0),TRUE)</formula>
    </cfRule>
  </conditionalFormatting>
  <conditionalFormatting sqref="P181">
    <cfRule type="cellIs" dxfId="6052" priority="10539" stopIfTrue="1" operator="equal">
      <formula>1</formula>
    </cfRule>
    <cfRule type="cellIs" dxfId="6051" priority="10548" stopIfTrue="1" operator="equal">
      <formula>2</formula>
    </cfRule>
    <cfRule type="cellIs" dxfId="6050" priority="10549" stopIfTrue="1" operator="equal">
      <formula>"X"</formula>
    </cfRule>
  </conditionalFormatting>
  <conditionalFormatting sqref="GU181">
    <cfRule type="cellIs" dxfId="6049" priority="10541" stopIfTrue="1" operator="equal">
      <formula>0</formula>
    </cfRule>
    <cfRule type="cellIs" dxfId="6048" priority="10542" stopIfTrue="1" operator="notEqual">
      <formula>0</formula>
    </cfRule>
  </conditionalFormatting>
  <conditionalFormatting sqref="GV181">
    <cfRule type="cellIs" dxfId="6047" priority="10540" stopIfTrue="1" operator="equal">
      <formula>"STOP"</formula>
    </cfRule>
  </conditionalFormatting>
  <conditionalFormatting sqref="Q176">
    <cfRule type="cellIs" dxfId="6046" priority="10534" stopIfTrue="1" operator="equal">
      <formula>"SIM"</formula>
    </cfRule>
    <cfRule type="cellIs" dxfId="6045" priority="10535" stopIfTrue="1" operator="equal">
      <formula>"NÃO"</formula>
    </cfRule>
  </conditionalFormatting>
  <conditionalFormatting sqref="BF176 CJ176 DO176">
    <cfRule type="cellIs" dxfId="6044" priority="10530" stopIfTrue="1" operator="equal">
      <formula>0</formula>
    </cfRule>
    <cfRule type="cellIs" dxfId="6043" priority="10536" stopIfTrue="1" operator="notEqual">
      <formula>0</formula>
    </cfRule>
  </conditionalFormatting>
  <conditionalFormatting sqref="C176:D176">
    <cfRule type="expression" dxfId="6042" priority="10533" stopIfTrue="1">
      <formula>IF(AND($C176&lt;&gt;"",$H176+$L176=0),TRUE)</formula>
    </cfRule>
  </conditionalFormatting>
  <conditionalFormatting sqref="P176">
    <cfRule type="cellIs" dxfId="6041" priority="10522" stopIfTrue="1" operator="equal">
      <formula>1</formula>
    </cfRule>
    <cfRule type="cellIs" dxfId="6040" priority="10531" stopIfTrue="1" operator="equal">
      <formula>2</formula>
    </cfRule>
    <cfRule type="cellIs" dxfId="6039" priority="10532" stopIfTrue="1" operator="equal">
      <formula>"X"</formula>
    </cfRule>
  </conditionalFormatting>
  <conditionalFormatting sqref="GU176">
    <cfRule type="cellIs" dxfId="6038" priority="10524" stopIfTrue="1" operator="equal">
      <formula>0</formula>
    </cfRule>
    <cfRule type="cellIs" dxfId="6037" priority="10525" stopIfTrue="1" operator="notEqual">
      <formula>0</formula>
    </cfRule>
  </conditionalFormatting>
  <conditionalFormatting sqref="GV176">
    <cfRule type="cellIs" dxfId="6036" priority="10523" stopIfTrue="1" operator="equal">
      <formula>"STOP"</formula>
    </cfRule>
  </conditionalFormatting>
  <conditionalFormatting sqref="Q184">
    <cfRule type="cellIs" dxfId="6035" priority="6488" stopIfTrue="1" operator="equal">
      <formula>"SIM"</formula>
    </cfRule>
    <cfRule type="cellIs" dxfId="6034" priority="6489" stopIfTrue="1" operator="equal">
      <formula>"NÃO"</formula>
    </cfRule>
  </conditionalFormatting>
  <conditionalFormatting sqref="BF184 CJ184 DO184">
    <cfRule type="cellIs" dxfId="6033" priority="6484" stopIfTrue="1" operator="equal">
      <formula>0</formula>
    </cfRule>
    <cfRule type="cellIs" dxfId="6032" priority="6490" stopIfTrue="1" operator="notEqual">
      <formula>0</formula>
    </cfRule>
  </conditionalFormatting>
  <conditionalFormatting sqref="C184:D184">
    <cfRule type="expression" dxfId="6031" priority="6487" stopIfTrue="1">
      <formula>IF(AND($C184&lt;&gt;"",$H184+$L184=0),TRUE)</formula>
    </cfRule>
  </conditionalFormatting>
  <conditionalFormatting sqref="P184">
    <cfRule type="cellIs" dxfId="6030" priority="6476" stopIfTrue="1" operator="equal">
      <formula>1</formula>
    </cfRule>
    <cfRule type="cellIs" dxfId="6029" priority="6485" stopIfTrue="1" operator="equal">
      <formula>2</formula>
    </cfRule>
    <cfRule type="cellIs" dxfId="6028" priority="6486" stopIfTrue="1" operator="equal">
      <formula>"X"</formula>
    </cfRule>
  </conditionalFormatting>
  <conditionalFormatting sqref="GU184">
    <cfRule type="cellIs" dxfId="6027" priority="6478" stopIfTrue="1" operator="equal">
      <formula>0</formula>
    </cfRule>
    <cfRule type="cellIs" dxfId="6026" priority="6479" stopIfTrue="1" operator="notEqual">
      <formula>0</formula>
    </cfRule>
  </conditionalFormatting>
  <conditionalFormatting sqref="GV184">
    <cfRule type="cellIs" dxfId="6025" priority="6477" stopIfTrue="1" operator="equal">
      <formula>"STOP"</formula>
    </cfRule>
  </conditionalFormatting>
  <conditionalFormatting sqref="Q182">
    <cfRule type="cellIs" dxfId="6024" priority="6471" stopIfTrue="1" operator="equal">
      <formula>"SIM"</formula>
    </cfRule>
    <cfRule type="cellIs" dxfId="6023" priority="6472" stopIfTrue="1" operator="equal">
      <formula>"NÃO"</formula>
    </cfRule>
  </conditionalFormatting>
  <conditionalFormatting sqref="BF182 CJ182 DO182">
    <cfRule type="cellIs" dxfId="6022" priority="6467" stopIfTrue="1" operator="equal">
      <formula>0</formula>
    </cfRule>
    <cfRule type="cellIs" dxfId="6021" priority="6473" stopIfTrue="1" operator="notEqual">
      <formula>0</formula>
    </cfRule>
  </conditionalFormatting>
  <conditionalFormatting sqref="C182:D182">
    <cfRule type="expression" dxfId="6020" priority="6470" stopIfTrue="1">
      <formula>IF(AND($C182&lt;&gt;"",$H182+$L182=0),TRUE)</formula>
    </cfRule>
  </conditionalFormatting>
  <conditionalFormatting sqref="P182">
    <cfRule type="cellIs" dxfId="6019" priority="6459" stopIfTrue="1" operator="equal">
      <formula>1</formula>
    </cfRule>
    <cfRule type="cellIs" dxfId="6018" priority="6468" stopIfTrue="1" operator="equal">
      <formula>2</formula>
    </cfRule>
    <cfRule type="cellIs" dxfId="6017" priority="6469" stopIfTrue="1" operator="equal">
      <formula>"X"</formula>
    </cfRule>
  </conditionalFormatting>
  <conditionalFormatting sqref="GU182">
    <cfRule type="cellIs" dxfId="6016" priority="6461" stopIfTrue="1" operator="equal">
      <formula>0</formula>
    </cfRule>
    <cfRule type="cellIs" dxfId="6015" priority="6462" stopIfTrue="1" operator="notEqual">
      <formula>0</formula>
    </cfRule>
  </conditionalFormatting>
  <conditionalFormatting sqref="GV182">
    <cfRule type="cellIs" dxfId="6014" priority="6460" stopIfTrue="1" operator="equal">
      <formula>"STOP"</formula>
    </cfRule>
  </conditionalFormatting>
  <conditionalFormatting sqref="Q176">
    <cfRule type="cellIs" dxfId="6013" priority="10517" stopIfTrue="1" operator="equal">
      <formula>"SIM"</formula>
    </cfRule>
    <cfRule type="cellIs" dxfId="6012" priority="10518" stopIfTrue="1" operator="equal">
      <formula>"NÃO"</formula>
    </cfRule>
  </conditionalFormatting>
  <conditionalFormatting sqref="BF176 CJ176 DO176">
    <cfRule type="cellIs" dxfId="6011" priority="10513" stopIfTrue="1" operator="equal">
      <formula>0</formula>
    </cfRule>
    <cfRule type="cellIs" dxfId="6010" priority="10519" stopIfTrue="1" operator="notEqual">
      <formula>0</formula>
    </cfRule>
  </conditionalFormatting>
  <conditionalFormatting sqref="C176:D176">
    <cfRule type="expression" dxfId="6009" priority="10516" stopIfTrue="1">
      <formula>IF(AND($C176&lt;&gt;"",$H176+$L176=0),TRUE)</formula>
    </cfRule>
  </conditionalFormatting>
  <conditionalFormatting sqref="P176">
    <cfRule type="cellIs" dxfId="6008" priority="10505" stopIfTrue="1" operator="equal">
      <formula>1</formula>
    </cfRule>
    <cfRule type="cellIs" dxfId="6007" priority="10514" stopIfTrue="1" operator="equal">
      <formula>2</formula>
    </cfRule>
    <cfRule type="cellIs" dxfId="6006" priority="10515" stopIfTrue="1" operator="equal">
      <formula>"X"</formula>
    </cfRule>
  </conditionalFormatting>
  <conditionalFormatting sqref="GU176">
    <cfRule type="cellIs" dxfId="6005" priority="10507" stopIfTrue="1" operator="equal">
      <formula>0</formula>
    </cfRule>
    <cfRule type="cellIs" dxfId="6004" priority="10508" stopIfTrue="1" operator="notEqual">
      <formula>0</formula>
    </cfRule>
  </conditionalFormatting>
  <conditionalFormatting sqref="GV176">
    <cfRule type="cellIs" dxfId="6003" priority="10506" stopIfTrue="1" operator="equal">
      <formula>"STOP"</formula>
    </cfRule>
  </conditionalFormatting>
  <conditionalFormatting sqref="Q184">
    <cfRule type="cellIs" dxfId="6002" priority="6437" stopIfTrue="1" operator="equal">
      <formula>"SIM"</formula>
    </cfRule>
    <cfRule type="cellIs" dxfId="6001" priority="6438" stopIfTrue="1" operator="equal">
      <formula>"NÃO"</formula>
    </cfRule>
  </conditionalFormatting>
  <conditionalFormatting sqref="BF184 CJ184 DO184">
    <cfRule type="cellIs" dxfId="6000" priority="6433" stopIfTrue="1" operator="equal">
      <formula>0</formula>
    </cfRule>
    <cfRule type="cellIs" dxfId="5999" priority="6439" stopIfTrue="1" operator="notEqual">
      <formula>0</formula>
    </cfRule>
  </conditionalFormatting>
  <conditionalFormatting sqref="C184:D184">
    <cfRule type="expression" dxfId="5998" priority="6436" stopIfTrue="1">
      <formula>IF(AND($C184&lt;&gt;"",$H184+$L184=0),TRUE)</formula>
    </cfRule>
  </conditionalFormatting>
  <conditionalFormatting sqref="P184">
    <cfRule type="cellIs" dxfId="5997" priority="6425" stopIfTrue="1" operator="equal">
      <formula>1</formula>
    </cfRule>
    <cfRule type="cellIs" dxfId="5996" priority="6434" stopIfTrue="1" operator="equal">
      <formula>2</formula>
    </cfRule>
    <cfRule type="cellIs" dxfId="5995" priority="6435" stopIfTrue="1" operator="equal">
      <formula>"X"</formula>
    </cfRule>
  </conditionalFormatting>
  <conditionalFormatting sqref="GU184">
    <cfRule type="cellIs" dxfId="5994" priority="6427" stopIfTrue="1" operator="equal">
      <formula>0</formula>
    </cfRule>
    <cfRule type="cellIs" dxfId="5993" priority="6428" stopIfTrue="1" operator="notEqual">
      <formula>0</formula>
    </cfRule>
  </conditionalFormatting>
  <conditionalFormatting sqref="GV184">
    <cfRule type="cellIs" dxfId="5992" priority="6426" stopIfTrue="1" operator="equal">
      <formula>"STOP"</formula>
    </cfRule>
  </conditionalFormatting>
  <conditionalFormatting sqref="Q181">
    <cfRule type="cellIs" dxfId="5991" priority="6420" stopIfTrue="1" operator="equal">
      <formula>"SIM"</formula>
    </cfRule>
    <cfRule type="cellIs" dxfId="5990" priority="6421" stopIfTrue="1" operator="equal">
      <formula>"NÃO"</formula>
    </cfRule>
  </conditionalFormatting>
  <conditionalFormatting sqref="BF181 CJ181 DO181">
    <cfRule type="cellIs" dxfId="5989" priority="6416" stopIfTrue="1" operator="equal">
      <formula>0</formula>
    </cfRule>
    <cfRule type="cellIs" dxfId="5988" priority="6422" stopIfTrue="1" operator="notEqual">
      <formula>0</formula>
    </cfRule>
  </conditionalFormatting>
  <conditionalFormatting sqref="C181:D181">
    <cfRule type="expression" dxfId="5987" priority="6419" stopIfTrue="1">
      <formula>IF(AND($C181&lt;&gt;"",$H181+$L181=0),TRUE)</formula>
    </cfRule>
  </conditionalFormatting>
  <conditionalFormatting sqref="P181">
    <cfRule type="cellIs" dxfId="5986" priority="6408" stopIfTrue="1" operator="equal">
      <formula>1</formula>
    </cfRule>
    <cfRule type="cellIs" dxfId="5985" priority="6417" stopIfTrue="1" operator="equal">
      <formula>2</formula>
    </cfRule>
    <cfRule type="cellIs" dxfId="5984" priority="6418" stopIfTrue="1" operator="equal">
      <formula>"X"</formula>
    </cfRule>
  </conditionalFormatting>
  <conditionalFormatting sqref="GU181">
    <cfRule type="cellIs" dxfId="5983" priority="6410" stopIfTrue="1" operator="equal">
      <formula>0</formula>
    </cfRule>
    <cfRule type="cellIs" dxfId="5982" priority="6411" stopIfTrue="1" operator="notEqual">
      <formula>0</formula>
    </cfRule>
  </conditionalFormatting>
  <conditionalFormatting sqref="GV181">
    <cfRule type="cellIs" dxfId="5981" priority="6409" stopIfTrue="1" operator="equal">
      <formula>"STOP"</formula>
    </cfRule>
  </conditionalFormatting>
  <conditionalFormatting sqref="Q179">
    <cfRule type="cellIs" dxfId="5980" priority="10500" stopIfTrue="1" operator="equal">
      <formula>"SIM"</formula>
    </cfRule>
    <cfRule type="cellIs" dxfId="5979" priority="10501" stopIfTrue="1" operator="equal">
      <formula>"NÃO"</formula>
    </cfRule>
  </conditionalFormatting>
  <conditionalFormatting sqref="BF179 CJ179 DO179">
    <cfRule type="cellIs" dxfId="5978" priority="10496" stopIfTrue="1" operator="equal">
      <formula>0</formula>
    </cfRule>
    <cfRule type="cellIs" dxfId="5977" priority="10502" stopIfTrue="1" operator="notEqual">
      <formula>0</formula>
    </cfRule>
  </conditionalFormatting>
  <conditionalFormatting sqref="C179:D179">
    <cfRule type="expression" dxfId="5976" priority="10499" stopIfTrue="1">
      <formula>IF(AND($C179&lt;&gt;"",$H179+$L179=0),TRUE)</formula>
    </cfRule>
  </conditionalFormatting>
  <conditionalFormatting sqref="P179">
    <cfRule type="cellIs" dxfId="5975" priority="10488" stopIfTrue="1" operator="equal">
      <formula>1</formula>
    </cfRule>
    <cfRule type="cellIs" dxfId="5974" priority="10497" stopIfTrue="1" operator="equal">
      <formula>2</formula>
    </cfRule>
    <cfRule type="cellIs" dxfId="5973" priority="10498" stopIfTrue="1" operator="equal">
      <formula>"X"</formula>
    </cfRule>
  </conditionalFormatting>
  <conditionalFormatting sqref="GU179">
    <cfRule type="cellIs" dxfId="5972" priority="10490" stopIfTrue="1" operator="equal">
      <formula>0</formula>
    </cfRule>
    <cfRule type="cellIs" dxfId="5971" priority="10491" stopIfTrue="1" operator="notEqual">
      <formula>0</formula>
    </cfRule>
  </conditionalFormatting>
  <conditionalFormatting sqref="GV179">
    <cfRule type="cellIs" dxfId="5970" priority="10489" stopIfTrue="1" operator="equal">
      <formula>"STOP"</formula>
    </cfRule>
  </conditionalFormatting>
  <conditionalFormatting sqref="Q183">
    <cfRule type="cellIs" dxfId="5969" priority="6386" stopIfTrue="1" operator="equal">
      <formula>"SIM"</formula>
    </cfRule>
    <cfRule type="cellIs" dxfId="5968" priority="6387" stopIfTrue="1" operator="equal">
      <formula>"NÃO"</formula>
    </cfRule>
  </conditionalFormatting>
  <conditionalFormatting sqref="BF183 CJ183 DO183">
    <cfRule type="cellIs" dxfId="5967" priority="6382" stopIfTrue="1" operator="equal">
      <formula>0</formula>
    </cfRule>
    <cfRule type="cellIs" dxfId="5966" priority="6388" stopIfTrue="1" operator="notEqual">
      <formula>0</formula>
    </cfRule>
  </conditionalFormatting>
  <conditionalFormatting sqref="C183:D183">
    <cfRule type="expression" dxfId="5965" priority="6385" stopIfTrue="1">
      <formula>IF(AND($C183&lt;&gt;"",$H183+$L183=0),TRUE)</formula>
    </cfRule>
  </conditionalFormatting>
  <conditionalFormatting sqref="P183">
    <cfRule type="cellIs" dxfId="5964" priority="6374" stopIfTrue="1" operator="equal">
      <formula>1</formula>
    </cfRule>
    <cfRule type="cellIs" dxfId="5963" priority="6383" stopIfTrue="1" operator="equal">
      <formula>2</formula>
    </cfRule>
    <cfRule type="cellIs" dxfId="5962" priority="6384" stopIfTrue="1" operator="equal">
      <formula>"X"</formula>
    </cfRule>
  </conditionalFormatting>
  <conditionalFormatting sqref="GU183">
    <cfRule type="cellIs" dxfId="5961" priority="6376" stopIfTrue="1" operator="equal">
      <formula>0</formula>
    </cfRule>
    <cfRule type="cellIs" dxfId="5960" priority="6377" stopIfTrue="1" operator="notEqual">
      <formula>0</formula>
    </cfRule>
  </conditionalFormatting>
  <conditionalFormatting sqref="GV183">
    <cfRule type="cellIs" dxfId="5959" priority="6375" stopIfTrue="1" operator="equal">
      <formula>"STOP"</formula>
    </cfRule>
  </conditionalFormatting>
  <conditionalFormatting sqref="Q184">
    <cfRule type="cellIs" dxfId="5958" priority="6369" stopIfTrue="1" operator="equal">
      <formula>"SIM"</formula>
    </cfRule>
    <cfRule type="cellIs" dxfId="5957" priority="6370" stopIfTrue="1" operator="equal">
      <formula>"NÃO"</formula>
    </cfRule>
  </conditionalFormatting>
  <conditionalFormatting sqref="BF184 CJ184 DO184">
    <cfRule type="cellIs" dxfId="5956" priority="6365" stopIfTrue="1" operator="equal">
      <formula>0</formula>
    </cfRule>
    <cfRule type="cellIs" dxfId="5955" priority="6371" stopIfTrue="1" operator="notEqual">
      <formula>0</formula>
    </cfRule>
  </conditionalFormatting>
  <conditionalFormatting sqref="C184:D184">
    <cfRule type="expression" dxfId="5954" priority="6368" stopIfTrue="1">
      <formula>IF(AND($C184&lt;&gt;"",$H184+$L184=0),TRUE)</formula>
    </cfRule>
  </conditionalFormatting>
  <conditionalFormatting sqref="P184">
    <cfRule type="cellIs" dxfId="5953" priority="6357" stopIfTrue="1" operator="equal">
      <formula>1</formula>
    </cfRule>
    <cfRule type="cellIs" dxfId="5952" priority="6366" stopIfTrue="1" operator="equal">
      <formula>2</formula>
    </cfRule>
    <cfRule type="cellIs" dxfId="5951" priority="6367" stopIfTrue="1" operator="equal">
      <formula>"X"</formula>
    </cfRule>
  </conditionalFormatting>
  <conditionalFormatting sqref="GU184">
    <cfRule type="cellIs" dxfId="5950" priority="6359" stopIfTrue="1" operator="equal">
      <formula>0</formula>
    </cfRule>
    <cfRule type="cellIs" dxfId="5949" priority="6360" stopIfTrue="1" operator="notEqual">
      <formula>0</formula>
    </cfRule>
  </conditionalFormatting>
  <conditionalFormatting sqref="GV184">
    <cfRule type="cellIs" dxfId="5948" priority="6358" stopIfTrue="1" operator="equal">
      <formula>"STOP"</formula>
    </cfRule>
  </conditionalFormatting>
  <conditionalFormatting sqref="Q179">
    <cfRule type="cellIs" dxfId="5947" priority="10483" stopIfTrue="1" operator="equal">
      <formula>"SIM"</formula>
    </cfRule>
    <cfRule type="cellIs" dxfId="5946" priority="10484" stopIfTrue="1" operator="equal">
      <formula>"NÃO"</formula>
    </cfRule>
  </conditionalFormatting>
  <conditionalFormatting sqref="BF179 CJ179 DO179">
    <cfRule type="cellIs" dxfId="5945" priority="10479" stopIfTrue="1" operator="equal">
      <formula>0</formula>
    </cfRule>
    <cfRule type="cellIs" dxfId="5944" priority="10485" stopIfTrue="1" operator="notEqual">
      <formula>0</formula>
    </cfRule>
  </conditionalFormatting>
  <conditionalFormatting sqref="C179:D179">
    <cfRule type="expression" dxfId="5943" priority="10482" stopIfTrue="1">
      <formula>IF(AND($C179&lt;&gt;"",$H179+$L179=0),TRUE)</formula>
    </cfRule>
  </conditionalFormatting>
  <conditionalFormatting sqref="P179">
    <cfRule type="cellIs" dxfId="5942" priority="10471" stopIfTrue="1" operator="equal">
      <formula>1</formula>
    </cfRule>
    <cfRule type="cellIs" dxfId="5941" priority="10480" stopIfTrue="1" operator="equal">
      <formula>2</formula>
    </cfRule>
    <cfRule type="cellIs" dxfId="5940" priority="10481" stopIfTrue="1" operator="equal">
      <formula>"X"</formula>
    </cfRule>
  </conditionalFormatting>
  <conditionalFormatting sqref="GU179">
    <cfRule type="cellIs" dxfId="5939" priority="10473" stopIfTrue="1" operator="equal">
      <formula>0</formula>
    </cfRule>
    <cfRule type="cellIs" dxfId="5938" priority="10474" stopIfTrue="1" operator="notEqual">
      <formula>0</formula>
    </cfRule>
  </conditionalFormatting>
  <conditionalFormatting sqref="GV179">
    <cfRule type="cellIs" dxfId="5937" priority="10472" stopIfTrue="1" operator="equal">
      <formula>"STOP"</formula>
    </cfRule>
  </conditionalFormatting>
  <conditionalFormatting sqref="Q176">
    <cfRule type="cellIs" dxfId="5936" priority="10466" stopIfTrue="1" operator="equal">
      <formula>"SIM"</formula>
    </cfRule>
    <cfRule type="cellIs" dxfId="5935" priority="10467" stopIfTrue="1" operator="equal">
      <formula>"NÃO"</formula>
    </cfRule>
  </conditionalFormatting>
  <conditionalFormatting sqref="BF176 CJ176 DO176">
    <cfRule type="cellIs" dxfId="5934" priority="10462" stopIfTrue="1" operator="equal">
      <formula>0</formula>
    </cfRule>
    <cfRule type="cellIs" dxfId="5933" priority="10468" stopIfTrue="1" operator="notEqual">
      <formula>0</formula>
    </cfRule>
  </conditionalFormatting>
  <conditionalFormatting sqref="C176:D176">
    <cfRule type="expression" dxfId="5932" priority="10465" stopIfTrue="1">
      <formula>IF(AND($C176&lt;&gt;"",$H176+$L176=0),TRUE)</formula>
    </cfRule>
  </conditionalFormatting>
  <conditionalFormatting sqref="P176">
    <cfRule type="cellIs" dxfId="5931" priority="10454" stopIfTrue="1" operator="equal">
      <formula>1</formula>
    </cfRule>
    <cfRule type="cellIs" dxfId="5930" priority="10463" stopIfTrue="1" operator="equal">
      <formula>2</formula>
    </cfRule>
    <cfRule type="cellIs" dxfId="5929" priority="10464" stopIfTrue="1" operator="equal">
      <formula>"X"</formula>
    </cfRule>
  </conditionalFormatting>
  <conditionalFormatting sqref="GU176">
    <cfRule type="cellIs" dxfId="5928" priority="10456" stopIfTrue="1" operator="equal">
      <formula>0</formula>
    </cfRule>
    <cfRule type="cellIs" dxfId="5927" priority="10457" stopIfTrue="1" operator="notEqual">
      <formula>0</formula>
    </cfRule>
  </conditionalFormatting>
  <conditionalFormatting sqref="GV176">
    <cfRule type="cellIs" dxfId="5926" priority="10455" stopIfTrue="1" operator="equal">
      <formula>"STOP"</formula>
    </cfRule>
  </conditionalFormatting>
  <conditionalFormatting sqref="Q182">
    <cfRule type="cellIs" dxfId="5925" priority="6318" stopIfTrue="1" operator="equal">
      <formula>"SIM"</formula>
    </cfRule>
    <cfRule type="cellIs" dxfId="5924" priority="6319" stopIfTrue="1" operator="equal">
      <formula>"NÃO"</formula>
    </cfRule>
  </conditionalFormatting>
  <conditionalFormatting sqref="BF182 CJ182 DO182">
    <cfRule type="cellIs" dxfId="5923" priority="6314" stopIfTrue="1" operator="equal">
      <formula>0</formula>
    </cfRule>
    <cfRule type="cellIs" dxfId="5922" priority="6320" stopIfTrue="1" operator="notEqual">
      <formula>0</formula>
    </cfRule>
  </conditionalFormatting>
  <conditionalFormatting sqref="C182:D182">
    <cfRule type="expression" dxfId="5921" priority="6317" stopIfTrue="1">
      <formula>IF(AND($C182&lt;&gt;"",$H182+$L182=0),TRUE)</formula>
    </cfRule>
  </conditionalFormatting>
  <conditionalFormatting sqref="P182">
    <cfRule type="cellIs" dxfId="5920" priority="6306" stopIfTrue="1" operator="equal">
      <formula>1</formula>
    </cfRule>
    <cfRule type="cellIs" dxfId="5919" priority="6315" stopIfTrue="1" operator="equal">
      <formula>2</formula>
    </cfRule>
    <cfRule type="cellIs" dxfId="5918" priority="6316" stopIfTrue="1" operator="equal">
      <formula>"X"</formula>
    </cfRule>
  </conditionalFormatting>
  <conditionalFormatting sqref="GU182">
    <cfRule type="cellIs" dxfId="5917" priority="6308" stopIfTrue="1" operator="equal">
      <formula>0</formula>
    </cfRule>
    <cfRule type="cellIs" dxfId="5916" priority="6309" stopIfTrue="1" operator="notEqual">
      <formula>0</formula>
    </cfRule>
  </conditionalFormatting>
  <conditionalFormatting sqref="GV182">
    <cfRule type="cellIs" dxfId="5915" priority="6307" stopIfTrue="1" operator="equal">
      <formula>"STOP"</formula>
    </cfRule>
  </conditionalFormatting>
  <conditionalFormatting sqref="Q183">
    <cfRule type="cellIs" dxfId="5914" priority="6301" stopIfTrue="1" operator="equal">
      <formula>"SIM"</formula>
    </cfRule>
    <cfRule type="cellIs" dxfId="5913" priority="6302" stopIfTrue="1" operator="equal">
      <formula>"NÃO"</formula>
    </cfRule>
  </conditionalFormatting>
  <conditionalFormatting sqref="BF183 CJ183 DO183">
    <cfRule type="cellIs" dxfId="5912" priority="6297" stopIfTrue="1" operator="equal">
      <formula>0</formula>
    </cfRule>
    <cfRule type="cellIs" dxfId="5911" priority="6303" stopIfTrue="1" operator="notEqual">
      <formula>0</formula>
    </cfRule>
  </conditionalFormatting>
  <conditionalFormatting sqref="C183:D183">
    <cfRule type="expression" dxfId="5910" priority="6300" stopIfTrue="1">
      <formula>IF(AND($C183&lt;&gt;"",$H183+$L183=0),TRUE)</formula>
    </cfRule>
  </conditionalFormatting>
  <conditionalFormatting sqref="P183">
    <cfRule type="cellIs" dxfId="5909" priority="6289" stopIfTrue="1" operator="equal">
      <formula>1</formula>
    </cfRule>
    <cfRule type="cellIs" dxfId="5908" priority="6298" stopIfTrue="1" operator="equal">
      <formula>2</formula>
    </cfRule>
    <cfRule type="cellIs" dxfId="5907" priority="6299" stopIfTrue="1" operator="equal">
      <formula>"X"</formula>
    </cfRule>
  </conditionalFormatting>
  <conditionalFormatting sqref="GU183">
    <cfRule type="cellIs" dxfId="5906" priority="6291" stopIfTrue="1" operator="equal">
      <formula>0</formula>
    </cfRule>
    <cfRule type="cellIs" dxfId="5905" priority="6292" stopIfTrue="1" operator="notEqual">
      <formula>0</formula>
    </cfRule>
  </conditionalFormatting>
  <conditionalFormatting sqref="GV183">
    <cfRule type="cellIs" dxfId="5904" priority="6290" stopIfTrue="1" operator="equal">
      <formula>"STOP"</formula>
    </cfRule>
  </conditionalFormatting>
  <conditionalFormatting sqref="Q179">
    <cfRule type="cellIs" dxfId="5903" priority="10449" stopIfTrue="1" operator="equal">
      <formula>"SIM"</formula>
    </cfRule>
    <cfRule type="cellIs" dxfId="5902" priority="10450" stopIfTrue="1" operator="equal">
      <formula>"NÃO"</formula>
    </cfRule>
  </conditionalFormatting>
  <conditionalFormatting sqref="BF179 CJ179 DO179">
    <cfRule type="cellIs" dxfId="5901" priority="10445" stopIfTrue="1" operator="equal">
      <formula>0</formula>
    </cfRule>
    <cfRule type="cellIs" dxfId="5900" priority="10451" stopIfTrue="1" operator="notEqual">
      <formula>0</formula>
    </cfRule>
  </conditionalFormatting>
  <conditionalFormatting sqref="C179:D179">
    <cfRule type="expression" dxfId="5899" priority="10448" stopIfTrue="1">
      <formula>IF(AND($C179&lt;&gt;"",$H179+$L179=0),TRUE)</formula>
    </cfRule>
  </conditionalFormatting>
  <conditionalFormatting sqref="P179">
    <cfRule type="cellIs" dxfId="5898" priority="10437" stopIfTrue="1" operator="equal">
      <formula>1</formula>
    </cfRule>
    <cfRule type="cellIs" dxfId="5897" priority="10446" stopIfTrue="1" operator="equal">
      <formula>2</formula>
    </cfRule>
    <cfRule type="cellIs" dxfId="5896" priority="10447" stopIfTrue="1" operator="equal">
      <formula>"X"</formula>
    </cfRule>
  </conditionalFormatting>
  <conditionalFormatting sqref="GU179">
    <cfRule type="cellIs" dxfId="5895" priority="10439" stopIfTrue="1" operator="equal">
      <formula>0</formula>
    </cfRule>
    <cfRule type="cellIs" dxfId="5894" priority="10440" stopIfTrue="1" operator="notEqual">
      <formula>0</formula>
    </cfRule>
  </conditionalFormatting>
  <conditionalFormatting sqref="GV179">
    <cfRule type="cellIs" dxfId="5893" priority="10438" stopIfTrue="1" operator="equal">
      <formula>"STOP"</formula>
    </cfRule>
  </conditionalFormatting>
  <conditionalFormatting sqref="Q180">
    <cfRule type="cellIs" dxfId="5892" priority="10432" stopIfTrue="1" operator="equal">
      <formula>"SIM"</formula>
    </cfRule>
    <cfRule type="cellIs" dxfId="5891" priority="10433" stopIfTrue="1" operator="equal">
      <formula>"NÃO"</formula>
    </cfRule>
  </conditionalFormatting>
  <conditionalFormatting sqref="BF180 CJ180 DO180">
    <cfRule type="cellIs" dxfId="5890" priority="10428" stopIfTrue="1" operator="equal">
      <formula>0</formula>
    </cfRule>
    <cfRule type="cellIs" dxfId="5889" priority="10434" stopIfTrue="1" operator="notEqual">
      <formula>0</formula>
    </cfRule>
  </conditionalFormatting>
  <conditionalFormatting sqref="C180:D180">
    <cfRule type="expression" dxfId="5888" priority="10431" stopIfTrue="1">
      <formula>IF(AND($C180&lt;&gt;"",$H180+$L180=0),TRUE)</formula>
    </cfRule>
  </conditionalFormatting>
  <conditionalFormatting sqref="P180">
    <cfRule type="cellIs" dxfId="5887" priority="10420" stopIfTrue="1" operator="equal">
      <formula>1</formula>
    </cfRule>
    <cfRule type="cellIs" dxfId="5886" priority="10429" stopIfTrue="1" operator="equal">
      <formula>2</formula>
    </cfRule>
    <cfRule type="cellIs" dxfId="5885" priority="10430" stopIfTrue="1" operator="equal">
      <formula>"X"</formula>
    </cfRule>
  </conditionalFormatting>
  <conditionalFormatting sqref="GU180">
    <cfRule type="cellIs" dxfId="5884" priority="10422" stopIfTrue="1" operator="equal">
      <formula>0</formula>
    </cfRule>
    <cfRule type="cellIs" dxfId="5883" priority="10423" stopIfTrue="1" operator="notEqual">
      <formula>0</formula>
    </cfRule>
  </conditionalFormatting>
  <conditionalFormatting sqref="GV180">
    <cfRule type="cellIs" dxfId="5882" priority="10421" stopIfTrue="1" operator="equal">
      <formula>"STOP"</formula>
    </cfRule>
  </conditionalFormatting>
  <conditionalFormatting sqref="Q181">
    <cfRule type="cellIs" dxfId="5881" priority="10415" stopIfTrue="1" operator="equal">
      <formula>"SIM"</formula>
    </cfRule>
    <cfRule type="cellIs" dxfId="5880" priority="10416" stopIfTrue="1" operator="equal">
      <formula>"NÃO"</formula>
    </cfRule>
  </conditionalFormatting>
  <conditionalFormatting sqref="BF181 CJ181 DO181">
    <cfRule type="cellIs" dxfId="5879" priority="10411" stopIfTrue="1" operator="equal">
      <formula>0</formula>
    </cfRule>
    <cfRule type="cellIs" dxfId="5878" priority="10417" stopIfTrue="1" operator="notEqual">
      <formula>0</formula>
    </cfRule>
  </conditionalFormatting>
  <conditionalFormatting sqref="C181:D181">
    <cfRule type="expression" dxfId="5877" priority="10414" stopIfTrue="1">
      <formula>IF(AND($C181&lt;&gt;"",$H181+$L181=0),TRUE)</formula>
    </cfRule>
  </conditionalFormatting>
  <conditionalFormatting sqref="P181">
    <cfRule type="cellIs" dxfId="5876" priority="10403" stopIfTrue="1" operator="equal">
      <formula>1</formula>
    </cfRule>
    <cfRule type="cellIs" dxfId="5875" priority="10412" stopIfTrue="1" operator="equal">
      <formula>2</formula>
    </cfRule>
    <cfRule type="cellIs" dxfId="5874" priority="10413" stopIfTrue="1" operator="equal">
      <formula>"X"</formula>
    </cfRule>
  </conditionalFormatting>
  <conditionalFormatting sqref="GU181">
    <cfRule type="cellIs" dxfId="5873" priority="10405" stopIfTrue="1" operator="equal">
      <formula>0</formula>
    </cfRule>
    <cfRule type="cellIs" dxfId="5872" priority="10406" stopIfTrue="1" operator="notEqual">
      <formula>0</formula>
    </cfRule>
  </conditionalFormatting>
  <conditionalFormatting sqref="GV181">
    <cfRule type="cellIs" dxfId="5871" priority="10404" stopIfTrue="1" operator="equal">
      <formula>"STOP"</formula>
    </cfRule>
  </conditionalFormatting>
  <conditionalFormatting sqref="Q184">
    <cfRule type="cellIs" dxfId="5870" priority="6233" stopIfTrue="1" operator="equal">
      <formula>"SIM"</formula>
    </cfRule>
    <cfRule type="cellIs" dxfId="5869" priority="6234" stopIfTrue="1" operator="equal">
      <formula>"NÃO"</formula>
    </cfRule>
  </conditionalFormatting>
  <conditionalFormatting sqref="BF184 CJ184 DO184">
    <cfRule type="cellIs" dxfId="5868" priority="6229" stopIfTrue="1" operator="equal">
      <formula>0</formula>
    </cfRule>
    <cfRule type="cellIs" dxfId="5867" priority="6235" stopIfTrue="1" operator="notEqual">
      <formula>0</formula>
    </cfRule>
  </conditionalFormatting>
  <conditionalFormatting sqref="C184:D184">
    <cfRule type="expression" dxfId="5866" priority="6232" stopIfTrue="1">
      <formula>IF(AND($C184&lt;&gt;"",$H184+$L184=0),TRUE)</formula>
    </cfRule>
  </conditionalFormatting>
  <conditionalFormatting sqref="P184">
    <cfRule type="cellIs" dxfId="5865" priority="6221" stopIfTrue="1" operator="equal">
      <formula>1</formula>
    </cfRule>
    <cfRule type="cellIs" dxfId="5864" priority="6230" stopIfTrue="1" operator="equal">
      <formula>2</formula>
    </cfRule>
    <cfRule type="cellIs" dxfId="5863" priority="6231" stopIfTrue="1" operator="equal">
      <formula>"X"</formula>
    </cfRule>
  </conditionalFormatting>
  <conditionalFormatting sqref="GU184">
    <cfRule type="cellIs" dxfId="5862" priority="6223" stopIfTrue="1" operator="equal">
      <formula>0</formula>
    </cfRule>
    <cfRule type="cellIs" dxfId="5861" priority="6224" stopIfTrue="1" operator="notEqual">
      <formula>0</formula>
    </cfRule>
  </conditionalFormatting>
  <conditionalFormatting sqref="GV184">
    <cfRule type="cellIs" dxfId="5860" priority="6222" stopIfTrue="1" operator="equal">
      <formula>"STOP"</formula>
    </cfRule>
  </conditionalFormatting>
  <conditionalFormatting sqref="Q185">
    <cfRule type="cellIs" dxfId="5859" priority="6216" stopIfTrue="1" operator="equal">
      <formula>"SIM"</formula>
    </cfRule>
    <cfRule type="cellIs" dxfId="5858" priority="6217" stopIfTrue="1" operator="equal">
      <formula>"NÃO"</formula>
    </cfRule>
  </conditionalFormatting>
  <conditionalFormatting sqref="BF185 CJ185 DO185">
    <cfRule type="cellIs" dxfId="5857" priority="6212" stopIfTrue="1" operator="equal">
      <formula>0</formula>
    </cfRule>
    <cfRule type="cellIs" dxfId="5856" priority="6218" stopIfTrue="1" operator="notEqual">
      <formula>0</formula>
    </cfRule>
  </conditionalFormatting>
  <conditionalFormatting sqref="C185:D185">
    <cfRule type="expression" dxfId="5855" priority="6215" stopIfTrue="1">
      <formula>IF(AND($C185&lt;&gt;"",$H185+$L185=0),TRUE)</formula>
    </cfRule>
  </conditionalFormatting>
  <conditionalFormatting sqref="P185">
    <cfRule type="cellIs" dxfId="5854" priority="6204" stopIfTrue="1" operator="equal">
      <formula>1</formula>
    </cfRule>
    <cfRule type="cellIs" dxfId="5853" priority="6213" stopIfTrue="1" operator="equal">
      <formula>2</formula>
    </cfRule>
    <cfRule type="cellIs" dxfId="5852" priority="6214" stopIfTrue="1" operator="equal">
      <formula>"X"</formula>
    </cfRule>
  </conditionalFormatting>
  <conditionalFormatting sqref="GU185">
    <cfRule type="cellIs" dxfId="5851" priority="6206" stopIfTrue="1" operator="equal">
      <formula>0</formula>
    </cfRule>
    <cfRule type="cellIs" dxfId="5850" priority="6207" stopIfTrue="1" operator="notEqual">
      <formula>0</formula>
    </cfRule>
  </conditionalFormatting>
  <conditionalFormatting sqref="GV185">
    <cfRule type="cellIs" dxfId="5849" priority="6205" stopIfTrue="1" operator="equal">
      <formula>"STOP"</formula>
    </cfRule>
  </conditionalFormatting>
  <conditionalFormatting sqref="Q179">
    <cfRule type="cellIs" dxfId="5848" priority="10398" stopIfTrue="1" operator="equal">
      <formula>"SIM"</formula>
    </cfRule>
    <cfRule type="cellIs" dxfId="5847" priority="10399" stopIfTrue="1" operator="equal">
      <formula>"NÃO"</formula>
    </cfRule>
  </conditionalFormatting>
  <conditionalFormatting sqref="BF179 CJ179 DO179">
    <cfRule type="cellIs" dxfId="5846" priority="10394" stopIfTrue="1" operator="equal">
      <formula>0</formula>
    </cfRule>
    <cfRule type="cellIs" dxfId="5845" priority="10400" stopIfTrue="1" operator="notEqual">
      <formula>0</formula>
    </cfRule>
  </conditionalFormatting>
  <conditionalFormatting sqref="C179:D179">
    <cfRule type="expression" dxfId="5844" priority="10397" stopIfTrue="1">
      <formula>IF(AND($C179&lt;&gt;"",$H179+$L179=0),TRUE)</formula>
    </cfRule>
  </conditionalFormatting>
  <conditionalFormatting sqref="P179">
    <cfRule type="cellIs" dxfId="5843" priority="10386" stopIfTrue="1" operator="equal">
      <formula>1</formula>
    </cfRule>
    <cfRule type="cellIs" dxfId="5842" priority="10395" stopIfTrue="1" operator="equal">
      <formula>2</formula>
    </cfRule>
    <cfRule type="cellIs" dxfId="5841" priority="10396" stopIfTrue="1" operator="equal">
      <formula>"X"</formula>
    </cfRule>
  </conditionalFormatting>
  <conditionalFormatting sqref="GU179">
    <cfRule type="cellIs" dxfId="5840" priority="10388" stopIfTrue="1" operator="equal">
      <formula>0</formula>
    </cfRule>
    <cfRule type="cellIs" dxfId="5839" priority="10389" stopIfTrue="1" operator="notEqual">
      <formula>0</formula>
    </cfRule>
  </conditionalFormatting>
  <conditionalFormatting sqref="GV179">
    <cfRule type="cellIs" dxfId="5838" priority="10387" stopIfTrue="1" operator="equal">
      <formula>"STOP"</formula>
    </cfRule>
  </conditionalFormatting>
  <conditionalFormatting sqref="Q184">
    <cfRule type="cellIs" dxfId="5837" priority="6182" stopIfTrue="1" operator="equal">
      <formula>"SIM"</formula>
    </cfRule>
    <cfRule type="cellIs" dxfId="5836" priority="6183" stopIfTrue="1" operator="equal">
      <formula>"NÃO"</formula>
    </cfRule>
  </conditionalFormatting>
  <conditionalFormatting sqref="BF184 CJ184 DO184">
    <cfRule type="cellIs" dxfId="5835" priority="6178" stopIfTrue="1" operator="equal">
      <formula>0</formula>
    </cfRule>
    <cfRule type="cellIs" dxfId="5834" priority="6184" stopIfTrue="1" operator="notEqual">
      <formula>0</formula>
    </cfRule>
  </conditionalFormatting>
  <conditionalFormatting sqref="C184:D184">
    <cfRule type="expression" dxfId="5833" priority="6181" stopIfTrue="1">
      <formula>IF(AND($C184&lt;&gt;"",$H184+$L184=0),TRUE)</formula>
    </cfRule>
  </conditionalFormatting>
  <conditionalFormatting sqref="P184">
    <cfRule type="cellIs" dxfId="5832" priority="6170" stopIfTrue="1" operator="equal">
      <formula>1</formula>
    </cfRule>
    <cfRule type="cellIs" dxfId="5831" priority="6179" stopIfTrue="1" operator="equal">
      <formula>2</formula>
    </cfRule>
    <cfRule type="cellIs" dxfId="5830" priority="6180" stopIfTrue="1" operator="equal">
      <formula>"X"</formula>
    </cfRule>
  </conditionalFormatting>
  <conditionalFormatting sqref="GU184">
    <cfRule type="cellIs" dxfId="5829" priority="6172" stopIfTrue="1" operator="equal">
      <formula>0</formula>
    </cfRule>
    <cfRule type="cellIs" dxfId="5828" priority="6173" stopIfTrue="1" operator="notEqual">
      <formula>0</formula>
    </cfRule>
  </conditionalFormatting>
  <conditionalFormatting sqref="GV184">
    <cfRule type="cellIs" dxfId="5827" priority="6171" stopIfTrue="1" operator="equal">
      <formula>"STOP"</formula>
    </cfRule>
  </conditionalFormatting>
  <conditionalFormatting sqref="Q185">
    <cfRule type="cellIs" dxfId="5826" priority="6165" stopIfTrue="1" operator="equal">
      <formula>"SIM"</formula>
    </cfRule>
    <cfRule type="cellIs" dxfId="5825" priority="6166" stopIfTrue="1" operator="equal">
      <formula>"NÃO"</formula>
    </cfRule>
  </conditionalFormatting>
  <conditionalFormatting sqref="BF185 CJ185 DO185">
    <cfRule type="cellIs" dxfId="5824" priority="6161" stopIfTrue="1" operator="equal">
      <formula>0</formula>
    </cfRule>
    <cfRule type="cellIs" dxfId="5823" priority="6167" stopIfTrue="1" operator="notEqual">
      <formula>0</formula>
    </cfRule>
  </conditionalFormatting>
  <conditionalFormatting sqref="C185:D185">
    <cfRule type="expression" dxfId="5822" priority="6164" stopIfTrue="1">
      <formula>IF(AND($C185&lt;&gt;"",$H185+$L185=0),TRUE)</formula>
    </cfRule>
  </conditionalFormatting>
  <conditionalFormatting sqref="P185">
    <cfRule type="cellIs" dxfId="5821" priority="6153" stopIfTrue="1" operator="equal">
      <formula>1</formula>
    </cfRule>
    <cfRule type="cellIs" dxfId="5820" priority="6162" stopIfTrue="1" operator="equal">
      <formula>2</formula>
    </cfRule>
    <cfRule type="cellIs" dxfId="5819" priority="6163" stopIfTrue="1" operator="equal">
      <formula>"X"</formula>
    </cfRule>
  </conditionalFormatting>
  <conditionalFormatting sqref="GU185">
    <cfRule type="cellIs" dxfId="5818" priority="6155" stopIfTrue="1" operator="equal">
      <formula>0</formula>
    </cfRule>
    <cfRule type="cellIs" dxfId="5817" priority="6156" stopIfTrue="1" operator="notEqual">
      <formula>0</formula>
    </cfRule>
  </conditionalFormatting>
  <conditionalFormatting sqref="GV185">
    <cfRule type="cellIs" dxfId="5816" priority="6154" stopIfTrue="1" operator="equal">
      <formula>"STOP"</formula>
    </cfRule>
  </conditionalFormatting>
  <conditionalFormatting sqref="Q179">
    <cfRule type="cellIs" dxfId="5815" priority="10381" stopIfTrue="1" operator="equal">
      <formula>"SIM"</formula>
    </cfRule>
    <cfRule type="cellIs" dxfId="5814" priority="10382" stopIfTrue="1" operator="equal">
      <formula>"NÃO"</formula>
    </cfRule>
  </conditionalFormatting>
  <conditionalFormatting sqref="BF179 CJ179 DO179">
    <cfRule type="cellIs" dxfId="5813" priority="10377" stopIfTrue="1" operator="equal">
      <formula>0</formula>
    </cfRule>
    <cfRule type="cellIs" dxfId="5812" priority="10383" stopIfTrue="1" operator="notEqual">
      <formula>0</formula>
    </cfRule>
  </conditionalFormatting>
  <conditionalFormatting sqref="C179:D179">
    <cfRule type="expression" dxfId="5811" priority="10380" stopIfTrue="1">
      <formula>IF(AND($C179&lt;&gt;"",$H179+$L179=0),TRUE)</formula>
    </cfRule>
  </conditionalFormatting>
  <conditionalFormatting sqref="P179">
    <cfRule type="cellIs" dxfId="5810" priority="10369" stopIfTrue="1" operator="equal">
      <formula>1</formula>
    </cfRule>
    <cfRule type="cellIs" dxfId="5809" priority="10378" stopIfTrue="1" operator="equal">
      <formula>2</formula>
    </cfRule>
    <cfRule type="cellIs" dxfId="5808" priority="10379" stopIfTrue="1" operator="equal">
      <formula>"X"</formula>
    </cfRule>
  </conditionalFormatting>
  <conditionalFormatting sqref="GU179">
    <cfRule type="cellIs" dxfId="5807" priority="10371" stopIfTrue="1" operator="equal">
      <formula>0</formula>
    </cfRule>
    <cfRule type="cellIs" dxfId="5806" priority="10372" stopIfTrue="1" operator="notEqual">
      <formula>0</formula>
    </cfRule>
  </conditionalFormatting>
  <conditionalFormatting sqref="GV179">
    <cfRule type="cellIs" dxfId="5805" priority="10370" stopIfTrue="1" operator="equal">
      <formula>"STOP"</formula>
    </cfRule>
  </conditionalFormatting>
  <conditionalFormatting sqref="Q180">
    <cfRule type="cellIs" dxfId="5804" priority="10364" stopIfTrue="1" operator="equal">
      <formula>"SIM"</formula>
    </cfRule>
    <cfRule type="cellIs" dxfId="5803" priority="10365" stopIfTrue="1" operator="equal">
      <formula>"NÃO"</formula>
    </cfRule>
  </conditionalFormatting>
  <conditionalFormatting sqref="BF180 CJ180 DO180">
    <cfRule type="cellIs" dxfId="5802" priority="10360" stopIfTrue="1" operator="equal">
      <formula>0</formula>
    </cfRule>
    <cfRule type="cellIs" dxfId="5801" priority="10366" stopIfTrue="1" operator="notEqual">
      <formula>0</formula>
    </cfRule>
  </conditionalFormatting>
  <conditionalFormatting sqref="C180:D180">
    <cfRule type="expression" dxfId="5800" priority="10363" stopIfTrue="1">
      <formula>IF(AND($C180&lt;&gt;"",$H180+$L180=0),TRUE)</formula>
    </cfRule>
  </conditionalFormatting>
  <conditionalFormatting sqref="P180">
    <cfRule type="cellIs" dxfId="5799" priority="10352" stopIfTrue="1" operator="equal">
      <formula>1</formula>
    </cfRule>
    <cfRule type="cellIs" dxfId="5798" priority="10361" stopIfTrue="1" operator="equal">
      <formula>2</formula>
    </cfRule>
    <cfRule type="cellIs" dxfId="5797" priority="10362" stopIfTrue="1" operator="equal">
      <formula>"X"</formula>
    </cfRule>
  </conditionalFormatting>
  <conditionalFormatting sqref="GU180">
    <cfRule type="cellIs" dxfId="5796" priority="10354" stopIfTrue="1" operator="equal">
      <formula>0</formula>
    </cfRule>
    <cfRule type="cellIs" dxfId="5795" priority="10355" stopIfTrue="1" operator="notEqual">
      <formula>0</formula>
    </cfRule>
  </conditionalFormatting>
  <conditionalFormatting sqref="GV180">
    <cfRule type="cellIs" dxfId="5794" priority="10353" stopIfTrue="1" operator="equal">
      <formula>"STOP"</formula>
    </cfRule>
  </conditionalFormatting>
  <conditionalFormatting sqref="Q182">
    <cfRule type="cellIs" dxfId="5793" priority="6114" stopIfTrue="1" operator="equal">
      <formula>"SIM"</formula>
    </cfRule>
    <cfRule type="cellIs" dxfId="5792" priority="6115" stopIfTrue="1" operator="equal">
      <formula>"NÃO"</formula>
    </cfRule>
  </conditionalFormatting>
  <conditionalFormatting sqref="BF182 CJ182 DO182">
    <cfRule type="cellIs" dxfId="5791" priority="6110" stopIfTrue="1" operator="equal">
      <formula>0</formula>
    </cfRule>
    <cfRule type="cellIs" dxfId="5790" priority="6116" stopIfTrue="1" operator="notEqual">
      <formula>0</formula>
    </cfRule>
  </conditionalFormatting>
  <conditionalFormatting sqref="C182:D182">
    <cfRule type="expression" dxfId="5789" priority="6113" stopIfTrue="1">
      <formula>IF(AND($C182&lt;&gt;"",$H182+$L182=0),TRUE)</formula>
    </cfRule>
  </conditionalFormatting>
  <conditionalFormatting sqref="P182">
    <cfRule type="cellIs" dxfId="5788" priority="6102" stopIfTrue="1" operator="equal">
      <formula>1</formula>
    </cfRule>
    <cfRule type="cellIs" dxfId="5787" priority="6111" stopIfTrue="1" operator="equal">
      <formula>2</formula>
    </cfRule>
    <cfRule type="cellIs" dxfId="5786" priority="6112" stopIfTrue="1" operator="equal">
      <formula>"X"</formula>
    </cfRule>
  </conditionalFormatting>
  <conditionalFormatting sqref="GU182">
    <cfRule type="cellIs" dxfId="5785" priority="6104" stopIfTrue="1" operator="equal">
      <formula>0</formula>
    </cfRule>
    <cfRule type="cellIs" dxfId="5784" priority="6105" stopIfTrue="1" operator="notEqual">
      <formula>0</formula>
    </cfRule>
  </conditionalFormatting>
  <conditionalFormatting sqref="GV182">
    <cfRule type="cellIs" dxfId="5783" priority="6103" stopIfTrue="1" operator="equal">
      <formula>"STOP"</formula>
    </cfRule>
  </conditionalFormatting>
  <conditionalFormatting sqref="Q179">
    <cfRule type="cellIs" dxfId="5782" priority="10347" stopIfTrue="1" operator="equal">
      <formula>"SIM"</formula>
    </cfRule>
    <cfRule type="cellIs" dxfId="5781" priority="10348" stopIfTrue="1" operator="equal">
      <formula>"NÃO"</formula>
    </cfRule>
  </conditionalFormatting>
  <conditionalFormatting sqref="BF179 CJ179 DO179">
    <cfRule type="cellIs" dxfId="5780" priority="10343" stopIfTrue="1" operator="equal">
      <formula>0</formula>
    </cfRule>
    <cfRule type="cellIs" dxfId="5779" priority="10349" stopIfTrue="1" operator="notEqual">
      <formula>0</formula>
    </cfRule>
  </conditionalFormatting>
  <conditionalFormatting sqref="C179:D179">
    <cfRule type="expression" dxfId="5778" priority="10346" stopIfTrue="1">
      <formula>IF(AND($C179&lt;&gt;"",$H179+$L179=0),TRUE)</formula>
    </cfRule>
  </conditionalFormatting>
  <conditionalFormatting sqref="P179">
    <cfRule type="cellIs" dxfId="5777" priority="10335" stopIfTrue="1" operator="equal">
      <formula>1</formula>
    </cfRule>
    <cfRule type="cellIs" dxfId="5776" priority="10344" stopIfTrue="1" operator="equal">
      <formula>2</formula>
    </cfRule>
    <cfRule type="cellIs" dxfId="5775" priority="10345" stopIfTrue="1" operator="equal">
      <formula>"X"</formula>
    </cfRule>
  </conditionalFormatting>
  <conditionalFormatting sqref="GU179">
    <cfRule type="cellIs" dxfId="5774" priority="10337" stopIfTrue="1" operator="equal">
      <formula>0</formula>
    </cfRule>
    <cfRule type="cellIs" dxfId="5773" priority="10338" stopIfTrue="1" operator="notEqual">
      <formula>0</formula>
    </cfRule>
  </conditionalFormatting>
  <conditionalFormatting sqref="GV179">
    <cfRule type="cellIs" dxfId="5772" priority="10336" stopIfTrue="1" operator="equal">
      <formula>"STOP"</formula>
    </cfRule>
  </conditionalFormatting>
  <conditionalFormatting sqref="Q180">
    <cfRule type="cellIs" dxfId="5771" priority="10330" stopIfTrue="1" operator="equal">
      <formula>"SIM"</formula>
    </cfRule>
    <cfRule type="cellIs" dxfId="5770" priority="10331" stopIfTrue="1" operator="equal">
      <formula>"NÃO"</formula>
    </cfRule>
  </conditionalFormatting>
  <conditionalFormatting sqref="BF180 CJ180 DO180">
    <cfRule type="cellIs" dxfId="5769" priority="10326" stopIfTrue="1" operator="equal">
      <formula>0</formula>
    </cfRule>
    <cfRule type="cellIs" dxfId="5768" priority="10332" stopIfTrue="1" operator="notEqual">
      <formula>0</formula>
    </cfRule>
  </conditionalFormatting>
  <conditionalFormatting sqref="C180:D180">
    <cfRule type="expression" dxfId="5767" priority="10329" stopIfTrue="1">
      <formula>IF(AND($C180&lt;&gt;"",$H180+$L180=0),TRUE)</formula>
    </cfRule>
  </conditionalFormatting>
  <conditionalFormatting sqref="P180">
    <cfRule type="cellIs" dxfId="5766" priority="10318" stopIfTrue="1" operator="equal">
      <formula>1</formula>
    </cfRule>
    <cfRule type="cellIs" dxfId="5765" priority="10327" stopIfTrue="1" operator="equal">
      <formula>2</formula>
    </cfRule>
    <cfRule type="cellIs" dxfId="5764" priority="10328" stopIfTrue="1" operator="equal">
      <formula>"X"</formula>
    </cfRule>
  </conditionalFormatting>
  <conditionalFormatting sqref="GU180">
    <cfRule type="cellIs" dxfId="5763" priority="10320" stopIfTrue="1" operator="equal">
      <formula>0</formula>
    </cfRule>
    <cfRule type="cellIs" dxfId="5762" priority="10321" stopIfTrue="1" operator="notEqual">
      <formula>0</formula>
    </cfRule>
  </conditionalFormatting>
  <conditionalFormatting sqref="GV180">
    <cfRule type="cellIs" dxfId="5761" priority="10319" stopIfTrue="1" operator="equal">
      <formula>"STOP"</formula>
    </cfRule>
  </conditionalFormatting>
  <conditionalFormatting sqref="Q175">
    <cfRule type="cellIs" dxfId="5760" priority="10313" stopIfTrue="1" operator="equal">
      <formula>"SIM"</formula>
    </cfRule>
    <cfRule type="cellIs" dxfId="5759" priority="10314" stopIfTrue="1" operator="equal">
      <formula>"NÃO"</formula>
    </cfRule>
  </conditionalFormatting>
  <conditionalFormatting sqref="BF175 CJ175 DO175">
    <cfRule type="cellIs" dxfId="5758" priority="10309" stopIfTrue="1" operator="equal">
      <formula>0</formula>
    </cfRule>
    <cfRule type="cellIs" dxfId="5757" priority="10315" stopIfTrue="1" operator="notEqual">
      <formula>0</formula>
    </cfRule>
  </conditionalFormatting>
  <conditionalFormatting sqref="C175:D175">
    <cfRule type="expression" dxfId="5756" priority="10312" stopIfTrue="1">
      <formula>IF(AND($C175&lt;&gt;"",$H175+$L175=0),TRUE)</formula>
    </cfRule>
  </conditionalFormatting>
  <conditionalFormatting sqref="P175">
    <cfRule type="cellIs" dxfId="5755" priority="10301" stopIfTrue="1" operator="equal">
      <formula>1</formula>
    </cfRule>
    <cfRule type="cellIs" dxfId="5754" priority="10310" stopIfTrue="1" operator="equal">
      <formula>2</formula>
    </cfRule>
    <cfRule type="cellIs" dxfId="5753" priority="10311" stopIfTrue="1" operator="equal">
      <formula>"X"</formula>
    </cfRule>
  </conditionalFormatting>
  <conditionalFormatting sqref="GU175">
    <cfRule type="cellIs" dxfId="5752" priority="10303" stopIfTrue="1" operator="equal">
      <formula>0</formula>
    </cfRule>
    <cfRule type="cellIs" dxfId="5751" priority="10304" stopIfTrue="1" operator="notEqual">
      <formula>0</formula>
    </cfRule>
  </conditionalFormatting>
  <conditionalFormatting sqref="GV175">
    <cfRule type="cellIs" dxfId="5750" priority="10302" stopIfTrue="1" operator="equal">
      <formula>"STOP"</formula>
    </cfRule>
  </conditionalFormatting>
  <conditionalFormatting sqref="Q176">
    <cfRule type="cellIs" dxfId="5749" priority="10296" stopIfTrue="1" operator="equal">
      <formula>"SIM"</formula>
    </cfRule>
    <cfRule type="cellIs" dxfId="5748" priority="10297" stopIfTrue="1" operator="equal">
      <formula>"NÃO"</formula>
    </cfRule>
  </conditionalFormatting>
  <conditionalFormatting sqref="BF176 CJ176 DO176">
    <cfRule type="cellIs" dxfId="5747" priority="10292" stopIfTrue="1" operator="equal">
      <formula>0</formula>
    </cfRule>
    <cfRule type="cellIs" dxfId="5746" priority="10298" stopIfTrue="1" operator="notEqual">
      <formula>0</formula>
    </cfRule>
  </conditionalFormatting>
  <conditionalFormatting sqref="C176:D176">
    <cfRule type="expression" dxfId="5745" priority="10295" stopIfTrue="1">
      <formula>IF(AND($C176&lt;&gt;"",$H176+$L176=0),TRUE)</formula>
    </cfRule>
  </conditionalFormatting>
  <conditionalFormatting sqref="P176">
    <cfRule type="cellIs" dxfId="5744" priority="10284" stopIfTrue="1" operator="equal">
      <formula>1</formula>
    </cfRule>
    <cfRule type="cellIs" dxfId="5743" priority="10293" stopIfTrue="1" operator="equal">
      <formula>2</formula>
    </cfRule>
    <cfRule type="cellIs" dxfId="5742" priority="10294" stopIfTrue="1" operator="equal">
      <formula>"X"</formula>
    </cfRule>
  </conditionalFormatting>
  <conditionalFormatting sqref="GU176">
    <cfRule type="cellIs" dxfId="5741" priority="10286" stopIfTrue="1" operator="equal">
      <formula>0</formula>
    </cfRule>
    <cfRule type="cellIs" dxfId="5740" priority="10287" stopIfTrue="1" operator="notEqual">
      <formula>0</formula>
    </cfRule>
  </conditionalFormatting>
  <conditionalFormatting sqref="GV176">
    <cfRule type="cellIs" dxfId="5739" priority="10285" stopIfTrue="1" operator="equal">
      <formula>"STOP"</formula>
    </cfRule>
  </conditionalFormatting>
  <conditionalFormatting sqref="Q187">
    <cfRule type="cellIs" dxfId="5738" priority="6029" stopIfTrue="1" operator="equal">
      <formula>"SIM"</formula>
    </cfRule>
    <cfRule type="cellIs" dxfId="5737" priority="6030" stopIfTrue="1" operator="equal">
      <formula>"NÃO"</formula>
    </cfRule>
  </conditionalFormatting>
  <conditionalFormatting sqref="BF187 CJ187 DO187">
    <cfRule type="cellIs" dxfId="5736" priority="6025" stopIfTrue="1" operator="equal">
      <formula>0</formula>
    </cfRule>
    <cfRule type="cellIs" dxfId="5735" priority="6031" stopIfTrue="1" operator="notEqual">
      <formula>0</formula>
    </cfRule>
  </conditionalFormatting>
  <conditionalFormatting sqref="C187:D187">
    <cfRule type="expression" dxfId="5734" priority="6028" stopIfTrue="1">
      <formula>IF(AND($C187&lt;&gt;"",$H187+$L187=0),TRUE)</formula>
    </cfRule>
  </conditionalFormatting>
  <conditionalFormatting sqref="P187">
    <cfRule type="cellIs" dxfId="5733" priority="6017" stopIfTrue="1" operator="equal">
      <formula>1</formula>
    </cfRule>
    <cfRule type="cellIs" dxfId="5732" priority="6026" stopIfTrue="1" operator="equal">
      <formula>2</formula>
    </cfRule>
    <cfRule type="cellIs" dxfId="5731" priority="6027" stopIfTrue="1" operator="equal">
      <formula>"X"</formula>
    </cfRule>
  </conditionalFormatting>
  <conditionalFormatting sqref="GU187">
    <cfRule type="cellIs" dxfId="5730" priority="6019" stopIfTrue="1" operator="equal">
      <formula>0</formula>
    </cfRule>
    <cfRule type="cellIs" dxfId="5729" priority="6020" stopIfTrue="1" operator="notEqual">
      <formula>0</formula>
    </cfRule>
  </conditionalFormatting>
  <conditionalFormatting sqref="GV187">
    <cfRule type="cellIs" dxfId="5728" priority="6018" stopIfTrue="1" operator="equal">
      <formula>"STOP"</formula>
    </cfRule>
  </conditionalFormatting>
  <conditionalFormatting sqref="Q181">
    <cfRule type="cellIs" dxfId="5727" priority="6012" stopIfTrue="1" operator="equal">
      <formula>"SIM"</formula>
    </cfRule>
    <cfRule type="cellIs" dxfId="5726" priority="6013" stopIfTrue="1" operator="equal">
      <formula>"NÃO"</formula>
    </cfRule>
  </conditionalFormatting>
  <conditionalFormatting sqref="BF181 CJ181 DO181">
    <cfRule type="cellIs" dxfId="5725" priority="6008" stopIfTrue="1" operator="equal">
      <formula>0</formula>
    </cfRule>
    <cfRule type="cellIs" dxfId="5724" priority="6014" stopIfTrue="1" operator="notEqual">
      <formula>0</formula>
    </cfRule>
  </conditionalFormatting>
  <conditionalFormatting sqref="C181:D181">
    <cfRule type="expression" dxfId="5723" priority="6011" stopIfTrue="1">
      <formula>IF(AND($C181&lt;&gt;"",$H181+$L181=0),TRUE)</formula>
    </cfRule>
  </conditionalFormatting>
  <conditionalFormatting sqref="P181">
    <cfRule type="cellIs" dxfId="5722" priority="6000" stopIfTrue="1" operator="equal">
      <formula>1</formula>
    </cfRule>
    <cfRule type="cellIs" dxfId="5721" priority="6009" stopIfTrue="1" operator="equal">
      <formula>2</formula>
    </cfRule>
    <cfRule type="cellIs" dxfId="5720" priority="6010" stopIfTrue="1" operator="equal">
      <formula>"X"</formula>
    </cfRule>
  </conditionalFormatting>
  <conditionalFormatting sqref="GU181">
    <cfRule type="cellIs" dxfId="5719" priority="6002" stopIfTrue="1" operator="equal">
      <formula>0</formula>
    </cfRule>
    <cfRule type="cellIs" dxfId="5718" priority="6003" stopIfTrue="1" operator="notEqual">
      <formula>0</formula>
    </cfRule>
  </conditionalFormatting>
  <conditionalFormatting sqref="GV181">
    <cfRule type="cellIs" dxfId="5717" priority="6001" stopIfTrue="1" operator="equal">
      <formula>"STOP"</formula>
    </cfRule>
  </conditionalFormatting>
  <conditionalFormatting sqref="Q179">
    <cfRule type="cellIs" dxfId="5716" priority="10279" stopIfTrue="1" operator="equal">
      <formula>"SIM"</formula>
    </cfRule>
    <cfRule type="cellIs" dxfId="5715" priority="10280" stopIfTrue="1" operator="equal">
      <formula>"NÃO"</formula>
    </cfRule>
  </conditionalFormatting>
  <conditionalFormatting sqref="BF179 CJ179 DO179">
    <cfRule type="cellIs" dxfId="5714" priority="10275" stopIfTrue="1" operator="equal">
      <formula>0</formula>
    </cfRule>
    <cfRule type="cellIs" dxfId="5713" priority="10281" stopIfTrue="1" operator="notEqual">
      <formula>0</formula>
    </cfRule>
  </conditionalFormatting>
  <conditionalFormatting sqref="C179:D179">
    <cfRule type="expression" dxfId="5712" priority="10278" stopIfTrue="1">
      <formula>IF(AND($C179&lt;&gt;"",$H179+$L179=0),TRUE)</formula>
    </cfRule>
  </conditionalFormatting>
  <conditionalFormatting sqref="P179">
    <cfRule type="cellIs" dxfId="5711" priority="10267" stopIfTrue="1" operator="equal">
      <formula>1</formula>
    </cfRule>
    <cfRule type="cellIs" dxfId="5710" priority="10276" stopIfTrue="1" operator="equal">
      <formula>2</formula>
    </cfRule>
    <cfRule type="cellIs" dxfId="5709" priority="10277" stopIfTrue="1" operator="equal">
      <formula>"X"</formula>
    </cfRule>
  </conditionalFormatting>
  <conditionalFormatting sqref="GU179">
    <cfRule type="cellIs" dxfId="5708" priority="10269" stopIfTrue="1" operator="equal">
      <formula>0</formula>
    </cfRule>
    <cfRule type="cellIs" dxfId="5707" priority="10270" stopIfTrue="1" operator="notEqual">
      <formula>0</formula>
    </cfRule>
  </conditionalFormatting>
  <conditionalFormatting sqref="GV179">
    <cfRule type="cellIs" dxfId="5706" priority="10268" stopIfTrue="1" operator="equal">
      <formula>"STOP"</formula>
    </cfRule>
  </conditionalFormatting>
  <conditionalFormatting sqref="Q180">
    <cfRule type="cellIs" dxfId="5705" priority="10262" stopIfTrue="1" operator="equal">
      <formula>"SIM"</formula>
    </cfRule>
    <cfRule type="cellIs" dxfId="5704" priority="10263" stopIfTrue="1" operator="equal">
      <formula>"NÃO"</formula>
    </cfRule>
  </conditionalFormatting>
  <conditionalFormatting sqref="BF180 CJ180 DO180">
    <cfRule type="cellIs" dxfId="5703" priority="10258" stopIfTrue="1" operator="equal">
      <formula>0</formula>
    </cfRule>
    <cfRule type="cellIs" dxfId="5702" priority="10264" stopIfTrue="1" operator="notEqual">
      <formula>0</formula>
    </cfRule>
  </conditionalFormatting>
  <conditionalFormatting sqref="C180:D180">
    <cfRule type="expression" dxfId="5701" priority="10261" stopIfTrue="1">
      <formula>IF(AND($C180&lt;&gt;"",$H180+$L180=0),TRUE)</formula>
    </cfRule>
  </conditionalFormatting>
  <conditionalFormatting sqref="P180">
    <cfRule type="cellIs" dxfId="5700" priority="10250" stopIfTrue="1" operator="equal">
      <formula>1</formula>
    </cfRule>
    <cfRule type="cellIs" dxfId="5699" priority="10259" stopIfTrue="1" operator="equal">
      <formula>2</formula>
    </cfRule>
    <cfRule type="cellIs" dxfId="5698" priority="10260" stopIfTrue="1" operator="equal">
      <formula>"X"</formula>
    </cfRule>
  </conditionalFormatting>
  <conditionalFormatting sqref="GU180">
    <cfRule type="cellIs" dxfId="5697" priority="10252" stopIfTrue="1" operator="equal">
      <formula>0</formula>
    </cfRule>
    <cfRule type="cellIs" dxfId="5696" priority="10253" stopIfTrue="1" operator="notEqual">
      <formula>0</formula>
    </cfRule>
  </conditionalFormatting>
  <conditionalFormatting sqref="GV180">
    <cfRule type="cellIs" dxfId="5695" priority="10251" stopIfTrue="1" operator="equal">
      <formula>"STOP"</formula>
    </cfRule>
  </conditionalFormatting>
  <conditionalFormatting sqref="Q181">
    <cfRule type="cellIs" dxfId="5694" priority="10245" stopIfTrue="1" operator="equal">
      <formula>"SIM"</formula>
    </cfRule>
    <cfRule type="cellIs" dxfId="5693" priority="10246" stopIfTrue="1" operator="equal">
      <formula>"NÃO"</formula>
    </cfRule>
  </conditionalFormatting>
  <conditionalFormatting sqref="BF181 CJ181 DO181">
    <cfRule type="cellIs" dxfId="5692" priority="10241" stopIfTrue="1" operator="equal">
      <formula>0</formula>
    </cfRule>
    <cfRule type="cellIs" dxfId="5691" priority="10247" stopIfTrue="1" operator="notEqual">
      <formula>0</formula>
    </cfRule>
  </conditionalFormatting>
  <conditionalFormatting sqref="C181:D181">
    <cfRule type="expression" dxfId="5690" priority="10244" stopIfTrue="1">
      <formula>IF(AND($C181&lt;&gt;"",$H181+$L181=0),TRUE)</formula>
    </cfRule>
  </conditionalFormatting>
  <conditionalFormatting sqref="P181">
    <cfRule type="cellIs" dxfId="5689" priority="10233" stopIfTrue="1" operator="equal">
      <formula>1</formula>
    </cfRule>
    <cfRule type="cellIs" dxfId="5688" priority="10242" stopIfTrue="1" operator="equal">
      <formula>2</formula>
    </cfRule>
    <cfRule type="cellIs" dxfId="5687" priority="10243" stopIfTrue="1" operator="equal">
      <formula>"X"</formula>
    </cfRule>
  </conditionalFormatting>
  <conditionalFormatting sqref="GU181">
    <cfRule type="cellIs" dxfId="5686" priority="10235" stopIfTrue="1" operator="equal">
      <formula>0</formula>
    </cfRule>
    <cfRule type="cellIs" dxfId="5685" priority="10236" stopIfTrue="1" operator="notEqual">
      <formula>0</formula>
    </cfRule>
  </conditionalFormatting>
  <conditionalFormatting sqref="GV181">
    <cfRule type="cellIs" dxfId="5684" priority="10234" stopIfTrue="1" operator="equal">
      <formula>"STOP"</formula>
    </cfRule>
  </conditionalFormatting>
  <conditionalFormatting sqref="Q182">
    <cfRule type="cellIs" dxfId="5683" priority="10228" stopIfTrue="1" operator="equal">
      <formula>"SIM"</formula>
    </cfRule>
    <cfRule type="cellIs" dxfId="5682" priority="10229" stopIfTrue="1" operator="equal">
      <formula>"NÃO"</formula>
    </cfRule>
  </conditionalFormatting>
  <conditionalFormatting sqref="BF182 CJ182 DO182">
    <cfRule type="cellIs" dxfId="5681" priority="10224" stopIfTrue="1" operator="equal">
      <formula>0</formula>
    </cfRule>
    <cfRule type="cellIs" dxfId="5680" priority="10230" stopIfTrue="1" operator="notEqual">
      <formula>0</formula>
    </cfRule>
  </conditionalFormatting>
  <conditionalFormatting sqref="C182:D182">
    <cfRule type="expression" dxfId="5679" priority="10227" stopIfTrue="1">
      <formula>IF(AND($C182&lt;&gt;"",$H182+$L182=0),TRUE)</formula>
    </cfRule>
  </conditionalFormatting>
  <conditionalFormatting sqref="P182">
    <cfRule type="cellIs" dxfId="5678" priority="10216" stopIfTrue="1" operator="equal">
      <formula>1</formula>
    </cfRule>
    <cfRule type="cellIs" dxfId="5677" priority="10225" stopIfTrue="1" operator="equal">
      <formula>2</formula>
    </cfRule>
    <cfRule type="cellIs" dxfId="5676" priority="10226" stopIfTrue="1" operator="equal">
      <formula>"X"</formula>
    </cfRule>
  </conditionalFormatting>
  <conditionalFormatting sqref="GU182">
    <cfRule type="cellIs" dxfId="5675" priority="10218" stopIfTrue="1" operator="equal">
      <formula>0</formula>
    </cfRule>
    <cfRule type="cellIs" dxfId="5674" priority="10219" stopIfTrue="1" operator="notEqual">
      <formula>0</formula>
    </cfRule>
  </conditionalFormatting>
  <conditionalFormatting sqref="GV182">
    <cfRule type="cellIs" dxfId="5673" priority="10217" stopIfTrue="1" operator="equal">
      <formula>"STOP"</formula>
    </cfRule>
  </conditionalFormatting>
  <conditionalFormatting sqref="Q176">
    <cfRule type="cellIs" dxfId="5672" priority="10211" stopIfTrue="1" operator="equal">
      <formula>"SIM"</formula>
    </cfRule>
    <cfRule type="cellIs" dxfId="5671" priority="10212" stopIfTrue="1" operator="equal">
      <formula>"NÃO"</formula>
    </cfRule>
  </conditionalFormatting>
  <conditionalFormatting sqref="BF176 CJ176 DO176">
    <cfRule type="cellIs" dxfId="5670" priority="10207" stopIfTrue="1" operator="equal">
      <formula>0</formula>
    </cfRule>
    <cfRule type="cellIs" dxfId="5669" priority="10213" stopIfTrue="1" operator="notEqual">
      <formula>0</formula>
    </cfRule>
  </conditionalFormatting>
  <conditionalFormatting sqref="C176:D176">
    <cfRule type="expression" dxfId="5668" priority="10210" stopIfTrue="1">
      <formula>IF(AND($C176&lt;&gt;"",$H176+$L176=0),TRUE)</formula>
    </cfRule>
  </conditionalFormatting>
  <conditionalFormatting sqref="P176">
    <cfRule type="cellIs" dxfId="5667" priority="10199" stopIfTrue="1" operator="equal">
      <formula>1</formula>
    </cfRule>
    <cfRule type="cellIs" dxfId="5666" priority="10208" stopIfTrue="1" operator="equal">
      <formula>2</formula>
    </cfRule>
    <cfRule type="cellIs" dxfId="5665" priority="10209" stopIfTrue="1" operator="equal">
      <formula>"X"</formula>
    </cfRule>
  </conditionalFormatting>
  <conditionalFormatting sqref="GU176">
    <cfRule type="cellIs" dxfId="5664" priority="10201" stopIfTrue="1" operator="equal">
      <formula>0</formula>
    </cfRule>
    <cfRule type="cellIs" dxfId="5663" priority="10202" stopIfTrue="1" operator="notEqual">
      <formula>0</formula>
    </cfRule>
  </conditionalFormatting>
  <conditionalFormatting sqref="GV176">
    <cfRule type="cellIs" dxfId="5662" priority="10200" stopIfTrue="1" operator="equal">
      <formula>"STOP"</formula>
    </cfRule>
  </conditionalFormatting>
  <conditionalFormatting sqref="Q184">
    <cfRule type="cellIs" dxfId="5661" priority="5910" stopIfTrue="1" operator="equal">
      <formula>"SIM"</formula>
    </cfRule>
    <cfRule type="cellIs" dxfId="5660" priority="5911" stopIfTrue="1" operator="equal">
      <formula>"NÃO"</formula>
    </cfRule>
  </conditionalFormatting>
  <conditionalFormatting sqref="BF184 CJ184 DO184">
    <cfRule type="cellIs" dxfId="5659" priority="5906" stopIfTrue="1" operator="equal">
      <formula>0</formula>
    </cfRule>
    <cfRule type="cellIs" dxfId="5658" priority="5912" stopIfTrue="1" operator="notEqual">
      <formula>0</formula>
    </cfRule>
  </conditionalFormatting>
  <conditionalFormatting sqref="C184:D184">
    <cfRule type="expression" dxfId="5657" priority="5909" stopIfTrue="1">
      <formula>IF(AND($C184&lt;&gt;"",$H184+$L184=0),TRUE)</formula>
    </cfRule>
  </conditionalFormatting>
  <conditionalFormatting sqref="P184">
    <cfRule type="cellIs" dxfId="5656" priority="5898" stopIfTrue="1" operator="equal">
      <formula>1</formula>
    </cfRule>
    <cfRule type="cellIs" dxfId="5655" priority="5907" stopIfTrue="1" operator="equal">
      <formula>2</formula>
    </cfRule>
    <cfRule type="cellIs" dxfId="5654" priority="5908" stopIfTrue="1" operator="equal">
      <formula>"X"</formula>
    </cfRule>
  </conditionalFormatting>
  <conditionalFormatting sqref="GU184">
    <cfRule type="cellIs" dxfId="5653" priority="5900" stopIfTrue="1" operator="equal">
      <formula>0</formula>
    </cfRule>
    <cfRule type="cellIs" dxfId="5652" priority="5901" stopIfTrue="1" operator="notEqual">
      <formula>0</formula>
    </cfRule>
  </conditionalFormatting>
  <conditionalFormatting sqref="GV184">
    <cfRule type="cellIs" dxfId="5651" priority="5899" stopIfTrue="1" operator="equal">
      <formula>"STOP"</formula>
    </cfRule>
  </conditionalFormatting>
  <conditionalFormatting sqref="Q182">
    <cfRule type="cellIs" dxfId="5650" priority="5893" stopIfTrue="1" operator="equal">
      <formula>"SIM"</formula>
    </cfRule>
    <cfRule type="cellIs" dxfId="5649" priority="5894" stopIfTrue="1" operator="equal">
      <formula>"NÃO"</formula>
    </cfRule>
  </conditionalFormatting>
  <conditionalFormatting sqref="BF182 CJ182 DO182">
    <cfRule type="cellIs" dxfId="5648" priority="5889" stopIfTrue="1" operator="equal">
      <formula>0</formula>
    </cfRule>
    <cfRule type="cellIs" dxfId="5647" priority="5895" stopIfTrue="1" operator="notEqual">
      <formula>0</formula>
    </cfRule>
  </conditionalFormatting>
  <conditionalFormatting sqref="C182:D182">
    <cfRule type="expression" dxfId="5646" priority="5892" stopIfTrue="1">
      <formula>IF(AND($C182&lt;&gt;"",$H182+$L182=0),TRUE)</formula>
    </cfRule>
  </conditionalFormatting>
  <conditionalFormatting sqref="P182">
    <cfRule type="cellIs" dxfId="5645" priority="5881" stopIfTrue="1" operator="equal">
      <formula>1</formula>
    </cfRule>
    <cfRule type="cellIs" dxfId="5644" priority="5890" stopIfTrue="1" operator="equal">
      <formula>2</formula>
    </cfRule>
    <cfRule type="cellIs" dxfId="5643" priority="5891" stopIfTrue="1" operator="equal">
      <formula>"X"</formula>
    </cfRule>
  </conditionalFormatting>
  <conditionalFormatting sqref="GU182">
    <cfRule type="cellIs" dxfId="5642" priority="5883" stopIfTrue="1" operator="equal">
      <formula>0</formula>
    </cfRule>
    <cfRule type="cellIs" dxfId="5641" priority="5884" stopIfTrue="1" operator="notEqual">
      <formula>0</formula>
    </cfRule>
  </conditionalFormatting>
  <conditionalFormatting sqref="GV182">
    <cfRule type="cellIs" dxfId="5640" priority="5882" stopIfTrue="1" operator="equal">
      <formula>"STOP"</formula>
    </cfRule>
  </conditionalFormatting>
  <conditionalFormatting sqref="Q176">
    <cfRule type="cellIs" dxfId="5639" priority="10194" stopIfTrue="1" operator="equal">
      <formula>"SIM"</formula>
    </cfRule>
    <cfRule type="cellIs" dxfId="5638" priority="10195" stopIfTrue="1" operator="equal">
      <formula>"NÃO"</formula>
    </cfRule>
  </conditionalFormatting>
  <conditionalFormatting sqref="BF176 CJ176 DO176">
    <cfRule type="cellIs" dxfId="5637" priority="10190" stopIfTrue="1" operator="equal">
      <formula>0</formula>
    </cfRule>
    <cfRule type="cellIs" dxfId="5636" priority="10196" stopIfTrue="1" operator="notEqual">
      <formula>0</formula>
    </cfRule>
  </conditionalFormatting>
  <conditionalFormatting sqref="C176:D176">
    <cfRule type="expression" dxfId="5635" priority="10193" stopIfTrue="1">
      <formula>IF(AND($C176&lt;&gt;"",$H176+$L176=0),TRUE)</formula>
    </cfRule>
  </conditionalFormatting>
  <conditionalFormatting sqref="P176">
    <cfRule type="cellIs" dxfId="5634" priority="10182" stopIfTrue="1" operator="equal">
      <formula>1</formula>
    </cfRule>
    <cfRule type="cellIs" dxfId="5633" priority="10191" stopIfTrue="1" operator="equal">
      <formula>2</formula>
    </cfRule>
    <cfRule type="cellIs" dxfId="5632" priority="10192" stopIfTrue="1" operator="equal">
      <formula>"X"</formula>
    </cfRule>
  </conditionalFormatting>
  <conditionalFormatting sqref="GU176">
    <cfRule type="cellIs" dxfId="5631" priority="10184" stopIfTrue="1" operator="equal">
      <formula>0</formula>
    </cfRule>
    <cfRule type="cellIs" dxfId="5630" priority="10185" stopIfTrue="1" operator="notEqual">
      <formula>0</formula>
    </cfRule>
  </conditionalFormatting>
  <conditionalFormatting sqref="GV176">
    <cfRule type="cellIs" dxfId="5629" priority="10183" stopIfTrue="1" operator="equal">
      <formula>"STOP"</formula>
    </cfRule>
  </conditionalFormatting>
  <conditionalFormatting sqref="Q184">
    <cfRule type="cellIs" dxfId="5628" priority="5859" stopIfTrue="1" operator="equal">
      <formula>"SIM"</formula>
    </cfRule>
    <cfRule type="cellIs" dxfId="5627" priority="5860" stopIfTrue="1" operator="equal">
      <formula>"NÃO"</formula>
    </cfRule>
  </conditionalFormatting>
  <conditionalFormatting sqref="BF184 CJ184 DO184">
    <cfRule type="cellIs" dxfId="5626" priority="5855" stopIfTrue="1" operator="equal">
      <formula>0</formula>
    </cfRule>
    <cfRule type="cellIs" dxfId="5625" priority="5861" stopIfTrue="1" operator="notEqual">
      <formula>0</formula>
    </cfRule>
  </conditionalFormatting>
  <conditionalFormatting sqref="C184:D184">
    <cfRule type="expression" dxfId="5624" priority="5858" stopIfTrue="1">
      <formula>IF(AND($C184&lt;&gt;"",$H184+$L184=0),TRUE)</formula>
    </cfRule>
  </conditionalFormatting>
  <conditionalFormatting sqref="P184">
    <cfRule type="cellIs" dxfId="5623" priority="5847" stopIfTrue="1" operator="equal">
      <formula>1</formula>
    </cfRule>
    <cfRule type="cellIs" dxfId="5622" priority="5856" stopIfTrue="1" operator="equal">
      <formula>2</formula>
    </cfRule>
    <cfRule type="cellIs" dxfId="5621" priority="5857" stopIfTrue="1" operator="equal">
      <formula>"X"</formula>
    </cfRule>
  </conditionalFormatting>
  <conditionalFormatting sqref="GU184">
    <cfRule type="cellIs" dxfId="5620" priority="5849" stopIfTrue="1" operator="equal">
      <formula>0</formula>
    </cfRule>
    <cfRule type="cellIs" dxfId="5619" priority="5850" stopIfTrue="1" operator="notEqual">
      <formula>0</formula>
    </cfRule>
  </conditionalFormatting>
  <conditionalFormatting sqref="GV184">
    <cfRule type="cellIs" dxfId="5618" priority="5848" stopIfTrue="1" operator="equal">
      <formula>"STOP"</formula>
    </cfRule>
  </conditionalFormatting>
  <conditionalFormatting sqref="Q181">
    <cfRule type="cellIs" dxfId="5617" priority="5842" stopIfTrue="1" operator="equal">
      <formula>"SIM"</formula>
    </cfRule>
    <cfRule type="cellIs" dxfId="5616" priority="5843" stopIfTrue="1" operator="equal">
      <formula>"NÃO"</formula>
    </cfRule>
  </conditionalFormatting>
  <conditionalFormatting sqref="BF181 CJ181 DO181">
    <cfRule type="cellIs" dxfId="5615" priority="5838" stopIfTrue="1" operator="equal">
      <formula>0</formula>
    </cfRule>
    <cfRule type="cellIs" dxfId="5614" priority="5844" stopIfTrue="1" operator="notEqual">
      <formula>0</formula>
    </cfRule>
  </conditionalFormatting>
  <conditionalFormatting sqref="C181:D181">
    <cfRule type="expression" dxfId="5613" priority="5841" stopIfTrue="1">
      <formula>IF(AND($C181&lt;&gt;"",$H181+$L181=0),TRUE)</formula>
    </cfRule>
  </conditionalFormatting>
  <conditionalFormatting sqref="P181">
    <cfRule type="cellIs" dxfId="5612" priority="5830" stopIfTrue="1" operator="equal">
      <formula>1</formula>
    </cfRule>
    <cfRule type="cellIs" dxfId="5611" priority="5839" stopIfTrue="1" operator="equal">
      <formula>2</formula>
    </cfRule>
    <cfRule type="cellIs" dxfId="5610" priority="5840" stopIfTrue="1" operator="equal">
      <formula>"X"</formula>
    </cfRule>
  </conditionalFormatting>
  <conditionalFormatting sqref="GU181">
    <cfRule type="cellIs" dxfId="5609" priority="5832" stopIfTrue="1" operator="equal">
      <formula>0</formula>
    </cfRule>
    <cfRule type="cellIs" dxfId="5608" priority="5833" stopIfTrue="1" operator="notEqual">
      <formula>0</formula>
    </cfRule>
  </conditionalFormatting>
  <conditionalFormatting sqref="GV181">
    <cfRule type="cellIs" dxfId="5607" priority="5831" stopIfTrue="1" operator="equal">
      <formula>"STOP"</formula>
    </cfRule>
  </conditionalFormatting>
  <conditionalFormatting sqref="Q179">
    <cfRule type="cellIs" dxfId="5606" priority="10177" stopIfTrue="1" operator="equal">
      <formula>"SIM"</formula>
    </cfRule>
    <cfRule type="cellIs" dxfId="5605" priority="10178" stopIfTrue="1" operator="equal">
      <formula>"NÃO"</formula>
    </cfRule>
  </conditionalFormatting>
  <conditionalFormatting sqref="BF179 CJ179 DO179">
    <cfRule type="cellIs" dxfId="5604" priority="10173" stopIfTrue="1" operator="equal">
      <formula>0</formula>
    </cfRule>
    <cfRule type="cellIs" dxfId="5603" priority="10179" stopIfTrue="1" operator="notEqual">
      <formula>0</formula>
    </cfRule>
  </conditionalFormatting>
  <conditionalFormatting sqref="C179:D179">
    <cfRule type="expression" dxfId="5602" priority="10176" stopIfTrue="1">
      <formula>IF(AND($C179&lt;&gt;"",$H179+$L179=0),TRUE)</formula>
    </cfRule>
  </conditionalFormatting>
  <conditionalFormatting sqref="P179">
    <cfRule type="cellIs" dxfId="5601" priority="10165" stopIfTrue="1" operator="equal">
      <formula>1</formula>
    </cfRule>
    <cfRule type="cellIs" dxfId="5600" priority="10174" stopIfTrue="1" operator="equal">
      <formula>2</formula>
    </cfRule>
    <cfRule type="cellIs" dxfId="5599" priority="10175" stopIfTrue="1" operator="equal">
      <formula>"X"</formula>
    </cfRule>
  </conditionalFormatting>
  <conditionalFormatting sqref="GU179">
    <cfRule type="cellIs" dxfId="5598" priority="10167" stopIfTrue="1" operator="equal">
      <formula>0</formula>
    </cfRule>
    <cfRule type="cellIs" dxfId="5597" priority="10168" stopIfTrue="1" operator="notEqual">
      <formula>0</formula>
    </cfRule>
  </conditionalFormatting>
  <conditionalFormatting sqref="GV179">
    <cfRule type="cellIs" dxfId="5596" priority="10166" stopIfTrue="1" operator="equal">
      <formula>"STOP"</formula>
    </cfRule>
  </conditionalFormatting>
  <conditionalFormatting sqref="Q183">
    <cfRule type="cellIs" dxfId="5595" priority="5808" stopIfTrue="1" operator="equal">
      <formula>"SIM"</formula>
    </cfRule>
    <cfRule type="cellIs" dxfId="5594" priority="5809" stopIfTrue="1" operator="equal">
      <formula>"NÃO"</formula>
    </cfRule>
  </conditionalFormatting>
  <conditionalFormatting sqref="BF183 CJ183 DO183">
    <cfRule type="cellIs" dxfId="5593" priority="5804" stopIfTrue="1" operator="equal">
      <formula>0</formula>
    </cfRule>
    <cfRule type="cellIs" dxfId="5592" priority="5810" stopIfTrue="1" operator="notEqual">
      <formula>0</formula>
    </cfRule>
  </conditionalFormatting>
  <conditionalFormatting sqref="C183:D183">
    <cfRule type="expression" dxfId="5591" priority="5807" stopIfTrue="1">
      <formula>IF(AND($C183&lt;&gt;"",$H183+$L183=0),TRUE)</formula>
    </cfRule>
  </conditionalFormatting>
  <conditionalFormatting sqref="P183">
    <cfRule type="cellIs" dxfId="5590" priority="5796" stopIfTrue="1" operator="equal">
      <formula>1</formula>
    </cfRule>
    <cfRule type="cellIs" dxfId="5589" priority="5805" stopIfTrue="1" operator="equal">
      <formula>2</formula>
    </cfRule>
    <cfRule type="cellIs" dxfId="5588" priority="5806" stopIfTrue="1" operator="equal">
      <formula>"X"</formula>
    </cfRule>
  </conditionalFormatting>
  <conditionalFormatting sqref="GU183">
    <cfRule type="cellIs" dxfId="5587" priority="5798" stopIfTrue="1" operator="equal">
      <formula>0</formula>
    </cfRule>
    <cfRule type="cellIs" dxfId="5586" priority="5799" stopIfTrue="1" operator="notEqual">
      <formula>0</formula>
    </cfRule>
  </conditionalFormatting>
  <conditionalFormatting sqref="GV183">
    <cfRule type="cellIs" dxfId="5585" priority="5797" stopIfTrue="1" operator="equal">
      <formula>"STOP"</formula>
    </cfRule>
  </conditionalFormatting>
  <conditionalFormatting sqref="Q184">
    <cfRule type="cellIs" dxfId="5584" priority="5791" stopIfTrue="1" operator="equal">
      <formula>"SIM"</formula>
    </cfRule>
    <cfRule type="cellIs" dxfId="5583" priority="5792" stopIfTrue="1" operator="equal">
      <formula>"NÃO"</formula>
    </cfRule>
  </conditionalFormatting>
  <conditionalFormatting sqref="BF184 CJ184 DO184">
    <cfRule type="cellIs" dxfId="5582" priority="5787" stopIfTrue="1" operator="equal">
      <formula>0</formula>
    </cfRule>
    <cfRule type="cellIs" dxfId="5581" priority="5793" stopIfTrue="1" operator="notEqual">
      <formula>0</formula>
    </cfRule>
  </conditionalFormatting>
  <conditionalFormatting sqref="C184:D184">
    <cfRule type="expression" dxfId="5580" priority="5790" stopIfTrue="1">
      <formula>IF(AND($C184&lt;&gt;"",$H184+$L184=0),TRUE)</formula>
    </cfRule>
  </conditionalFormatting>
  <conditionalFormatting sqref="P184">
    <cfRule type="cellIs" dxfId="5579" priority="5779" stopIfTrue="1" operator="equal">
      <formula>1</formula>
    </cfRule>
    <cfRule type="cellIs" dxfId="5578" priority="5788" stopIfTrue="1" operator="equal">
      <formula>2</formula>
    </cfRule>
    <cfRule type="cellIs" dxfId="5577" priority="5789" stopIfTrue="1" operator="equal">
      <formula>"X"</formula>
    </cfRule>
  </conditionalFormatting>
  <conditionalFormatting sqref="GU184">
    <cfRule type="cellIs" dxfId="5576" priority="5781" stopIfTrue="1" operator="equal">
      <formula>0</formula>
    </cfRule>
    <cfRule type="cellIs" dxfId="5575" priority="5782" stopIfTrue="1" operator="notEqual">
      <formula>0</formula>
    </cfRule>
  </conditionalFormatting>
  <conditionalFormatting sqref="GV184">
    <cfRule type="cellIs" dxfId="5574" priority="5780" stopIfTrue="1" operator="equal">
      <formula>"STOP"</formula>
    </cfRule>
  </conditionalFormatting>
  <conditionalFormatting sqref="Q179">
    <cfRule type="cellIs" dxfId="5573" priority="10160" stopIfTrue="1" operator="equal">
      <formula>"SIM"</formula>
    </cfRule>
    <cfRule type="cellIs" dxfId="5572" priority="10161" stopIfTrue="1" operator="equal">
      <formula>"NÃO"</formula>
    </cfRule>
  </conditionalFormatting>
  <conditionalFormatting sqref="BF179 CJ179 DO179">
    <cfRule type="cellIs" dxfId="5571" priority="10156" stopIfTrue="1" operator="equal">
      <formula>0</formula>
    </cfRule>
    <cfRule type="cellIs" dxfId="5570" priority="10162" stopIfTrue="1" operator="notEqual">
      <formula>0</formula>
    </cfRule>
  </conditionalFormatting>
  <conditionalFormatting sqref="C179:D179">
    <cfRule type="expression" dxfId="5569" priority="10159" stopIfTrue="1">
      <formula>IF(AND($C179&lt;&gt;"",$H179+$L179=0),TRUE)</formula>
    </cfRule>
  </conditionalFormatting>
  <conditionalFormatting sqref="P179">
    <cfRule type="cellIs" dxfId="5568" priority="10148" stopIfTrue="1" operator="equal">
      <formula>1</formula>
    </cfRule>
    <cfRule type="cellIs" dxfId="5567" priority="10157" stopIfTrue="1" operator="equal">
      <formula>2</formula>
    </cfRule>
    <cfRule type="cellIs" dxfId="5566" priority="10158" stopIfTrue="1" operator="equal">
      <formula>"X"</formula>
    </cfRule>
  </conditionalFormatting>
  <conditionalFormatting sqref="GU179">
    <cfRule type="cellIs" dxfId="5565" priority="10150" stopIfTrue="1" operator="equal">
      <formula>0</formula>
    </cfRule>
    <cfRule type="cellIs" dxfId="5564" priority="10151" stopIfTrue="1" operator="notEqual">
      <formula>0</formula>
    </cfRule>
  </conditionalFormatting>
  <conditionalFormatting sqref="GV179">
    <cfRule type="cellIs" dxfId="5563" priority="10149" stopIfTrue="1" operator="equal">
      <formula>"STOP"</formula>
    </cfRule>
  </conditionalFormatting>
  <conditionalFormatting sqref="Q176">
    <cfRule type="cellIs" dxfId="5562" priority="10143" stopIfTrue="1" operator="equal">
      <formula>"SIM"</formula>
    </cfRule>
    <cfRule type="cellIs" dxfId="5561" priority="10144" stopIfTrue="1" operator="equal">
      <formula>"NÃO"</formula>
    </cfRule>
  </conditionalFormatting>
  <conditionalFormatting sqref="BF176 CJ176 DO176">
    <cfRule type="cellIs" dxfId="5560" priority="10139" stopIfTrue="1" operator="equal">
      <formula>0</formula>
    </cfRule>
    <cfRule type="cellIs" dxfId="5559" priority="10145" stopIfTrue="1" operator="notEqual">
      <formula>0</formula>
    </cfRule>
  </conditionalFormatting>
  <conditionalFormatting sqref="C176:D176">
    <cfRule type="expression" dxfId="5558" priority="10142" stopIfTrue="1">
      <formula>IF(AND($C176&lt;&gt;"",$H176+$L176=0),TRUE)</formula>
    </cfRule>
  </conditionalFormatting>
  <conditionalFormatting sqref="P176">
    <cfRule type="cellIs" dxfId="5557" priority="10131" stopIfTrue="1" operator="equal">
      <formula>1</formula>
    </cfRule>
    <cfRule type="cellIs" dxfId="5556" priority="10140" stopIfTrue="1" operator="equal">
      <formula>2</formula>
    </cfRule>
    <cfRule type="cellIs" dxfId="5555" priority="10141" stopIfTrue="1" operator="equal">
      <formula>"X"</formula>
    </cfRule>
  </conditionalFormatting>
  <conditionalFormatting sqref="GU176">
    <cfRule type="cellIs" dxfId="5554" priority="10133" stopIfTrue="1" operator="equal">
      <formula>0</formula>
    </cfRule>
    <cfRule type="cellIs" dxfId="5553" priority="10134" stopIfTrue="1" operator="notEqual">
      <formula>0</formula>
    </cfRule>
  </conditionalFormatting>
  <conditionalFormatting sqref="GV176">
    <cfRule type="cellIs" dxfId="5552" priority="10132" stopIfTrue="1" operator="equal">
      <formula>"STOP"</formula>
    </cfRule>
  </conditionalFormatting>
  <conditionalFormatting sqref="Q182">
    <cfRule type="cellIs" dxfId="5551" priority="5740" stopIfTrue="1" operator="equal">
      <formula>"SIM"</formula>
    </cfRule>
    <cfRule type="cellIs" dxfId="5550" priority="5741" stopIfTrue="1" operator="equal">
      <formula>"NÃO"</formula>
    </cfRule>
  </conditionalFormatting>
  <conditionalFormatting sqref="BF182 CJ182 DO182">
    <cfRule type="cellIs" dxfId="5549" priority="5736" stopIfTrue="1" operator="equal">
      <formula>0</formula>
    </cfRule>
    <cfRule type="cellIs" dxfId="5548" priority="5742" stopIfTrue="1" operator="notEqual">
      <formula>0</formula>
    </cfRule>
  </conditionalFormatting>
  <conditionalFormatting sqref="C182:D182">
    <cfRule type="expression" dxfId="5547" priority="5739" stopIfTrue="1">
      <formula>IF(AND($C182&lt;&gt;"",$H182+$L182=0),TRUE)</formula>
    </cfRule>
  </conditionalFormatting>
  <conditionalFormatting sqref="P182">
    <cfRule type="cellIs" dxfId="5546" priority="5728" stopIfTrue="1" operator="equal">
      <formula>1</formula>
    </cfRule>
    <cfRule type="cellIs" dxfId="5545" priority="5737" stopIfTrue="1" operator="equal">
      <formula>2</formula>
    </cfRule>
    <cfRule type="cellIs" dxfId="5544" priority="5738" stopIfTrue="1" operator="equal">
      <formula>"X"</formula>
    </cfRule>
  </conditionalFormatting>
  <conditionalFormatting sqref="GU182">
    <cfRule type="cellIs" dxfId="5543" priority="5730" stopIfTrue="1" operator="equal">
      <formula>0</formula>
    </cfRule>
    <cfRule type="cellIs" dxfId="5542" priority="5731" stopIfTrue="1" operator="notEqual">
      <formula>0</formula>
    </cfRule>
  </conditionalFormatting>
  <conditionalFormatting sqref="GV182">
    <cfRule type="cellIs" dxfId="5541" priority="5729" stopIfTrue="1" operator="equal">
      <formula>"STOP"</formula>
    </cfRule>
  </conditionalFormatting>
  <conditionalFormatting sqref="Q183">
    <cfRule type="cellIs" dxfId="5540" priority="5723" stopIfTrue="1" operator="equal">
      <formula>"SIM"</formula>
    </cfRule>
    <cfRule type="cellIs" dxfId="5539" priority="5724" stopIfTrue="1" operator="equal">
      <formula>"NÃO"</formula>
    </cfRule>
  </conditionalFormatting>
  <conditionalFormatting sqref="BF183 CJ183 DO183">
    <cfRule type="cellIs" dxfId="5538" priority="5719" stopIfTrue="1" operator="equal">
      <formula>0</formula>
    </cfRule>
    <cfRule type="cellIs" dxfId="5537" priority="5725" stopIfTrue="1" operator="notEqual">
      <formula>0</formula>
    </cfRule>
  </conditionalFormatting>
  <conditionalFormatting sqref="C183:D183">
    <cfRule type="expression" dxfId="5536" priority="5722" stopIfTrue="1">
      <formula>IF(AND($C183&lt;&gt;"",$H183+$L183=0),TRUE)</formula>
    </cfRule>
  </conditionalFormatting>
  <conditionalFormatting sqref="P183">
    <cfRule type="cellIs" dxfId="5535" priority="5711" stopIfTrue="1" operator="equal">
      <formula>1</formula>
    </cfRule>
    <cfRule type="cellIs" dxfId="5534" priority="5720" stopIfTrue="1" operator="equal">
      <formula>2</formula>
    </cfRule>
    <cfRule type="cellIs" dxfId="5533" priority="5721" stopIfTrue="1" operator="equal">
      <formula>"X"</formula>
    </cfRule>
  </conditionalFormatting>
  <conditionalFormatting sqref="GU183">
    <cfRule type="cellIs" dxfId="5532" priority="5713" stopIfTrue="1" operator="equal">
      <formula>0</formula>
    </cfRule>
    <cfRule type="cellIs" dxfId="5531" priority="5714" stopIfTrue="1" operator="notEqual">
      <formula>0</formula>
    </cfRule>
  </conditionalFormatting>
  <conditionalFormatting sqref="GV183">
    <cfRule type="cellIs" dxfId="5530" priority="5712" stopIfTrue="1" operator="equal">
      <formula>"STOP"</formula>
    </cfRule>
  </conditionalFormatting>
  <conditionalFormatting sqref="Q179">
    <cfRule type="cellIs" dxfId="5529" priority="10126" stopIfTrue="1" operator="equal">
      <formula>"SIM"</formula>
    </cfRule>
    <cfRule type="cellIs" dxfId="5528" priority="10127" stopIfTrue="1" operator="equal">
      <formula>"NÃO"</formula>
    </cfRule>
  </conditionalFormatting>
  <conditionalFormatting sqref="BF179 CJ179 DO179">
    <cfRule type="cellIs" dxfId="5527" priority="10122" stopIfTrue="1" operator="equal">
      <formula>0</formula>
    </cfRule>
    <cfRule type="cellIs" dxfId="5526" priority="10128" stopIfTrue="1" operator="notEqual">
      <formula>0</formula>
    </cfRule>
  </conditionalFormatting>
  <conditionalFormatting sqref="C179:D179">
    <cfRule type="expression" dxfId="5525" priority="10125" stopIfTrue="1">
      <formula>IF(AND($C179&lt;&gt;"",$H179+$L179=0),TRUE)</formula>
    </cfRule>
  </conditionalFormatting>
  <conditionalFormatting sqref="P179">
    <cfRule type="cellIs" dxfId="5524" priority="10114" stopIfTrue="1" operator="equal">
      <formula>1</formula>
    </cfRule>
    <cfRule type="cellIs" dxfId="5523" priority="10123" stopIfTrue="1" operator="equal">
      <formula>2</formula>
    </cfRule>
    <cfRule type="cellIs" dxfId="5522" priority="10124" stopIfTrue="1" operator="equal">
      <formula>"X"</formula>
    </cfRule>
  </conditionalFormatting>
  <conditionalFormatting sqref="GU179">
    <cfRule type="cellIs" dxfId="5521" priority="10116" stopIfTrue="1" operator="equal">
      <formula>0</formula>
    </cfRule>
    <cfRule type="cellIs" dxfId="5520" priority="10117" stopIfTrue="1" operator="notEqual">
      <formula>0</formula>
    </cfRule>
  </conditionalFormatting>
  <conditionalFormatting sqref="GV179">
    <cfRule type="cellIs" dxfId="5519" priority="10115" stopIfTrue="1" operator="equal">
      <formula>"STOP"</formula>
    </cfRule>
  </conditionalFormatting>
  <conditionalFormatting sqref="Q180">
    <cfRule type="cellIs" dxfId="5518" priority="10109" stopIfTrue="1" operator="equal">
      <formula>"SIM"</formula>
    </cfRule>
    <cfRule type="cellIs" dxfId="5517" priority="10110" stopIfTrue="1" operator="equal">
      <formula>"NÃO"</formula>
    </cfRule>
  </conditionalFormatting>
  <conditionalFormatting sqref="BF180 CJ180 DO180">
    <cfRule type="cellIs" dxfId="5516" priority="10105" stopIfTrue="1" operator="equal">
      <formula>0</formula>
    </cfRule>
    <cfRule type="cellIs" dxfId="5515" priority="10111" stopIfTrue="1" operator="notEqual">
      <formula>0</formula>
    </cfRule>
  </conditionalFormatting>
  <conditionalFormatting sqref="C180:D180">
    <cfRule type="expression" dxfId="5514" priority="10108" stopIfTrue="1">
      <formula>IF(AND($C180&lt;&gt;"",$H180+$L180=0),TRUE)</formula>
    </cfRule>
  </conditionalFormatting>
  <conditionalFormatting sqref="P180">
    <cfRule type="cellIs" dxfId="5513" priority="10097" stopIfTrue="1" operator="equal">
      <formula>1</formula>
    </cfRule>
    <cfRule type="cellIs" dxfId="5512" priority="10106" stopIfTrue="1" operator="equal">
      <formula>2</formula>
    </cfRule>
    <cfRule type="cellIs" dxfId="5511" priority="10107" stopIfTrue="1" operator="equal">
      <formula>"X"</formula>
    </cfRule>
  </conditionalFormatting>
  <conditionalFormatting sqref="GU180">
    <cfRule type="cellIs" dxfId="5510" priority="10099" stopIfTrue="1" operator="equal">
      <formula>0</formula>
    </cfRule>
    <cfRule type="cellIs" dxfId="5509" priority="10100" stopIfTrue="1" operator="notEqual">
      <formula>0</formula>
    </cfRule>
  </conditionalFormatting>
  <conditionalFormatting sqref="GV180">
    <cfRule type="cellIs" dxfId="5508" priority="10098" stopIfTrue="1" operator="equal">
      <formula>"STOP"</formula>
    </cfRule>
  </conditionalFormatting>
  <conditionalFormatting sqref="Q181">
    <cfRule type="cellIs" dxfId="5507" priority="10092" stopIfTrue="1" operator="equal">
      <formula>"SIM"</formula>
    </cfRule>
    <cfRule type="cellIs" dxfId="5506" priority="10093" stopIfTrue="1" operator="equal">
      <formula>"NÃO"</formula>
    </cfRule>
  </conditionalFormatting>
  <conditionalFormatting sqref="BF181 CJ181 DO181">
    <cfRule type="cellIs" dxfId="5505" priority="10088" stopIfTrue="1" operator="equal">
      <formula>0</formula>
    </cfRule>
    <cfRule type="cellIs" dxfId="5504" priority="10094" stopIfTrue="1" operator="notEqual">
      <formula>0</formula>
    </cfRule>
  </conditionalFormatting>
  <conditionalFormatting sqref="C181:D181">
    <cfRule type="expression" dxfId="5503" priority="10091" stopIfTrue="1">
      <formula>IF(AND($C181&lt;&gt;"",$H181+$L181=0),TRUE)</formula>
    </cfRule>
  </conditionalFormatting>
  <conditionalFormatting sqref="P181">
    <cfRule type="cellIs" dxfId="5502" priority="10080" stopIfTrue="1" operator="equal">
      <formula>1</formula>
    </cfRule>
    <cfRule type="cellIs" dxfId="5501" priority="10089" stopIfTrue="1" operator="equal">
      <formula>2</formula>
    </cfRule>
    <cfRule type="cellIs" dxfId="5500" priority="10090" stopIfTrue="1" operator="equal">
      <formula>"X"</formula>
    </cfRule>
  </conditionalFormatting>
  <conditionalFormatting sqref="GU181">
    <cfRule type="cellIs" dxfId="5499" priority="10082" stopIfTrue="1" operator="equal">
      <formula>0</formula>
    </cfRule>
    <cfRule type="cellIs" dxfId="5498" priority="10083" stopIfTrue="1" operator="notEqual">
      <formula>0</formula>
    </cfRule>
  </conditionalFormatting>
  <conditionalFormatting sqref="GV181">
    <cfRule type="cellIs" dxfId="5497" priority="10081" stopIfTrue="1" operator="equal">
      <formula>"STOP"</formula>
    </cfRule>
  </conditionalFormatting>
  <conditionalFormatting sqref="Q184">
    <cfRule type="cellIs" dxfId="5496" priority="5655" stopIfTrue="1" operator="equal">
      <formula>"SIM"</formula>
    </cfRule>
    <cfRule type="cellIs" dxfId="5495" priority="5656" stopIfTrue="1" operator="equal">
      <formula>"NÃO"</formula>
    </cfRule>
  </conditionalFormatting>
  <conditionalFormatting sqref="BF184 CJ184 DO184">
    <cfRule type="cellIs" dxfId="5494" priority="5651" stopIfTrue="1" operator="equal">
      <formula>0</formula>
    </cfRule>
    <cfRule type="cellIs" dxfId="5493" priority="5657" stopIfTrue="1" operator="notEqual">
      <formula>0</formula>
    </cfRule>
  </conditionalFormatting>
  <conditionalFormatting sqref="C184:D184">
    <cfRule type="expression" dxfId="5492" priority="5654" stopIfTrue="1">
      <formula>IF(AND($C184&lt;&gt;"",$H184+$L184=0),TRUE)</formula>
    </cfRule>
  </conditionalFormatting>
  <conditionalFormatting sqref="P184">
    <cfRule type="cellIs" dxfId="5491" priority="5643" stopIfTrue="1" operator="equal">
      <formula>1</formula>
    </cfRule>
    <cfRule type="cellIs" dxfId="5490" priority="5652" stopIfTrue="1" operator="equal">
      <formula>2</formula>
    </cfRule>
    <cfRule type="cellIs" dxfId="5489" priority="5653" stopIfTrue="1" operator="equal">
      <formula>"X"</formula>
    </cfRule>
  </conditionalFormatting>
  <conditionalFormatting sqref="GU184">
    <cfRule type="cellIs" dxfId="5488" priority="5645" stopIfTrue="1" operator="equal">
      <formula>0</formula>
    </cfRule>
    <cfRule type="cellIs" dxfId="5487" priority="5646" stopIfTrue="1" operator="notEqual">
      <formula>0</formula>
    </cfRule>
  </conditionalFormatting>
  <conditionalFormatting sqref="GV184">
    <cfRule type="cellIs" dxfId="5486" priority="5644" stopIfTrue="1" operator="equal">
      <formula>"STOP"</formula>
    </cfRule>
  </conditionalFormatting>
  <conditionalFormatting sqref="Q185">
    <cfRule type="cellIs" dxfId="5485" priority="5638" stopIfTrue="1" operator="equal">
      <formula>"SIM"</formula>
    </cfRule>
    <cfRule type="cellIs" dxfId="5484" priority="5639" stopIfTrue="1" operator="equal">
      <formula>"NÃO"</formula>
    </cfRule>
  </conditionalFormatting>
  <conditionalFormatting sqref="BF185 CJ185 DO185">
    <cfRule type="cellIs" dxfId="5483" priority="5634" stopIfTrue="1" operator="equal">
      <formula>0</formula>
    </cfRule>
    <cfRule type="cellIs" dxfId="5482" priority="5640" stopIfTrue="1" operator="notEqual">
      <formula>0</formula>
    </cfRule>
  </conditionalFormatting>
  <conditionalFormatting sqref="C185:D185">
    <cfRule type="expression" dxfId="5481" priority="5637" stopIfTrue="1">
      <formula>IF(AND($C185&lt;&gt;"",$H185+$L185=0),TRUE)</formula>
    </cfRule>
  </conditionalFormatting>
  <conditionalFormatting sqref="P185">
    <cfRule type="cellIs" dxfId="5480" priority="5626" stopIfTrue="1" operator="equal">
      <formula>1</formula>
    </cfRule>
    <cfRule type="cellIs" dxfId="5479" priority="5635" stopIfTrue="1" operator="equal">
      <formula>2</formula>
    </cfRule>
    <cfRule type="cellIs" dxfId="5478" priority="5636" stopIfTrue="1" operator="equal">
      <formula>"X"</formula>
    </cfRule>
  </conditionalFormatting>
  <conditionalFormatting sqref="GU185">
    <cfRule type="cellIs" dxfId="5477" priority="5628" stopIfTrue="1" operator="equal">
      <formula>0</formula>
    </cfRule>
    <cfRule type="cellIs" dxfId="5476" priority="5629" stopIfTrue="1" operator="notEqual">
      <formula>0</formula>
    </cfRule>
  </conditionalFormatting>
  <conditionalFormatting sqref="GV185">
    <cfRule type="cellIs" dxfId="5475" priority="5627" stopIfTrue="1" operator="equal">
      <formula>"STOP"</formula>
    </cfRule>
  </conditionalFormatting>
  <conditionalFormatting sqref="Q179">
    <cfRule type="cellIs" dxfId="5474" priority="10075" stopIfTrue="1" operator="equal">
      <formula>"SIM"</formula>
    </cfRule>
    <cfRule type="cellIs" dxfId="5473" priority="10076" stopIfTrue="1" operator="equal">
      <formula>"NÃO"</formula>
    </cfRule>
  </conditionalFormatting>
  <conditionalFormatting sqref="BF179 CJ179 DO179">
    <cfRule type="cellIs" dxfId="5472" priority="10071" stopIfTrue="1" operator="equal">
      <formula>0</formula>
    </cfRule>
    <cfRule type="cellIs" dxfId="5471" priority="10077" stopIfTrue="1" operator="notEqual">
      <formula>0</formula>
    </cfRule>
  </conditionalFormatting>
  <conditionalFormatting sqref="C179:D179">
    <cfRule type="expression" dxfId="5470" priority="10074" stopIfTrue="1">
      <formula>IF(AND($C179&lt;&gt;"",$H179+$L179=0),TRUE)</formula>
    </cfRule>
  </conditionalFormatting>
  <conditionalFormatting sqref="P179">
    <cfRule type="cellIs" dxfId="5469" priority="10063" stopIfTrue="1" operator="equal">
      <formula>1</formula>
    </cfRule>
    <cfRule type="cellIs" dxfId="5468" priority="10072" stopIfTrue="1" operator="equal">
      <formula>2</formula>
    </cfRule>
    <cfRule type="cellIs" dxfId="5467" priority="10073" stopIfTrue="1" operator="equal">
      <formula>"X"</formula>
    </cfRule>
  </conditionalFormatting>
  <conditionalFormatting sqref="GU179">
    <cfRule type="cellIs" dxfId="5466" priority="10065" stopIfTrue="1" operator="equal">
      <formula>0</formula>
    </cfRule>
    <cfRule type="cellIs" dxfId="5465" priority="10066" stopIfTrue="1" operator="notEqual">
      <formula>0</formula>
    </cfRule>
  </conditionalFormatting>
  <conditionalFormatting sqref="GV179">
    <cfRule type="cellIs" dxfId="5464" priority="10064" stopIfTrue="1" operator="equal">
      <formula>"STOP"</formula>
    </cfRule>
  </conditionalFormatting>
  <conditionalFormatting sqref="Q184">
    <cfRule type="cellIs" dxfId="5463" priority="5604" stopIfTrue="1" operator="equal">
      <formula>"SIM"</formula>
    </cfRule>
    <cfRule type="cellIs" dxfId="5462" priority="5605" stopIfTrue="1" operator="equal">
      <formula>"NÃO"</formula>
    </cfRule>
  </conditionalFormatting>
  <conditionalFormatting sqref="BF184 CJ184 DO184">
    <cfRule type="cellIs" dxfId="5461" priority="5600" stopIfTrue="1" operator="equal">
      <formula>0</formula>
    </cfRule>
    <cfRule type="cellIs" dxfId="5460" priority="5606" stopIfTrue="1" operator="notEqual">
      <formula>0</formula>
    </cfRule>
  </conditionalFormatting>
  <conditionalFormatting sqref="C184:D184">
    <cfRule type="expression" dxfId="5459" priority="5603" stopIfTrue="1">
      <formula>IF(AND($C184&lt;&gt;"",$H184+$L184=0),TRUE)</formula>
    </cfRule>
  </conditionalFormatting>
  <conditionalFormatting sqref="P184">
    <cfRule type="cellIs" dxfId="5458" priority="5592" stopIfTrue="1" operator="equal">
      <formula>1</formula>
    </cfRule>
    <cfRule type="cellIs" dxfId="5457" priority="5601" stopIfTrue="1" operator="equal">
      <formula>2</formula>
    </cfRule>
    <cfRule type="cellIs" dxfId="5456" priority="5602" stopIfTrue="1" operator="equal">
      <formula>"X"</formula>
    </cfRule>
  </conditionalFormatting>
  <conditionalFormatting sqref="GU184">
    <cfRule type="cellIs" dxfId="5455" priority="5594" stopIfTrue="1" operator="equal">
      <formula>0</formula>
    </cfRule>
    <cfRule type="cellIs" dxfId="5454" priority="5595" stopIfTrue="1" operator="notEqual">
      <formula>0</formula>
    </cfRule>
  </conditionalFormatting>
  <conditionalFormatting sqref="GV184">
    <cfRule type="cellIs" dxfId="5453" priority="5593" stopIfTrue="1" operator="equal">
      <formula>"STOP"</formula>
    </cfRule>
  </conditionalFormatting>
  <conditionalFormatting sqref="Q185">
    <cfRule type="cellIs" dxfId="5452" priority="5587" stopIfTrue="1" operator="equal">
      <formula>"SIM"</formula>
    </cfRule>
    <cfRule type="cellIs" dxfId="5451" priority="5588" stopIfTrue="1" operator="equal">
      <formula>"NÃO"</formula>
    </cfRule>
  </conditionalFormatting>
  <conditionalFormatting sqref="BF185 CJ185 DO185">
    <cfRule type="cellIs" dxfId="5450" priority="5583" stopIfTrue="1" operator="equal">
      <formula>0</formula>
    </cfRule>
    <cfRule type="cellIs" dxfId="5449" priority="5589" stopIfTrue="1" operator="notEqual">
      <formula>0</formula>
    </cfRule>
  </conditionalFormatting>
  <conditionalFormatting sqref="C185:D185">
    <cfRule type="expression" dxfId="5448" priority="5586" stopIfTrue="1">
      <formula>IF(AND($C185&lt;&gt;"",$H185+$L185=0),TRUE)</formula>
    </cfRule>
  </conditionalFormatting>
  <conditionalFormatting sqref="P185">
    <cfRule type="cellIs" dxfId="5447" priority="5575" stopIfTrue="1" operator="equal">
      <formula>1</formula>
    </cfRule>
    <cfRule type="cellIs" dxfId="5446" priority="5584" stopIfTrue="1" operator="equal">
      <formula>2</formula>
    </cfRule>
    <cfRule type="cellIs" dxfId="5445" priority="5585" stopIfTrue="1" operator="equal">
      <formula>"X"</formula>
    </cfRule>
  </conditionalFormatting>
  <conditionalFormatting sqref="GU185">
    <cfRule type="cellIs" dxfId="5444" priority="5577" stopIfTrue="1" operator="equal">
      <formula>0</formula>
    </cfRule>
    <cfRule type="cellIs" dxfId="5443" priority="5578" stopIfTrue="1" operator="notEqual">
      <formula>0</formula>
    </cfRule>
  </conditionalFormatting>
  <conditionalFormatting sqref="GV185">
    <cfRule type="cellIs" dxfId="5442" priority="5576" stopIfTrue="1" operator="equal">
      <formula>"STOP"</formula>
    </cfRule>
  </conditionalFormatting>
  <conditionalFormatting sqref="Q179">
    <cfRule type="cellIs" dxfId="5441" priority="10058" stopIfTrue="1" operator="equal">
      <formula>"SIM"</formula>
    </cfRule>
    <cfRule type="cellIs" dxfId="5440" priority="10059" stopIfTrue="1" operator="equal">
      <formula>"NÃO"</formula>
    </cfRule>
  </conditionalFormatting>
  <conditionalFormatting sqref="BF179 CJ179 DO179">
    <cfRule type="cellIs" dxfId="5439" priority="10054" stopIfTrue="1" operator="equal">
      <formula>0</formula>
    </cfRule>
    <cfRule type="cellIs" dxfId="5438" priority="10060" stopIfTrue="1" operator="notEqual">
      <formula>0</formula>
    </cfRule>
  </conditionalFormatting>
  <conditionalFormatting sqref="C179:D179">
    <cfRule type="expression" dxfId="5437" priority="10057" stopIfTrue="1">
      <formula>IF(AND($C179&lt;&gt;"",$H179+$L179=0),TRUE)</formula>
    </cfRule>
  </conditionalFormatting>
  <conditionalFormatting sqref="P179">
    <cfRule type="cellIs" dxfId="5436" priority="10046" stopIfTrue="1" operator="equal">
      <formula>1</formula>
    </cfRule>
    <cfRule type="cellIs" dxfId="5435" priority="10055" stopIfTrue="1" operator="equal">
      <formula>2</formula>
    </cfRule>
    <cfRule type="cellIs" dxfId="5434" priority="10056" stopIfTrue="1" operator="equal">
      <formula>"X"</formula>
    </cfRule>
  </conditionalFormatting>
  <conditionalFormatting sqref="GU179">
    <cfRule type="cellIs" dxfId="5433" priority="10048" stopIfTrue="1" operator="equal">
      <formula>0</formula>
    </cfRule>
    <cfRule type="cellIs" dxfId="5432" priority="10049" stopIfTrue="1" operator="notEqual">
      <formula>0</formula>
    </cfRule>
  </conditionalFormatting>
  <conditionalFormatting sqref="GV179">
    <cfRule type="cellIs" dxfId="5431" priority="10047" stopIfTrue="1" operator="equal">
      <formula>"STOP"</formula>
    </cfRule>
  </conditionalFormatting>
  <conditionalFormatting sqref="Q180">
    <cfRule type="cellIs" dxfId="5430" priority="10041" stopIfTrue="1" operator="equal">
      <formula>"SIM"</formula>
    </cfRule>
    <cfRule type="cellIs" dxfId="5429" priority="10042" stopIfTrue="1" operator="equal">
      <formula>"NÃO"</formula>
    </cfRule>
  </conditionalFormatting>
  <conditionalFormatting sqref="BF180 CJ180 DO180">
    <cfRule type="cellIs" dxfId="5428" priority="10037" stopIfTrue="1" operator="equal">
      <formula>0</formula>
    </cfRule>
    <cfRule type="cellIs" dxfId="5427" priority="10043" stopIfTrue="1" operator="notEqual">
      <formula>0</formula>
    </cfRule>
  </conditionalFormatting>
  <conditionalFormatting sqref="C180:D180">
    <cfRule type="expression" dxfId="5426" priority="10040" stopIfTrue="1">
      <formula>IF(AND($C180&lt;&gt;"",$H180+$L180=0),TRUE)</formula>
    </cfRule>
  </conditionalFormatting>
  <conditionalFormatting sqref="P180">
    <cfRule type="cellIs" dxfId="5425" priority="10029" stopIfTrue="1" operator="equal">
      <formula>1</formula>
    </cfRule>
    <cfRule type="cellIs" dxfId="5424" priority="10038" stopIfTrue="1" operator="equal">
      <formula>2</formula>
    </cfRule>
    <cfRule type="cellIs" dxfId="5423" priority="10039" stopIfTrue="1" operator="equal">
      <formula>"X"</formula>
    </cfRule>
  </conditionalFormatting>
  <conditionalFormatting sqref="GU180">
    <cfRule type="cellIs" dxfId="5422" priority="10031" stopIfTrue="1" operator="equal">
      <formula>0</formula>
    </cfRule>
    <cfRule type="cellIs" dxfId="5421" priority="10032" stopIfTrue="1" operator="notEqual">
      <formula>0</formula>
    </cfRule>
  </conditionalFormatting>
  <conditionalFormatting sqref="GV180">
    <cfRule type="cellIs" dxfId="5420" priority="10030" stopIfTrue="1" operator="equal">
      <formula>"STOP"</formula>
    </cfRule>
  </conditionalFormatting>
  <conditionalFormatting sqref="Q183">
    <cfRule type="cellIs" dxfId="5419" priority="5536" stopIfTrue="1" operator="equal">
      <formula>"SIM"</formula>
    </cfRule>
    <cfRule type="cellIs" dxfId="5418" priority="5537" stopIfTrue="1" operator="equal">
      <formula>"NÃO"</formula>
    </cfRule>
  </conditionalFormatting>
  <conditionalFormatting sqref="BF183 CJ183 DO183">
    <cfRule type="cellIs" dxfId="5417" priority="5532" stopIfTrue="1" operator="equal">
      <formula>0</formula>
    </cfRule>
    <cfRule type="cellIs" dxfId="5416" priority="5538" stopIfTrue="1" operator="notEqual">
      <formula>0</formula>
    </cfRule>
  </conditionalFormatting>
  <conditionalFormatting sqref="C183:D183">
    <cfRule type="expression" dxfId="5415" priority="5535" stopIfTrue="1">
      <formula>IF(AND($C183&lt;&gt;"",$H183+$L183=0),TRUE)</formula>
    </cfRule>
  </conditionalFormatting>
  <conditionalFormatting sqref="P183">
    <cfRule type="cellIs" dxfId="5414" priority="5524" stopIfTrue="1" operator="equal">
      <formula>1</formula>
    </cfRule>
    <cfRule type="cellIs" dxfId="5413" priority="5533" stopIfTrue="1" operator="equal">
      <formula>2</formula>
    </cfRule>
    <cfRule type="cellIs" dxfId="5412" priority="5534" stopIfTrue="1" operator="equal">
      <formula>"X"</formula>
    </cfRule>
  </conditionalFormatting>
  <conditionalFormatting sqref="GU183">
    <cfRule type="cellIs" dxfId="5411" priority="5526" stopIfTrue="1" operator="equal">
      <formula>0</formula>
    </cfRule>
    <cfRule type="cellIs" dxfId="5410" priority="5527" stopIfTrue="1" operator="notEqual">
      <formula>0</formula>
    </cfRule>
  </conditionalFormatting>
  <conditionalFormatting sqref="GV183">
    <cfRule type="cellIs" dxfId="5409" priority="5525" stopIfTrue="1" operator="equal">
      <formula>"STOP"</formula>
    </cfRule>
  </conditionalFormatting>
  <conditionalFormatting sqref="Q179">
    <cfRule type="cellIs" dxfId="5408" priority="10024" stopIfTrue="1" operator="equal">
      <formula>"SIM"</formula>
    </cfRule>
    <cfRule type="cellIs" dxfId="5407" priority="10025" stopIfTrue="1" operator="equal">
      <formula>"NÃO"</formula>
    </cfRule>
  </conditionalFormatting>
  <conditionalFormatting sqref="BF179 CJ179 DO179">
    <cfRule type="cellIs" dxfId="5406" priority="10020" stopIfTrue="1" operator="equal">
      <formula>0</formula>
    </cfRule>
    <cfRule type="cellIs" dxfId="5405" priority="10026" stopIfTrue="1" operator="notEqual">
      <formula>0</formula>
    </cfRule>
  </conditionalFormatting>
  <conditionalFormatting sqref="C179:D179">
    <cfRule type="expression" dxfId="5404" priority="10023" stopIfTrue="1">
      <formula>IF(AND($C179&lt;&gt;"",$H179+$L179=0),TRUE)</formula>
    </cfRule>
  </conditionalFormatting>
  <conditionalFormatting sqref="P179">
    <cfRule type="cellIs" dxfId="5403" priority="10012" stopIfTrue="1" operator="equal">
      <formula>1</formula>
    </cfRule>
    <cfRule type="cellIs" dxfId="5402" priority="10021" stopIfTrue="1" operator="equal">
      <formula>2</formula>
    </cfRule>
    <cfRule type="cellIs" dxfId="5401" priority="10022" stopIfTrue="1" operator="equal">
      <formula>"X"</formula>
    </cfRule>
  </conditionalFormatting>
  <conditionalFormatting sqref="GU179">
    <cfRule type="cellIs" dxfId="5400" priority="10014" stopIfTrue="1" operator="equal">
      <formula>0</formula>
    </cfRule>
    <cfRule type="cellIs" dxfId="5399" priority="10015" stopIfTrue="1" operator="notEqual">
      <formula>0</formula>
    </cfRule>
  </conditionalFormatting>
  <conditionalFormatting sqref="GV179">
    <cfRule type="cellIs" dxfId="5398" priority="10013" stopIfTrue="1" operator="equal">
      <formula>"STOP"</formula>
    </cfRule>
  </conditionalFormatting>
  <conditionalFormatting sqref="Q180">
    <cfRule type="cellIs" dxfId="5397" priority="10007" stopIfTrue="1" operator="equal">
      <formula>"SIM"</formula>
    </cfRule>
    <cfRule type="cellIs" dxfId="5396" priority="10008" stopIfTrue="1" operator="equal">
      <formula>"NÃO"</formula>
    </cfRule>
  </conditionalFormatting>
  <conditionalFormatting sqref="BF180 CJ180 DO180">
    <cfRule type="cellIs" dxfId="5395" priority="10003" stopIfTrue="1" operator="equal">
      <formula>0</formula>
    </cfRule>
    <cfRule type="cellIs" dxfId="5394" priority="10009" stopIfTrue="1" operator="notEqual">
      <formula>0</formula>
    </cfRule>
  </conditionalFormatting>
  <conditionalFormatting sqref="C180:D180">
    <cfRule type="expression" dxfId="5393" priority="10006" stopIfTrue="1">
      <formula>IF(AND($C180&lt;&gt;"",$H180+$L180=0),TRUE)</formula>
    </cfRule>
  </conditionalFormatting>
  <conditionalFormatting sqref="P180">
    <cfRule type="cellIs" dxfId="5392" priority="9995" stopIfTrue="1" operator="equal">
      <formula>1</formula>
    </cfRule>
    <cfRule type="cellIs" dxfId="5391" priority="10004" stopIfTrue="1" operator="equal">
      <formula>2</formula>
    </cfRule>
    <cfRule type="cellIs" dxfId="5390" priority="10005" stopIfTrue="1" operator="equal">
      <formula>"X"</formula>
    </cfRule>
  </conditionalFormatting>
  <conditionalFormatting sqref="GU180">
    <cfRule type="cellIs" dxfId="5389" priority="9997" stopIfTrue="1" operator="equal">
      <formula>0</formula>
    </cfRule>
    <cfRule type="cellIs" dxfId="5388" priority="9998" stopIfTrue="1" operator="notEqual">
      <formula>0</formula>
    </cfRule>
  </conditionalFormatting>
  <conditionalFormatting sqref="GV180">
    <cfRule type="cellIs" dxfId="5387" priority="9996" stopIfTrue="1" operator="equal">
      <formula>"STOP"</formula>
    </cfRule>
  </conditionalFormatting>
  <conditionalFormatting sqref="Q176">
    <cfRule type="cellIs" dxfId="5386" priority="9990" stopIfTrue="1" operator="equal">
      <formula>"SIM"</formula>
    </cfRule>
    <cfRule type="cellIs" dxfId="5385" priority="9991" stopIfTrue="1" operator="equal">
      <formula>"NÃO"</formula>
    </cfRule>
  </conditionalFormatting>
  <conditionalFormatting sqref="BF176 CJ176 DO176">
    <cfRule type="cellIs" dxfId="5384" priority="9986" stopIfTrue="1" operator="equal">
      <formula>0</formula>
    </cfRule>
    <cfRule type="cellIs" dxfId="5383" priority="9992" stopIfTrue="1" operator="notEqual">
      <formula>0</formula>
    </cfRule>
  </conditionalFormatting>
  <conditionalFormatting sqref="C176:D176">
    <cfRule type="expression" dxfId="5382" priority="9989" stopIfTrue="1">
      <formula>IF(AND($C176&lt;&gt;"",$H176+$L176=0),TRUE)</formula>
    </cfRule>
  </conditionalFormatting>
  <conditionalFormatting sqref="P176">
    <cfRule type="cellIs" dxfId="5381" priority="9978" stopIfTrue="1" operator="equal">
      <formula>1</formula>
    </cfRule>
    <cfRule type="cellIs" dxfId="5380" priority="9987" stopIfTrue="1" operator="equal">
      <formula>2</formula>
    </cfRule>
    <cfRule type="cellIs" dxfId="5379" priority="9988" stopIfTrue="1" operator="equal">
      <formula>"X"</formula>
    </cfRule>
  </conditionalFormatting>
  <conditionalFormatting sqref="GU176">
    <cfRule type="cellIs" dxfId="5378" priority="9980" stopIfTrue="1" operator="equal">
      <formula>0</formula>
    </cfRule>
    <cfRule type="cellIs" dxfId="5377" priority="9981" stopIfTrue="1" operator="notEqual">
      <formula>0</formula>
    </cfRule>
  </conditionalFormatting>
  <conditionalFormatting sqref="GV176">
    <cfRule type="cellIs" dxfId="5376" priority="9979" stopIfTrue="1" operator="equal">
      <formula>"STOP"</formula>
    </cfRule>
  </conditionalFormatting>
  <conditionalFormatting sqref="Q187">
    <cfRule type="cellIs" dxfId="5375" priority="5468" stopIfTrue="1" operator="equal">
      <formula>"SIM"</formula>
    </cfRule>
    <cfRule type="cellIs" dxfId="5374" priority="5469" stopIfTrue="1" operator="equal">
      <formula>"NÃO"</formula>
    </cfRule>
  </conditionalFormatting>
  <conditionalFormatting sqref="BF187 CJ187 DO187">
    <cfRule type="cellIs" dxfId="5373" priority="5464" stopIfTrue="1" operator="equal">
      <formula>0</formula>
    </cfRule>
    <cfRule type="cellIs" dxfId="5372" priority="5470" stopIfTrue="1" operator="notEqual">
      <formula>0</formula>
    </cfRule>
  </conditionalFormatting>
  <conditionalFormatting sqref="C187:D187">
    <cfRule type="expression" dxfId="5371" priority="5467" stopIfTrue="1">
      <formula>IF(AND($C187&lt;&gt;"",$H187+$L187=0),TRUE)</formula>
    </cfRule>
  </conditionalFormatting>
  <conditionalFormatting sqref="P187">
    <cfRule type="cellIs" dxfId="5370" priority="5456" stopIfTrue="1" operator="equal">
      <formula>1</formula>
    </cfRule>
    <cfRule type="cellIs" dxfId="5369" priority="5465" stopIfTrue="1" operator="equal">
      <formula>2</formula>
    </cfRule>
    <cfRule type="cellIs" dxfId="5368" priority="5466" stopIfTrue="1" operator="equal">
      <formula>"X"</formula>
    </cfRule>
  </conditionalFormatting>
  <conditionalFormatting sqref="GU187">
    <cfRule type="cellIs" dxfId="5367" priority="5458" stopIfTrue="1" operator="equal">
      <formula>0</formula>
    </cfRule>
    <cfRule type="cellIs" dxfId="5366" priority="5459" stopIfTrue="1" operator="notEqual">
      <formula>0</formula>
    </cfRule>
  </conditionalFormatting>
  <conditionalFormatting sqref="GV187">
    <cfRule type="cellIs" dxfId="5365" priority="5457" stopIfTrue="1" operator="equal">
      <formula>"STOP"</formula>
    </cfRule>
  </conditionalFormatting>
  <conditionalFormatting sqref="Q182">
    <cfRule type="cellIs" dxfId="5364" priority="5451" stopIfTrue="1" operator="equal">
      <formula>"SIM"</formula>
    </cfRule>
    <cfRule type="cellIs" dxfId="5363" priority="5452" stopIfTrue="1" operator="equal">
      <formula>"NÃO"</formula>
    </cfRule>
  </conditionalFormatting>
  <conditionalFormatting sqref="BF182 CJ182 DO182">
    <cfRule type="cellIs" dxfId="5362" priority="5447" stopIfTrue="1" operator="equal">
      <formula>0</formula>
    </cfRule>
    <cfRule type="cellIs" dxfId="5361" priority="5453" stopIfTrue="1" operator="notEqual">
      <formula>0</formula>
    </cfRule>
  </conditionalFormatting>
  <conditionalFormatting sqref="C182:D182">
    <cfRule type="expression" dxfId="5360" priority="5450" stopIfTrue="1">
      <formula>IF(AND($C182&lt;&gt;"",$H182+$L182=0),TRUE)</formula>
    </cfRule>
  </conditionalFormatting>
  <conditionalFormatting sqref="P182">
    <cfRule type="cellIs" dxfId="5359" priority="5439" stopIfTrue="1" operator="equal">
      <formula>1</formula>
    </cfRule>
    <cfRule type="cellIs" dxfId="5358" priority="5448" stopIfTrue="1" operator="equal">
      <formula>2</formula>
    </cfRule>
    <cfRule type="cellIs" dxfId="5357" priority="5449" stopIfTrue="1" operator="equal">
      <formula>"X"</formula>
    </cfRule>
  </conditionalFormatting>
  <conditionalFormatting sqref="GU182">
    <cfRule type="cellIs" dxfId="5356" priority="5441" stopIfTrue="1" operator="equal">
      <formula>0</formula>
    </cfRule>
    <cfRule type="cellIs" dxfId="5355" priority="5442" stopIfTrue="1" operator="notEqual">
      <formula>0</formula>
    </cfRule>
  </conditionalFormatting>
  <conditionalFormatting sqref="GV182">
    <cfRule type="cellIs" dxfId="5354" priority="5440" stopIfTrue="1" operator="equal">
      <formula>"STOP"</formula>
    </cfRule>
  </conditionalFormatting>
  <conditionalFormatting sqref="Q179">
    <cfRule type="cellIs" dxfId="5353" priority="9973" stopIfTrue="1" operator="equal">
      <formula>"SIM"</formula>
    </cfRule>
    <cfRule type="cellIs" dxfId="5352" priority="9974" stopIfTrue="1" operator="equal">
      <formula>"NÃO"</formula>
    </cfRule>
  </conditionalFormatting>
  <conditionalFormatting sqref="BF179 CJ179 DO179">
    <cfRule type="cellIs" dxfId="5351" priority="9969" stopIfTrue="1" operator="equal">
      <formula>0</formula>
    </cfRule>
    <cfRule type="cellIs" dxfId="5350" priority="9975" stopIfTrue="1" operator="notEqual">
      <formula>0</formula>
    </cfRule>
  </conditionalFormatting>
  <conditionalFormatting sqref="C179:D179">
    <cfRule type="expression" dxfId="5349" priority="9972" stopIfTrue="1">
      <formula>IF(AND($C179&lt;&gt;"",$H179+$L179=0),TRUE)</formula>
    </cfRule>
  </conditionalFormatting>
  <conditionalFormatting sqref="P179">
    <cfRule type="cellIs" dxfId="5348" priority="9961" stopIfTrue="1" operator="equal">
      <formula>1</formula>
    </cfRule>
    <cfRule type="cellIs" dxfId="5347" priority="9970" stopIfTrue="1" operator="equal">
      <formula>2</formula>
    </cfRule>
    <cfRule type="cellIs" dxfId="5346" priority="9971" stopIfTrue="1" operator="equal">
      <formula>"X"</formula>
    </cfRule>
  </conditionalFormatting>
  <conditionalFormatting sqref="GU179">
    <cfRule type="cellIs" dxfId="5345" priority="9963" stopIfTrue="1" operator="equal">
      <formula>0</formula>
    </cfRule>
    <cfRule type="cellIs" dxfId="5344" priority="9964" stopIfTrue="1" operator="notEqual">
      <formula>0</formula>
    </cfRule>
  </conditionalFormatting>
  <conditionalFormatting sqref="GV179">
    <cfRule type="cellIs" dxfId="5343" priority="9962" stopIfTrue="1" operator="equal">
      <formula>"STOP"</formula>
    </cfRule>
  </conditionalFormatting>
  <conditionalFormatting sqref="Q180">
    <cfRule type="cellIs" dxfId="5342" priority="9956" stopIfTrue="1" operator="equal">
      <formula>"SIM"</formula>
    </cfRule>
    <cfRule type="cellIs" dxfId="5341" priority="9957" stopIfTrue="1" operator="equal">
      <formula>"NÃO"</formula>
    </cfRule>
  </conditionalFormatting>
  <conditionalFormatting sqref="BF180 CJ180 DO180">
    <cfRule type="cellIs" dxfId="5340" priority="9952" stopIfTrue="1" operator="equal">
      <formula>0</formula>
    </cfRule>
    <cfRule type="cellIs" dxfId="5339" priority="9958" stopIfTrue="1" operator="notEqual">
      <formula>0</formula>
    </cfRule>
  </conditionalFormatting>
  <conditionalFormatting sqref="C180:D180">
    <cfRule type="expression" dxfId="5338" priority="9955" stopIfTrue="1">
      <formula>IF(AND($C180&lt;&gt;"",$H180+$L180=0),TRUE)</formula>
    </cfRule>
  </conditionalFormatting>
  <conditionalFormatting sqref="P180">
    <cfRule type="cellIs" dxfId="5337" priority="9944" stopIfTrue="1" operator="equal">
      <formula>1</formula>
    </cfRule>
    <cfRule type="cellIs" dxfId="5336" priority="9953" stopIfTrue="1" operator="equal">
      <formula>2</formula>
    </cfRule>
    <cfRule type="cellIs" dxfId="5335" priority="9954" stopIfTrue="1" operator="equal">
      <formula>"X"</formula>
    </cfRule>
  </conditionalFormatting>
  <conditionalFormatting sqref="GU180">
    <cfRule type="cellIs" dxfId="5334" priority="9946" stopIfTrue="1" operator="equal">
      <formula>0</formula>
    </cfRule>
    <cfRule type="cellIs" dxfId="5333" priority="9947" stopIfTrue="1" operator="notEqual">
      <formula>0</formula>
    </cfRule>
  </conditionalFormatting>
  <conditionalFormatting sqref="GV180">
    <cfRule type="cellIs" dxfId="5332" priority="9945" stopIfTrue="1" operator="equal">
      <formula>"STOP"</formula>
    </cfRule>
  </conditionalFormatting>
  <conditionalFormatting sqref="Q181">
    <cfRule type="cellIs" dxfId="5331" priority="9939" stopIfTrue="1" operator="equal">
      <formula>"SIM"</formula>
    </cfRule>
    <cfRule type="cellIs" dxfId="5330" priority="9940" stopIfTrue="1" operator="equal">
      <formula>"NÃO"</formula>
    </cfRule>
  </conditionalFormatting>
  <conditionalFormatting sqref="BF181 CJ181 DO181">
    <cfRule type="cellIs" dxfId="5329" priority="9935" stopIfTrue="1" operator="equal">
      <formula>0</formula>
    </cfRule>
    <cfRule type="cellIs" dxfId="5328" priority="9941" stopIfTrue="1" operator="notEqual">
      <formula>0</formula>
    </cfRule>
  </conditionalFormatting>
  <conditionalFormatting sqref="C181:D181">
    <cfRule type="expression" dxfId="5327" priority="9938" stopIfTrue="1">
      <formula>IF(AND($C181&lt;&gt;"",$H181+$L181=0),TRUE)</formula>
    </cfRule>
  </conditionalFormatting>
  <conditionalFormatting sqref="P181">
    <cfRule type="cellIs" dxfId="5326" priority="9927" stopIfTrue="1" operator="equal">
      <formula>1</formula>
    </cfRule>
    <cfRule type="cellIs" dxfId="5325" priority="9936" stopIfTrue="1" operator="equal">
      <formula>2</formula>
    </cfRule>
    <cfRule type="cellIs" dxfId="5324" priority="9937" stopIfTrue="1" operator="equal">
      <formula>"X"</formula>
    </cfRule>
  </conditionalFormatting>
  <conditionalFormatting sqref="GU181">
    <cfRule type="cellIs" dxfId="5323" priority="9929" stopIfTrue="1" operator="equal">
      <formula>0</formula>
    </cfRule>
    <cfRule type="cellIs" dxfId="5322" priority="9930" stopIfTrue="1" operator="notEqual">
      <formula>0</formula>
    </cfRule>
  </conditionalFormatting>
  <conditionalFormatting sqref="GV181">
    <cfRule type="cellIs" dxfId="5321" priority="9928" stopIfTrue="1" operator="equal">
      <formula>"STOP"</formula>
    </cfRule>
  </conditionalFormatting>
  <conditionalFormatting sqref="Q182">
    <cfRule type="cellIs" dxfId="5320" priority="9922" stopIfTrue="1" operator="equal">
      <formula>"SIM"</formula>
    </cfRule>
    <cfRule type="cellIs" dxfId="5319" priority="9923" stopIfTrue="1" operator="equal">
      <formula>"NÃO"</formula>
    </cfRule>
  </conditionalFormatting>
  <conditionalFormatting sqref="BF182 CJ182 DO182">
    <cfRule type="cellIs" dxfId="5318" priority="9918" stopIfTrue="1" operator="equal">
      <formula>0</formula>
    </cfRule>
    <cfRule type="cellIs" dxfId="5317" priority="9924" stopIfTrue="1" operator="notEqual">
      <formula>0</formula>
    </cfRule>
  </conditionalFormatting>
  <conditionalFormatting sqref="C182:D182">
    <cfRule type="expression" dxfId="5316" priority="9921" stopIfTrue="1">
      <formula>IF(AND($C182&lt;&gt;"",$H182+$L182=0),TRUE)</formula>
    </cfRule>
  </conditionalFormatting>
  <conditionalFormatting sqref="P182">
    <cfRule type="cellIs" dxfId="5315" priority="9910" stopIfTrue="1" operator="equal">
      <formula>1</formula>
    </cfRule>
    <cfRule type="cellIs" dxfId="5314" priority="9919" stopIfTrue="1" operator="equal">
      <formula>2</formula>
    </cfRule>
    <cfRule type="cellIs" dxfId="5313" priority="9920" stopIfTrue="1" operator="equal">
      <formula>"X"</formula>
    </cfRule>
  </conditionalFormatting>
  <conditionalFormatting sqref="GU182">
    <cfRule type="cellIs" dxfId="5312" priority="9912" stopIfTrue="1" operator="equal">
      <formula>0</formula>
    </cfRule>
    <cfRule type="cellIs" dxfId="5311" priority="9913" stopIfTrue="1" operator="notEqual">
      <formula>0</formula>
    </cfRule>
  </conditionalFormatting>
  <conditionalFormatting sqref="GV182">
    <cfRule type="cellIs" dxfId="5310" priority="9911" stopIfTrue="1" operator="equal">
      <formula>"STOP"</formula>
    </cfRule>
  </conditionalFormatting>
  <conditionalFormatting sqref="Q184">
    <cfRule type="cellIs" dxfId="5309" priority="5366" stopIfTrue="1" operator="equal">
      <formula>"SIM"</formula>
    </cfRule>
    <cfRule type="cellIs" dxfId="5308" priority="5367" stopIfTrue="1" operator="equal">
      <formula>"NÃO"</formula>
    </cfRule>
  </conditionalFormatting>
  <conditionalFormatting sqref="BF184 CJ184 DO184">
    <cfRule type="cellIs" dxfId="5307" priority="5362" stopIfTrue="1" operator="equal">
      <formula>0</formula>
    </cfRule>
    <cfRule type="cellIs" dxfId="5306" priority="5368" stopIfTrue="1" operator="notEqual">
      <formula>0</formula>
    </cfRule>
  </conditionalFormatting>
  <conditionalFormatting sqref="C184:D184">
    <cfRule type="expression" dxfId="5305" priority="5365" stopIfTrue="1">
      <formula>IF(AND($C184&lt;&gt;"",$H184+$L184=0),TRUE)</formula>
    </cfRule>
  </conditionalFormatting>
  <conditionalFormatting sqref="P184">
    <cfRule type="cellIs" dxfId="5304" priority="5354" stopIfTrue="1" operator="equal">
      <formula>1</formula>
    </cfRule>
    <cfRule type="cellIs" dxfId="5303" priority="5363" stopIfTrue="1" operator="equal">
      <formula>2</formula>
    </cfRule>
    <cfRule type="cellIs" dxfId="5302" priority="5364" stopIfTrue="1" operator="equal">
      <formula>"X"</formula>
    </cfRule>
  </conditionalFormatting>
  <conditionalFormatting sqref="GU184">
    <cfRule type="cellIs" dxfId="5301" priority="5356" stopIfTrue="1" operator="equal">
      <formula>0</formula>
    </cfRule>
    <cfRule type="cellIs" dxfId="5300" priority="5357" stopIfTrue="1" operator="notEqual">
      <formula>0</formula>
    </cfRule>
  </conditionalFormatting>
  <conditionalFormatting sqref="GV184">
    <cfRule type="cellIs" dxfId="5299" priority="5355" stopIfTrue="1" operator="equal">
      <formula>"STOP"</formula>
    </cfRule>
  </conditionalFormatting>
  <conditionalFormatting sqref="Q185">
    <cfRule type="cellIs" dxfId="5298" priority="5349" stopIfTrue="1" operator="equal">
      <formula>"SIM"</formula>
    </cfRule>
    <cfRule type="cellIs" dxfId="5297" priority="5350" stopIfTrue="1" operator="equal">
      <formula>"NÃO"</formula>
    </cfRule>
  </conditionalFormatting>
  <conditionalFormatting sqref="BF185 CJ185 DO185">
    <cfRule type="cellIs" dxfId="5296" priority="5345" stopIfTrue="1" operator="equal">
      <formula>0</formula>
    </cfRule>
    <cfRule type="cellIs" dxfId="5295" priority="5351" stopIfTrue="1" operator="notEqual">
      <formula>0</formula>
    </cfRule>
  </conditionalFormatting>
  <conditionalFormatting sqref="C185:D185">
    <cfRule type="expression" dxfId="5294" priority="5348" stopIfTrue="1">
      <formula>IF(AND($C185&lt;&gt;"",$H185+$L185=0),TRUE)</formula>
    </cfRule>
  </conditionalFormatting>
  <conditionalFormatting sqref="P185">
    <cfRule type="cellIs" dxfId="5293" priority="5337" stopIfTrue="1" operator="equal">
      <formula>1</formula>
    </cfRule>
    <cfRule type="cellIs" dxfId="5292" priority="5346" stopIfTrue="1" operator="equal">
      <formula>2</formula>
    </cfRule>
    <cfRule type="cellIs" dxfId="5291" priority="5347" stopIfTrue="1" operator="equal">
      <formula>"X"</formula>
    </cfRule>
  </conditionalFormatting>
  <conditionalFormatting sqref="GU185">
    <cfRule type="cellIs" dxfId="5290" priority="5339" stopIfTrue="1" operator="equal">
      <formula>0</formula>
    </cfRule>
    <cfRule type="cellIs" dxfId="5289" priority="5340" stopIfTrue="1" operator="notEqual">
      <formula>0</formula>
    </cfRule>
  </conditionalFormatting>
  <conditionalFormatting sqref="GV185">
    <cfRule type="cellIs" dxfId="5288" priority="5338" stopIfTrue="1" operator="equal">
      <formula>"STOP"</formula>
    </cfRule>
  </conditionalFormatting>
  <conditionalFormatting sqref="Q179">
    <cfRule type="cellIs" dxfId="5287" priority="9905" stopIfTrue="1" operator="equal">
      <formula>"SIM"</formula>
    </cfRule>
    <cfRule type="cellIs" dxfId="5286" priority="9906" stopIfTrue="1" operator="equal">
      <formula>"NÃO"</formula>
    </cfRule>
  </conditionalFormatting>
  <conditionalFormatting sqref="BF179 CJ179 DO179">
    <cfRule type="cellIs" dxfId="5285" priority="9901" stopIfTrue="1" operator="equal">
      <formula>0</formula>
    </cfRule>
    <cfRule type="cellIs" dxfId="5284" priority="9907" stopIfTrue="1" operator="notEqual">
      <formula>0</formula>
    </cfRule>
  </conditionalFormatting>
  <conditionalFormatting sqref="C179:D179">
    <cfRule type="expression" dxfId="5283" priority="9904" stopIfTrue="1">
      <formula>IF(AND($C179&lt;&gt;"",$H179+$L179=0),TRUE)</formula>
    </cfRule>
  </conditionalFormatting>
  <conditionalFormatting sqref="P179">
    <cfRule type="cellIs" dxfId="5282" priority="9893" stopIfTrue="1" operator="equal">
      <formula>1</formula>
    </cfRule>
    <cfRule type="cellIs" dxfId="5281" priority="9902" stopIfTrue="1" operator="equal">
      <formula>2</formula>
    </cfRule>
    <cfRule type="cellIs" dxfId="5280" priority="9903" stopIfTrue="1" operator="equal">
      <formula>"X"</formula>
    </cfRule>
  </conditionalFormatting>
  <conditionalFormatting sqref="GU179">
    <cfRule type="cellIs" dxfId="5279" priority="9895" stopIfTrue="1" operator="equal">
      <formula>0</formula>
    </cfRule>
    <cfRule type="cellIs" dxfId="5278" priority="9896" stopIfTrue="1" operator="notEqual">
      <formula>0</formula>
    </cfRule>
  </conditionalFormatting>
  <conditionalFormatting sqref="GV179">
    <cfRule type="cellIs" dxfId="5277" priority="9894" stopIfTrue="1" operator="equal">
      <formula>"STOP"</formula>
    </cfRule>
  </conditionalFormatting>
  <conditionalFormatting sqref="Q184">
    <cfRule type="cellIs" dxfId="5276" priority="5315" stopIfTrue="1" operator="equal">
      <formula>"SIM"</formula>
    </cfRule>
    <cfRule type="cellIs" dxfId="5275" priority="5316" stopIfTrue="1" operator="equal">
      <formula>"NÃO"</formula>
    </cfRule>
  </conditionalFormatting>
  <conditionalFormatting sqref="BF184 CJ184 DO184">
    <cfRule type="cellIs" dxfId="5274" priority="5311" stopIfTrue="1" operator="equal">
      <formula>0</formula>
    </cfRule>
    <cfRule type="cellIs" dxfId="5273" priority="5317" stopIfTrue="1" operator="notEqual">
      <formula>0</formula>
    </cfRule>
  </conditionalFormatting>
  <conditionalFormatting sqref="C184:D184">
    <cfRule type="expression" dxfId="5272" priority="5314" stopIfTrue="1">
      <formula>IF(AND($C184&lt;&gt;"",$H184+$L184=0),TRUE)</formula>
    </cfRule>
  </conditionalFormatting>
  <conditionalFormatting sqref="P184">
    <cfRule type="cellIs" dxfId="5271" priority="5303" stopIfTrue="1" operator="equal">
      <formula>1</formula>
    </cfRule>
    <cfRule type="cellIs" dxfId="5270" priority="5312" stopIfTrue="1" operator="equal">
      <formula>2</formula>
    </cfRule>
    <cfRule type="cellIs" dxfId="5269" priority="5313" stopIfTrue="1" operator="equal">
      <formula>"X"</formula>
    </cfRule>
  </conditionalFormatting>
  <conditionalFormatting sqref="GU184">
    <cfRule type="cellIs" dxfId="5268" priority="5305" stopIfTrue="1" operator="equal">
      <formula>0</formula>
    </cfRule>
    <cfRule type="cellIs" dxfId="5267" priority="5306" stopIfTrue="1" operator="notEqual">
      <formula>0</formula>
    </cfRule>
  </conditionalFormatting>
  <conditionalFormatting sqref="GV184">
    <cfRule type="cellIs" dxfId="5266" priority="5304" stopIfTrue="1" operator="equal">
      <formula>"STOP"</formula>
    </cfRule>
  </conditionalFormatting>
  <conditionalFormatting sqref="Q185">
    <cfRule type="cellIs" dxfId="5265" priority="5298" stopIfTrue="1" operator="equal">
      <formula>"SIM"</formula>
    </cfRule>
    <cfRule type="cellIs" dxfId="5264" priority="5299" stopIfTrue="1" operator="equal">
      <formula>"NÃO"</formula>
    </cfRule>
  </conditionalFormatting>
  <conditionalFormatting sqref="BF185 CJ185 DO185">
    <cfRule type="cellIs" dxfId="5263" priority="5294" stopIfTrue="1" operator="equal">
      <formula>0</formula>
    </cfRule>
    <cfRule type="cellIs" dxfId="5262" priority="5300" stopIfTrue="1" operator="notEqual">
      <formula>0</formula>
    </cfRule>
  </conditionalFormatting>
  <conditionalFormatting sqref="C185:D185">
    <cfRule type="expression" dxfId="5261" priority="5297" stopIfTrue="1">
      <formula>IF(AND($C185&lt;&gt;"",$H185+$L185=0),TRUE)</formula>
    </cfRule>
  </conditionalFormatting>
  <conditionalFormatting sqref="P185">
    <cfRule type="cellIs" dxfId="5260" priority="5286" stopIfTrue="1" operator="equal">
      <formula>1</formula>
    </cfRule>
    <cfRule type="cellIs" dxfId="5259" priority="5295" stopIfTrue="1" operator="equal">
      <formula>2</formula>
    </cfRule>
    <cfRule type="cellIs" dxfId="5258" priority="5296" stopIfTrue="1" operator="equal">
      <formula>"X"</formula>
    </cfRule>
  </conditionalFormatting>
  <conditionalFormatting sqref="GU185">
    <cfRule type="cellIs" dxfId="5257" priority="5288" stopIfTrue="1" operator="equal">
      <formula>0</formula>
    </cfRule>
    <cfRule type="cellIs" dxfId="5256" priority="5289" stopIfTrue="1" operator="notEqual">
      <formula>0</formula>
    </cfRule>
  </conditionalFormatting>
  <conditionalFormatting sqref="GV185">
    <cfRule type="cellIs" dxfId="5255" priority="5287" stopIfTrue="1" operator="equal">
      <formula>"STOP"</formula>
    </cfRule>
  </conditionalFormatting>
  <conditionalFormatting sqref="Q179">
    <cfRule type="cellIs" dxfId="5254" priority="9888" stopIfTrue="1" operator="equal">
      <formula>"SIM"</formula>
    </cfRule>
    <cfRule type="cellIs" dxfId="5253" priority="9889" stopIfTrue="1" operator="equal">
      <formula>"NÃO"</formula>
    </cfRule>
  </conditionalFormatting>
  <conditionalFormatting sqref="BF179 CJ179 DO179">
    <cfRule type="cellIs" dxfId="5252" priority="9884" stopIfTrue="1" operator="equal">
      <formula>0</formula>
    </cfRule>
    <cfRule type="cellIs" dxfId="5251" priority="9890" stopIfTrue="1" operator="notEqual">
      <formula>0</formula>
    </cfRule>
  </conditionalFormatting>
  <conditionalFormatting sqref="C179:D179">
    <cfRule type="expression" dxfId="5250" priority="9887" stopIfTrue="1">
      <formula>IF(AND($C179&lt;&gt;"",$H179+$L179=0),TRUE)</formula>
    </cfRule>
  </conditionalFormatting>
  <conditionalFormatting sqref="P179">
    <cfRule type="cellIs" dxfId="5249" priority="9876" stopIfTrue="1" operator="equal">
      <formula>1</formula>
    </cfRule>
    <cfRule type="cellIs" dxfId="5248" priority="9885" stopIfTrue="1" operator="equal">
      <formula>2</formula>
    </cfRule>
    <cfRule type="cellIs" dxfId="5247" priority="9886" stopIfTrue="1" operator="equal">
      <formula>"X"</formula>
    </cfRule>
  </conditionalFormatting>
  <conditionalFormatting sqref="GU179">
    <cfRule type="cellIs" dxfId="5246" priority="9878" stopIfTrue="1" operator="equal">
      <formula>0</formula>
    </cfRule>
    <cfRule type="cellIs" dxfId="5245" priority="9879" stopIfTrue="1" operator="notEqual">
      <formula>0</formula>
    </cfRule>
  </conditionalFormatting>
  <conditionalFormatting sqref="GV179">
    <cfRule type="cellIs" dxfId="5244" priority="9877" stopIfTrue="1" operator="equal">
      <formula>"STOP"</formula>
    </cfRule>
  </conditionalFormatting>
  <conditionalFormatting sqref="Q180">
    <cfRule type="cellIs" dxfId="5243" priority="9871" stopIfTrue="1" operator="equal">
      <formula>"SIM"</formula>
    </cfRule>
    <cfRule type="cellIs" dxfId="5242" priority="9872" stopIfTrue="1" operator="equal">
      <formula>"NÃO"</formula>
    </cfRule>
  </conditionalFormatting>
  <conditionalFormatting sqref="BF180 CJ180 DO180">
    <cfRule type="cellIs" dxfId="5241" priority="9867" stopIfTrue="1" operator="equal">
      <formula>0</formula>
    </cfRule>
    <cfRule type="cellIs" dxfId="5240" priority="9873" stopIfTrue="1" operator="notEqual">
      <formula>0</formula>
    </cfRule>
  </conditionalFormatting>
  <conditionalFormatting sqref="C180:D180">
    <cfRule type="expression" dxfId="5239" priority="9870" stopIfTrue="1">
      <formula>IF(AND($C180&lt;&gt;"",$H180+$L180=0),TRUE)</formula>
    </cfRule>
  </conditionalFormatting>
  <conditionalFormatting sqref="P180">
    <cfRule type="cellIs" dxfId="5238" priority="9859" stopIfTrue="1" operator="equal">
      <formula>1</formula>
    </cfRule>
    <cfRule type="cellIs" dxfId="5237" priority="9868" stopIfTrue="1" operator="equal">
      <formula>2</formula>
    </cfRule>
    <cfRule type="cellIs" dxfId="5236" priority="9869" stopIfTrue="1" operator="equal">
      <formula>"X"</formula>
    </cfRule>
  </conditionalFormatting>
  <conditionalFormatting sqref="GU180">
    <cfRule type="cellIs" dxfId="5235" priority="9861" stopIfTrue="1" operator="equal">
      <formula>0</formula>
    </cfRule>
    <cfRule type="cellIs" dxfId="5234" priority="9862" stopIfTrue="1" operator="notEqual">
      <formula>0</formula>
    </cfRule>
  </conditionalFormatting>
  <conditionalFormatting sqref="GV180">
    <cfRule type="cellIs" dxfId="5233" priority="9860" stopIfTrue="1" operator="equal">
      <formula>"STOP"</formula>
    </cfRule>
  </conditionalFormatting>
  <conditionalFormatting sqref="Q184">
    <cfRule type="cellIs" dxfId="5232" priority="5247" stopIfTrue="1" operator="equal">
      <formula>"SIM"</formula>
    </cfRule>
    <cfRule type="cellIs" dxfId="5231" priority="5248" stopIfTrue="1" operator="equal">
      <formula>"NÃO"</formula>
    </cfRule>
  </conditionalFormatting>
  <conditionalFormatting sqref="BF184 CJ184 DO184">
    <cfRule type="cellIs" dxfId="5230" priority="5243" stopIfTrue="1" operator="equal">
      <formula>0</formula>
    </cfRule>
    <cfRule type="cellIs" dxfId="5229" priority="5249" stopIfTrue="1" operator="notEqual">
      <formula>0</formula>
    </cfRule>
  </conditionalFormatting>
  <conditionalFormatting sqref="C184:D184">
    <cfRule type="expression" dxfId="5228" priority="5246" stopIfTrue="1">
      <formula>IF(AND($C184&lt;&gt;"",$H184+$L184=0),TRUE)</formula>
    </cfRule>
  </conditionalFormatting>
  <conditionalFormatting sqref="P184">
    <cfRule type="cellIs" dxfId="5227" priority="5235" stopIfTrue="1" operator="equal">
      <formula>1</formula>
    </cfRule>
    <cfRule type="cellIs" dxfId="5226" priority="5244" stopIfTrue="1" operator="equal">
      <formula>2</formula>
    </cfRule>
    <cfRule type="cellIs" dxfId="5225" priority="5245" stopIfTrue="1" operator="equal">
      <formula>"X"</formula>
    </cfRule>
  </conditionalFormatting>
  <conditionalFormatting sqref="GU184">
    <cfRule type="cellIs" dxfId="5224" priority="5237" stopIfTrue="1" operator="equal">
      <formula>0</formula>
    </cfRule>
    <cfRule type="cellIs" dxfId="5223" priority="5238" stopIfTrue="1" operator="notEqual">
      <formula>0</formula>
    </cfRule>
  </conditionalFormatting>
  <conditionalFormatting sqref="GV184">
    <cfRule type="cellIs" dxfId="5222" priority="5236" stopIfTrue="1" operator="equal">
      <formula>"STOP"</formula>
    </cfRule>
  </conditionalFormatting>
  <conditionalFormatting sqref="Q179">
    <cfRule type="cellIs" dxfId="5221" priority="9854" stopIfTrue="1" operator="equal">
      <formula>"SIM"</formula>
    </cfRule>
    <cfRule type="cellIs" dxfId="5220" priority="9855" stopIfTrue="1" operator="equal">
      <formula>"NÃO"</formula>
    </cfRule>
  </conditionalFormatting>
  <conditionalFormatting sqref="BF179 CJ179 DO179">
    <cfRule type="cellIs" dxfId="5219" priority="9850" stopIfTrue="1" operator="equal">
      <formula>0</formula>
    </cfRule>
    <cfRule type="cellIs" dxfId="5218" priority="9856" stopIfTrue="1" operator="notEqual">
      <formula>0</formula>
    </cfRule>
  </conditionalFormatting>
  <conditionalFormatting sqref="C179:D179">
    <cfRule type="expression" dxfId="5217" priority="9853" stopIfTrue="1">
      <formula>IF(AND($C179&lt;&gt;"",$H179+$L179=0),TRUE)</formula>
    </cfRule>
  </conditionalFormatting>
  <conditionalFormatting sqref="P179">
    <cfRule type="cellIs" dxfId="5216" priority="9842" stopIfTrue="1" operator="equal">
      <formula>1</formula>
    </cfRule>
    <cfRule type="cellIs" dxfId="5215" priority="9851" stopIfTrue="1" operator="equal">
      <formula>2</formula>
    </cfRule>
    <cfRule type="cellIs" dxfId="5214" priority="9852" stopIfTrue="1" operator="equal">
      <formula>"X"</formula>
    </cfRule>
  </conditionalFormatting>
  <conditionalFormatting sqref="GU179">
    <cfRule type="cellIs" dxfId="5213" priority="9844" stopIfTrue="1" operator="equal">
      <formula>0</formula>
    </cfRule>
    <cfRule type="cellIs" dxfId="5212" priority="9845" stopIfTrue="1" operator="notEqual">
      <formula>0</formula>
    </cfRule>
  </conditionalFormatting>
  <conditionalFormatting sqref="GV179">
    <cfRule type="cellIs" dxfId="5211" priority="9843" stopIfTrue="1" operator="equal">
      <formula>"STOP"</formula>
    </cfRule>
  </conditionalFormatting>
  <conditionalFormatting sqref="Q180">
    <cfRule type="cellIs" dxfId="5210" priority="9837" stopIfTrue="1" operator="equal">
      <formula>"SIM"</formula>
    </cfRule>
    <cfRule type="cellIs" dxfId="5209" priority="9838" stopIfTrue="1" operator="equal">
      <formula>"NÃO"</formula>
    </cfRule>
  </conditionalFormatting>
  <conditionalFormatting sqref="BF180 CJ180 DO180">
    <cfRule type="cellIs" dxfId="5208" priority="9833" stopIfTrue="1" operator="equal">
      <formula>0</formula>
    </cfRule>
    <cfRule type="cellIs" dxfId="5207" priority="9839" stopIfTrue="1" operator="notEqual">
      <formula>0</formula>
    </cfRule>
  </conditionalFormatting>
  <conditionalFormatting sqref="C180:D180">
    <cfRule type="expression" dxfId="5206" priority="9836" stopIfTrue="1">
      <formula>IF(AND($C180&lt;&gt;"",$H180+$L180=0),TRUE)</formula>
    </cfRule>
  </conditionalFormatting>
  <conditionalFormatting sqref="P180">
    <cfRule type="cellIs" dxfId="5205" priority="9825" stopIfTrue="1" operator="equal">
      <formula>1</formula>
    </cfRule>
    <cfRule type="cellIs" dxfId="5204" priority="9834" stopIfTrue="1" operator="equal">
      <formula>2</formula>
    </cfRule>
    <cfRule type="cellIs" dxfId="5203" priority="9835" stopIfTrue="1" operator="equal">
      <formula>"X"</formula>
    </cfRule>
  </conditionalFormatting>
  <conditionalFormatting sqref="GU180">
    <cfRule type="cellIs" dxfId="5202" priority="9827" stopIfTrue="1" operator="equal">
      <formula>0</formula>
    </cfRule>
    <cfRule type="cellIs" dxfId="5201" priority="9828" stopIfTrue="1" operator="notEqual">
      <formula>0</formula>
    </cfRule>
  </conditionalFormatting>
  <conditionalFormatting sqref="GV180">
    <cfRule type="cellIs" dxfId="5200" priority="9826" stopIfTrue="1" operator="equal">
      <formula>"STOP"</formula>
    </cfRule>
  </conditionalFormatting>
  <conditionalFormatting sqref="Q187">
    <cfRule type="cellIs" dxfId="5199" priority="5196" stopIfTrue="1" operator="equal">
      <formula>"SIM"</formula>
    </cfRule>
    <cfRule type="cellIs" dxfId="5198" priority="5197" stopIfTrue="1" operator="equal">
      <formula>"NÃO"</formula>
    </cfRule>
  </conditionalFormatting>
  <conditionalFormatting sqref="BF187 CJ187 DO187">
    <cfRule type="cellIs" dxfId="5197" priority="5192" stopIfTrue="1" operator="equal">
      <formula>0</formula>
    </cfRule>
    <cfRule type="cellIs" dxfId="5196" priority="5198" stopIfTrue="1" operator="notEqual">
      <formula>0</formula>
    </cfRule>
  </conditionalFormatting>
  <conditionalFormatting sqref="C187:D187">
    <cfRule type="expression" dxfId="5195" priority="5195" stopIfTrue="1">
      <formula>IF(AND($C187&lt;&gt;"",$H187+$L187=0),TRUE)</formula>
    </cfRule>
  </conditionalFormatting>
  <conditionalFormatting sqref="P187">
    <cfRule type="cellIs" dxfId="5194" priority="5184" stopIfTrue="1" operator="equal">
      <formula>1</formula>
    </cfRule>
    <cfRule type="cellIs" dxfId="5193" priority="5193" stopIfTrue="1" operator="equal">
      <formula>2</formula>
    </cfRule>
    <cfRule type="cellIs" dxfId="5192" priority="5194" stopIfTrue="1" operator="equal">
      <formula>"X"</formula>
    </cfRule>
  </conditionalFormatting>
  <conditionalFormatting sqref="GU187">
    <cfRule type="cellIs" dxfId="5191" priority="5186" stopIfTrue="1" operator="equal">
      <formula>0</formula>
    </cfRule>
    <cfRule type="cellIs" dxfId="5190" priority="5187" stopIfTrue="1" operator="notEqual">
      <formula>0</formula>
    </cfRule>
  </conditionalFormatting>
  <conditionalFormatting sqref="GV187">
    <cfRule type="cellIs" dxfId="5189" priority="5185" stopIfTrue="1" operator="equal">
      <formula>"STOP"</formula>
    </cfRule>
  </conditionalFormatting>
  <conditionalFormatting sqref="Q183">
    <cfRule type="cellIs" dxfId="5188" priority="5179" stopIfTrue="1" operator="equal">
      <formula>"SIM"</formula>
    </cfRule>
    <cfRule type="cellIs" dxfId="5187" priority="5180" stopIfTrue="1" operator="equal">
      <formula>"NÃO"</formula>
    </cfRule>
  </conditionalFormatting>
  <conditionalFormatting sqref="BF183 CJ183 DO183">
    <cfRule type="cellIs" dxfId="5186" priority="5175" stopIfTrue="1" operator="equal">
      <formula>0</formula>
    </cfRule>
    <cfRule type="cellIs" dxfId="5185" priority="5181" stopIfTrue="1" operator="notEqual">
      <formula>0</formula>
    </cfRule>
  </conditionalFormatting>
  <conditionalFormatting sqref="C183:D183">
    <cfRule type="expression" dxfId="5184" priority="5178" stopIfTrue="1">
      <formula>IF(AND($C183&lt;&gt;"",$H183+$L183=0),TRUE)</formula>
    </cfRule>
  </conditionalFormatting>
  <conditionalFormatting sqref="P183">
    <cfRule type="cellIs" dxfId="5183" priority="5167" stopIfTrue="1" operator="equal">
      <formula>1</formula>
    </cfRule>
    <cfRule type="cellIs" dxfId="5182" priority="5176" stopIfTrue="1" operator="equal">
      <formula>2</formula>
    </cfRule>
    <cfRule type="cellIs" dxfId="5181" priority="5177" stopIfTrue="1" operator="equal">
      <formula>"X"</formula>
    </cfRule>
  </conditionalFormatting>
  <conditionalFormatting sqref="GU183">
    <cfRule type="cellIs" dxfId="5180" priority="5169" stopIfTrue="1" operator="equal">
      <formula>0</formula>
    </cfRule>
    <cfRule type="cellIs" dxfId="5179" priority="5170" stopIfTrue="1" operator="notEqual">
      <formula>0</formula>
    </cfRule>
  </conditionalFormatting>
  <conditionalFormatting sqref="GV183">
    <cfRule type="cellIs" dxfId="5178" priority="5168" stopIfTrue="1" operator="equal">
      <formula>"STOP"</formula>
    </cfRule>
  </conditionalFormatting>
  <conditionalFormatting sqref="Q179">
    <cfRule type="cellIs" dxfId="5177" priority="9820" stopIfTrue="1" operator="equal">
      <formula>"SIM"</formula>
    </cfRule>
    <cfRule type="cellIs" dxfId="5176" priority="9821" stopIfTrue="1" operator="equal">
      <formula>"NÃO"</formula>
    </cfRule>
  </conditionalFormatting>
  <conditionalFormatting sqref="BF179 CJ179 DO179">
    <cfRule type="cellIs" dxfId="5175" priority="9816" stopIfTrue="1" operator="equal">
      <formula>0</formula>
    </cfRule>
    <cfRule type="cellIs" dxfId="5174" priority="9822" stopIfTrue="1" operator="notEqual">
      <formula>0</formula>
    </cfRule>
  </conditionalFormatting>
  <conditionalFormatting sqref="C179:D179">
    <cfRule type="expression" dxfId="5173" priority="9819" stopIfTrue="1">
      <formula>IF(AND($C179&lt;&gt;"",$H179+$L179=0),TRUE)</formula>
    </cfRule>
  </conditionalFormatting>
  <conditionalFormatting sqref="P179">
    <cfRule type="cellIs" dxfId="5172" priority="9808" stopIfTrue="1" operator="equal">
      <formula>1</formula>
    </cfRule>
    <cfRule type="cellIs" dxfId="5171" priority="9817" stopIfTrue="1" operator="equal">
      <formula>2</formula>
    </cfRule>
    <cfRule type="cellIs" dxfId="5170" priority="9818" stopIfTrue="1" operator="equal">
      <formula>"X"</formula>
    </cfRule>
  </conditionalFormatting>
  <conditionalFormatting sqref="GU179">
    <cfRule type="cellIs" dxfId="5169" priority="9810" stopIfTrue="1" operator="equal">
      <formula>0</formula>
    </cfRule>
    <cfRule type="cellIs" dxfId="5168" priority="9811" stopIfTrue="1" operator="notEqual">
      <formula>0</formula>
    </cfRule>
  </conditionalFormatting>
  <conditionalFormatting sqref="GV179">
    <cfRule type="cellIs" dxfId="5167" priority="9809" stopIfTrue="1" operator="equal">
      <formula>"STOP"</formula>
    </cfRule>
  </conditionalFormatting>
  <conditionalFormatting sqref="Q180">
    <cfRule type="cellIs" dxfId="5166" priority="9803" stopIfTrue="1" operator="equal">
      <formula>"SIM"</formula>
    </cfRule>
    <cfRule type="cellIs" dxfId="5165" priority="9804" stopIfTrue="1" operator="equal">
      <formula>"NÃO"</formula>
    </cfRule>
  </conditionalFormatting>
  <conditionalFormatting sqref="BF180 CJ180 DO180">
    <cfRule type="cellIs" dxfId="5164" priority="9799" stopIfTrue="1" operator="equal">
      <formula>0</formula>
    </cfRule>
    <cfRule type="cellIs" dxfId="5163" priority="9805" stopIfTrue="1" operator="notEqual">
      <formula>0</formula>
    </cfRule>
  </conditionalFormatting>
  <conditionalFormatting sqref="C180:D180">
    <cfRule type="expression" dxfId="5162" priority="9802" stopIfTrue="1">
      <formula>IF(AND($C180&lt;&gt;"",$H180+$L180=0),TRUE)</formula>
    </cfRule>
  </conditionalFormatting>
  <conditionalFormatting sqref="P180">
    <cfRule type="cellIs" dxfId="5161" priority="9791" stopIfTrue="1" operator="equal">
      <formula>1</formula>
    </cfRule>
    <cfRule type="cellIs" dxfId="5160" priority="9800" stopIfTrue="1" operator="equal">
      <formula>2</formula>
    </cfRule>
    <cfRule type="cellIs" dxfId="5159" priority="9801" stopIfTrue="1" operator="equal">
      <formula>"X"</formula>
    </cfRule>
  </conditionalFormatting>
  <conditionalFormatting sqref="GU180">
    <cfRule type="cellIs" dxfId="5158" priority="9793" stopIfTrue="1" operator="equal">
      <formula>0</formula>
    </cfRule>
    <cfRule type="cellIs" dxfId="5157" priority="9794" stopIfTrue="1" operator="notEqual">
      <formula>0</formula>
    </cfRule>
  </conditionalFormatting>
  <conditionalFormatting sqref="GV180">
    <cfRule type="cellIs" dxfId="5156" priority="9792" stopIfTrue="1" operator="equal">
      <formula>"STOP"</formula>
    </cfRule>
  </conditionalFormatting>
  <conditionalFormatting sqref="Q181">
    <cfRule type="cellIs" dxfId="5155" priority="9786" stopIfTrue="1" operator="equal">
      <formula>"SIM"</formula>
    </cfRule>
    <cfRule type="cellIs" dxfId="5154" priority="9787" stopIfTrue="1" operator="equal">
      <formula>"NÃO"</formula>
    </cfRule>
  </conditionalFormatting>
  <conditionalFormatting sqref="BF181 CJ181 DO181">
    <cfRule type="cellIs" dxfId="5153" priority="9782" stopIfTrue="1" operator="equal">
      <formula>0</formula>
    </cfRule>
    <cfRule type="cellIs" dxfId="5152" priority="9788" stopIfTrue="1" operator="notEqual">
      <formula>0</formula>
    </cfRule>
  </conditionalFormatting>
  <conditionalFormatting sqref="C181:D181">
    <cfRule type="expression" dxfId="5151" priority="9785" stopIfTrue="1">
      <formula>IF(AND($C181&lt;&gt;"",$H181+$L181=0),TRUE)</formula>
    </cfRule>
  </conditionalFormatting>
  <conditionalFormatting sqref="P181">
    <cfRule type="cellIs" dxfId="5150" priority="9774" stopIfTrue="1" operator="equal">
      <formula>1</formula>
    </cfRule>
    <cfRule type="cellIs" dxfId="5149" priority="9783" stopIfTrue="1" operator="equal">
      <formula>2</formula>
    </cfRule>
    <cfRule type="cellIs" dxfId="5148" priority="9784" stopIfTrue="1" operator="equal">
      <formula>"X"</formula>
    </cfRule>
  </conditionalFormatting>
  <conditionalFormatting sqref="GU181">
    <cfRule type="cellIs" dxfId="5147" priority="9776" stopIfTrue="1" operator="equal">
      <formula>0</formula>
    </cfRule>
    <cfRule type="cellIs" dxfId="5146" priority="9777" stopIfTrue="1" operator="notEqual">
      <formula>0</formula>
    </cfRule>
  </conditionalFormatting>
  <conditionalFormatting sqref="GV181">
    <cfRule type="cellIs" dxfId="5145" priority="9775" stopIfTrue="1" operator="equal">
      <formula>"STOP"</formula>
    </cfRule>
  </conditionalFormatting>
  <conditionalFormatting sqref="Q182">
    <cfRule type="cellIs" dxfId="5144" priority="9769" stopIfTrue="1" operator="equal">
      <formula>"SIM"</formula>
    </cfRule>
    <cfRule type="cellIs" dxfId="5143" priority="9770" stopIfTrue="1" operator="equal">
      <formula>"NÃO"</formula>
    </cfRule>
  </conditionalFormatting>
  <conditionalFormatting sqref="BF182 CJ182 DO182">
    <cfRule type="cellIs" dxfId="5142" priority="9765" stopIfTrue="1" operator="equal">
      <formula>0</formula>
    </cfRule>
    <cfRule type="cellIs" dxfId="5141" priority="9771" stopIfTrue="1" operator="notEqual">
      <formula>0</formula>
    </cfRule>
  </conditionalFormatting>
  <conditionalFormatting sqref="C182:D182">
    <cfRule type="expression" dxfId="5140" priority="9768" stopIfTrue="1">
      <formula>IF(AND($C182&lt;&gt;"",$H182+$L182=0),TRUE)</formula>
    </cfRule>
  </conditionalFormatting>
  <conditionalFormatting sqref="P182">
    <cfRule type="cellIs" dxfId="5139" priority="9757" stopIfTrue="1" operator="equal">
      <formula>1</formula>
    </cfRule>
    <cfRule type="cellIs" dxfId="5138" priority="9766" stopIfTrue="1" operator="equal">
      <formula>2</formula>
    </cfRule>
    <cfRule type="cellIs" dxfId="5137" priority="9767" stopIfTrue="1" operator="equal">
      <formula>"X"</formula>
    </cfRule>
  </conditionalFormatting>
  <conditionalFormatting sqref="GU182">
    <cfRule type="cellIs" dxfId="5136" priority="9759" stopIfTrue="1" operator="equal">
      <formula>0</formula>
    </cfRule>
    <cfRule type="cellIs" dxfId="5135" priority="9760" stopIfTrue="1" operator="notEqual">
      <formula>0</formula>
    </cfRule>
  </conditionalFormatting>
  <conditionalFormatting sqref="GV182">
    <cfRule type="cellIs" dxfId="5134" priority="9758" stopIfTrue="1" operator="equal">
      <formula>"STOP"</formula>
    </cfRule>
  </conditionalFormatting>
  <conditionalFormatting sqref="Q185">
    <cfRule type="cellIs" dxfId="5133" priority="5094" stopIfTrue="1" operator="equal">
      <formula>"SIM"</formula>
    </cfRule>
    <cfRule type="cellIs" dxfId="5132" priority="5095" stopIfTrue="1" operator="equal">
      <formula>"NÃO"</formula>
    </cfRule>
  </conditionalFormatting>
  <conditionalFormatting sqref="BF185 CJ185 DO185">
    <cfRule type="cellIs" dxfId="5131" priority="5090" stopIfTrue="1" operator="equal">
      <formula>0</formula>
    </cfRule>
    <cfRule type="cellIs" dxfId="5130" priority="5096" stopIfTrue="1" operator="notEqual">
      <formula>0</formula>
    </cfRule>
  </conditionalFormatting>
  <conditionalFormatting sqref="C185:D185">
    <cfRule type="expression" dxfId="5129" priority="5093" stopIfTrue="1">
      <formula>IF(AND($C185&lt;&gt;"",$H185+$L185=0),TRUE)</formula>
    </cfRule>
  </conditionalFormatting>
  <conditionalFormatting sqref="P185">
    <cfRule type="cellIs" dxfId="5128" priority="5082" stopIfTrue="1" operator="equal">
      <formula>1</formula>
    </cfRule>
    <cfRule type="cellIs" dxfId="5127" priority="5091" stopIfTrue="1" operator="equal">
      <formula>2</formula>
    </cfRule>
    <cfRule type="cellIs" dxfId="5126" priority="5092" stopIfTrue="1" operator="equal">
      <formula>"X"</formula>
    </cfRule>
  </conditionalFormatting>
  <conditionalFormatting sqref="GU185">
    <cfRule type="cellIs" dxfId="5125" priority="5084" stopIfTrue="1" operator="equal">
      <formula>0</formula>
    </cfRule>
    <cfRule type="cellIs" dxfId="5124" priority="5085" stopIfTrue="1" operator="notEqual">
      <formula>0</formula>
    </cfRule>
  </conditionalFormatting>
  <conditionalFormatting sqref="GV185">
    <cfRule type="cellIs" dxfId="5123" priority="5083" stopIfTrue="1" operator="equal">
      <formula>"STOP"</formula>
    </cfRule>
  </conditionalFormatting>
  <conditionalFormatting sqref="Q179">
    <cfRule type="cellIs" dxfId="5122" priority="9752" stopIfTrue="1" operator="equal">
      <formula>"SIM"</formula>
    </cfRule>
    <cfRule type="cellIs" dxfId="5121" priority="9753" stopIfTrue="1" operator="equal">
      <formula>"NÃO"</formula>
    </cfRule>
  </conditionalFormatting>
  <conditionalFormatting sqref="BF179 CJ179 DO179">
    <cfRule type="cellIs" dxfId="5120" priority="9748" stopIfTrue="1" operator="equal">
      <formula>0</formula>
    </cfRule>
    <cfRule type="cellIs" dxfId="5119" priority="9754" stopIfTrue="1" operator="notEqual">
      <formula>0</formula>
    </cfRule>
  </conditionalFormatting>
  <conditionalFormatting sqref="C179:D179">
    <cfRule type="expression" dxfId="5118" priority="9751" stopIfTrue="1">
      <formula>IF(AND($C179&lt;&gt;"",$H179+$L179=0),TRUE)</formula>
    </cfRule>
  </conditionalFormatting>
  <conditionalFormatting sqref="P179">
    <cfRule type="cellIs" dxfId="5117" priority="9740" stopIfTrue="1" operator="equal">
      <formula>1</formula>
    </cfRule>
    <cfRule type="cellIs" dxfId="5116" priority="9749" stopIfTrue="1" operator="equal">
      <formula>2</formula>
    </cfRule>
    <cfRule type="cellIs" dxfId="5115" priority="9750" stopIfTrue="1" operator="equal">
      <formula>"X"</formula>
    </cfRule>
  </conditionalFormatting>
  <conditionalFormatting sqref="GU179">
    <cfRule type="cellIs" dxfId="5114" priority="9742" stopIfTrue="1" operator="equal">
      <formula>0</formula>
    </cfRule>
    <cfRule type="cellIs" dxfId="5113" priority="9743" stopIfTrue="1" operator="notEqual">
      <formula>0</formula>
    </cfRule>
  </conditionalFormatting>
  <conditionalFormatting sqref="GV179">
    <cfRule type="cellIs" dxfId="5112" priority="9741" stopIfTrue="1" operator="equal">
      <formula>"STOP"</formula>
    </cfRule>
  </conditionalFormatting>
  <conditionalFormatting sqref="Q180">
    <cfRule type="cellIs" dxfId="5111" priority="9735" stopIfTrue="1" operator="equal">
      <formula>"SIM"</formula>
    </cfRule>
    <cfRule type="cellIs" dxfId="5110" priority="9736" stopIfTrue="1" operator="equal">
      <formula>"NÃO"</formula>
    </cfRule>
  </conditionalFormatting>
  <conditionalFormatting sqref="BF180 CJ180 DO180">
    <cfRule type="cellIs" dxfId="5109" priority="9731" stopIfTrue="1" operator="equal">
      <formula>0</formula>
    </cfRule>
    <cfRule type="cellIs" dxfId="5108" priority="9737" stopIfTrue="1" operator="notEqual">
      <formula>0</formula>
    </cfRule>
  </conditionalFormatting>
  <conditionalFormatting sqref="C180:D180">
    <cfRule type="expression" dxfId="5107" priority="9734" stopIfTrue="1">
      <formula>IF(AND($C180&lt;&gt;"",$H180+$L180=0),TRUE)</formula>
    </cfRule>
  </conditionalFormatting>
  <conditionalFormatting sqref="P180">
    <cfRule type="cellIs" dxfId="5106" priority="9723" stopIfTrue="1" operator="equal">
      <formula>1</formula>
    </cfRule>
    <cfRule type="cellIs" dxfId="5105" priority="9732" stopIfTrue="1" operator="equal">
      <formula>2</formula>
    </cfRule>
    <cfRule type="cellIs" dxfId="5104" priority="9733" stopIfTrue="1" operator="equal">
      <formula>"X"</formula>
    </cfRule>
  </conditionalFormatting>
  <conditionalFormatting sqref="GU180">
    <cfRule type="cellIs" dxfId="5103" priority="9725" stopIfTrue="1" operator="equal">
      <formula>0</formula>
    </cfRule>
    <cfRule type="cellIs" dxfId="5102" priority="9726" stopIfTrue="1" operator="notEqual">
      <formula>0</formula>
    </cfRule>
  </conditionalFormatting>
  <conditionalFormatting sqref="GV180">
    <cfRule type="cellIs" dxfId="5101" priority="9724" stopIfTrue="1" operator="equal">
      <formula>"STOP"</formula>
    </cfRule>
  </conditionalFormatting>
  <conditionalFormatting sqref="Q185">
    <cfRule type="cellIs" dxfId="5100" priority="5043" stopIfTrue="1" operator="equal">
      <formula>"SIM"</formula>
    </cfRule>
    <cfRule type="cellIs" dxfId="5099" priority="5044" stopIfTrue="1" operator="equal">
      <formula>"NÃO"</formula>
    </cfRule>
  </conditionalFormatting>
  <conditionalFormatting sqref="BF185 CJ185 DO185">
    <cfRule type="cellIs" dxfId="5098" priority="5039" stopIfTrue="1" operator="equal">
      <formula>0</formula>
    </cfRule>
    <cfRule type="cellIs" dxfId="5097" priority="5045" stopIfTrue="1" operator="notEqual">
      <formula>0</formula>
    </cfRule>
  </conditionalFormatting>
  <conditionalFormatting sqref="C185:D185">
    <cfRule type="expression" dxfId="5096" priority="5042" stopIfTrue="1">
      <formula>IF(AND($C185&lt;&gt;"",$H185+$L185=0),TRUE)</formula>
    </cfRule>
  </conditionalFormatting>
  <conditionalFormatting sqref="P185">
    <cfRule type="cellIs" dxfId="5095" priority="5031" stopIfTrue="1" operator="equal">
      <formula>1</formula>
    </cfRule>
    <cfRule type="cellIs" dxfId="5094" priority="5040" stopIfTrue="1" operator="equal">
      <formula>2</formula>
    </cfRule>
    <cfRule type="cellIs" dxfId="5093" priority="5041" stopIfTrue="1" operator="equal">
      <formula>"X"</formula>
    </cfRule>
  </conditionalFormatting>
  <conditionalFormatting sqref="GU185">
    <cfRule type="cellIs" dxfId="5092" priority="5033" stopIfTrue="1" operator="equal">
      <formula>0</formula>
    </cfRule>
    <cfRule type="cellIs" dxfId="5091" priority="5034" stopIfTrue="1" operator="notEqual">
      <formula>0</formula>
    </cfRule>
  </conditionalFormatting>
  <conditionalFormatting sqref="GV185">
    <cfRule type="cellIs" dxfId="5090" priority="5032" stopIfTrue="1" operator="equal">
      <formula>"STOP"</formula>
    </cfRule>
  </conditionalFormatting>
  <conditionalFormatting sqref="Q180">
    <cfRule type="cellIs" dxfId="5089" priority="9701" stopIfTrue="1" operator="equal">
      <formula>"SIM"</formula>
    </cfRule>
    <cfRule type="cellIs" dxfId="5088" priority="9702" stopIfTrue="1" operator="equal">
      <formula>"NÃO"</formula>
    </cfRule>
  </conditionalFormatting>
  <conditionalFormatting sqref="BF180 CJ180 DO180">
    <cfRule type="cellIs" dxfId="5087" priority="9697" stopIfTrue="1" operator="equal">
      <formula>0</formula>
    </cfRule>
    <cfRule type="cellIs" dxfId="5086" priority="9703" stopIfTrue="1" operator="notEqual">
      <formula>0</formula>
    </cfRule>
  </conditionalFormatting>
  <conditionalFormatting sqref="C180:D180">
    <cfRule type="expression" dxfId="5085" priority="9700" stopIfTrue="1">
      <formula>IF(AND($C180&lt;&gt;"",$H180+$L180=0),TRUE)</formula>
    </cfRule>
  </conditionalFormatting>
  <conditionalFormatting sqref="P180">
    <cfRule type="cellIs" dxfId="5084" priority="9689" stopIfTrue="1" operator="equal">
      <formula>1</formula>
    </cfRule>
    <cfRule type="cellIs" dxfId="5083" priority="9698" stopIfTrue="1" operator="equal">
      <formula>2</formula>
    </cfRule>
    <cfRule type="cellIs" dxfId="5082" priority="9699" stopIfTrue="1" operator="equal">
      <formula>"X"</formula>
    </cfRule>
  </conditionalFormatting>
  <conditionalFormatting sqref="GU180">
    <cfRule type="cellIs" dxfId="5081" priority="9691" stopIfTrue="1" operator="equal">
      <formula>0</formula>
    </cfRule>
    <cfRule type="cellIs" dxfId="5080" priority="9692" stopIfTrue="1" operator="notEqual">
      <formula>0</formula>
    </cfRule>
  </conditionalFormatting>
  <conditionalFormatting sqref="GV180">
    <cfRule type="cellIs" dxfId="5079" priority="9690" stopIfTrue="1" operator="equal">
      <formula>"STOP"</formula>
    </cfRule>
  </conditionalFormatting>
  <conditionalFormatting sqref="Q181">
    <cfRule type="cellIs" dxfId="5078" priority="9684" stopIfTrue="1" operator="equal">
      <formula>"SIM"</formula>
    </cfRule>
    <cfRule type="cellIs" dxfId="5077" priority="9685" stopIfTrue="1" operator="equal">
      <formula>"NÃO"</formula>
    </cfRule>
  </conditionalFormatting>
  <conditionalFormatting sqref="BF181 CJ181 DO181">
    <cfRule type="cellIs" dxfId="5076" priority="9680" stopIfTrue="1" operator="equal">
      <formula>0</formula>
    </cfRule>
    <cfRule type="cellIs" dxfId="5075" priority="9686" stopIfTrue="1" operator="notEqual">
      <formula>0</formula>
    </cfRule>
  </conditionalFormatting>
  <conditionalFormatting sqref="C181:D181">
    <cfRule type="expression" dxfId="5074" priority="9683" stopIfTrue="1">
      <formula>IF(AND($C181&lt;&gt;"",$H181+$L181=0),TRUE)</formula>
    </cfRule>
  </conditionalFormatting>
  <conditionalFormatting sqref="P181">
    <cfRule type="cellIs" dxfId="5073" priority="9672" stopIfTrue="1" operator="equal">
      <formula>1</formula>
    </cfRule>
    <cfRule type="cellIs" dxfId="5072" priority="9681" stopIfTrue="1" operator="equal">
      <formula>2</formula>
    </cfRule>
    <cfRule type="cellIs" dxfId="5071" priority="9682" stopIfTrue="1" operator="equal">
      <formula>"X"</formula>
    </cfRule>
  </conditionalFormatting>
  <conditionalFormatting sqref="GU181">
    <cfRule type="cellIs" dxfId="5070" priority="9674" stopIfTrue="1" operator="equal">
      <formula>0</formula>
    </cfRule>
    <cfRule type="cellIs" dxfId="5069" priority="9675" stopIfTrue="1" operator="notEqual">
      <formula>0</formula>
    </cfRule>
  </conditionalFormatting>
  <conditionalFormatting sqref="GV181">
    <cfRule type="cellIs" dxfId="5068" priority="9673" stopIfTrue="1" operator="equal">
      <formula>"STOP"</formula>
    </cfRule>
  </conditionalFormatting>
  <conditionalFormatting sqref="Q179">
    <cfRule type="cellIs" dxfId="5067" priority="9667" stopIfTrue="1" operator="equal">
      <formula>"SIM"</formula>
    </cfRule>
    <cfRule type="cellIs" dxfId="5066" priority="9668" stopIfTrue="1" operator="equal">
      <formula>"NÃO"</formula>
    </cfRule>
  </conditionalFormatting>
  <conditionalFormatting sqref="BF179 CJ179 DO179">
    <cfRule type="cellIs" dxfId="5065" priority="9663" stopIfTrue="1" operator="equal">
      <formula>0</formula>
    </cfRule>
    <cfRule type="cellIs" dxfId="5064" priority="9669" stopIfTrue="1" operator="notEqual">
      <formula>0</formula>
    </cfRule>
  </conditionalFormatting>
  <conditionalFormatting sqref="C179:D179">
    <cfRule type="expression" dxfId="5063" priority="9666" stopIfTrue="1">
      <formula>IF(AND($C179&lt;&gt;"",$H179+$L179=0),TRUE)</formula>
    </cfRule>
  </conditionalFormatting>
  <conditionalFormatting sqref="P179">
    <cfRule type="cellIs" dxfId="5062" priority="9655" stopIfTrue="1" operator="equal">
      <formula>1</formula>
    </cfRule>
    <cfRule type="cellIs" dxfId="5061" priority="9664" stopIfTrue="1" operator="equal">
      <formula>2</formula>
    </cfRule>
    <cfRule type="cellIs" dxfId="5060" priority="9665" stopIfTrue="1" operator="equal">
      <formula>"X"</formula>
    </cfRule>
  </conditionalFormatting>
  <conditionalFormatting sqref="GU179">
    <cfRule type="cellIs" dxfId="5059" priority="9657" stopIfTrue="1" operator="equal">
      <formula>0</formula>
    </cfRule>
    <cfRule type="cellIs" dxfId="5058" priority="9658" stopIfTrue="1" operator="notEqual">
      <formula>0</formula>
    </cfRule>
  </conditionalFormatting>
  <conditionalFormatting sqref="GV179">
    <cfRule type="cellIs" dxfId="5057" priority="9656" stopIfTrue="1" operator="equal">
      <formula>"STOP"</formula>
    </cfRule>
  </conditionalFormatting>
  <conditionalFormatting sqref="Q180">
    <cfRule type="cellIs" dxfId="5056" priority="9650" stopIfTrue="1" operator="equal">
      <formula>"SIM"</formula>
    </cfRule>
    <cfRule type="cellIs" dxfId="5055" priority="9651" stopIfTrue="1" operator="equal">
      <formula>"NÃO"</formula>
    </cfRule>
  </conditionalFormatting>
  <conditionalFormatting sqref="BF180 CJ180 DO180">
    <cfRule type="cellIs" dxfId="5054" priority="9646" stopIfTrue="1" operator="equal">
      <formula>0</formula>
    </cfRule>
    <cfRule type="cellIs" dxfId="5053" priority="9652" stopIfTrue="1" operator="notEqual">
      <formula>0</formula>
    </cfRule>
  </conditionalFormatting>
  <conditionalFormatting sqref="C180:D180">
    <cfRule type="expression" dxfId="5052" priority="9649" stopIfTrue="1">
      <formula>IF(AND($C180&lt;&gt;"",$H180+$L180=0),TRUE)</formula>
    </cfRule>
  </conditionalFormatting>
  <conditionalFormatting sqref="P180">
    <cfRule type="cellIs" dxfId="5051" priority="9638" stopIfTrue="1" operator="equal">
      <formula>1</formula>
    </cfRule>
    <cfRule type="cellIs" dxfId="5050" priority="9647" stopIfTrue="1" operator="equal">
      <formula>2</formula>
    </cfRule>
    <cfRule type="cellIs" dxfId="5049" priority="9648" stopIfTrue="1" operator="equal">
      <formula>"X"</formula>
    </cfRule>
  </conditionalFormatting>
  <conditionalFormatting sqref="GU180">
    <cfRule type="cellIs" dxfId="5048" priority="9640" stopIfTrue="1" operator="equal">
      <formula>0</formula>
    </cfRule>
    <cfRule type="cellIs" dxfId="5047" priority="9641" stopIfTrue="1" operator="notEqual">
      <formula>0</formula>
    </cfRule>
  </conditionalFormatting>
  <conditionalFormatting sqref="GV180">
    <cfRule type="cellIs" dxfId="5046" priority="9639" stopIfTrue="1" operator="equal">
      <formula>"STOP"</formula>
    </cfRule>
  </conditionalFormatting>
  <conditionalFormatting sqref="Q181">
    <cfRule type="cellIs" dxfId="5045" priority="9633" stopIfTrue="1" operator="equal">
      <formula>"SIM"</formula>
    </cfRule>
    <cfRule type="cellIs" dxfId="5044" priority="9634" stopIfTrue="1" operator="equal">
      <formula>"NÃO"</formula>
    </cfRule>
  </conditionalFormatting>
  <conditionalFormatting sqref="BF181 CJ181 DO181">
    <cfRule type="cellIs" dxfId="5043" priority="9629" stopIfTrue="1" operator="equal">
      <formula>0</formula>
    </cfRule>
    <cfRule type="cellIs" dxfId="5042" priority="9635" stopIfTrue="1" operator="notEqual">
      <formula>0</formula>
    </cfRule>
  </conditionalFormatting>
  <conditionalFormatting sqref="C181:D181">
    <cfRule type="expression" dxfId="5041" priority="9632" stopIfTrue="1">
      <formula>IF(AND($C181&lt;&gt;"",$H181+$L181=0),TRUE)</formula>
    </cfRule>
  </conditionalFormatting>
  <conditionalFormatting sqref="P181">
    <cfRule type="cellIs" dxfId="5040" priority="9621" stopIfTrue="1" operator="equal">
      <formula>1</formula>
    </cfRule>
    <cfRule type="cellIs" dxfId="5039" priority="9630" stopIfTrue="1" operator="equal">
      <formula>2</formula>
    </cfRule>
    <cfRule type="cellIs" dxfId="5038" priority="9631" stopIfTrue="1" operator="equal">
      <formula>"X"</formula>
    </cfRule>
  </conditionalFormatting>
  <conditionalFormatting sqref="GU181">
    <cfRule type="cellIs" dxfId="5037" priority="9623" stopIfTrue="1" operator="equal">
      <formula>0</formula>
    </cfRule>
    <cfRule type="cellIs" dxfId="5036" priority="9624" stopIfTrue="1" operator="notEqual">
      <formula>0</formula>
    </cfRule>
  </conditionalFormatting>
  <conditionalFormatting sqref="GV181">
    <cfRule type="cellIs" dxfId="5035" priority="9622" stopIfTrue="1" operator="equal">
      <formula>"STOP"</formula>
    </cfRule>
  </conditionalFormatting>
  <conditionalFormatting sqref="Q178">
    <cfRule type="cellIs" dxfId="5034" priority="4924" stopIfTrue="1" operator="equal">
      <formula>"SIM"</formula>
    </cfRule>
    <cfRule type="cellIs" dxfId="5033" priority="4925" stopIfTrue="1" operator="equal">
      <formula>"NÃO"</formula>
    </cfRule>
  </conditionalFormatting>
  <conditionalFormatting sqref="BF178 CJ178 DO178">
    <cfRule type="cellIs" dxfId="5032" priority="4920" stopIfTrue="1" operator="equal">
      <formula>0</formula>
    </cfRule>
    <cfRule type="cellIs" dxfId="5031" priority="4926" stopIfTrue="1" operator="notEqual">
      <formula>0</formula>
    </cfRule>
  </conditionalFormatting>
  <conditionalFormatting sqref="C178:D178">
    <cfRule type="expression" dxfId="5030" priority="4923" stopIfTrue="1">
      <formula>IF(AND($C178&lt;&gt;"",$H178+$L178=0),TRUE)</formula>
    </cfRule>
  </conditionalFormatting>
  <conditionalFormatting sqref="P178">
    <cfRule type="cellIs" dxfId="5029" priority="4912" stopIfTrue="1" operator="equal">
      <formula>1</formula>
    </cfRule>
    <cfRule type="cellIs" dxfId="5028" priority="4921" stopIfTrue="1" operator="equal">
      <formula>2</formula>
    </cfRule>
    <cfRule type="cellIs" dxfId="5027" priority="4922" stopIfTrue="1" operator="equal">
      <formula>"X"</formula>
    </cfRule>
  </conditionalFormatting>
  <conditionalFormatting sqref="GU178">
    <cfRule type="cellIs" dxfId="5026" priority="4914" stopIfTrue="1" operator="equal">
      <formula>0</formula>
    </cfRule>
    <cfRule type="cellIs" dxfId="5025" priority="4915" stopIfTrue="1" operator="notEqual">
      <formula>0</formula>
    </cfRule>
  </conditionalFormatting>
  <conditionalFormatting sqref="GV178">
    <cfRule type="cellIs" dxfId="5024" priority="4913" stopIfTrue="1" operator="equal">
      <formula>"STOP"</formula>
    </cfRule>
  </conditionalFormatting>
  <conditionalFormatting sqref="Q179">
    <cfRule type="cellIs" dxfId="5023" priority="9616" stopIfTrue="1" operator="equal">
      <formula>"SIM"</formula>
    </cfRule>
    <cfRule type="cellIs" dxfId="5022" priority="9617" stopIfTrue="1" operator="equal">
      <formula>"NÃO"</formula>
    </cfRule>
  </conditionalFormatting>
  <conditionalFormatting sqref="BF179 CJ179 DO179">
    <cfRule type="cellIs" dxfId="5021" priority="9612" stopIfTrue="1" operator="equal">
      <formula>0</formula>
    </cfRule>
    <cfRule type="cellIs" dxfId="5020" priority="9618" stopIfTrue="1" operator="notEqual">
      <formula>0</formula>
    </cfRule>
  </conditionalFormatting>
  <conditionalFormatting sqref="C179:D179">
    <cfRule type="expression" dxfId="5019" priority="9615" stopIfTrue="1">
      <formula>IF(AND($C179&lt;&gt;"",$H179+$L179=0),TRUE)</formula>
    </cfRule>
  </conditionalFormatting>
  <conditionalFormatting sqref="P179">
    <cfRule type="cellIs" dxfId="5018" priority="9604" stopIfTrue="1" operator="equal">
      <formula>1</formula>
    </cfRule>
    <cfRule type="cellIs" dxfId="5017" priority="9613" stopIfTrue="1" operator="equal">
      <formula>2</formula>
    </cfRule>
    <cfRule type="cellIs" dxfId="5016" priority="9614" stopIfTrue="1" operator="equal">
      <formula>"X"</formula>
    </cfRule>
  </conditionalFormatting>
  <conditionalFormatting sqref="GU179">
    <cfRule type="cellIs" dxfId="5015" priority="9606" stopIfTrue="1" operator="equal">
      <formula>0</formula>
    </cfRule>
    <cfRule type="cellIs" dxfId="5014" priority="9607" stopIfTrue="1" operator="notEqual">
      <formula>0</formula>
    </cfRule>
  </conditionalFormatting>
  <conditionalFormatting sqref="GV179">
    <cfRule type="cellIs" dxfId="5013" priority="9605" stopIfTrue="1" operator="equal">
      <formula>"STOP"</formula>
    </cfRule>
  </conditionalFormatting>
  <conditionalFormatting sqref="Q180">
    <cfRule type="cellIs" dxfId="5012" priority="9599" stopIfTrue="1" operator="equal">
      <formula>"SIM"</formula>
    </cfRule>
    <cfRule type="cellIs" dxfId="5011" priority="9600" stopIfTrue="1" operator="equal">
      <formula>"NÃO"</formula>
    </cfRule>
  </conditionalFormatting>
  <conditionalFormatting sqref="BF180 CJ180 DO180">
    <cfRule type="cellIs" dxfId="5010" priority="9595" stopIfTrue="1" operator="equal">
      <formula>0</formula>
    </cfRule>
    <cfRule type="cellIs" dxfId="5009" priority="9601" stopIfTrue="1" operator="notEqual">
      <formula>0</formula>
    </cfRule>
  </conditionalFormatting>
  <conditionalFormatting sqref="C180:D180">
    <cfRule type="expression" dxfId="5008" priority="9598" stopIfTrue="1">
      <formula>IF(AND($C180&lt;&gt;"",$H180+$L180=0),TRUE)</formula>
    </cfRule>
  </conditionalFormatting>
  <conditionalFormatting sqref="P180">
    <cfRule type="cellIs" dxfId="5007" priority="9587" stopIfTrue="1" operator="equal">
      <formula>1</formula>
    </cfRule>
    <cfRule type="cellIs" dxfId="5006" priority="9596" stopIfTrue="1" operator="equal">
      <formula>2</formula>
    </cfRule>
    <cfRule type="cellIs" dxfId="5005" priority="9597" stopIfTrue="1" operator="equal">
      <formula>"X"</formula>
    </cfRule>
  </conditionalFormatting>
  <conditionalFormatting sqref="GU180">
    <cfRule type="cellIs" dxfId="5004" priority="9589" stopIfTrue="1" operator="equal">
      <formula>0</formula>
    </cfRule>
    <cfRule type="cellIs" dxfId="5003" priority="9590" stopIfTrue="1" operator="notEqual">
      <formula>0</formula>
    </cfRule>
  </conditionalFormatting>
  <conditionalFormatting sqref="GV180">
    <cfRule type="cellIs" dxfId="5002" priority="9588" stopIfTrue="1" operator="equal">
      <formula>"STOP"</formula>
    </cfRule>
  </conditionalFormatting>
  <conditionalFormatting sqref="Q181">
    <cfRule type="cellIs" dxfId="5001" priority="9582" stopIfTrue="1" operator="equal">
      <formula>"SIM"</formula>
    </cfRule>
    <cfRule type="cellIs" dxfId="5000" priority="9583" stopIfTrue="1" operator="equal">
      <formula>"NÃO"</formula>
    </cfRule>
  </conditionalFormatting>
  <conditionalFormatting sqref="BF181 CJ181 DO181">
    <cfRule type="cellIs" dxfId="4999" priority="9578" stopIfTrue="1" operator="equal">
      <formula>0</formula>
    </cfRule>
    <cfRule type="cellIs" dxfId="4998" priority="9584" stopIfTrue="1" operator="notEqual">
      <formula>0</formula>
    </cfRule>
  </conditionalFormatting>
  <conditionalFormatting sqref="C181:D181">
    <cfRule type="expression" dxfId="4997" priority="9581" stopIfTrue="1">
      <formula>IF(AND($C181&lt;&gt;"",$H181+$L181=0),TRUE)</formula>
    </cfRule>
  </conditionalFormatting>
  <conditionalFormatting sqref="P181">
    <cfRule type="cellIs" dxfId="4996" priority="9570" stopIfTrue="1" operator="equal">
      <formula>1</formula>
    </cfRule>
    <cfRule type="cellIs" dxfId="4995" priority="9579" stopIfTrue="1" operator="equal">
      <formula>2</formula>
    </cfRule>
    <cfRule type="cellIs" dxfId="4994" priority="9580" stopIfTrue="1" operator="equal">
      <formula>"X"</formula>
    </cfRule>
  </conditionalFormatting>
  <conditionalFormatting sqref="GU181">
    <cfRule type="cellIs" dxfId="4993" priority="9572" stopIfTrue="1" operator="equal">
      <formula>0</formula>
    </cfRule>
    <cfRule type="cellIs" dxfId="4992" priority="9573" stopIfTrue="1" operator="notEqual">
      <formula>0</formula>
    </cfRule>
  </conditionalFormatting>
  <conditionalFormatting sqref="GV181">
    <cfRule type="cellIs" dxfId="4991" priority="9571" stopIfTrue="1" operator="equal">
      <formula>"STOP"</formula>
    </cfRule>
  </conditionalFormatting>
  <conditionalFormatting sqref="Q182">
    <cfRule type="cellIs" dxfId="4990" priority="9565" stopIfTrue="1" operator="equal">
      <formula>"SIM"</formula>
    </cfRule>
    <cfRule type="cellIs" dxfId="4989" priority="9566" stopIfTrue="1" operator="equal">
      <formula>"NÃO"</formula>
    </cfRule>
  </conditionalFormatting>
  <conditionalFormatting sqref="BF182 CJ182 DO182">
    <cfRule type="cellIs" dxfId="4988" priority="9561" stopIfTrue="1" operator="equal">
      <formula>0</formula>
    </cfRule>
    <cfRule type="cellIs" dxfId="4987" priority="9567" stopIfTrue="1" operator="notEqual">
      <formula>0</formula>
    </cfRule>
  </conditionalFormatting>
  <conditionalFormatting sqref="C182:D182">
    <cfRule type="expression" dxfId="4986" priority="9564" stopIfTrue="1">
      <formula>IF(AND($C182&lt;&gt;"",$H182+$L182=0),TRUE)</formula>
    </cfRule>
  </conditionalFormatting>
  <conditionalFormatting sqref="P182">
    <cfRule type="cellIs" dxfId="4985" priority="9553" stopIfTrue="1" operator="equal">
      <formula>1</formula>
    </cfRule>
    <cfRule type="cellIs" dxfId="4984" priority="9562" stopIfTrue="1" operator="equal">
      <formula>2</formula>
    </cfRule>
    <cfRule type="cellIs" dxfId="4983" priority="9563" stopIfTrue="1" operator="equal">
      <formula>"X"</formula>
    </cfRule>
  </conditionalFormatting>
  <conditionalFormatting sqref="GU182">
    <cfRule type="cellIs" dxfId="4982" priority="9555" stopIfTrue="1" operator="equal">
      <formula>0</formula>
    </cfRule>
    <cfRule type="cellIs" dxfId="4981" priority="9556" stopIfTrue="1" operator="notEqual">
      <formula>0</formula>
    </cfRule>
  </conditionalFormatting>
  <conditionalFormatting sqref="GV182">
    <cfRule type="cellIs" dxfId="4980" priority="9554" stopIfTrue="1" operator="equal">
      <formula>"STOP"</formula>
    </cfRule>
  </conditionalFormatting>
  <conditionalFormatting sqref="Q183">
    <cfRule type="cellIs" dxfId="4979" priority="9548" stopIfTrue="1" operator="equal">
      <formula>"SIM"</formula>
    </cfRule>
    <cfRule type="cellIs" dxfId="4978" priority="9549" stopIfTrue="1" operator="equal">
      <formula>"NÃO"</formula>
    </cfRule>
  </conditionalFormatting>
  <conditionalFormatting sqref="BF183 CJ183 DO183">
    <cfRule type="cellIs" dxfId="4977" priority="9544" stopIfTrue="1" operator="equal">
      <formula>0</formula>
    </cfRule>
    <cfRule type="cellIs" dxfId="4976" priority="9550" stopIfTrue="1" operator="notEqual">
      <formula>0</formula>
    </cfRule>
  </conditionalFormatting>
  <conditionalFormatting sqref="C183:D183">
    <cfRule type="expression" dxfId="4975" priority="9547" stopIfTrue="1">
      <formula>IF(AND($C183&lt;&gt;"",$H183+$L183=0),TRUE)</formula>
    </cfRule>
  </conditionalFormatting>
  <conditionalFormatting sqref="P183">
    <cfRule type="cellIs" dxfId="4974" priority="9536" stopIfTrue="1" operator="equal">
      <formula>1</formula>
    </cfRule>
    <cfRule type="cellIs" dxfId="4973" priority="9545" stopIfTrue="1" operator="equal">
      <formula>2</formula>
    </cfRule>
    <cfRule type="cellIs" dxfId="4972" priority="9546" stopIfTrue="1" operator="equal">
      <formula>"X"</formula>
    </cfRule>
  </conditionalFormatting>
  <conditionalFormatting sqref="GU183">
    <cfRule type="cellIs" dxfId="4971" priority="9538" stopIfTrue="1" operator="equal">
      <formula>0</formula>
    </cfRule>
    <cfRule type="cellIs" dxfId="4970" priority="9539" stopIfTrue="1" operator="notEqual">
      <formula>0</formula>
    </cfRule>
  </conditionalFormatting>
  <conditionalFormatting sqref="GV183">
    <cfRule type="cellIs" dxfId="4969" priority="9537" stopIfTrue="1" operator="equal">
      <formula>"STOP"</formula>
    </cfRule>
  </conditionalFormatting>
  <conditionalFormatting sqref="Q184">
    <cfRule type="cellIs" dxfId="4968" priority="9531" stopIfTrue="1" operator="equal">
      <formula>"SIM"</formula>
    </cfRule>
    <cfRule type="cellIs" dxfId="4967" priority="9532" stopIfTrue="1" operator="equal">
      <formula>"NÃO"</formula>
    </cfRule>
  </conditionalFormatting>
  <conditionalFormatting sqref="BF184 CJ184 DO184">
    <cfRule type="cellIs" dxfId="4966" priority="9527" stopIfTrue="1" operator="equal">
      <formula>0</formula>
    </cfRule>
    <cfRule type="cellIs" dxfId="4965" priority="9533" stopIfTrue="1" operator="notEqual">
      <formula>0</formula>
    </cfRule>
  </conditionalFormatting>
  <conditionalFormatting sqref="C184:D184">
    <cfRule type="expression" dxfId="4964" priority="9530" stopIfTrue="1">
      <formula>IF(AND($C184&lt;&gt;"",$H184+$L184=0),TRUE)</formula>
    </cfRule>
  </conditionalFormatting>
  <conditionalFormatting sqref="P184">
    <cfRule type="cellIs" dxfId="4963" priority="9519" stopIfTrue="1" operator="equal">
      <formula>1</formula>
    </cfRule>
    <cfRule type="cellIs" dxfId="4962" priority="9528" stopIfTrue="1" operator="equal">
      <formula>2</formula>
    </cfRule>
    <cfRule type="cellIs" dxfId="4961" priority="9529" stopIfTrue="1" operator="equal">
      <formula>"X"</formula>
    </cfRule>
  </conditionalFormatting>
  <conditionalFormatting sqref="GU184">
    <cfRule type="cellIs" dxfId="4960" priority="9521" stopIfTrue="1" operator="equal">
      <formula>0</formula>
    </cfRule>
    <cfRule type="cellIs" dxfId="4959" priority="9522" stopIfTrue="1" operator="notEqual">
      <formula>0</formula>
    </cfRule>
  </conditionalFormatting>
  <conditionalFormatting sqref="GV184">
    <cfRule type="cellIs" dxfId="4958" priority="9520" stopIfTrue="1" operator="equal">
      <formula>"STOP"</formula>
    </cfRule>
  </conditionalFormatting>
  <conditionalFormatting sqref="Q185">
    <cfRule type="cellIs" dxfId="4957" priority="9514" stopIfTrue="1" operator="equal">
      <formula>"SIM"</formula>
    </cfRule>
    <cfRule type="cellIs" dxfId="4956" priority="9515" stopIfTrue="1" operator="equal">
      <formula>"NÃO"</formula>
    </cfRule>
  </conditionalFormatting>
  <conditionalFormatting sqref="BF185 CJ185 DO185">
    <cfRule type="cellIs" dxfId="4955" priority="9510" stopIfTrue="1" operator="equal">
      <formula>0</formula>
    </cfRule>
    <cfRule type="cellIs" dxfId="4954" priority="9516" stopIfTrue="1" operator="notEqual">
      <formula>0</formula>
    </cfRule>
  </conditionalFormatting>
  <conditionalFormatting sqref="C185:D185">
    <cfRule type="expression" dxfId="4953" priority="9513" stopIfTrue="1">
      <formula>IF(AND($C185&lt;&gt;"",$H185+$L185=0),TRUE)</formula>
    </cfRule>
  </conditionalFormatting>
  <conditionalFormatting sqref="P185">
    <cfRule type="cellIs" dxfId="4952" priority="9502" stopIfTrue="1" operator="equal">
      <formula>1</formula>
    </cfRule>
    <cfRule type="cellIs" dxfId="4951" priority="9511" stopIfTrue="1" operator="equal">
      <formula>2</formula>
    </cfRule>
    <cfRule type="cellIs" dxfId="4950" priority="9512" stopIfTrue="1" operator="equal">
      <formula>"X"</formula>
    </cfRule>
  </conditionalFormatting>
  <conditionalFormatting sqref="GU185">
    <cfRule type="cellIs" dxfId="4949" priority="9504" stopIfTrue="1" operator="equal">
      <formula>0</formula>
    </cfRule>
    <cfRule type="cellIs" dxfId="4948" priority="9505" stopIfTrue="1" operator="notEqual">
      <formula>0</formula>
    </cfRule>
  </conditionalFormatting>
  <conditionalFormatting sqref="GV185">
    <cfRule type="cellIs" dxfId="4947" priority="9503" stopIfTrue="1" operator="equal">
      <formula>"STOP"</formula>
    </cfRule>
  </conditionalFormatting>
  <conditionalFormatting sqref="Q186">
    <cfRule type="cellIs" dxfId="4946" priority="9497" stopIfTrue="1" operator="equal">
      <formula>"SIM"</formula>
    </cfRule>
    <cfRule type="cellIs" dxfId="4945" priority="9498" stopIfTrue="1" operator="equal">
      <formula>"NÃO"</formula>
    </cfRule>
  </conditionalFormatting>
  <conditionalFormatting sqref="BF186 CJ186 DO186">
    <cfRule type="cellIs" dxfId="4944" priority="9493" stopIfTrue="1" operator="equal">
      <formula>0</formula>
    </cfRule>
    <cfRule type="cellIs" dxfId="4943" priority="9499" stopIfTrue="1" operator="notEqual">
      <formula>0</formula>
    </cfRule>
  </conditionalFormatting>
  <conditionalFormatting sqref="C186:D186">
    <cfRule type="expression" dxfId="4942" priority="9496" stopIfTrue="1">
      <formula>IF(AND($C186&lt;&gt;"",$H186+$L186=0),TRUE)</formula>
    </cfRule>
  </conditionalFormatting>
  <conditionalFormatting sqref="P186">
    <cfRule type="cellIs" dxfId="4941" priority="9485" stopIfTrue="1" operator="equal">
      <formula>1</formula>
    </cfRule>
    <cfRule type="cellIs" dxfId="4940" priority="9494" stopIfTrue="1" operator="equal">
      <formula>2</formula>
    </cfRule>
    <cfRule type="cellIs" dxfId="4939" priority="9495" stopIfTrue="1" operator="equal">
      <formula>"X"</formula>
    </cfRule>
  </conditionalFormatting>
  <conditionalFormatting sqref="GU186">
    <cfRule type="cellIs" dxfId="4938" priority="9487" stopIfTrue="1" operator="equal">
      <formula>0</formula>
    </cfRule>
    <cfRule type="cellIs" dxfId="4937" priority="9488" stopIfTrue="1" operator="notEqual">
      <formula>0</formula>
    </cfRule>
  </conditionalFormatting>
  <conditionalFormatting sqref="GV186">
    <cfRule type="cellIs" dxfId="4936" priority="9486" stopIfTrue="1" operator="equal">
      <formula>"STOP"</formula>
    </cfRule>
  </conditionalFormatting>
  <conditionalFormatting sqref="Q187">
    <cfRule type="cellIs" dxfId="4935" priority="9480" stopIfTrue="1" operator="equal">
      <formula>"SIM"</formula>
    </cfRule>
    <cfRule type="cellIs" dxfId="4934" priority="9481" stopIfTrue="1" operator="equal">
      <formula>"NÃO"</formula>
    </cfRule>
  </conditionalFormatting>
  <conditionalFormatting sqref="BF187 CJ187 DO187">
    <cfRule type="cellIs" dxfId="4933" priority="9476" stopIfTrue="1" operator="equal">
      <formula>0</formula>
    </cfRule>
    <cfRule type="cellIs" dxfId="4932" priority="9482" stopIfTrue="1" operator="notEqual">
      <formula>0</formula>
    </cfRule>
  </conditionalFormatting>
  <conditionalFormatting sqref="C187:D187">
    <cfRule type="expression" dxfId="4931" priority="9479" stopIfTrue="1">
      <formula>IF(AND($C187&lt;&gt;"",$H187+$L187=0),TRUE)</formula>
    </cfRule>
  </conditionalFormatting>
  <conditionalFormatting sqref="P187">
    <cfRule type="cellIs" dxfId="4930" priority="9468" stopIfTrue="1" operator="equal">
      <formula>1</formula>
    </cfRule>
    <cfRule type="cellIs" dxfId="4929" priority="9477" stopIfTrue="1" operator="equal">
      <formula>2</formula>
    </cfRule>
    <cfRule type="cellIs" dxfId="4928" priority="9478" stopIfTrue="1" operator="equal">
      <formula>"X"</formula>
    </cfRule>
  </conditionalFormatting>
  <conditionalFormatting sqref="GU187">
    <cfRule type="cellIs" dxfId="4927" priority="9470" stopIfTrue="1" operator="equal">
      <formula>0</formula>
    </cfRule>
    <cfRule type="cellIs" dxfId="4926" priority="9471" stopIfTrue="1" operator="notEqual">
      <formula>0</formula>
    </cfRule>
  </conditionalFormatting>
  <conditionalFormatting sqref="GV187">
    <cfRule type="cellIs" dxfId="4925" priority="9469" stopIfTrue="1" operator="equal">
      <formula>"STOP"</formula>
    </cfRule>
  </conditionalFormatting>
  <conditionalFormatting sqref="Q179">
    <cfRule type="cellIs" dxfId="4924" priority="9463" stopIfTrue="1" operator="equal">
      <formula>"SIM"</formula>
    </cfRule>
    <cfRule type="cellIs" dxfId="4923" priority="9464" stopIfTrue="1" operator="equal">
      <formula>"NÃO"</formula>
    </cfRule>
  </conditionalFormatting>
  <conditionalFormatting sqref="BF179 CJ179 DO179">
    <cfRule type="cellIs" dxfId="4922" priority="9459" stopIfTrue="1" operator="equal">
      <formula>0</formula>
    </cfRule>
    <cfRule type="cellIs" dxfId="4921" priority="9465" stopIfTrue="1" operator="notEqual">
      <formula>0</formula>
    </cfRule>
  </conditionalFormatting>
  <conditionalFormatting sqref="C179:D179">
    <cfRule type="expression" dxfId="4920" priority="9462" stopIfTrue="1">
      <formula>IF(AND($C179&lt;&gt;"",$H179+$L179=0),TRUE)</formula>
    </cfRule>
  </conditionalFormatting>
  <conditionalFormatting sqref="P179">
    <cfRule type="cellIs" dxfId="4919" priority="9451" stopIfTrue="1" operator="equal">
      <formula>1</formula>
    </cfRule>
    <cfRule type="cellIs" dxfId="4918" priority="9460" stopIfTrue="1" operator="equal">
      <formula>2</formula>
    </cfRule>
    <cfRule type="cellIs" dxfId="4917" priority="9461" stopIfTrue="1" operator="equal">
      <formula>"X"</formula>
    </cfRule>
  </conditionalFormatting>
  <conditionalFormatting sqref="GU179">
    <cfRule type="cellIs" dxfId="4916" priority="9453" stopIfTrue="1" operator="equal">
      <formula>0</formula>
    </cfRule>
    <cfRule type="cellIs" dxfId="4915" priority="9454" stopIfTrue="1" operator="notEqual">
      <formula>0</formula>
    </cfRule>
  </conditionalFormatting>
  <conditionalFormatting sqref="GV179">
    <cfRule type="cellIs" dxfId="4914" priority="9452" stopIfTrue="1" operator="equal">
      <formula>"STOP"</formula>
    </cfRule>
  </conditionalFormatting>
  <conditionalFormatting sqref="Q180">
    <cfRule type="cellIs" dxfId="4913" priority="9446" stopIfTrue="1" operator="equal">
      <formula>"SIM"</formula>
    </cfRule>
    <cfRule type="cellIs" dxfId="4912" priority="9447" stopIfTrue="1" operator="equal">
      <formula>"NÃO"</formula>
    </cfRule>
  </conditionalFormatting>
  <conditionalFormatting sqref="BF180 CJ180 DO180">
    <cfRule type="cellIs" dxfId="4911" priority="9442" stopIfTrue="1" operator="equal">
      <formula>0</formula>
    </cfRule>
    <cfRule type="cellIs" dxfId="4910" priority="9448" stopIfTrue="1" operator="notEqual">
      <formula>0</formula>
    </cfRule>
  </conditionalFormatting>
  <conditionalFormatting sqref="C180:D180">
    <cfRule type="expression" dxfId="4909" priority="9445" stopIfTrue="1">
      <formula>IF(AND($C180&lt;&gt;"",$H180+$L180=0),TRUE)</formula>
    </cfRule>
  </conditionalFormatting>
  <conditionalFormatting sqref="P180">
    <cfRule type="cellIs" dxfId="4908" priority="9434" stopIfTrue="1" operator="equal">
      <formula>1</formula>
    </cfRule>
    <cfRule type="cellIs" dxfId="4907" priority="9443" stopIfTrue="1" operator="equal">
      <formula>2</formula>
    </cfRule>
    <cfRule type="cellIs" dxfId="4906" priority="9444" stopIfTrue="1" operator="equal">
      <formula>"X"</formula>
    </cfRule>
  </conditionalFormatting>
  <conditionalFormatting sqref="GU180">
    <cfRule type="cellIs" dxfId="4905" priority="9436" stopIfTrue="1" operator="equal">
      <formula>0</formula>
    </cfRule>
    <cfRule type="cellIs" dxfId="4904" priority="9437" stopIfTrue="1" operator="notEqual">
      <formula>0</formula>
    </cfRule>
  </conditionalFormatting>
  <conditionalFormatting sqref="GV180">
    <cfRule type="cellIs" dxfId="4903" priority="9435" stopIfTrue="1" operator="equal">
      <formula>"STOP"</formula>
    </cfRule>
  </conditionalFormatting>
  <conditionalFormatting sqref="Q181">
    <cfRule type="cellIs" dxfId="4902" priority="9429" stopIfTrue="1" operator="equal">
      <formula>"SIM"</formula>
    </cfRule>
    <cfRule type="cellIs" dxfId="4901" priority="9430" stopIfTrue="1" operator="equal">
      <formula>"NÃO"</formula>
    </cfRule>
  </conditionalFormatting>
  <conditionalFormatting sqref="BF181 CJ181 DO181">
    <cfRule type="cellIs" dxfId="4900" priority="9425" stopIfTrue="1" operator="equal">
      <formula>0</formula>
    </cfRule>
    <cfRule type="cellIs" dxfId="4899" priority="9431" stopIfTrue="1" operator="notEqual">
      <formula>0</formula>
    </cfRule>
  </conditionalFormatting>
  <conditionalFormatting sqref="C181:D181">
    <cfRule type="expression" dxfId="4898" priority="9428" stopIfTrue="1">
      <formula>IF(AND($C181&lt;&gt;"",$H181+$L181=0),TRUE)</formula>
    </cfRule>
  </conditionalFormatting>
  <conditionalFormatting sqref="P181">
    <cfRule type="cellIs" dxfId="4897" priority="9417" stopIfTrue="1" operator="equal">
      <formula>1</formula>
    </cfRule>
    <cfRule type="cellIs" dxfId="4896" priority="9426" stopIfTrue="1" operator="equal">
      <formula>2</formula>
    </cfRule>
    <cfRule type="cellIs" dxfId="4895" priority="9427" stopIfTrue="1" operator="equal">
      <formula>"X"</formula>
    </cfRule>
  </conditionalFormatting>
  <conditionalFormatting sqref="GU181">
    <cfRule type="cellIs" dxfId="4894" priority="9419" stopIfTrue="1" operator="equal">
      <formula>0</formula>
    </cfRule>
    <cfRule type="cellIs" dxfId="4893" priority="9420" stopIfTrue="1" operator="notEqual">
      <formula>0</formula>
    </cfRule>
  </conditionalFormatting>
  <conditionalFormatting sqref="GV181">
    <cfRule type="cellIs" dxfId="4892" priority="9418" stopIfTrue="1" operator="equal">
      <formula>"STOP"</formula>
    </cfRule>
  </conditionalFormatting>
  <conditionalFormatting sqref="Q179">
    <cfRule type="cellIs" dxfId="4891" priority="9412" stopIfTrue="1" operator="equal">
      <formula>"SIM"</formula>
    </cfRule>
    <cfRule type="cellIs" dxfId="4890" priority="9413" stopIfTrue="1" operator="equal">
      <formula>"NÃO"</formula>
    </cfRule>
  </conditionalFormatting>
  <conditionalFormatting sqref="BF179 CJ179 DO179">
    <cfRule type="cellIs" dxfId="4889" priority="9408" stopIfTrue="1" operator="equal">
      <formula>0</formula>
    </cfRule>
    <cfRule type="cellIs" dxfId="4888" priority="9414" stopIfTrue="1" operator="notEqual">
      <formula>0</formula>
    </cfRule>
  </conditionalFormatting>
  <conditionalFormatting sqref="C179:D179">
    <cfRule type="expression" dxfId="4887" priority="9411" stopIfTrue="1">
      <formula>IF(AND($C179&lt;&gt;"",$H179+$L179=0),TRUE)</formula>
    </cfRule>
  </conditionalFormatting>
  <conditionalFormatting sqref="P179">
    <cfRule type="cellIs" dxfId="4886" priority="9400" stopIfTrue="1" operator="equal">
      <formula>1</formula>
    </cfRule>
    <cfRule type="cellIs" dxfId="4885" priority="9409" stopIfTrue="1" operator="equal">
      <formula>2</formula>
    </cfRule>
    <cfRule type="cellIs" dxfId="4884" priority="9410" stopIfTrue="1" operator="equal">
      <formula>"X"</formula>
    </cfRule>
  </conditionalFormatting>
  <conditionalFormatting sqref="GU179">
    <cfRule type="cellIs" dxfId="4883" priority="9402" stopIfTrue="1" operator="equal">
      <formula>0</formula>
    </cfRule>
    <cfRule type="cellIs" dxfId="4882" priority="9403" stopIfTrue="1" operator="notEqual">
      <formula>0</formula>
    </cfRule>
  </conditionalFormatting>
  <conditionalFormatting sqref="GV179">
    <cfRule type="cellIs" dxfId="4881" priority="9401" stopIfTrue="1" operator="equal">
      <formula>"STOP"</formula>
    </cfRule>
  </conditionalFormatting>
  <conditionalFormatting sqref="Q180">
    <cfRule type="cellIs" dxfId="4880" priority="9395" stopIfTrue="1" operator="equal">
      <formula>"SIM"</formula>
    </cfRule>
    <cfRule type="cellIs" dxfId="4879" priority="9396" stopIfTrue="1" operator="equal">
      <formula>"NÃO"</formula>
    </cfRule>
  </conditionalFormatting>
  <conditionalFormatting sqref="BF180 CJ180 DO180">
    <cfRule type="cellIs" dxfId="4878" priority="9391" stopIfTrue="1" operator="equal">
      <formula>0</formula>
    </cfRule>
    <cfRule type="cellIs" dxfId="4877" priority="9397" stopIfTrue="1" operator="notEqual">
      <formula>0</formula>
    </cfRule>
  </conditionalFormatting>
  <conditionalFormatting sqref="C180:D180">
    <cfRule type="expression" dxfId="4876" priority="9394" stopIfTrue="1">
      <formula>IF(AND($C180&lt;&gt;"",$H180+$L180=0),TRUE)</formula>
    </cfRule>
  </conditionalFormatting>
  <conditionalFormatting sqref="P180">
    <cfRule type="cellIs" dxfId="4875" priority="9383" stopIfTrue="1" operator="equal">
      <formula>1</formula>
    </cfRule>
    <cfRule type="cellIs" dxfId="4874" priority="9392" stopIfTrue="1" operator="equal">
      <formula>2</formula>
    </cfRule>
    <cfRule type="cellIs" dxfId="4873" priority="9393" stopIfTrue="1" operator="equal">
      <formula>"X"</formula>
    </cfRule>
  </conditionalFormatting>
  <conditionalFormatting sqref="GU180">
    <cfRule type="cellIs" dxfId="4872" priority="9385" stopIfTrue="1" operator="equal">
      <formula>0</formula>
    </cfRule>
    <cfRule type="cellIs" dxfId="4871" priority="9386" stopIfTrue="1" operator="notEqual">
      <formula>0</formula>
    </cfRule>
  </conditionalFormatting>
  <conditionalFormatting sqref="GV180">
    <cfRule type="cellIs" dxfId="4870" priority="9384" stopIfTrue="1" operator="equal">
      <formula>"STOP"</formula>
    </cfRule>
  </conditionalFormatting>
  <conditionalFormatting sqref="Q181">
    <cfRule type="cellIs" dxfId="4869" priority="9378" stopIfTrue="1" operator="equal">
      <formula>"SIM"</formula>
    </cfRule>
    <cfRule type="cellIs" dxfId="4868" priority="9379" stopIfTrue="1" operator="equal">
      <formula>"NÃO"</formula>
    </cfRule>
  </conditionalFormatting>
  <conditionalFormatting sqref="BF181 CJ181 DO181">
    <cfRule type="cellIs" dxfId="4867" priority="9374" stopIfTrue="1" operator="equal">
      <formula>0</formula>
    </cfRule>
    <cfRule type="cellIs" dxfId="4866" priority="9380" stopIfTrue="1" operator="notEqual">
      <formula>0</formula>
    </cfRule>
  </conditionalFormatting>
  <conditionalFormatting sqref="C181:D181">
    <cfRule type="expression" dxfId="4865" priority="9377" stopIfTrue="1">
      <formula>IF(AND($C181&lt;&gt;"",$H181+$L181=0),TRUE)</formula>
    </cfRule>
  </conditionalFormatting>
  <conditionalFormatting sqref="P181">
    <cfRule type="cellIs" dxfId="4864" priority="9366" stopIfTrue="1" operator="equal">
      <formula>1</formula>
    </cfRule>
    <cfRule type="cellIs" dxfId="4863" priority="9375" stopIfTrue="1" operator="equal">
      <formula>2</formula>
    </cfRule>
    <cfRule type="cellIs" dxfId="4862" priority="9376" stopIfTrue="1" operator="equal">
      <formula>"X"</formula>
    </cfRule>
  </conditionalFormatting>
  <conditionalFormatting sqref="GU181">
    <cfRule type="cellIs" dxfId="4861" priority="9368" stopIfTrue="1" operator="equal">
      <formula>0</formula>
    </cfRule>
    <cfRule type="cellIs" dxfId="4860" priority="9369" stopIfTrue="1" operator="notEqual">
      <formula>0</formula>
    </cfRule>
  </conditionalFormatting>
  <conditionalFormatting sqref="GV181">
    <cfRule type="cellIs" dxfId="4859" priority="9367" stopIfTrue="1" operator="equal">
      <formula>"STOP"</formula>
    </cfRule>
  </conditionalFormatting>
  <conditionalFormatting sqref="Q180">
    <cfRule type="cellIs" dxfId="4858" priority="9344" stopIfTrue="1" operator="equal">
      <formula>"SIM"</formula>
    </cfRule>
    <cfRule type="cellIs" dxfId="4857" priority="9345" stopIfTrue="1" operator="equal">
      <formula>"NÃO"</formula>
    </cfRule>
  </conditionalFormatting>
  <conditionalFormatting sqref="BF180 CJ180 DO180">
    <cfRule type="cellIs" dxfId="4856" priority="9340" stopIfTrue="1" operator="equal">
      <formula>0</formula>
    </cfRule>
    <cfRule type="cellIs" dxfId="4855" priority="9346" stopIfTrue="1" operator="notEqual">
      <formula>0</formula>
    </cfRule>
  </conditionalFormatting>
  <conditionalFormatting sqref="C180:D180">
    <cfRule type="expression" dxfId="4854" priority="9343" stopIfTrue="1">
      <formula>IF(AND($C180&lt;&gt;"",$H180+$L180=0),TRUE)</formula>
    </cfRule>
  </conditionalFormatting>
  <conditionalFormatting sqref="P180">
    <cfRule type="cellIs" dxfId="4853" priority="9332" stopIfTrue="1" operator="equal">
      <formula>1</formula>
    </cfRule>
    <cfRule type="cellIs" dxfId="4852" priority="9341" stopIfTrue="1" operator="equal">
      <formula>2</formula>
    </cfRule>
    <cfRule type="cellIs" dxfId="4851" priority="9342" stopIfTrue="1" operator="equal">
      <formula>"X"</formula>
    </cfRule>
  </conditionalFormatting>
  <conditionalFormatting sqref="GU180">
    <cfRule type="cellIs" dxfId="4850" priority="9334" stopIfTrue="1" operator="equal">
      <formula>0</formula>
    </cfRule>
    <cfRule type="cellIs" dxfId="4849" priority="9335" stopIfTrue="1" operator="notEqual">
      <formula>0</formula>
    </cfRule>
  </conditionalFormatting>
  <conditionalFormatting sqref="GV180">
    <cfRule type="cellIs" dxfId="4848" priority="9333" stopIfTrue="1" operator="equal">
      <formula>"STOP"</formula>
    </cfRule>
  </conditionalFormatting>
  <conditionalFormatting sqref="Q181">
    <cfRule type="cellIs" dxfId="4847" priority="9327" stopIfTrue="1" operator="equal">
      <formula>"SIM"</formula>
    </cfRule>
    <cfRule type="cellIs" dxfId="4846" priority="9328" stopIfTrue="1" operator="equal">
      <formula>"NÃO"</formula>
    </cfRule>
  </conditionalFormatting>
  <conditionalFormatting sqref="BF181 CJ181 DO181">
    <cfRule type="cellIs" dxfId="4845" priority="9323" stopIfTrue="1" operator="equal">
      <formula>0</formula>
    </cfRule>
    <cfRule type="cellIs" dxfId="4844" priority="9329" stopIfTrue="1" operator="notEqual">
      <formula>0</formula>
    </cfRule>
  </conditionalFormatting>
  <conditionalFormatting sqref="C181:D181">
    <cfRule type="expression" dxfId="4843" priority="9326" stopIfTrue="1">
      <formula>IF(AND($C181&lt;&gt;"",$H181+$L181=0),TRUE)</formula>
    </cfRule>
  </conditionalFormatting>
  <conditionalFormatting sqref="P181">
    <cfRule type="cellIs" dxfId="4842" priority="9315" stopIfTrue="1" operator="equal">
      <formula>1</formula>
    </cfRule>
    <cfRule type="cellIs" dxfId="4841" priority="9324" stopIfTrue="1" operator="equal">
      <formula>2</formula>
    </cfRule>
    <cfRule type="cellIs" dxfId="4840" priority="9325" stopIfTrue="1" operator="equal">
      <formula>"X"</formula>
    </cfRule>
  </conditionalFormatting>
  <conditionalFormatting sqref="GU181">
    <cfRule type="cellIs" dxfId="4839" priority="9317" stopIfTrue="1" operator="equal">
      <formula>0</formula>
    </cfRule>
    <cfRule type="cellIs" dxfId="4838" priority="9318" stopIfTrue="1" operator="notEqual">
      <formula>0</formula>
    </cfRule>
  </conditionalFormatting>
  <conditionalFormatting sqref="GV181">
    <cfRule type="cellIs" dxfId="4837" priority="9316" stopIfTrue="1" operator="equal">
      <formula>"STOP"</formula>
    </cfRule>
  </conditionalFormatting>
  <conditionalFormatting sqref="Q179">
    <cfRule type="cellIs" dxfId="4836" priority="9293" stopIfTrue="1" operator="equal">
      <formula>"SIM"</formula>
    </cfRule>
    <cfRule type="cellIs" dxfId="4835" priority="9294" stopIfTrue="1" operator="equal">
      <formula>"NÃO"</formula>
    </cfRule>
  </conditionalFormatting>
  <conditionalFormatting sqref="BF179 CJ179 DO179">
    <cfRule type="cellIs" dxfId="4834" priority="9289" stopIfTrue="1" operator="equal">
      <formula>0</formula>
    </cfRule>
    <cfRule type="cellIs" dxfId="4833" priority="9295" stopIfTrue="1" operator="notEqual">
      <formula>0</formula>
    </cfRule>
  </conditionalFormatting>
  <conditionalFormatting sqref="C179:D179">
    <cfRule type="expression" dxfId="4832" priority="9292" stopIfTrue="1">
      <formula>IF(AND($C179&lt;&gt;"",$H179+$L179=0),TRUE)</formula>
    </cfRule>
  </conditionalFormatting>
  <conditionalFormatting sqref="P179">
    <cfRule type="cellIs" dxfId="4831" priority="9281" stopIfTrue="1" operator="equal">
      <formula>1</formula>
    </cfRule>
    <cfRule type="cellIs" dxfId="4830" priority="9290" stopIfTrue="1" operator="equal">
      <formula>2</formula>
    </cfRule>
    <cfRule type="cellIs" dxfId="4829" priority="9291" stopIfTrue="1" operator="equal">
      <formula>"X"</formula>
    </cfRule>
  </conditionalFormatting>
  <conditionalFormatting sqref="GU179">
    <cfRule type="cellIs" dxfId="4828" priority="9283" stopIfTrue="1" operator="equal">
      <formula>0</formula>
    </cfRule>
    <cfRule type="cellIs" dxfId="4827" priority="9284" stopIfTrue="1" operator="notEqual">
      <formula>0</formula>
    </cfRule>
  </conditionalFormatting>
  <conditionalFormatting sqref="GV179">
    <cfRule type="cellIs" dxfId="4826" priority="9282" stopIfTrue="1" operator="equal">
      <formula>"STOP"</formula>
    </cfRule>
  </conditionalFormatting>
  <conditionalFormatting sqref="Q180">
    <cfRule type="cellIs" dxfId="4825" priority="9276" stopIfTrue="1" operator="equal">
      <formula>"SIM"</formula>
    </cfRule>
    <cfRule type="cellIs" dxfId="4824" priority="9277" stopIfTrue="1" operator="equal">
      <formula>"NÃO"</formula>
    </cfRule>
  </conditionalFormatting>
  <conditionalFormatting sqref="BF180 CJ180 DO180">
    <cfRule type="cellIs" dxfId="4823" priority="9272" stopIfTrue="1" operator="equal">
      <formula>0</formula>
    </cfRule>
    <cfRule type="cellIs" dxfId="4822" priority="9278" stopIfTrue="1" operator="notEqual">
      <formula>0</formula>
    </cfRule>
  </conditionalFormatting>
  <conditionalFormatting sqref="C180:D180">
    <cfRule type="expression" dxfId="4821" priority="9275" stopIfTrue="1">
      <formula>IF(AND($C180&lt;&gt;"",$H180+$L180=0),TRUE)</formula>
    </cfRule>
  </conditionalFormatting>
  <conditionalFormatting sqref="P180">
    <cfRule type="cellIs" dxfId="4820" priority="9264" stopIfTrue="1" operator="equal">
      <formula>1</formula>
    </cfRule>
    <cfRule type="cellIs" dxfId="4819" priority="9273" stopIfTrue="1" operator="equal">
      <formula>2</formula>
    </cfRule>
    <cfRule type="cellIs" dxfId="4818" priority="9274" stopIfTrue="1" operator="equal">
      <formula>"X"</formula>
    </cfRule>
  </conditionalFormatting>
  <conditionalFormatting sqref="GU180">
    <cfRule type="cellIs" dxfId="4817" priority="9266" stopIfTrue="1" operator="equal">
      <formula>0</formula>
    </cfRule>
    <cfRule type="cellIs" dxfId="4816" priority="9267" stopIfTrue="1" operator="notEqual">
      <formula>0</formula>
    </cfRule>
  </conditionalFormatting>
  <conditionalFormatting sqref="GV180">
    <cfRule type="cellIs" dxfId="4815" priority="9265" stopIfTrue="1" operator="equal">
      <formula>"STOP"</formula>
    </cfRule>
  </conditionalFormatting>
  <conditionalFormatting sqref="Q181">
    <cfRule type="cellIs" dxfId="4814" priority="9259" stopIfTrue="1" operator="equal">
      <formula>"SIM"</formula>
    </cfRule>
    <cfRule type="cellIs" dxfId="4813" priority="9260" stopIfTrue="1" operator="equal">
      <formula>"NÃO"</formula>
    </cfRule>
  </conditionalFormatting>
  <conditionalFormatting sqref="BF181 CJ181 DO181">
    <cfRule type="cellIs" dxfId="4812" priority="9255" stopIfTrue="1" operator="equal">
      <formula>0</formula>
    </cfRule>
    <cfRule type="cellIs" dxfId="4811" priority="9261" stopIfTrue="1" operator="notEqual">
      <formula>0</formula>
    </cfRule>
  </conditionalFormatting>
  <conditionalFormatting sqref="C181:D181">
    <cfRule type="expression" dxfId="4810" priority="9258" stopIfTrue="1">
      <formula>IF(AND($C181&lt;&gt;"",$H181+$L181=0),TRUE)</formula>
    </cfRule>
  </conditionalFormatting>
  <conditionalFormatting sqref="P181">
    <cfRule type="cellIs" dxfId="4809" priority="9247" stopIfTrue="1" operator="equal">
      <formula>1</formula>
    </cfRule>
    <cfRule type="cellIs" dxfId="4808" priority="9256" stopIfTrue="1" operator="equal">
      <formula>2</formula>
    </cfRule>
    <cfRule type="cellIs" dxfId="4807" priority="9257" stopIfTrue="1" operator="equal">
      <formula>"X"</formula>
    </cfRule>
  </conditionalFormatting>
  <conditionalFormatting sqref="GU181">
    <cfRule type="cellIs" dxfId="4806" priority="9249" stopIfTrue="1" operator="equal">
      <formula>0</formula>
    </cfRule>
    <cfRule type="cellIs" dxfId="4805" priority="9250" stopIfTrue="1" operator="notEqual">
      <formula>0</formula>
    </cfRule>
  </conditionalFormatting>
  <conditionalFormatting sqref="GV181">
    <cfRule type="cellIs" dxfId="4804" priority="9248" stopIfTrue="1" operator="equal">
      <formula>"STOP"</formula>
    </cfRule>
  </conditionalFormatting>
  <conditionalFormatting sqref="Q184">
    <cfRule type="cellIs" dxfId="4803" priority="9208" stopIfTrue="1" operator="equal">
      <formula>"SIM"</formula>
    </cfRule>
    <cfRule type="cellIs" dxfId="4802" priority="9209" stopIfTrue="1" operator="equal">
      <formula>"NÃO"</formula>
    </cfRule>
  </conditionalFormatting>
  <conditionalFormatting sqref="BF184 CJ184 DO184">
    <cfRule type="cellIs" dxfId="4801" priority="9204" stopIfTrue="1" operator="equal">
      <formula>0</formula>
    </cfRule>
    <cfRule type="cellIs" dxfId="4800" priority="9210" stopIfTrue="1" operator="notEqual">
      <formula>0</formula>
    </cfRule>
  </conditionalFormatting>
  <conditionalFormatting sqref="C184:D184">
    <cfRule type="expression" dxfId="4799" priority="9207" stopIfTrue="1">
      <formula>IF(AND($C184&lt;&gt;"",$H184+$L184=0),TRUE)</formula>
    </cfRule>
  </conditionalFormatting>
  <conditionalFormatting sqref="P184">
    <cfRule type="cellIs" dxfId="4798" priority="9196" stopIfTrue="1" operator="equal">
      <formula>1</formula>
    </cfRule>
    <cfRule type="cellIs" dxfId="4797" priority="9205" stopIfTrue="1" operator="equal">
      <formula>2</formula>
    </cfRule>
    <cfRule type="cellIs" dxfId="4796" priority="9206" stopIfTrue="1" operator="equal">
      <formula>"X"</formula>
    </cfRule>
  </conditionalFormatting>
  <conditionalFormatting sqref="GU184">
    <cfRule type="cellIs" dxfId="4795" priority="9198" stopIfTrue="1" operator="equal">
      <formula>0</formula>
    </cfRule>
    <cfRule type="cellIs" dxfId="4794" priority="9199" stopIfTrue="1" operator="notEqual">
      <formula>0</formula>
    </cfRule>
  </conditionalFormatting>
  <conditionalFormatting sqref="GV184">
    <cfRule type="cellIs" dxfId="4793" priority="9197" stopIfTrue="1" operator="equal">
      <formula>"STOP"</formula>
    </cfRule>
  </conditionalFormatting>
  <conditionalFormatting sqref="Q180">
    <cfRule type="cellIs" dxfId="4792" priority="9191" stopIfTrue="1" operator="equal">
      <formula>"SIM"</formula>
    </cfRule>
    <cfRule type="cellIs" dxfId="4791" priority="9192" stopIfTrue="1" operator="equal">
      <formula>"NÃO"</formula>
    </cfRule>
  </conditionalFormatting>
  <conditionalFormatting sqref="BF180 CJ180 DO180">
    <cfRule type="cellIs" dxfId="4790" priority="9187" stopIfTrue="1" operator="equal">
      <formula>0</formula>
    </cfRule>
    <cfRule type="cellIs" dxfId="4789" priority="9193" stopIfTrue="1" operator="notEqual">
      <formula>0</formula>
    </cfRule>
  </conditionalFormatting>
  <conditionalFormatting sqref="C180:D180">
    <cfRule type="expression" dxfId="4788" priority="9190" stopIfTrue="1">
      <formula>IF(AND($C180&lt;&gt;"",$H180+$L180=0),TRUE)</formula>
    </cfRule>
  </conditionalFormatting>
  <conditionalFormatting sqref="P180">
    <cfRule type="cellIs" dxfId="4787" priority="9179" stopIfTrue="1" operator="equal">
      <formula>1</formula>
    </cfRule>
    <cfRule type="cellIs" dxfId="4786" priority="9188" stopIfTrue="1" operator="equal">
      <formula>2</formula>
    </cfRule>
    <cfRule type="cellIs" dxfId="4785" priority="9189" stopIfTrue="1" operator="equal">
      <formula>"X"</formula>
    </cfRule>
  </conditionalFormatting>
  <conditionalFormatting sqref="GU180">
    <cfRule type="cellIs" dxfId="4784" priority="9181" stopIfTrue="1" operator="equal">
      <formula>0</formula>
    </cfRule>
    <cfRule type="cellIs" dxfId="4783" priority="9182" stopIfTrue="1" operator="notEqual">
      <formula>0</formula>
    </cfRule>
  </conditionalFormatting>
  <conditionalFormatting sqref="GV180">
    <cfRule type="cellIs" dxfId="4782" priority="9180" stopIfTrue="1" operator="equal">
      <formula>"STOP"</formula>
    </cfRule>
  </conditionalFormatting>
  <conditionalFormatting sqref="Q181">
    <cfRule type="cellIs" dxfId="4781" priority="9174" stopIfTrue="1" operator="equal">
      <formula>"SIM"</formula>
    </cfRule>
    <cfRule type="cellIs" dxfId="4780" priority="9175" stopIfTrue="1" operator="equal">
      <formula>"NÃO"</formula>
    </cfRule>
  </conditionalFormatting>
  <conditionalFormatting sqref="BF181 CJ181 DO181">
    <cfRule type="cellIs" dxfId="4779" priority="9170" stopIfTrue="1" operator="equal">
      <formula>0</formula>
    </cfRule>
    <cfRule type="cellIs" dxfId="4778" priority="9176" stopIfTrue="1" operator="notEqual">
      <formula>0</formula>
    </cfRule>
  </conditionalFormatting>
  <conditionalFormatting sqref="C181:D181">
    <cfRule type="expression" dxfId="4777" priority="9173" stopIfTrue="1">
      <formula>IF(AND($C181&lt;&gt;"",$H181+$L181=0),TRUE)</formula>
    </cfRule>
  </conditionalFormatting>
  <conditionalFormatting sqref="P181">
    <cfRule type="cellIs" dxfId="4776" priority="9162" stopIfTrue="1" operator="equal">
      <formula>1</formula>
    </cfRule>
    <cfRule type="cellIs" dxfId="4775" priority="9171" stopIfTrue="1" operator="equal">
      <formula>2</formula>
    </cfRule>
    <cfRule type="cellIs" dxfId="4774" priority="9172" stopIfTrue="1" operator="equal">
      <formula>"X"</formula>
    </cfRule>
  </conditionalFormatting>
  <conditionalFormatting sqref="GU181">
    <cfRule type="cellIs" dxfId="4773" priority="9164" stopIfTrue="1" operator="equal">
      <formula>0</formula>
    </cfRule>
    <cfRule type="cellIs" dxfId="4772" priority="9165" stopIfTrue="1" operator="notEqual">
      <formula>0</formula>
    </cfRule>
  </conditionalFormatting>
  <conditionalFormatting sqref="GV181">
    <cfRule type="cellIs" dxfId="4771" priority="9163" stopIfTrue="1" operator="equal">
      <formula>"STOP"</formula>
    </cfRule>
  </conditionalFormatting>
  <conditionalFormatting sqref="Q180">
    <cfRule type="cellIs" dxfId="4770" priority="9140" stopIfTrue="1" operator="equal">
      <formula>"SIM"</formula>
    </cfRule>
    <cfRule type="cellIs" dxfId="4769" priority="9141" stopIfTrue="1" operator="equal">
      <formula>"NÃO"</formula>
    </cfRule>
  </conditionalFormatting>
  <conditionalFormatting sqref="BF180 CJ180 DO180">
    <cfRule type="cellIs" dxfId="4768" priority="9136" stopIfTrue="1" operator="equal">
      <formula>0</formula>
    </cfRule>
    <cfRule type="cellIs" dxfId="4767" priority="9142" stopIfTrue="1" operator="notEqual">
      <formula>0</formula>
    </cfRule>
  </conditionalFormatting>
  <conditionalFormatting sqref="C180:D180">
    <cfRule type="expression" dxfId="4766" priority="9139" stopIfTrue="1">
      <formula>IF(AND($C180&lt;&gt;"",$H180+$L180=0),TRUE)</formula>
    </cfRule>
  </conditionalFormatting>
  <conditionalFormatting sqref="P180">
    <cfRule type="cellIs" dxfId="4765" priority="9128" stopIfTrue="1" operator="equal">
      <formula>1</formula>
    </cfRule>
    <cfRule type="cellIs" dxfId="4764" priority="9137" stopIfTrue="1" operator="equal">
      <formula>2</formula>
    </cfRule>
    <cfRule type="cellIs" dxfId="4763" priority="9138" stopIfTrue="1" operator="equal">
      <formula>"X"</formula>
    </cfRule>
  </conditionalFormatting>
  <conditionalFormatting sqref="GU180">
    <cfRule type="cellIs" dxfId="4762" priority="9130" stopIfTrue="1" operator="equal">
      <formula>0</formula>
    </cfRule>
    <cfRule type="cellIs" dxfId="4761" priority="9131" stopIfTrue="1" operator="notEqual">
      <formula>0</formula>
    </cfRule>
  </conditionalFormatting>
  <conditionalFormatting sqref="GV180">
    <cfRule type="cellIs" dxfId="4760" priority="9129" stopIfTrue="1" operator="equal">
      <formula>"STOP"</formula>
    </cfRule>
  </conditionalFormatting>
  <conditionalFormatting sqref="Q181">
    <cfRule type="cellIs" dxfId="4759" priority="9123" stopIfTrue="1" operator="equal">
      <formula>"SIM"</formula>
    </cfRule>
    <cfRule type="cellIs" dxfId="4758" priority="9124" stopIfTrue="1" operator="equal">
      <formula>"NÃO"</formula>
    </cfRule>
  </conditionalFormatting>
  <conditionalFormatting sqref="BF181 CJ181 DO181">
    <cfRule type="cellIs" dxfId="4757" priority="9119" stopIfTrue="1" operator="equal">
      <formula>0</formula>
    </cfRule>
    <cfRule type="cellIs" dxfId="4756" priority="9125" stopIfTrue="1" operator="notEqual">
      <formula>0</formula>
    </cfRule>
  </conditionalFormatting>
  <conditionalFormatting sqref="C181:D181">
    <cfRule type="expression" dxfId="4755" priority="9122" stopIfTrue="1">
      <formula>IF(AND($C181&lt;&gt;"",$H181+$L181=0),TRUE)</formula>
    </cfRule>
  </conditionalFormatting>
  <conditionalFormatting sqref="P181">
    <cfRule type="cellIs" dxfId="4754" priority="9111" stopIfTrue="1" operator="equal">
      <formula>1</formula>
    </cfRule>
    <cfRule type="cellIs" dxfId="4753" priority="9120" stopIfTrue="1" operator="equal">
      <formula>2</formula>
    </cfRule>
    <cfRule type="cellIs" dxfId="4752" priority="9121" stopIfTrue="1" operator="equal">
      <formula>"X"</formula>
    </cfRule>
  </conditionalFormatting>
  <conditionalFormatting sqref="GU181">
    <cfRule type="cellIs" dxfId="4751" priority="9113" stopIfTrue="1" operator="equal">
      <formula>0</formula>
    </cfRule>
    <cfRule type="cellIs" dxfId="4750" priority="9114" stopIfTrue="1" operator="notEqual">
      <formula>0</formula>
    </cfRule>
  </conditionalFormatting>
  <conditionalFormatting sqref="GV181">
    <cfRule type="cellIs" dxfId="4749" priority="9112" stopIfTrue="1" operator="equal">
      <formula>"STOP"</formula>
    </cfRule>
  </conditionalFormatting>
  <conditionalFormatting sqref="Q181">
    <cfRule type="cellIs" dxfId="4748" priority="9072" stopIfTrue="1" operator="equal">
      <formula>"SIM"</formula>
    </cfRule>
    <cfRule type="cellIs" dxfId="4747" priority="9073" stopIfTrue="1" operator="equal">
      <formula>"NÃO"</formula>
    </cfRule>
  </conditionalFormatting>
  <conditionalFormatting sqref="BF181 CJ181 DO181">
    <cfRule type="cellIs" dxfId="4746" priority="9068" stopIfTrue="1" operator="equal">
      <formula>0</formula>
    </cfRule>
    <cfRule type="cellIs" dxfId="4745" priority="9074" stopIfTrue="1" operator="notEqual">
      <formula>0</formula>
    </cfRule>
  </conditionalFormatting>
  <conditionalFormatting sqref="C181:D181">
    <cfRule type="expression" dxfId="4744" priority="9071" stopIfTrue="1">
      <formula>IF(AND($C181&lt;&gt;"",$H181+$L181=0),TRUE)</formula>
    </cfRule>
  </conditionalFormatting>
  <conditionalFormatting sqref="P181">
    <cfRule type="cellIs" dxfId="4743" priority="9060" stopIfTrue="1" operator="equal">
      <formula>1</formula>
    </cfRule>
    <cfRule type="cellIs" dxfId="4742" priority="9069" stopIfTrue="1" operator="equal">
      <formula>2</formula>
    </cfRule>
    <cfRule type="cellIs" dxfId="4741" priority="9070" stopIfTrue="1" operator="equal">
      <formula>"X"</formula>
    </cfRule>
  </conditionalFormatting>
  <conditionalFormatting sqref="GU181">
    <cfRule type="cellIs" dxfId="4740" priority="9062" stopIfTrue="1" operator="equal">
      <formula>0</formula>
    </cfRule>
    <cfRule type="cellIs" dxfId="4739" priority="9063" stopIfTrue="1" operator="notEqual">
      <formula>0</formula>
    </cfRule>
  </conditionalFormatting>
  <conditionalFormatting sqref="GV181">
    <cfRule type="cellIs" dxfId="4738" priority="9061" stopIfTrue="1" operator="equal">
      <formula>"STOP"</formula>
    </cfRule>
  </conditionalFormatting>
  <conditionalFormatting sqref="Q179">
    <cfRule type="cellIs" dxfId="4737" priority="9021" stopIfTrue="1" operator="equal">
      <formula>"SIM"</formula>
    </cfRule>
    <cfRule type="cellIs" dxfId="4736" priority="9022" stopIfTrue="1" operator="equal">
      <formula>"NÃO"</formula>
    </cfRule>
  </conditionalFormatting>
  <conditionalFormatting sqref="BF179 CJ179 DO179">
    <cfRule type="cellIs" dxfId="4735" priority="9017" stopIfTrue="1" operator="equal">
      <formula>0</formula>
    </cfRule>
    <cfRule type="cellIs" dxfId="4734" priority="9023" stopIfTrue="1" operator="notEqual">
      <formula>0</formula>
    </cfRule>
  </conditionalFormatting>
  <conditionalFormatting sqref="C179:D179">
    <cfRule type="expression" dxfId="4733" priority="9020" stopIfTrue="1">
      <formula>IF(AND($C179&lt;&gt;"",$H179+$L179=0),TRUE)</formula>
    </cfRule>
  </conditionalFormatting>
  <conditionalFormatting sqref="P179">
    <cfRule type="cellIs" dxfId="4732" priority="9009" stopIfTrue="1" operator="equal">
      <formula>1</formula>
    </cfRule>
    <cfRule type="cellIs" dxfId="4731" priority="9018" stopIfTrue="1" operator="equal">
      <formula>2</formula>
    </cfRule>
    <cfRule type="cellIs" dxfId="4730" priority="9019" stopIfTrue="1" operator="equal">
      <formula>"X"</formula>
    </cfRule>
  </conditionalFormatting>
  <conditionalFormatting sqref="GU179">
    <cfRule type="cellIs" dxfId="4729" priority="9011" stopIfTrue="1" operator="equal">
      <formula>0</formula>
    </cfRule>
    <cfRule type="cellIs" dxfId="4728" priority="9012" stopIfTrue="1" operator="notEqual">
      <formula>0</formula>
    </cfRule>
  </conditionalFormatting>
  <conditionalFormatting sqref="GV179">
    <cfRule type="cellIs" dxfId="4727" priority="9010" stopIfTrue="1" operator="equal">
      <formula>"STOP"</formula>
    </cfRule>
  </conditionalFormatting>
  <conditionalFormatting sqref="Q180">
    <cfRule type="cellIs" dxfId="4726" priority="9004" stopIfTrue="1" operator="equal">
      <formula>"SIM"</formula>
    </cfRule>
    <cfRule type="cellIs" dxfId="4725" priority="9005" stopIfTrue="1" operator="equal">
      <formula>"NÃO"</formula>
    </cfRule>
  </conditionalFormatting>
  <conditionalFormatting sqref="BF180 CJ180 DO180">
    <cfRule type="cellIs" dxfId="4724" priority="9000" stopIfTrue="1" operator="equal">
      <formula>0</formula>
    </cfRule>
    <cfRule type="cellIs" dxfId="4723" priority="9006" stopIfTrue="1" operator="notEqual">
      <formula>0</formula>
    </cfRule>
  </conditionalFormatting>
  <conditionalFormatting sqref="C180:D180">
    <cfRule type="expression" dxfId="4722" priority="9003" stopIfTrue="1">
      <formula>IF(AND($C180&lt;&gt;"",$H180+$L180=0),TRUE)</formula>
    </cfRule>
  </conditionalFormatting>
  <conditionalFormatting sqref="P180">
    <cfRule type="cellIs" dxfId="4721" priority="8992" stopIfTrue="1" operator="equal">
      <formula>1</formula>
    </cfRule>
    <cfRule type="cellIs" dxfId="4720" priority="9001" stopIfTrue="1" operator="equal">
      <formula>2</formula>
    </cfRule>
    <cfRule type="cellIs" dxfId="4719" priority="9002" stopIfTrue="1" operator="equal">
      <formula>"X"</formula>
    </cfRule>
  </conditionalFormatting>
  <conditionalFormatting sqref="GU180">
    <cfRule type="cellIs" dxfId="4718" priority="8994" stopIfTrue="1" operator="equal">
      <formula>0</formula>
    </cfRule>
    <cfRule type="cellIs" dxfId="4717" priority="8995" stopIfTrue="1" operator="notEqual">
      <formula>0</formula>
    </cfRule>
  </conditionalFormatting>
  <conditionalFormatting sqref="GV180">
    <cfRule type="cellIs" dxfId="4716" priority="8993" stopIfTrue="1" operator="equal">
      <formula>"STOP"</formula>
    </cfRule>
  </conditionalFormatting>
  <conditionalFormatting sqref="Q181">
    <cfRule type="cellIs" dxfId="4715" priority="8987" stopIfTrue="1" operator="equal">
      <formula>"SIM"</formula>
    </cfRule>
    <cfRule type="cellIs" dxfId="4714" priority="8988" stopIfTrue="1" operator="equal">
      <formula>"NÃO"</formula>
    </cfRule>
  </conditionalFormatting>
  <conditionalFormatting sqref="BF181 CJ181 DO181">
    <cfRule type="cellIs" dxfId="4713" priority="8983" stopIfTrue="1" operator="equal">
      <formula>0</formula>
    </cfRule>
    <cfRule type="cellIs" dxfId="4712" priority="8989" stopIfTrue="1" operator="notEqual">
      <formula>0</formula>
    </cfRule>
  </conditionalFormatting>
  <conditionalFormatting sqref="C181:D181">
    <cfRule type="expression" dxfId="4711" priority="8986" stopIfTrue="1">
      <formula>IF(AND($C181&lt;&gt;"",$H181+$L181=0),TRUE)</formula>
    </cfRule>
  </conditionalFormatting>
  <conditionalFormatting sqref="P181">
    <cfRule type="cellIs" dxfId="4710" priority="8975" stopIfTrue="1" operator="equal">
      <formula>1</formula>
    </cfRule>
    <cfRule type="cellIs" dxfId="4709" priority="8984" stopIfTrue="1" operator="equal">
      <formula>2</formula>
    </cfRule>
    <cfRule type="cellIs" dxfId="4708" priority="8985" stopIfTrue="1" operator="equal">
      <formula>"X"</formula>
    </cfRule>
  </conditionalFormatting>
  <conditionalFormatting sqref="GU181">
    <cfRule type="cellIs" dxfId="4707" priority="8977" stopIfTrue="1" operator="equal">
      <formula>0</formula>
    </cfRule>
    <cfRule type="cellIs" dxfId="4706" priority="8978" stopIfTrue="1" operator="notEqual">
      <formula>0</formula>
    </cfRule>
  </conditionalFormatting>
  <conditionalFormatting sqref="GV181">
    <cfRule type="cellIs" dxfId="4705" priority="8976" stopIfTrue="1" operator="equal">
      <formula>"STOP"</formula>
    </cfRule>
  </conditionalFormatting>
  <conditionalFormatting sqref="Q184">
    <cfRule type="cellIs" dxfId="4704" priority="8936" stopIfTrue="1" operator="equal">
      <formula>"SIM"</formula>
    </cfRule>
    <cfRule type="cellIs" dxfId="4703" priority="8937" stopIfTrue="1" operator="equal">
      <formula>"NÃO"</formula>
    </cfRule>
  </conditionalFormatting>
  <conditionalFormatting sqref="BF184 CJ184 DO184">
    <cfRule type="cellIs" dxfId="4702" priority="8932" stopIfTrue="1" operator="equal">
      <formula>0</formula>
    </cfRule>
    <cfRule type="cellIs" dxfId="4701" priority="8938" stopIfTrue="1" operator="notEqual">
      <formula>0</formula>
    </cfRule>
  </conditionalFormatting>
  <conditionalFormatting sqref="C184:D184">
    <cfRule type="expression" dxfId="4700" priority="8935" stopIfTrue="1">
      <formula>IF(AND($C184&lt;&gt;"",$H184+$L184=0),TRUE)</formula>
    </cfRule>
  </conditionalFormatting>
  <conditionalFormatting sqref="P184">
    <cfRule type="cellIs" dxfId="4699" priority="8924" stopIfTrue="1" operator="equal">
      <formula>1</formula>
    </cfRule>
    <cfRule type="cellIs" dxfId="4698" priority="8933" stopIfTrue="1" operator="equal">
      <formula>2</formula>
    </cfRule>
    <cfRule type="cellIs" dxfId="4697" priority="8934" stopIfTrue="1" operator="equal">
      <formula>"X"</formula>
    </cfRule>
  </conditionalFormatting>
  <conditionalFormatting sqref="GU184">
    <cfRule type="cellIs" dxfId="4696" priority="8926" stopIfTrue="1" operator="equal">
      <formula>0</formula>
    </cfRule>
    <cfRule type="cellIs" dxfId="4695" priority="8927" stopIfTrue="1" operator="notEqual">
      <formula>0</formula>
    </cfRule>
  </conditionalFormatting>
  <conditionalFormatting sqref="GV184">
    <cfRule type="cellIs" dxfId="4694" priority="8925" stopIfTrue="1" operator="equal">
      <formula>"STOP"</formula>
    </cfRule>
  </conditionalFormatting>
  <conditionalFormatting sqref="Q185">
    <cfRule type="cellIs" dxfId="4693" priority="8919" stopIfTrue="1" operator="equal">
      <formula>"SIM"</formula>
    </cfRule>
    <cfRule type="cellIs" dxfId="4692" priority="8920" stopIfTrue="1" operator="equal">
      <formula>"NÃO"</formula>
    </cfRule>
  </conditionalFormatting>
  <conditionalFormatting sqref="BF185 CJ185 DO185">
    <cfRule type="cellIs" dxfId="4691" priority="8915" stopIfTrue="1" operator="equal">
      <formula>0</formula>
    </cfRule>
    <cfRule type="cellIs" dxfId="4690" priority="8921" stopIfTrue="1" operator="notEqual">
      <formula>0</formula>
    </cfRule>
  </conditionalFormatting>
  <conditionalFormatting sqref="C185:D185">
    <cfRule type="expression" dxfId="4689" priority="8918" stopIfTrue="1">
      <formula>IF(AND($C185&lt;&gt;"",$H185+$L185=0),TRUE)</formula>
    </cfRule>
  </conditionalFormatting>
  <conditionalFormatting sqref="P185">
    <cfRule type="cellIs" dxfId="4688" priority="8907" stopIfTrue="1" operator="equal">
      <formula>1</formula>
    </cfRule>
    <cfRule type="cellIs" dxfId="4687" priority="8916" stopIfTrue="1" operator="equal">
      <formula>2</formula>
    </cfRule>
    <cfRule type="cellIs" dxfId="4686" priority="8917" stopIfTrue="1" operator="equal">
      <formula>"X"</formula>
    </cfRule>
  </conditionalFormatting>
  <conditionalFormatting sqref="GU185">
    <cfRule type="cellIs" dxfId="4685" priority="8909" stopIfTrue="1" operator="equal">
      <formula>0</formula>
    </cfRule>
    <cfRule type="cellIs" dxfId="4684" priority="8910" stopIfTrue="1" operator="notEqual">
      <formula>0</formula>
    </cfRule>
  </conditionalFormatting>
  <conditionalFormatting sqref="GV185">
    <cfRule type="cellIs" dxfId="4683" priority="8908" stopIfTrue="1" operator="equal">
      <formula>"STOP"</formula>
    </cfRule>
  </conditionalFormatting>
  <conditionalFormatting sqref="Q180">
    <cfRule type="cellIs" dxfId="4682" priority="8902" stopIfTrue="1" operator="equal">
      <formula>"SIM"</formula>
    </cfRule>
    <cfRule type="cellIs" dxfId="4681" priority="8903" stopIfTrue="1" operator="equal">
      <formula>"NÃO"</formula>
    </cfRule>
  </conditionalFormatting>
  <conditionalFormatting sqref="BF180 CJ180 DO180">
    <cfRule type="cellIs" dxfId="4680" priority="8898" stopIfTrue="1" operator="equal">
      <formula>0</formula>
    </cfRule>
    <cfRule type="cellIs" dxfId="4679" priority="8904" stopIfTrue="1" operator="notEqual">
      <formula>0</formula>
    </cfRule>
  </conditionalFormatting>
  <conditionalFormatting sqref="C180:D180">
    <cfRule type="expression" dxfId="4678" priority="8901" stopIfTrue="1">
      <formula>IF(AND($C180&lt;&gt;"",$H180+$L180=0),TRUE)</formula>
    </cfRule>
  </conditionalFormatting>
  <conditionalFormatting sqref="P180">
    <cfRule type="cellIs" dxfId="4677" priority="8890" stopIfTrue="1" operator="equal">
      <formula>1</formula>
    </cfRule>
    <cfRule type="cellIs" dxfId="4676" priority="8899" stopIfTrue="1" operator="equal">
      <formula>2</formula>
    </cfRule>
    <cfRule type="cellIs" dxfId="4675" priority="8900" stopIfTrue="1" operator="equal">
      <formula>"X"</formula>
    </cfRule>
  </conditionalFormatting>
  <conditionalFormatting sqref="GU180">
    <cfRule type="cellIs" dxfId="4674" priority="8892" stopIfTrue="1" operator="equal">
      <formula>0</formula>
    </cfRule>
    <cfRule type="cellIs" dxfId="4673" priority="8893" stopIfTrue="1" operator="notEqual">
      <formula>0</formula>
    </cfRule>
  </conditionalFormatting>
  <conditionalFormatting sqref="GV180">
    <cfRule type="cellIs" dxfId="4672" priority="8891" stopIfTrue="1" operator="equal">
      <formula>"STOP"</formula>
    </cfRule>
  </conditionalFormatting>
  <conditionalFormatting sqref="Q181">
    <cfRule type="cellIs" dxfId="4671" priority="8885" stopIfTrue="1" operator="equal">
      <formula>"SIM"</formula>
    </cfRule>
    <cfRule type="cellIs" dxfId="4670" priority="8886" stopIfTrue="1" operator="equal">
      <formula>"NÃO"</formula>
    </cfRule>
  </conditionalFormatting>
  <conditionalFormatting sqref="BF181 CJ181 DO181">
    <cfRule type="cellIs" dxfId="4669" priority="8881" stopIfTrue="1" operator="equal">
      <formula>0</formula>
    </cfRule>
    <cfRule type="cellIs" dxfId="4668" priority="8887" stopIfTrue="1" operator="notEqual">
      <formula>0</formula>
    </cfRule>
  </conditionalFormatting>
  <conditionalFormatting sqref="C181:D181">
    <cfRule type="expression" dxfId="4667" priority="8884" stopIfTrue="1">
      <formula>IF(AND($C181&lt;&gt;"",$H181+$L181=0),TRUE)</formula>
    </cfRule>
  </conditionalFormatting>
  <conditionalFormatting sqref="P181">
    <cfRule type="cellIs" dxfId="4666" priority="8873" stopIfTrue="1" operator="equal">
      <formula>1</formula>
    </cfRule>
    <cfRule type="cellIs" dxfId="4665" priority="8882" stopIfTrue="1" operator="equal">
      <formula>2</formula>
    </cfRule>
    <cfRule type="cellIs" dxfId="4664" priority="8883" stopIfTrue="1" operator="equal">
      <formula>"X"</formula>
    </cfRule>
  </conditionalFormatting>
  <conditionalFormatting sqref="GU181">
    <cfRule type="cellIs" dxfId="4663" priority="8875" stopIfTrue="1" operator="equal">
      <formula>0</formula>
    </cfRule>
    <cfRule type="cellIs" dxfId="4662" priority="8876" stopIfTrue="1" operator="notEqual">
      <formula>0</formula>
    </cfRule>
  </conditionalFormatting>
  <conditionalFormatting sqref="GV181">
    <cfRule type="cellIs" dxfId="4661" priority="8874" stopIfTrue="1" operator="equal">
      <formula>"STOP"</formula>
    </cfRule>
  </conditionalFormatting>
  <conditionalFormatting sqref="Q180">
    <cfRule type="cellIs" dxfId="4660" priority="8851" stopIfTrue="1" operator="equal">
      <formula>"SIM"</formula>
    </cfRule>
    <cfRule type="cellIs" dxfId="4659" priority="8852" stopIfTrue="1" operator="equal">
      <formula>"NÃO"</formula>
    </cfRule>
  </conditionalFormatting>
  <conditionalFormatting sqref="BF180 CJ180 DO180">
    <cfRule type="cellIs" dxfId="4658" priority="8847" stopIfTrue="1" operator="equal">
      <formula>0</formula>
    </cfRule>
    <cfRule type="cellIs" dxfId="4657" priority="8853" stopIfTrue="1" operator="notEqual">
      <formula>0</formula>
    </cfRule>
  </conditionalFormatting>
  <conditionalFormatting sqref="C180:D180">
    <cfRule type="expression" dxfId="4656" priority="8850" stopIfTrue="1">
      <formula>IF(AND($C180&lt;&gt;"",$H180+$L180=0),TRUE)</formula>
    </cfRule>
  </conditionalFormatting>
  <conditionalFormatting sqref="P180">
    <cfRule type="cellIs" dxfId="4655" priority="8839" stopIfTrue="1" operator="equal">
      <formula>1</formula>
    </cfRule>
    <cfRule type="cellIs" dxfId="4654" priority="8848" stopIfTrue="1" operator="equal">
      <formula>2</formula>
    </cfRule>
    <cfRule type="cellIs" dxfId="4653" priority="8849" stopIfTrue="1" operator="equal">
      <formula>"X"</formula>
    </cfRule>
  </conditionalFormatting>
  <conditionalFormatting sqref="GU180">
    <cfRule type="cellIs" dxfId="4652" priority="8841" stopIfTrue="1" operator="equal">
      <formula>0</formula>
    </cfRule>
    <cfRule type="cellIs" dxfId="4651" priority="8842" stopIfTrue="1" operator="notEqual">
      <formula>0</formula>
    </cfRule>
  </conditionalFormatting>
  <conditionalFormatting sqref="GV180">
    <cfRule type="cellIs" dxfId="4650" priority="8840" stopIfTrue="1" operator="equal">
      <formula>"STOP"</formula>
    </cfRule>
  </conditionalFormatting>
  <conditionalFormatting sqref="Q181">
    <cfRule type="cellIs" dxfId="4649" priority="8834" stopIfTrue="1" operator="equal">
      <formula>"SIM"</formula>
    </cfRule>
    <cfRule type="cellIs" dxfId="4648" priority="8835" stopIfTrue="1" operator="equal">
      <formula>"NÃO"</formula>
    </cfRule>
  </conditionalFormatting>
  <conditionalFormatting sqref="BF181 CJ181 DO181">
    <cfRule type="cellIs" dxfId="4647" priority="8830" stopIfTrue="1" operator="equal">
      <formula>0</formula>
    </cfRule>
    <cfRule type="cellIs" dxfId="4646" priority="8836" stopIfTrue="1" operator="notEqual">
      <formula>0</formula>
    </cfRule>
  </conditionalFormatting>
  <conditionalFormatting sqref="C181:D181">
    <cfRule type="expression" dxfId="4645" priority="8833" stopIfTrue="1">
      <formula>IF(AND($C181&lt;&gt;"",$H181+$L181=0),TRUE)</formula>
    </cfRule>
  </conditionalFormatting>
  <conditionalFormatting sqref="P181">
    <cfRule type="cellIs" dxfId="4644" priority="8822" stopIfTrue="1" operator="equal">
      <formula>1</formula>
    </cfRule>
    <cfRule type="cellIs" dxfId="4643" priority="8831" stopIfTrue="1" operator="equal">
      <formula>2</formula>
    </cfRule>
    <cfRule type="cellIs" dxfId="4642" priority="8832" stopIfTrue="1" operator="equal">
      <formula>"X"</formula>
    </cfRule>
  </conditionalFormatting>
  <conditionalFormatting sqref="GU181">
    <cfRule type="cellIs" dxfId="4641" priority="8824" stopIfTrue="1" operator="equal">
      <formula>0</formula>
    </cfRule>
    <cfRule type="cellIs" dxfId="4640" priority="8825" stopIfTrue="1" operator="notEqual">
      <formula>0</formula>
    </cfRule>
  </conditionalFormatting>
  <conditionalFormatting sqref="GV181">
    <cfRule type="cellIs" dxfId="4639" priority="8823" stopIfTrue="1" operator="equal">
      <formula>"STOP"</formula>
    </cfRule>
  </conditionalFormatting>
  <conditionalFormatting sqref="Q181">
    <cfRule type="cellIs" dxfId="4638" priority="8783" stopIfTrue="1" operator="equal">
      <formula>"SIM"</formula>
    </cfRule>
    <cfRule type="cellIs" dxfId="4637" priority="8784" stopIfTrue="1" operator="equal">
      <formula>"NÃO"</formula>
    </cfRule>
  </conditionalFormatting>
  <conditionalFormatting sqref="BF181 CJ181 DO181">
    <cfRule type="cellIs" dxfId="4636" priority="8779" stopIfTrue="1" operator="equal">
      <formula>0</formula>
    </cfRule>
    <cfRule type="cellIs" dxfId="4635" priority="8785" stopIfTrue="1" operator="notEqual">
      <formula>0</formula>
    </cfRule>
  </conditionalFormatting>
  <conditionalFormatting sqref="C181:D181">
    <cfRule type="expression" dxfId="4634" priority="8782" stopIfTrue="1">
      <formula>IF(AND($C181&lt;&gt;"",$H181+$L181=0),TRUE)</formula>
    </cfRule>
  </conditionalFormatting>
  <conditionalFormatting sqref="P181">
    <cfRule type="cellIs" dxfId="4633" priority="8771" stopIfTrue="1" operator="equal">
      <formula>1</formula>
    </cfRule>
    <cfRule type="cellIs" dxfId="4632" priority="8780" stopIfTrue="1" operator="equal">
      <formula>2</formula>
    </cfRule>
    <cfRule type="cellIs" dxfId="4631" priority="8781" stopIfTrue="1" operator="equal">
      <formula>"X"</formula>
    </cfRule>
  </conditionalFormatting>
  <conditionalFormatting sqref="GU181">
    <cfRule type="cellIs" dxfId="4630" priority="8773" stopIfTrue="1" operator="equal">
      <formula>0</formula>
    </cfRule>
    <cfRule type="cellIs" dxfId="4629" priority="8774" stopIfTrue="1" operator="notEqual">
      <formula>0</formula>
    </cfRule>
  </conditionalFormatting>
  <conditionalFormatting sqref="GV181">
    <cfRule type="cellIs" dxfId="4628" priority="8772" stopIfTrue="1" operator="equal">
      <formula>"STOP"</formula>
    </cfRule>
  </conditionalFormatting>
  <conditionalFormatting sqref="Q180">
    <cfRule type="cellIs" dxfId="4627" priority="8732" stopIfTrue="1" operator="equal">
      <formula>"SIM"</formula>
    </cfRule>
    <cfRule type="cellIs" dxfId="4626" priority="8733" stopIfTrue="1" operator="equal">
      <formula>"NÃO"</formula>
    </cfRule>
  </conditionalFormatting>
  <conditionalFormatting sqref="BF180 CJ180 DO180">
    <cfRule type="cellIs" dxfId="4625" priority="8728" stopIfTrue="1" operator="equal">
      <formula>0</formula>
    </cfRule>
    <cfRule type="cellIs" dxfId="4624" priority="8734" stopIfTrue="1" operator="notEqual">
      <formula>0</formula>
    </cfRule>
  </conditionalFormatting>
  <conditionalFormatting sqref="C180:D180">
    <cfRule type="expression" dxfId="4623" priority="8731" stopIfTrue="1">
      <formula>IF(AND($C180&lt;&gt;"",$H180+$L180=0),TRUE)</formula>
    </cfRule>
  </conditionalFormatting>
  <conditionalFormatting sqref="P180">
    <cfRule type="cellIs" dxfId="4622" priority="8720" stopIfTrue="1" operator="equal">
      <formula>1</formula>
    </cfRule>
    <cfRule type="cellIs" dxfId="4621" priority="8729" stopIfTrue="1" operator="equal">
      <formula>2</formula>
    </cfRule>
    <cfRule type="cellIs" dxfId="4620" priority="8730" stopIfTrue="1" operator="equal">
      <formula>"X"</formula>
    </cfRule>
  </conditionalFormatting>
  <conditionalFormatting sqref="GU180">
    <cfRule type="cellIs" dxfId="4619" priority="8722" stopIfTrue="1" operator="equal">
      <formula>0</formula>
    </cfRule>
    <cfRule type="cellIs" dxfId="4618" priority="8723" stopIfTrue="1" operator="notEqual">
      <formula>0</formula>
    </cfRule>
  </conditionalFormatting>
  <conditionalFormatting sqref="GV180">
    <cfRule type="cellIs" dxfId="4617" priority="8721" stopIfTrue="1" operator="equal">
      <formula>"STOP"</formula>
    </cfRule>
  </conditionalFormatting>
  <conditionalFormatting sqref="Q181">
    <cfRule type="cellIs" dxfId="4616" priority="8715" stopIfTrue="1" operator="equal">
      <formula>"SIM"</formula>
    </cfRule>
    <cfRule type="cellIs" dxfId="4615" priority="8716" stopIfTrue="1" operator="equal">
      <formula>"NÃO"</formula>
    </cfRule>
  </conditionalFormatting>
  <conditionalFormatting sqref="BF181 CJ181 DO181">
    <cfRule type="cellIs" dxfId="4614" priority="8711" stopIfTrue="1" operator="equal">
      <formula>0</formula>
    </cfRule>
    <cfRule type="cellIs" dxfId="4613" priority="8717" stopIfTrue="1" operator="notEqual">
      <formula>0</formula>
    </cfRule>
  </conditionalFormatting>
  <conditionalFormatting sqref="C181:D181">
    <cfRule type="expression" dxfId="4612" priority="8714" stopIfTrue="1">
      <formula>IF(AND($C181&lt;&gt;"",$H181+$L181=0),TRUE)</formula>
    </cfRule>
  </conditionalFormatting>
  <conditionalFormatting sqref="P181">
    <cfRule type="cellIs" dxfId="4611" priority="8703" stopIfTrue="1" operator="equal">
      <formula>1</formula>
    </cfRule>
    <cfRule type="cellIs" dxfId="4610" priority="8712" stopIfTrue="1" operator="equal">
      <formula>2</formula>
    </cfRule>
    <cfRule type="cellIs" dxfId="4609" priority="8713" stopIfTrue="1" operator="equal">
      <formula>"X"</formula>
    </cfRule>
  </conditionalFormatting>
  <conditionalFormatting sqref="GU181">
    <cfRule type="cellIs" dxfId="4608" priority="8705" stopIfTrue="1" operator="equal">
      <formula>0</formula>
    </cfRule>
    <cfRule type="cellIs" dxfId="4607" priority="8706" stopIfTrue="1" operator="notEqual">
      <formula>0</formula>
    </cfRule>
  </conditionalFormatting>
  <conditionalFormatting sqref="GV181">
    <cfRule type="cellIs" dxfId="4606" priority="8704" stopIfTrue="1" operator="equal">
      <formula>"STOP"</formula>
    </cfRule>
  </conditionalFormatting>
  <conditionalFormatting sqref="Q184">
    <cfRule type="cellIs" dxfId="4605" priority="8664" stopIfTrue="1" operator="equal">
      <formula>"SIM"</formula>
    </cfRule>
    <cfRule type="cellIs" dxfId="4604" priority="8665" stopIfTrue="1" operator="equal">
      <formula>"NÃO"</formula>
    </cfRule>
  </conditionalFormatting>
  <conditionalFormatting sqref="BF184 CJ184 DO184">
    <cfRule type="cellIs" dxfId="4603" priority="8660" stopIfTrue="1" operator="equal">
      <formula>0</formula>
    </cfRule>
    <cfRule type="cellIs" dxfId="4602" priority="8666" stopIfTrue="1" operator="notEqual">
      <formula>0</formula>
    </cfRule>
  </conditionalFormatting>
  <conditionalFormatting sqref="C184:D184">
    <cfRule type="expression" dxfId="4601" priority="8663" stopIfTrue="1">
      <formula>IF(AND($C184&lt;&gt;"",$H184+$L184=0),TRUE)</formula>
    </cfRule>
  </conditionalFormatting>
  <conditionalFormatting sqref="P184">
    <cfRule type="cellIs" dxfId="4600" priority="8652" stopIfTrue="1" operator="equal">
      <formula>1</formula>
    </cfRule>
    <cfRule type="cellIs" dxfId="4599" priority="8661" stopIfTrue="1" operator="equal">
      <formula>2</formula>
    </cfRule>
    <cfRule type="cellIs" dxfId="4598" priority="8662" stopIfTrue="1" operator="equal">
      <formula>"X"</formula>
    </cfRule>
  </conditionalFormatting>
  <conditionalFormatting sqref="GU184">
    <cfRule type="cellIs" dxfId="4597" priority="8654" stopIfTrue="1" operator="equal">
      <formula>0</formula>
    </cfRule>
    <cfRule type="cellIs" dxfId="4596" priority="8655" stopIfTrue="1" operator="notEqual">
      <formula>0</formula>
    </cfRule>
  </conditionalFormatting>
  <conditionalFormatting sqref="GV184">
    <cfRule type="cellIs" dxfId="4595" priority="8653" stopIfTrue="1" operator="equal">
      <formula>"STOP"</formula>
    </cfRule>
  </conditionalFormatting>
  <conditionalFormatting sqref="Q185">
    <cfRule type="cellIs" dxfId="4594" priority="8647" stopIfTrue="1" operator="equal">
      <formula>"SIM"</formula>
    </cfRule>
    <cfRule type="cellIs" dxfId="4593" priority="8648" stopIfTrue="1" operator="equal">
      <formula>"NÃO"</formula>
    </cfRule>
  </conditionalFormatting>
  <conditionalFormatting sqref="BF185 CJ185 DO185">
    <cfRule type="cellIs" dxfId="4592" priority="8643" stopIfTrue="1" operator="equal">
      <formula>0</formula>
    </cfRule>
    <cfRule type="cellIs" dxfId="4591" priority="8649" stopIfTrue="1" operator="notEqual">
      <formula>0</formula>
    </cfRule>
  </conditionalFormatting>
  <conditionalFormatting sqref="C185:D185">
    <cfRule type="expression" dxfId="4590" priority="8646" stopIfTrue="1">
      <formula>IF(AND($C185&lt;&gt;"",$H185+$L185=0),TRUE)</formula>
    </cfRule>
  </conditionalFormatting>
  <conditionalFormatting sqref="P185">
    <cfRule type="cellIs" dxfId="4589" priority="8635" stopIfTrue="1" operator="equal">
      <formula>1</formula>
    </cfRule>
    <cfRule type="cellIs" dxfId="4588" priority="8644" stopIfTrue="1" operator="equal">
      <formula>2</formula>
    </cfRule>
    <cfRule type="cellIs" dxfId="4587" priority="8645" stopIfTrue="1" operator="equal">
      <formula>"X"</formula>
    </cfRule>
  </conditionalFormatting>
  <conditionalFormatting sqref="GU185">
    <cfRule type="cellIs" dxfId="4586" priority="8637" stopIfTrue="1" operator="equal">
      <formula>0</formula>
    </cfRule>
    <cfRule type="cellIs" dxfId="4585" priority="8638" stopIfTrue="1" operator="notEqual">
      <formula>0</formula>
    </cfRule>
  </conditionalFormatting>
  <conditionalFormatting sqref="GV185">
    <cfRule type="cellIs" dxfId="4584" priority="8636" stopIfTrue="1" operator="equal">
      <formula>"STOP"</formula>
    </cfRule>
  </conditionalFormatting>
  <conditionalFormatting sqref="Q181">
    <cfRule type="cellIs" dxfId="4583" priority="8630" stopIfTrue="1" operator="equal">
      <formula>"SIM"</formula>
    </cfRule>
    <cfRule type="cellIs" dxfId="4582" priority="8631" stopIfTrue="1" operator="equal">
      <formula>"NÃO"</formula>
    </cfRule>
  </conditionalFormatting>
  <conditionalFormatting sqref="BF181 CJ181 DO181">
    <cfRule type="cellIs" dxfId="4581" priority="8626" stopIfTrue="1" operator="equal">
      <formula>0</formula>
    </cfRule>
    <cfRule type="cellIs" dxfId="4580" priority="8632" stopIfTrue="1" operator="notEqual">
      <formula>0</formula>
    </cfRule>
  </conditionalFormatting>
  <conditionalFormatting sqref="C181:D181">
    <cfRule type="expression" dxfId="4579" priority="8629" stopIfTrue="1">
      <formula>IF(AND($C181&lt;&gt;"",$H181+$L181=0),TRUE)</formula>
    </cfRule>
  </conditionalFormatting>
  <conditionalFormatting sqref="P181">
    <cfRule type="cellIs" dxfId="4578" priority="8618" stopIfTrue="1" operator="equal">
      <formula>1</formula>
    </cfRule>
    <cfRule type="cellIs" dxfId="4577" priority="8627" stopIfTrue="1" operator="equal">
      <formula>2</formula>
    </cfRule>
    <cfRule type="cellIs" dxfId="4576" priority="8628" stopIfTrue="1" operator="equal">
      <formula>"X"</formula>
    </cfRule>
  </conditionalFormatting>
  <conditionalFormatting sqref="GU181">
    <cfRule type="cellIs" dxfId="4575" priority="8620" stopIfTrue="1" operator="equal">
      <formula>0</formula>
    </cfRule>
    <cfRule type="cellIs" dxfId="4574" priority="8621" stopIfTrue="1" operator="notEqual">
      <formula>0</formula>
    </cfRule>
  </conditionalFormatting>
  <conditionalFormatting sqref="GV181">
    <cfRule type="cellIs" dxfId="4573" priority="8619" stopIfTrue="1" operator="equal">
      <formula>"STOP"</formula>
    </cfRule>
  </conditionalFormatting>
  <conditionalFormatting sqref="Q181">
    <cfRule type="cellIs" dxfId="4572" priority="8579" stopIfTrue="1" operator="equal">
      <formula>"SIM"</formula>
    </cfRule>
    <cfRule type="cellIs" dxfId="4571" priority="8580" stopIfTrue="1" operator="equal">
      <formula>"NÃO"</formula>
    </cfRule>
  </conditionalFormatting>
  <conditionalFormatting sqref="BF181 CJ181 DO181">
    <cfRule type="cellIs" dxfId="4570" priority="8575" stopIfTrue="1" operator="equal">
      <formula>0</formula>
    </cfRule>
    <cfRule type="cellIs" dxfId="4569" priority="8581" stopIfTrue="1" operator="notEqual">
      <formula>0</formula>
    </cfRule>
  </conditionalFormatting>
  <conditionalFormatting sqref="C181:D181">
    <cfRule type="expression" dxfId="4568" priority="8578" stopIfTrue="1">
      <formula>IF(AND($C181&lt;&gt;"",$H181+$L181=0),TRUE)</formula>
    </cfRule>
  </conditionalFormatting>
  <conditionalFormatting sqref="P181">
    <cfRule type="cellIs" dxfId="4567" priority="8567" stopIfTrue="1" operator="equal">
      <formula>1</formula>
    </cfRule>
    <cfRule type="cellIs" dxfId="4566" priority="8576" stopIfTrue="1" operator="equal">
      <formula>2</formula>
    </cfRule>
    <cfRule type="cellIs" dxfId="4565" priority="8577" stopIfTrue="1" operator="equal">
      <formula>"X"</formula>
    </cfRule>
  </conditionalFormatting>
  <conditionalFormatting sqref="GU181">
    <cfRule type="cellIs" dxfId="4564" priority="8569" stopIfTrue="1" operator="equal">
      <formula>0</formula>
    </cfRule>
    <cfRule type="cellIs" dxfId="4563" priority="8570" stopIfTrue="1" operator="notEqual">
      <formula>0</formula>
    </cfRule>
  </conditionalFormatting>
  <conditionalFormatting sqref="GV181">
    <cfRule type="cellIs" dxfId="4562" priority="8568" stopIfTrue="1" operator="equal">
      <formula>"STOP"</formula>
    </cfRule>
  </conditionalFormatting>
  <conditionalFormatting sqref="Q184">
    <cfRule type="cellIs" dxfId="4561" priority="8528" stopIfTrue="1" operator="equal">
      <formula>"SIM"</formula>
    </cfRule>
    <cfRule type="cellIs" dxfId="4560" priority="8529" stopIfTrue="1" operator="equal">
      <formula>"NÃO"</formula>
    </cfRule>
  </conditionalFormatting>
  <conditionalFormatting sqref="BF184 CJ184 DO184">
    <cfRule type="cellIs" dxfId="4559" priority="8524" stopIfTrue="1" operator="equal">
      <formula>0</formula>
    </cfRule>
    <cfRule type="cellIs" dxfId="4558" priority="8530" stopIfTrue="1" operator="notEqual">
      <formula>0</formula>
    </cfRule>
  </conditionalFormatting>
  <conditionalFormatting sqref="C184:D184">
    <cfRule type="expression" dxfId="4557" priority="8527" stopIfTrue="1">
      <formula>IF(AND($C184&lt;&gt;"",$H184+$L184=0),TRUE)</formula>
    </cfRule>
  </conditionalFormatting>
  <conditionalFormatting sqref="P184">
    <cfRule type="cellIs" dxfId="4556" priority="8516" stopIfTrue="1" operator="equal">
      <formula>1</formula>
    </cfRule>
    <cfRule type="cellIs" dxfId="4555" priority="8525" stopIfTrue="1" operator="equal">
      <formula>2</formula>
    </cfRule>
    <cfRule type="cellIs" dxfId="4554" priority="8526" stopIfTrue="1" operator="equal">
      <formula>"X"</formula>
    </cfRule>
  </conditionalFormatting>
  <conditionalFormatting sqref="GU184">
    <cfRule type="cellIs" dxfId="4553" priority="8518" stopIfTrue="1" operator="equal">
      <formula>0</formula>
    </cfRule>
    <cfRule type="cellIs" dxfId="4552" priority="8519" stopIfTrue="1" operator="notEqual">
      <formula>0</formula>
    </cfRule>
  </conditionalFormatting>
  <conditionalFormatting sqref="GV184">
    <cfRule type="cellIs" dxfId="4551" priority="8517" stopIfTrue="1" operator="equal">
      <formula>"STOP"</formula>
    </cfRule>
  </conditionalFormatting>
  <conditionalFormatting sqref="Q184">
    <cfRule type="cellIs" dxfId="4550" priority="8477" stopIfTrue="1" operator="equal">
      <formula>"SIM"</formula>
    </cfRule>
    <cfRule type="cellIs" dxfId="4549" priority="8478" stopIfTrue="1" operator="equal">
      <formula>"NÃO"</formula>
    </cfRule>
  </conditionalFormatting>
  <conditionalFormatting sqref="BF184 CJ184 DO184">
    <cfRule type="cellIs" dxfId="4548" priority="8473" stopIfTrue="1" operator="equal">
      <formula>0</formula>
    </cfRule>
    <cfRule type="cellIs" dxfId="4547" priority="8479" stopIfTrue="1" operator="notEqual">
      <formula>0</formula>
    </cfRule>
  </conditionalFormatting>
  <conditionalFormatting sqref="C184:D184">
    <cfRule type="expression" dxfId="4546" priority="8476" stopIfTrue="1">
      <formula>IF(AND($C184&lt;&gt;"",$H184+$L184=0),TRUE)</formula>
    </cfRule>
  </conditionalFormatting>
  <conditionalFormatting sqref="P184">
    <cfRule type="cellIs" dxfId="4545" priority="8465" stopIfTrue="1" operator="equal">
      <formula>1</formula>
    </cfRule>
    <cfRule type="cellIs" dxfId="4544" priority="8474" stopIfTrue="1" operator="equal">
      <formula>2</formula>
    </cfRule>
    <cfRule type="cellIs" dxfId="4543" priority="8475" stopIfTrue="1" operator="equal">
      <formula>"X"</formula>
    </cfRule>
  </conditionalFormatting>
  <conditionalFormatting sqref="GU184">
    <cfRule type="cellIs" dxfId="4542" priority="8467" stopIfTrue="1" operator="equal">
      <formula>0</formula>
    </cfRule>
    <cfRule type="cellIs" dxfId="4541" priority="8468" stopIfTrue="1" operator="notEqual">
      <formula>0</formula>
    </cfRule>
  </conditionalFormatting>
  <conditionalFormatting sqref="GV184">
    <cfRule type="cellIs" dxfId="4540" priority="8466" stopIfTrue="1" operator="equal">
      <formula>"STOP"</formula>
    </cfRule>
  </conditionalFormatting>
  <conditionalFormatting sqref="Q179">
    <cfRule type="cellIs" dxfId="4539" priority="8460" stopIfTrue="1" operator="equal">
      <formula>"SIM"</formula>
    </cfRule>
    <cfRule type="cellIs" dxfId="4538" priority="8461" stopIfTrue="1" operator="equal">
      <formula>"NÃO"</formula>
    </cfRule>
  </conditionalFormatting>
  <conditionalFormatting sqref="BF179 CJ179 DO179">
    <cfRule type="cellIs" dxfId="4537" priority="8456" stopIfTrue="1" operator="equal">
      <formula>0</formula>
    </cfRule>
    <cfRule type="cellIs" dxfId="4536" priority="8462" stopIfTrue="1" operator="notEqual">
      <formula>0</formula>
    </cfRule>
  </conditionalFormatting>
  <conditionalFormatting sqref="C179:D179">
    <cfRule type="expression" dxfId="4535" priority="8459" stopIfTrue="1">
      <formula>IF(AND($C179&lt;&gt;"",$H179+$L179=0),TRUE)</formula>
    </cfRule>
  </conditionalFormatting>
  <conditionalFormatting sqref="P179">
    <cfRule type="cellIs" dxfId="4534" priority="8448" stopIfTrue="1" operator="equal">
      <formula>1</formula>
    </cfRule>
    <cfRule type="cellIs" dxfId="4533" priority="8457" stopIfTrue="1" operator="equal">
      <formula>2</formula>
    </cfRule>
    <cfRule type="cellIs" dxfId="4532" priority="8458" stopIfTrue="1" operator="equal">
      <formula>"X"</formula>
    </cfRule>
  </conditionalFormatting>
  <conditionalFormatting sqref="GU179">
    <cfRule type="cellIs" dxfId="4531" priority="8450" stopIfTrue="1" operator="equal">
      <formula>0</formula>
    </cfRule>
    <cfRule type="cellIs" dxfId="4530" priority="8451" stopIfTrue="1" operator="notEqual">
      <formula>0</formula>
    </cfRule>
  </conditionalFormatting>
  <conditionalFormatting sqref="GV179">
    <cfRule type="cellIs" dxfId="4529" priority="8449" stopIfTrue="1" operator="equal">
      <formula>"STOP"</formula>
    </cfRule>
  </conditionalFormatting>
  <conditionalFormatting sqref="Q180">
    <cfRule type="cellIs" dxfId="4528" priority="8443" stopIfTrue="1" operator="equal">
      <formula>"SIM"</formula>
    </cfRule>
    <cfRule type="cellIs" dxfId="4527" priority="8444" stopIfTrue="1" operator="equal">
      <formula>"NÃO"</formula>
    </cfRule>
  </conditionalFormatting>
  <conditionalFormatting sqref="BF180 CJ180 DO180">
    <cfRule type="cellIs" dxfId="4526" priority="8439" stopIfTrue="1" operator="equal">
      <formula>0</formula>
    </cfRule>
    <cfRule type="cellIs" dxfId="4525" priority="8445" stopIfTrue="1" operator="notEqual">
      <formula>0</formula>
    </cfRule>
  </conditionalFormatting>
  <conditionalFormatting sqref="C180:D180">
    <cfRule type="expression" dxfId="4524" priority="8442" stopIfTrue="1">
      <formula>IF(AND($C180&lt;&gt;"",$H180+$L180=0),TRUE)</formula>
    </cfRule>
  </conditionalFormatting>
  <conditionalFormatting sqref="P180">
    <cfRule type="cellIs" dxfId="4523" priority="8431" stopIfTrue="1" operator="equal">
      <formula>1</formula>
    </cfRule>
    <cfRule type="cellIs" dxfId="4522" priority="8440" stopIfTrue="1" operator="equal">
      <formula>2</formula>
    </cfRule>
    <cfRule type="cellIs" dxfId="4521" priority="8441" stopIfTrue="1" operator="equal">
      <formula>"X"</formula>
    </cfRule>
  </conditionalFormatting>
  <conditionalFormatting sqref="GU180">
    <cfRule type="cellIs" dxfId="4520" priority="8433" stopIfTrue="1" operator="equal">
      <formula>0</formula>
    </cfRule>
    <cfRule type="cellIs" dxfId="4519" priority="8434" stopIfTrue="1" operator="notEqual">
      <formula>0</formula>
    </cfRule>
  </conditionalFormatting>
  <conditionalFormatting sqref="GV180">
    <cfRule type="cellIs" dxfId="4518" priority="8432" stopIfTrue="1" operator="equal">
      <formula>"STOP"</formula>
    </cfRule>
  </conditionalFormatting>
  <conditionalFormatting sqref="Q181">
    <cfRule type="cellIs" dxfId="4517" priority="8426" stopIfTrue="1" operator="equal">
      <formula>"SIM"</formula>
    </cfRule>
    <cfRule type="cellIs" dxfId="4516" priority="8427" stopIfTrue="1" operator="equal">
      <formula>"NÃO"</formula>
    </cfRule>
  </conditionalFormatting>
  <conditionalFormatting sqref="BF181 CJ181 DO181">
    <cfRule type="cellIs" dxfId="4515" priority="8422" stopIfTrue="1" operator="equal">
      <formula>0</formula>
    </cfRule>
    <cfRule type="cellIs" dxfId="4514" priority="8428" stopIfTrue="1" operator="notEqual">
      <formula>0</formula>
    </cfRule>
  </conditionalFormatting>
  <conditionalFormatting sqref="C181:D181">
    <cfRule type="expression" dxfId="4513" priority="8425" stopIfTrue="1">
      <formula>IF(AND($C181&lt;&gt;"",$H181+$L181=0),TRUE)</formula>
    </cfRule>
  </conditionalFormatting>
  <conditionalFormatting sqref="P181">
    <cfRule type="cellIs" dxfId="4512" priority="8414" stopIfTrue="1" operator="equal">
      <formula>1</formula>
    </cfRule>
    <cfRule type="cellIs" dxfId="4511" priority="8423" stopIfTrue="1" operator="equal">
      <formula>2</formula>
    </cfRule>
    <cfRule type="cellIs" dxfId="4510" priority="8424" stopIfTrue="1" operator="equal">
      <formula>"X"</formula>
    </cfRule>
  </conditionalFormatting>
  <conditionalFormatting sqref="GU181">
    <cfRule type="cellIs" dxfId="4509" priority="8416" stopIfTrue="1" operator="equal">
      <formula>0</formula>
    </cfRule>
    <cfRule type="cellIs" dxfId="4508" priority="8417" stopIfTrue="1" operator="notEqual">
      <formula>0</formula>
    </cfRule>
  </conditionalFormatting>
  <conditionalFormatting sqref="GV181">
    <cfRule type="cellIs" dxfId="4507" priority="8415" stopIfTrue="1" operator="equal">
      <formula>"STOP"</formula>
    </cfRule>
  </conditionalFormatting>
  <conditionalFormatting sqref="Q182">
    <cfRule type="cellIs" dxfId="4506" priority="8409" stopIfTrue="1" operator="equal">
      <formula>"SIM"</formula>
    </cfRule>
    <cfRule type="cellIs" dxfId="4505" priority="8410" stopIfTrue="1" operator="equal">
      <formula>"NÃO"</formula>
    </cfRule>
  </conditionalFormatting>
  <conditionalFormatting sqref="BF182 CJ182 DO182">
    <cfRule type="cellIs" dxfId="4504" priority="8405" stopIfTrue="1" operator="equal">
      <formula>0</formula>
    </cfRule>
    <cfRule type="cellIs" dxfId="4503" priority="8411" stopIfTrue="1" operator="notEqual">
      <formula>0</formula>
    </cfRule>
  </conditionalFormatting>
  <conditionalFormatting sqref="C182:D182">
    <cfRule type="expression" dxfId="4502" priority="8408" stopIfTrue="1">
      <formula>IF(AND($C182&lt;&gt;"",$H182+$L182=0),TRUE)</formula>
    </cfRule>
  </conditionalFormatting>
  <conditionalFormatting sqref="P182">
    <cfRule type="cellIs" dxfId="4501" priority="8397" stopIfTrue="1" operator="equal">
      <formula>1</formula>
    </cfRule>
    <cfRule type="cellIs" dxfId="4500" priority="8406" stopIfTrue="1" operator="equal">
      <formula>2</formula>
    </cfRule>
    <cfRule type="cellIs" dxfId="4499" priority="8407" stopIfTrue="1" operator="equal">
      <formula>"X"</formula>
    </cfRule>
  </conditionalFormatting>
  <conditionalFormatting sqref="GU182">
    <cfRule type="cellIs" dxfId="4498" priority="8399" stopIfTrue="1" operator="equal">
      <formula>0</formula>
    </cfRule>
    <cfRule type="cellIs" dxfId="4497" priority="8400" stopIfTrue="1" operator="notEqual">
      <formula>0</formula>
    </cfRule>
  </conditionalFormatting>
  <conditionalFormatting sqref="GV182">
    <cfRule type="cellIs" dxfId="4496" priority="8398" stopIfTrue="1" operator="equal">
      <formula>"STOP"</formula>
    </cfRule>
  </conditionalFormatting>
  <conditionalFormatting sqref="Q183">
    <cfRule type="cellIs" dxfId="4495" priority="8392" stopIfTrue="1" operator="equal">
      <formula>"SIM"</formula>
    </cfRule>
    <cfRule type="cellIs" dxfId="4494" priority="8393" stopIfTrue="1" operator="equal">
      <formula>"NÃO"</formula>
    </cfRule>
  </conditionalFormatting>
  <conditionalFormatting sqref="BF183 CJ183 DO183">
    <cfRule type="cellIs" dxfId="4493" priority="8388" stopIfTrue="1" operator="equal">
      <formula>0</formula>
    </cfRule>
    <cfRule type="cellIs" dxfId="4492" priority="8394" stopIfTrue="1" operator="notEqual">
      <formula>0</formula>
    </cfRule>
  </conditionalFormatting>
  <conditionalFormatting sqref="C183:D183">
    <cfRule type="expression" dxfId="4491" priority="8391" stopIfTrue="1">
      <formula>IF(AND($C183&lt;&gt;"",$H183+$L183=0),TRUE)</formula>
    </cfRule>
  </conditionalFormatting>
  <conditionalFormatting sqref="P183">
    <cfRule type="cellIs" dxfId="4490" priority="8380" stopIfTrue="1" operator="equal">
      <formula>1</formula>
    </cfRule>
    <cfRule type="cellIs" dxfId="4489" priority="8389" stopIfTrue="1" operator="equal">
      <formula>2</formula>
    </cfRule>
    <cfRule type="cellIs" dxfId="4488" priority="8390" stopIfTrue="1" operator="equal">
      <formula>"X"</formula>
    </cfRule>
  </conditionalFormatting>
  <conditionalFormatting sqref="GU183">
    <cfRule type="cellIs" dxfId="4487" priority="8382" stopIfTrue="1" operator="equal">
      <formula>0</formula>
    </cfRule>
    <cfRule type="cellIs" dxfId="4486" priority="8383" stopIfTrue="1" operator="notEqual">
      <formula>0</formula>
    </cfRule>
  </conditionalFormatting>
  <conditionalFormatting sqref="GV183">
    <cfRule type="cellIs" dxfId="4485" priority="8381" stopIfTrue="1" operator="equal">
      <formula>"STOP"</formula>
    </cfRule>
  </conditionalFormatting>
  <conditionalFormatting sqref="Q186">
    <cfRule type="cellIs" dxfId="4484" priority="8341" stopIfTrue="1" operator="equal">
      <formula>"SIM"</formula>
    </cfRule>
    <cfRule type="cellIs" dxfId="4483" priority="8342" stopIfTrue="1" operator="equal">
      <formula>"NÃO"</formula>
    </cfRule>
  </conditionalFormatting>
  <conditionalFormatting sqref="BF186 CJ186 DO186">
    <cfRule type="cellIs" dxfId="4482" priority="8337" stopIfTrue="1" operator="equal">
      <formula>0</formula>
    </cfRule>
    <cfRule type="cellIs" dxfId="4481" priority="8343" stopIfTrue="1" operator="notEqual">
      <formula>0</formula>
    </cfRule>
  </conditionalFormatting>
  <conditionalFormatting sqref="C186:D186">
    <cfRule type="expression" dxfId="4480" priority="8340" stopIfTrue="1">
      <formula>IF(AND($C186&lt;&gt;"",$H186+$L186=0),TRUE)</formula>
    </cfRule>
  </conditionalFormatting>
  <conditionalFormatting sqref="P186">
    <cfRule type="cellIs" dxfId="4479" priority="8329" stopIfTrue="1" operator="equal">
      <formula>1</formula>
    </cfRule>
    <cfRule type="cellIs" dxfId="4478" priority="8338" stopIfTrue="1" operator="equal">
      <formula>2</formula>
    </cfRule>
    <cfRule type="cellIs" dxfId="4477" priority="8339" stopIfTrue="1" operator="equal">
      <formula>"X"</formula>
    </cfRule>
  </conditionalFormatting>
  <conditionalFormatting sqref="GU186">
    <cfRule type="cellIs" dxfId="4476" priority="8331" stopIfTrue="1" operator="equal">
      <formula>0</formula>
    </cfRule>
    <cfRule type="cellIs" dxfId="4475" priority="8332" stopIfTrue="1" operator="notEqual">
      <formula>0</formula>
    </cfRule>
  </conditionalFormatting>
  <conditionalFormatting sqref="GV186">
    <cfRule type="cellIs" dxfId="4474" priority="8330" stopIfTrue="1" operator="equal">
      <formula>"STOP"</formula>
    </cfRule>
  </conditionalFormatting>
  <conditionalFormatting sqref="Q187">
    <cfRule type="cellIs" dxfId="4473" priority="8324" stopIfTrue="1" operator="equal">
      <formula>"SIM"</formula>
    </cfRule>
    <cfRule type="cellIs" dxfId="4472" priority="8325" stopIfTrue="1" operator="equal">
      <formula>"NÃO"</formula>
    </cfRule>
  </conditionalFormatting>
  <conditionalFormatting sqref="BF187 CJ187 DO187">
    <cfRule type="cellIs" dxfId="4471" priority="8320" stopIfTrue="1" operator="equal">
      <formula>0</formula>
    </cfRule>
    <cfRule type="cellIs" dxfId="4470" priority="8326" stopIfTrue="1" operator="notEqual">
      <formula>0</formula>
    </cfRule>
  </conditionalFormatting>
  <conditionalFormatting sqref="C187:D187">
    <cfRule type="expression" dxfId="4469" priority="8323" stopIfTrue="1">
      <formula>IF(AND($C187&lt;&gt;"",$H187+$L187=0),TRUE)</formula>
    </cfRule>
  </conditionalFormatting>
  <conditionalFormatting sqref="P187">
    <cfRule type="cellIs" dxfId="4468" priority="8312" stopIfTrue="1" operator="equal">
      <formula>1</formula>
    </cfRule>
    <cfRule type="cellIs" dxfId="4467" priority="8321" stopIfTrue="1" operator="equal">
      <formula>2</formula>
    </cfRule>
    <cfRule type="cellIs" dxfId="4466" priority="8322" stopIfTrue="1" operator="equal">
      <formula>"X"</formula>
    </cfRule>
  </conditionalFormatting>
  <conditionalFormatting sqref="GU187">
    <cfRule type="cellIs" dxfId="4465" priority="8314" stopIfTrue="1" operator="equal">
      <formula>0</formula>
    </cfRule>
    <cfRule type="cellIs" dxfId="4464" priority="8315" stopIfTrue="1" operator="notEqual">
      <formula>0</formula>
    </cfRule>
  </conditionalFormatting>
  <conditionalFormatting sqref="GV187">
    <cfRule type="cellIs" dxfId="4463" priority="8313" stopIfTrue="1" operator="equal">
      <formula>"STOP"</formula>
    </cfRule>
  </conditionalFormatting>
  <conditionalFormatting sqref="Q180">
    <cfRule type="cellIs" dxfId="4462" priority="8307" stopIfTrue="1" operator="equal">
      <formula>"SIM"</formula>
    </cfRule>
    <cfRule type="cellIs" dxfId="4461" priority="8308" stopIfTrue="1" operator="equal">
      <formula>"NÃO"</formula>
    </cfRule>
  </conditionalFormatting>
  <conditionalFormatting sqref="BF180 CJ180 DO180">
    <cfRule type="cellIs" dxfId="4460" priority="8303" stopIfTrue="1" operator="equal">
      <formula>0</formula>
    </cfRule>
    <cfRule type="cellIs" dxfId="4459" priority="8309" stopIfTrue="1" operator="notEqual">
      <formula>0</formula>
    </cfRule>
  </conditionalFormatting>
  <conditionalFormatting sqref="C180:D180">
    <cfRule type="expression" dxfId="4458" priority="8306" stopIfTrue="1">
      <formula>IF(AND($C180&lt;&gt;"",$H180+$L180=0),TRUE)</formula>
    </cfRule>
  </conditionalFormatting>
  <conditionalFormatting sqref="P180">
    <cfRule type="cellIs" dxfId="4457" priority="8295" stopIfTrue="1" operator="equal">
      <formula>1</formula>
    </cfRule>
    <cfRule type="cellIs" dxfId="4456" priority="8304" stopIfTrue="1" operator="equal">
      <formula>2</formula>
    </cfRule>
    <cfRule type="cellIs" dxfId="4455" priority="8305" stopIfTrue="1" operator="equal">
      <formula>"X"</formula>
    </cfRule>
  </conditionalFormatting>
  <conditionalFormatting sqref="GU180">
    <cfRule type="cellIs" dxfId="4454" priority="8297" stopIfTrue="1" operator="equal">
      <formula>0</formula>
    </cfRule>
    <cfRule type="cellIs" dxfId="4453" priority="8298" stopIfTrue="1" operator="notEqual">
      <formula>0</formula>
    </cfRule>
  </conditionalFormatting>
  <conditionalFormatting sqref="GV180">
    <cfRule type="cellIs" dxfId="4452" priority="8296" stopIfTrue="1" operator="equal">
      <formula>"STOP"</formula>
    </cfRule>
  </conditionalFormatting>
  <conditionalFormatting sqref="Q181">
    <cfRule type="cellIs" dxfId="4451" priority="8290" stopIfTrue="1" operator="equal">
      <formula>"SIM"</formula>
    </cfRule>
    <cfRule type="cellIs" dxfId="4450" priority="8291" stopIfTrue="1" operator="equal">
      <formula>"NÃO"</formula>
    </cfRule>
  </conditionalFormatting>
  <conditionalFormatting sqref="BF181 CJ181 DO181">
    <cfRule type="cellIs" dxfId="4449" priority="8286" stopIfTrue="1" operator="equal">
      <formula>0</formula>
    </cfRule>
    <cfRule type="cellIs" dxfId="4448" priority="8292" stopIfTrue="1" operator="notEqual">
      <formula>0</formula>
    </cfRule>
  </conditionalFormatting>
  <conditionalFormatting sqref="C181:D181">
    <cfRule type="expression" dxfId="4447" priority="8289" stopIfTrue="1">
      <formula>IF(AND($C181&lt;&gt;"",$H181+$L181=0),TRUE)</formula>
    </cfRule>
  </conditionalFormatting>
  <conditionalFormatting sqref="P181">
    <cfRule type="cellIs" dxfId="4446" priority="8278" stopIfTrue="1" operator="equal">
      <formula>1</formula>
    </cfRule>
    <cfRule type="cellIs" dxfId="4445" priority="8287" stopIfTrue="1" operator="equal">
      <formula>2</formula>
    </cfRule>
    <cfRule type="cellIs" dxfId="4444" priority="8288" stopIfTrue="1" operator="equal">
      <formula>"X"</formula>
    </cfRule>
  </conditionalFormatting>
  <conditionalFormatting sqref="GU181">
    <cfRule type="cellIs" dxfId="4443" priority="8280" stopIfTrue="1" operator="equal">
      <formula>0</formula>
    </cfRule>
    <cfRule type="cellIs" dxfId="4442" priority="8281" stopIfTrue="1" operator="notEqual">
      <formula>0</formula>
    </cfRule>
  </conditionalFormatting>
  <conditionalFormatting sqref="GV181">
    <cfRule type="cellIs" dxfId="4441" priority="8279" stopIfTrue="1" operator="equal">
      <formula>"STOP"</formula>
    </cfRule>
  </conditionalFormatting>
  <conditionalFormatting sqref="Q182">
    <cfRule type="cellIs" dxfId="4440" priority="8273" stopIfTrue="1" operator="equal">
      <formula>"SIM"</formula>
    </cfRule>
    <cfRule type="cellIs" dxfId="4439" priority="8274" stopIfTrue="1" operator="equal">
      <formula>"NÃO"</formula>
    </cfRule>
  </conditionalFormatting>
  <conditionalFormatting sqref="BF182 CJ182 DO182">
    <cfRule type="cellIs" dxfId="4438" priority="8269" stopIfTrue="1" operator="equal">
      <formula>0</formula>
    </cfRule>
    <cfRule type="cellIs" dxfId="4437" priority="8275" stopIfTrue="1" operator="notEqual">
      <formula>0</formula>
    </cfRule>
  </conditionalFormatting>
  <conditionalFormatting sqref="C182:D182">
    <cfRule type="expression" dxfId="4436" priority="8272" stopIfTrue="1">
      <formula>IF(AND($C182&lt;&gt;"",$H182+$L182=0),TRUE)</formula>
    </cfRule>
  </conditionalFormatting>
  <conditionalFormatting sqref="P182">
    <cfRule type="cellIs" dxfId="4435" priority="8261" stopIfTrue="1" operator="equal">
      <formula>1</formula>
    </cfRule>
    <cfRule type="cellIs" dxfId="4434" priority="8270" stopIfTrue="1" operator="equal">
      <formula>2</formula>
    </cfRule>
    <cfRule type="cellIs" dxfId="4433" priority="8271" stopIfTrue="1" operator="equal">
      <formula>"X"</formula>
    </cfRule>
  </conditionalFormatting>
  <conditionalFormatting sqref="GU182">
    <cfRule type="cellIs" dxfId="4432" priority="8263" stopIfTrue="1" operator="equal">
      <formula>0</formula>
    </cfRule>
    <cfRule type="cellIs" dxfId="4431" priority="8264" stopIfTrue="1" operator="notEqual">
      <formula>0</formula>
    </cfRule>
  </conditionalFormatting>
  <conditionalFormatting sqref="GV182">
    <cfRule type="cellIs" dxfId="4430" priority="8262" stopIfTrue="1" operator="equal">
      <formula>"STOP"</formula>
    </cfRule>
  </conditionalFormatting>
  <conditionalFormatting sqref="Q180">
    <cfRule type="cellIs" dxfId="4429" priority="8256" stopIfTrue="1" operator="equal">
      <formula>"SIM"</formula>
    </cfRule>
    <cfRule type="cellIs" dxfId="4428" priority="8257" stopIfTrue="1" operator="equal">
      <formula>"NÃO"</formula>
    </cfRule>
  </conditionalFormatting>
  <conditionalFormatting sqref="BF180 CJ180 DO180">
    <cfRule type="cellIs" dxfId="4427" priority="8252" stopIfTrue="1" operator="equal">
      <formula>0</formula>
    </cfRule>
    <cfRule type="cellIs" dxfId="4426" priority="8258" stopIfTrue="1" operator="notEqual">
      <formula>0</formula>
    </cfRule>
  </conditionalFormatting>
  <conditionalFormatting sqref="C180:D180">
    <cfRule type="expression" dxfId="4425" priority="8255" stopIfTrue="1">
      <formula>IF(AND($C180&lt;&gt;"",$H180+$L180=0),TRUE)</formula>
    </cfRule>
  </conditionalFormatting>
  <conditionalFormatting sqref="P180">
    <cfRule type="cellIs" dxfId="4424" priority="8244" stopIfTrue="1" operator="equal">
      <formula>1</formula>
    </cfRule>
    <cfRule type="cellIs" dxfId="4423" priority="8253" stopIfTrue="1" operator="equal">
      <formula>2</formula>
    </cfRule>
    <cfRule type="cellIs" dxfId="4422" priority="8254" stopIfTrue="1" operator="equal">
      <formula>"X"</formula>
    </cfRule>
  </conditionalFormatting>
  <conditionalFormatting sqref="GU180">
    <cfRule type="cellIs" dxfId="4421" priority="8246" stopIfTrue="1" operator="equal">
      <formula>0</formula>
    </cfRule>
    <cfRule type="cellIs" dxfId="4420" priority="8247" stopIfTrue="1" operator="notEqual">
      <formula>0</formula>
    </cfRule>
  </conditionalFormatting>
  <conditionalFormatting sqref="GV180">
    <cfRule type="cellIs" dxfId="4419" priority="8245" stopIfTrue="1" operator="equal">
      <formula>"STOP"</formula>
    </cfRule>
  </conditionalFormatting>
  <conditionalFormatting sqref="Q181">
    <cfRule type="cellIs" dxfId="4418" priority="8239" stopIfTrue="1" operator="equal">
      <formula>"SIM"</formula>
    </cfRule>
    <cfRule type="cellIs" dxfId="4417" priority="8240" stopIfTrue="1" operator="equal">
      <formula>"NÃO"</formula>
    </cfRule>
  </conditionalFormatting>
  <conditionalFormatting sqref="BF181 CJ181 DO181">
    <cfRule type="cellIs" dxfId="4416" priority="8235" stopIfTrue="1" operator="equal">
      <formula>0</formula>
    </cfRule>
    <cfRule type="cellIs" dxfId="4415" priority="8241" stopIfTrue="1" operator="notEqual">
      <formula>0</formula>
    </cfRule>
  </conditionalFormatting>
  <conditionalFormatting sqref="C181:D181">
    <cfRule type="expression" dxfId="4414" priority="8238" stopIfTrue="1">
      <formula>IF(AND($C181&lt;&gt;"",$H181+$L181=0),TRUE)</formula>
    </cfRule>
  </conditionalFormatting>
  <conditionalFormatting sqref="P181">
    <cfRule type="cellIs" dxfId="4413" priority="8227" stopIfTrue="1" operator="equal">
      <formula>1</formula>
    </cfRule>
    <cfRule type="cellIs" dxfId="4412" priority="8236" stopIfTrue="1" operator="equal">
      <formula>2</formula>
    </cfRule>
    <cfRule type="cellIs" dxfId="4411" priority="8237" stopIfTrue="1" operator="equal">
      <formula>"X"</formula>
    </cfRule>
  </conditionalFormatting>
  <conditionalFormatting sqref="GU181">
    <cfRule type="cellIs" dxfId="4410" priority="8229" stopIfTrue="1" operator="equal">
      <formula>0</formula>
    </cfRule>
    <cfRule type="cellIs" dxfId="4409" priority="8230" stopIfTrue="1" operator="notEqual">
      <formula>0</formula>
    </cfRule>
  </conditionalFormatting>
  <conditionalFormatting sqref="GV181">
    <cfRule type="cellIs" dxfId="4408" priority="8228" stopIfTrue="1" operator="equal">
      <formula>"STOP"</formula>
    </cfRule>
  </conditionalFormatting>
  <conditionalFormatting sqref="Q182">
    <cfRule type="cellIs" dxfId="4407" priority="8222" stopIfTrue="1" operator="equal">
      <formula>"SIM"</formula>
    </cfRule>
    <cfRule type="cellIs" dxfId="4406" priority="8223" stopIfTrue="1" operator="equal">
      <formula>"NÃO"</formula>
    </cfRule>
  </conditionalFormatting>
  <conditionalFormatting sqref="BF182 CJ182 DO182">
    <cfRule type="cellIs" dxfId="4405" priority="8218" stopIfTrue="1" operator="equal">
      <formula>0</formula>
    </cfRule>
    <cfRule type="cellIs" dxfId="4404" priority="8224" stopIfTrue="1" operator="notEqual">
      <formula>0</formula>
    </cfRule>
  </conditionalFormatting>
  <conditionalFormatting sqref="C182:D182">
    <cfRule type="expression" dxfId="4403" priority="8221" stopIfTrue="1">
      <formula>IF(AND($C182&lt;&gt;"",$H182+$L182=0),TRUE)</formula>
    </cfRule>
  </conditionalFormatting>
  <conditionalFormatting sqref="P182">
    <cfRule type="cellIs" dxfId="4402" priority="8210" stopIfTrue="1" operator="equal">
      <formula>1</formula>
    </cfRule>
    <cfRule type="cellIs" dxfId="4401" priority="8219" stopIfTrue="1" operator="equal">
      <formula>2</formula>
    </cfRule>
    <cfRule type="cellIs" dxfId="4400" priority="8220" stopIfTrue="1" operator="equal">
      <formula>"X"</formula>
    </cfRule>
  </conditionalFormatting>
  <conditionalFormatting sqref="GU182">
    <cfRule type="cellIs" dxfId="4399" priority="8212" stopIfTrue="1" operator="equal">
      <formula>0</formula>
    </cfRule>
    <cfRule type="cellIs" dxfId="4398" priority="8213" stopIfTrue="1" operator="notEqual">
      <formula>0</formula>
    </cfRule>
  </conditionalFormatting>
  <conditionalFormatting sqref="GV182">
    <cfRule type="cellIs" dxfId="4397" priority="8211" stopIfTrue="1" operator="equal">
      <formula>"STOP"</formula>
    </cfRule>
  </conditionalFormatting>
  <conditionalFormatting sqref="Q183">
    <cfRule type="cellIs" dxfId="4396" priority="8205" stopIfTrue="1" operator="equal">
      <formula>"SIM"</formula>
    </cfRule>
    <cfRule type="cellIs" dxfId="4395" priority="8206" stopIfTrue="1" operator="equal">
      <formula>"NÃO"</formula>
    </cfRule>
  </conditionalFormatting>
  <conditionalFormatting sqref="BF183 CJ183 DO183">
    <cfRule type="cellIs" dxfId="4394" priority="8201" stopIfTrue="1" operator="equal">
      <formula>0</formula>
    </cfRule>
    <cfRule type="cellIs" dxfId="4393" priority="8207" stopIfTrue="1" operator="notEqual">
      <formula>0</formula>
    </cfRule>
  </conditionalFormatting>
  <conditionalFormatting sqref="C183:D183">
    <cfRule type="expression" dxfId="4392" priority="8204" stopIfTrue="1">
      <formula>IF(AND($C183&lt;&gt;"",$H183+$L183=0),TRUE)</formula>
    </cfRule>
  </conditionalFormatting>
  <conditionalFormatting sqref="P183">
    <cfRule type="cellIs" dxfId="4391" priority="8193" stopIfTrue="1" operator="equal">
      <formula>1</formula>
    </cfRule>
    <cfRule type="cellIs" dxfId="4390" priority="8202" stopIfTrue="1" operator="equal">
      <formula>2</formula>
    </cfRule>
    <cfRule type="cellIs" dxfId="4389" priority="8203" stopIfTrue="1" operator="equal">
      <formula>"X"</formula>
    </cfRule>
  </conditionalFormatting>
  <conditionalFormatting sqref="GU183">
    <cfRule type="cellIs" dxfId="4388" priority="8195" stopIfTrue="1" operator="equal">
      <formula>0</formula>
    </cfRule>
    <cfRule type="cellIs" dxfId="4387" priority="8196" stopIfTrue="1" operator="notEqual">
      <formula>0</formula>
    </cfRule>
  </conditionalFormatting>
  <conditionalFormatting sqref="GV183">
    <cfRule type="cellIs" dxfId="4386" priority="8194" stopIfTrue="1" operator="equal">
      <formula>"STOP"</formula>
    </cfRule>
  </conditionalFormatting>
  <conditionalFormatting sqref="Q182">
    <cfRule type="cellIs" dxfId="4385" priority="8171" stopIfTrue="1" operator="equal">
      <formula>"SIM"</formula>
    </cfRule>
    <cfRule type="cellIs" dxfId="4384" priority="8172" stopIfTrue="1" operator="equal">
      <formula>"NÃO"</formula>
    </cfRule>
  </conditionalFormatting>
  <conditionalFormatting sqref="BF182 CJ182 DO182">
    <cfRule type="cellIs" dxfId="4383" priority="8167" stopIfTrue="1" operator="equal">
      <formula>0</formula>
    </cfRule>
    <cfRule type="cellIs" dxfId="4382" priority="8173" stopIfTrue="1" operator="notEqual">
      <formula>0</formula>
    </cfRule>
  </conditionalFormatting>
  <conditionalFormatting sqref="C182:D182">
    <cfRule type="expression" dxfId="4381" priority="8170" stopIfTrue="1">
      <formula>IF(AND($C182&lt;&gt;"",$H182+$L182=0),TRUE)</formula>
    </cfRule>
  </conditionalFormatting>
  <conditionalFormatting sqref="P182">
    <cfRule type="cellIs" dxfId="4380" priority="8159" stopIfTrue="1" operator="equal">
      <formula>1</formula>
    </cfRule>
    <cfRule type="cellIs" dxfId="4379" priority="8168" stopIfTrue="1" operator="equal">
      <formula>2</formula>
    </cfRule>
    <cfRule type="cellIs" dxfId="4378" priority="8169" stopIfTrue="1" operator="equal">
      <formula>"X"</formula>
    </cfRule>
  </conditionalFormatting>
  <conditionalFormatting sqref="GU182">
    <cfRule type="cellIs" dxfId="4377" priority="8161" stopIfTrue="1" operator="equal">
      <formula>0</formula>
    </cfRule>
    <cfRule type="cellIs" dxfId="4376" priority="8162" stopIfTrue="1" operator="notEqual">
      <formula>0</formula>
    </cfRule>
  </conditionalFormatting>
  <conditionalFormatting sqref="GV182">
    <cfRule type="cellIs" dxfId="4375" priority="8160" stopIfTrue="1" operator="equal">
      <formula>"STOP"</formula>
    </cfRule>
  </conditionalFormatting>
  <conditionalFormatting sqref="Q183">
    <cfRule type="cellIs" dxfId="4374" priority="8154" stopIfTrue="1" operator="equal">
      <formula>"SIM"</formula>
    </cfRule>
    <cfRule type="cellIs" dxfId="4373" priority="8155" stopIfTrue="1" operator="equal">
      <formula>"NÃO"</formula>
    </cfRule>
  </conditionalFormatting>
  <conditionalFormatting sqref="BF183 CJ183 DO183">
    <cfRule type="cellIs" dxfId="4372" priority="8150" stopIfTrue="1" operator="equal">
      <formula>0</formula>
    </cfRule>
    <cfRule type="cellIs" dxfId="4371" priority="8156" stopIfTrue="1" operator="notEqual">
      <formula>0</formula>
    </cfRule>
  </conditionalFormatting>
  <conditionalFormatting sqref="C183:D183">
    <cfRule type="expression" dxfId="4370" priority="8153" stopIfTrue="1">
      <formula>IF(AND($C183&lt;&gt;"",$H183+$L183=0),TRUE)</formula>
    </cfRule>
  </conditionalFormatting>
  <conditionalFormatting sqref="P183">
    <cfRule type="cellIs" dxfId="4369" priority="8142" stopIfTrue="1" operator="equal">
      <formula>1</formula>
    </cfRule>
    <cfRule type="cellIs" dxfId="4368" priority="8151" stopIfTrue="1" operator="equal">
      <formula>2</formula>
    </cfRule>
    <cfRule type="cellIs" dxfId="4367" priority="8152" stopIfTrue="1" operator="equal">
      <formula>"X"</formula>
    </cfRule>
  </conditionalFormatting>
  <conditionalFormatting sqref="GU183">
    <cfRule type="cellIs" dxfId="4366" priority="8144" stopIfTrue="1" operator="equal">
      <formula>0</formula>
    </cfRule>
    <cfRule type="cellIs" dxfId="4365" priority="8145" stopIfTrue="1" operator="notEqual">
      <formula>0</formula>
    </cfRule>
  </conditionalFormatting>
  <conditionalFormatting sqref="GV183">
    <cfRule type="cellIs" dxfId="4364" priority="8143" stopIfTrue="1" operator="equal">
      <formula>"STOP"</formula>
    </cfRule>
  </conditionalFormatting>
  <conditionalFormatting sqref="Q182">
    <cfRule type="cellIs" dxfId="4363" priority="8103" stopIfTrue="1" operator="equal">
      <formula>"SIM"</formula>
    </cfRule>
    <cfRule type="cellIs" dxfId="4362" priority="8104" stopIfTrue="1" operator="equal">
      <formula>"NÃO"</formula>
    </cfRule>
  </conditionalFormatting>
  <conditionalFormatting sqref="BF182 CJ182 DO182">
    <cfRule type="cellIs" dxfId="4361" priority="8099" stopIfTrue="1" operator="equal">
      <formula>0</formula>
    </cfRule>
    <cfRule type="cellIs" dxfId="4360" priority="8105" stopIfTrue="1" operator="notEqual">
      <formula>0</formula>
    </cfRule>
  </conditionalFormatting>
  <conditionalFormatting sqref="C182:D182">
    <cfRule type="expression" dxfId="4359" priority="8102" stopIfTrue="1">
      <formula>IF(AND($C182&lt;&gt;"",$H182+$L182=0),TRUE)</formula>
    </cfRule>
  </conditionalFormatting>
  <conditionalFormatting sqref="P182">
    <cfRule type="cellIs" dxfId="4358" priority="8091" stopIfTrue="1" operator="equal">
      <formula>1</formula>
    </cfRule>
    <cfRule type="cellIs" dxfId="4357" priority="8100" stopIfTrue="1" operator="equal">
      <formula>2</formula>
    </cfRule>
    <cfRule type="cellIs" dxfId="4356" priority="8101" stopIfTrue="1" operator="equal">
      <formula>"X"</formula>
    </cfRule>
  </conditionalFormatting>
  <conditionalFormatting sqref="GU182">
    <cfRule type="cellIs" dxfId="4355" priority="8093" stopIfTrue="1" operator="equal">
      <formula>0</formula>
    </cfRule>
    <cfRule type="cellIs" dxfId="4354" priority="8094" stopIfTrue="1" operator="notEqual">
      <formula>0</formula>
    </cfRule>
  </conditionalFormatting>
  <conditionalFormatting sqref="GV182">
    <cfRule type="cellIs" dxfId="4353" priority="8092" stopIfTrue="1" operator="equal">
      <formula>"STOP"</formula>
    </cfRule>
  </conditionalFormatting>
  <conditionalFormatting sqref="Q185">
    <cfRule type="cellIs" dxfId="4352" priority="8052" stopIfTrue="1" operator="equal">
      <formula>"SIM"</formula>
    </cfRule>
    <cfRule type="cellIs" dxfId="4351" priority="8053" stopIfTrue="1" operator="equal">
      <formula>"NÃO"</formula>
    </cfRule>
  </conditionalFormatting>
  <conditionalFormatting sqref="BF185 CJ185 DO185">
    <cfRule type="cellIs" dxfId="4350" priority="8048" stopIfTrue="1" operator="equal">
      <formula>0</formula>
    </cfRule>
    <cfRule type="cellIs" dxfId="4349" priority="8054" stopIfTrue="1" operator="notEqual">
      <formula>0</formula>
    </cfRule>
  </conditionalFormatting>
  <conditionalFormatting sqref="C185:D185">
    <cfRule type="expression" dxfId="4348" priority="8051" stopIfTrue="1">
      <formula>IF(AND($C185&lt;&gt;"",$H185+$L185=0),TRUE)</formula>
    </cfRule>
  </conditionalFormatting>
  <conditionalFormatting sqref="P185">
    <cfRule type="cellIs" dxfId="4347" priority="8040" stopIfTrue="1" operator="equal">
      <formula>1</formula>
    </cfRule>
    <cfRule type="cellIs" dxfId="4346" priority="8049" stopIfTrue="1" operator="equal">
      <formula>2</formula>
    </cfRule>
    <cfRule type="cellIs" dxfId="4345" priority="8050" stopIfTrue="1" operator="equal">
      <formula>"X"</formula>
    </cfRule>
  </conditionalFormatting>
  <conditionalFormatting sqref="GU185">
    <cfRule type="cellIs" dxfId="4344" priority="8042" stopIfTrue="1" operator="equal">
      <formula>0</formula>
    </cfRule>
    <cfRule type="cellIs" dxfId="4343" priority="8043" stopIfTrue="1" operator="notEqual">
      <formula>0</formula>
    </cfRule>
  </conditionalFormatting>
  <conditionalFormatting sqref="GV185">
    <cfRule type="cellIs" dxfId="4342" priority="8041" stopIfTrue="1" operator="equal">
      <formula>"STOP"</formula>
    </cfRule>
  </conditionalFormatting>
  <conditionalFormatting sqref="Q181">
    <cfRule type="cellIs" dxfId="4341" priority="8035" stopIfTrue="1" operator="equal">
      <formula>"SIM"</formula>
    </cfRule>
    <cfRule type="cellIs" dxfId="4340" priority="8036" stopIfTrue="1" operator="equal">
      <formula>"NÃO"</formula>
    </cfRule>
  </conditionalFormatting>
  <conditionalFormatting sqref="BF181 CJ181 DO181">
    <cfRule type="cellIs" dxfId="4339" priority="8031" stopIfTrue="1" operator="equal">
      <formula>0</formula>
    </cfRule>
    <cfRule type="cellIs" dxfId="4338" priority="8037" stopIfTrue="1" operator="notEqual">
      <formula>0</formula>
    </cfRule>
  </conditionalFormatting>
  <conditionalFormatting sqref="C181:D181">
    <cfRule type="expression" dxfId="4337" priority="8034" stopIfTrue="1">
      <formula>IF(AND($C181&lt;&gt;"",$H181+$L181=0),TRUE)</formula>
    </cfRule>
  </conditionalFormatting>
  <conditionalFormatting sqref="P181">
    <cfRule type="cellIs" dxfId="4336" priority="8023" stopIfTrue="1" operator="equal">
      <formula>1</formula>
    </cfRule>
    <cfRule type="cellIs" dxfId="4335" priority="8032" stopIfTrue="1" operator="equal">
      <formula>2</formula>
    </cfRule>
    <cfRule type="cellIs" dxfId="4334" priority="8033" stopIfTrue="1" operator="equal">
      <formula>"X"</formula>
    </cfRule>
  </conditionalFormatting>
  <conditionalFormatting sqref="GU181">
    <cfRule type="cellIs" dxfId="4333" priority="8025" stopIfTrue="1" operator="equal">
      <formula>0</formula>
    </cfRule>
    <cfRule type="cellIs" dxfId="4332" priority="8026" stopIfTrue="1" operator="notEqual">
      <formula>0</formula>
    </cfRule>
  </conditionalFormatting>
  <conditionalFormatting sqref="GV181">
    <cfRule type="cellIs" dxfId="4331" priority="8024" stopIfTrue="1" operator="equal">
      <formula>"STOP"</formula>
    </cfRule>
  </conditionalFormatting>
  <conditionalFormatting sqref="Q181">
    <cfRule type="cellIs" dxfId="4330" priority="7984" stopIfTrue="1" operator="equal">
      <formula>"SIM"</formula>
    </cfRule>
    <cfRule type="cellIs" dxfId="4329" priority="7985" stopIfTrue="1" operator="equal">
      <formula>"NÃO"</formula>
    </cfRule>
  </conditionalFormatting>
  <conditionalFormatting sqref="BF181 CJ181 DO181">
    <cfRule type="cellIs" dxfId="4328" priority="7980" stopIfTrue="1" operator="equal">
      <formula>0</formula>
    </cfRule>
    <cfRule type="cellIs" dxfId="4327" priority="7986" stopIfTrue="1" operator="notEqual">
      <formula>0</formula>
    </cfRule>
  </conditionalFormatting>
  <conditionalFormatting sqref="C181:D181">
    <cfRule type="expression" dxfId="4326" priority="7983" stopIfTrue="1">
      <formula>IF(AND($C181&lt;&gt;"",$H181+$L181=0),TRUE)</formula>
    </cfRule>
  </conditionalFormatting>
  <conditionalFormatting sqref="P181">
    <cfRule type="cellIs" dxfId="4325" priority="7972" stopIfTrue="1" operator="equal">
      <formula>1</formula>
    </cfRule>
    <cfRule type="cellIs" dxfId="4324" priority="7981" stopIfTrue="1" operator="equal">
      <formula>2</formula>
    </cfRule>
    <cfRule type="cellIs" dxfId="4323" priority="7982" stopIfTrue="1" operator="equal">
      <formula>"X"</formula>
    </cfRule>
  </conditionalFormatting>
  <conditionalFormatting sqref="GU181">
    <cfRule type="cellIs" dxfId="4322" priority="7974" stopIfTrue="1" operator="equal">
      <formula>0</formula>
    </cfRule>
    <cfRule type="cellIs" dxfId="4321" priority="7975" stopIfTrue="1" operator="notEqual">
      <formula>0</formula>
    </cfRule>
  </conditionalFormatting>
  <conditionalFormatting sqref="GV181">
    <cfRule type="cellIs" dxfId="4320" priority="7973" stopIfTrue="1" operator="equal">
      <formula>"STOP"</formula>
    </cfRule>
  </conditionalFormatting>
  <conditionalFormatting sqref="Q182">
    <cfRule type="cellIs" dxfId="4319" priority="7967" stopIfTrue="1" operator="equal">
      <formula>"SIM"</formula>
    </cfRule>
    <cfRule type="cellIs" dxfId="4318" priority="7968" stopIfTrue="1" operator="equal">
      <formula>"NÃO"</formula>
    </cfRule>
  </conditionalFormatting>
  <conditionalFormatting sqref="BF182 CJ182 DO182">
    <cfRule type="cellIs" dxfId="4317" priority="7963" stopIfTrue="1" operator="equal">
      <formula>0</formula>
    </cfRule>
    <cfRule type="cellIs" dxfId="4316" priority="7969" stopIfTrue="1" operator="notEqual">
      <formula>0</formula>
    </cfRule>
  </conditionalFormatting>
  <conditionalFormatting sqref="C182:D182">
    <cfRule type="expression" dxfId="4315" priority="7966" stopIfTrue="1">
      <formula>IF(AND($C182&lt;&gt;"",$H182+$L182=0),TRUE)</formula>
    </cfRule>
  </conditionalFormatting>
  <conditionalFormatting sqref="P182">
    <cfRule type="cellIs" dxfId="4314" priority="7955" stopIfTrue="1" operator="equal">
      <formula>1</formula>
    </cfRule>
    <cfRule type="cellIs" dxfId="4313" priority="7964" stopIfTrue="1" operator="equal">
      <formula>2</formula>
    </cfRule>
    <cfRule type="cellIs" dxfId="4312" priority="7965" stopIfTrue="1" operator="equal">
      <formula>"X"</formula>
    </cfRule>
  </conditionalFormatting>
  <conditionalFormatting sqref="GU182">
    <cfRule type="cellIs" dxfId="4311" priority="7957" stopIfTrue="1" operator="equal">
      <formula>0</formula>
    </cfRule>
    <cfRule type="cellIs" dxfId="4310" priority="7958" stopIfTrue="1" operator="notEqual">
      <formula>0</formula>
    </cfRule>
  </conditionalFormatting>
  <conditionalFormatting sqref="GV182">
    <cfRule type="cellIs" dxfId="4309" priority="7956" stopIfTrue="1" operator="equal">
      <formula>"STOP"</formula>
    </cfRule>
  </conditionalFormatting>
  <conditionalFormatting sqref="Q183">
    <cfRule type="cellIs" dxfId="4308" priority="7950" stopIfTrue="1" operator="equal">
      <formula>"SIM"</formula>
    </cfRule>
    <cfRule type="cellIs" dxfId="4307" priority="7951" stopIfTrue="1" operator="equal">
      <formula>"NÃO"</formula>
    </cfRule>
  </conditionalFormatting>
  <conditionalFormatting sqref="BF183 CJ183 DO183">
    <cfRule type="cellIs" dxfId="4306" priority="7946" stopIfTrue="1" operator="equal">
      <formula>0</formula>
    </cfRule>
    <cfRule type="cellIs" dxfId="4305" priority="7952" stopIfTrue="1" operator="notEqual">
      <formula>0</formula>
    </cfRule>
  </conditionalFormatting>
  <conditionalFormatting sqref="C183:D183">
    <cfRule type="expression" dxfId="4304" priority="7949" stopIfTrue="1">
      <formula>IF(AND($C183&lt;&gt;"",$H183+$L183=0),TRUE)</formula>
    </cfRule>
  </conditionalFormatting>
  <conditionalFormatting sqref="P183">
    <cfRule type="cellIs" dxfId="4303" priority="7938" stopIfTrue="1" operator="equal">
      <formula>1</formula>
    </cfRule>
    <cfRule type="cellIs" dxfId="4302" priority="7947" stopIfTrue="1" operator="equal">
      <formula>2</formula>
    </cfRule>
    <cfRule type="cellIs" dxfId="4301" priority="7948" stopIfTrue="1" operator="equal">
      <formula>"X"</formula>
    </cfRule>
  </conditionalFormatting>
  <conditionalFormatting sqref="GU183">
    <cfRule type="cellIs" dxfId="4300" priority="7940" stopIfTrue="1" operator="equal">
      <formula>0</formula>
    </cfRule>
    <cfRule type="cellIs" dxfId="4299" priority="7941" stopIfTrue="1" operator="notEqual">
      <formula>0</formula>
    </cfRule>
  </conditionalFormatting>
  <conditionalFormatting sqref="GV183">
    <cfRule type="cellIs" dxfId="4298" priority="7939" stopIfTrue="1" operator="equal">
      <formula>"STOP"</formula>
    </cfRule>
  </conditionalFormatting>
  <conditionalFormatting sqref="Q183">
    <cfRule type="cellIs" dxfId="4297" priority="7899" stopIfTrue="1" operator="equal">
      <formula>"SIM"</formula>
    </cfRule>
    <cfRule type="cellIs" dxfId="4296" priority="7900" stopIfTrue="1" operator="equal">
      <formula>"NÃO"</formula>
    </cfRule>
  </conditionalFormatting>
  <conditionalFormatting sqref="BF183 CJ183 DO183">
    <cfRule type="cellIs" dxfId="4295" priority="7895" stopIfTrue="1" operator="equal">
      <formula>0</formula>
    </cfRule>
    <cfRule type="cellIs" dxfId="4294" priority="7901" stopIfTrue="1" operator="notEqual">
      <formula>0</formula>
    </cfRule>
  </conditionalFormatting>
  <conditionalFormatting sqref="C183:D183">
    <cfRule type="expression" dxfId="4293" priority="7898" stopIfTrue="1">
      <formula>IF(AND($C183&lt;&gt;"",$H183+$L183=0),TRUE)</formula>
    </cfRule>
  </conditionalFormatting>
  <conditionalFormatting sqref="P183">
    <cfRule type="cellIs" dxfId="4292" priority="7887" stopIfTrue="1" operator="equal">
      <formula>1</formula>
    </cfRule>
    <cfRule type="cellIs" dxfId="4291" priority="7896" stopIfTrue="1" operator="equal">
      <formula>2</formula>
    </cfRule>
    <cfRule type="cellIs" dxfId="4290" priority="7897" stopIfTrue="1" operator="equal">
      <formula>"X"</formula>
    </cfRule>
  </conditionalFormatting>
  <conditionalFormatting sqref="GU183">
    <cfRule type="cellIs" dxfId="4289" priority="7889" stopIfTrue="1" operator="equal">
      <formula>0</formula>
    </cfRule>
    <cfRule type="cellIs" dxfId="4288" priority="7890" stopIfTrue="1" operator="notEqual">
      <formula>0</formula>
    </cfRule>
  </conditionalFormatting>
  <conditionalFormatting sqref="GV183">
    <cfRule type="cellIs" dxfId="4287" priority="7888" stopIfTrue="1" operator="equal">
      <formula>"STOP"</formula>
    </cfRule>
  </conditionalFormatting>
  <conditionalFormatting sqref="Q181">
    <cfRule type="cellIs" dxfId="4286" priority="7848" stopIfTrue="1" operator="equal">
      <formula>"SIM"</formula>
    </cfRule>
    <cfRule type="cellIs" dxfId="4285" priority="7849" stopIfTrue="1" operator="equal">
      <formula>"NÃO"</formula>
    </cfRule>
  </conditionalFormatting>
  <conditionalFormatting sqref="BF181 CJ181 DO181">
    <cfRule type="cellIs" dxfId="4284" priority="7844" stopIfTrue="1" operator="equal">
      <formula>0</formula>
    </cfRule>
    <cfRule type="cellIs" dxfId="4283" priority="7850" stopIfTrue="1" operator="notEqual">
      <formula>0</formula>
    </cfRule>
  </conditionalFormatting>
  <conditionalFormatting sqref="C181:D181">
    <cfRule type="expression" dxfId="4282" priority="7847" stopIfTrue="1">
      <formula>IF(AND($C181&lt;&gt;"",$H181+$L181=0),TRUE)</formula>
    </cfRule>
  </conditionalFormatting>
  <conditionalFormatting sqref="P181">
    <cfRule type="cellIs" dxfId="4281" priority="7836" stopIfTrue="1" operator="equal">
      <formula>1</formula>
    </cfRule>
    <cfRule type="cellIs" dxfId="4280" priority="7845" stopIfTrue="1" operator="equal">
      <formula>2</formula>
    </cfRule>
    <cfRule type="cellIs" dxfId="4279" priority="7846" stopIfTrue="1" operator="equal">
      <formula>"X"</formula>
    </cfRule>
  </conditionalFormatting>
  <conditionalFormatting sqref="GU181">
    <cfRule type="cellIs" dxfId="4278" priority="7838" stopIfTrue="1" operator="equal">
      <formula>0</formula>
    </cfRule>
    <cfRule type="cellIs" dxfId="4277" priority="7839" stopIfTrue="1" operator="notEqual">
      <formula>0</formula>
    </cfRule>
  </conditionalFormatting>
  <conditionalFormatting sqref="GV181">
    <cfRule type="cellIs" dxfId="4276" priority="7837" stopIfTrue="1" operator="equal">
      <formula>"STOP"</formula>
    </cfRule>
  </conditionalFormatting>
  <conditionalFormatting sqref="Q184">
    <cfRule type="cellIs" dxfId="4275" priority="7797" stopIfTrue="1" operator="equal">
      <formula>"SIM"</formula>
    </cfRule>
    <cfRule type="cellIs" dxfId="4274" priority="7798" stopIfTrue="1" operator="equal">
      <formula>"NÃO"</formula>
    </cfRule>
  </conditionalFormatting>
  <conditionalFormatting sqref="BF184 CJ184 DO184">
    <cfRule type="cellIs" dxfId="4273" priority="7793" stopIfTrue="1" operator="equal">
      <formula>0</formula>
    </cfRule>
    <cfRule type="cellIs" dxfId="4272" priority="7799" stopIfTrue="1" operator="notEqual">
      <formula>0</formula>
    </cfRule>
  </conditionalFormatting>
  <conditionalFormatting sqref="C184:D184">
    <cfRule type="expression" dxfId="4271" priority="7796" stopIfTrue="1">
      <formula>IF(AND($C184&lt;&gt;"",$H184+$L184=0),TRUE)</formula>
    </cfRule>
  </conditionalFormatting>
  <conditionalFormatting sqref="P184">
    <cfRule type="cellIs" dxfId="4270" priority="7785" stopIfTrue="1" operator="equal">
      <formula>1</formula>
    </cfRule>
    <cfRule type="cellIs" dxfId="4269" priority="7794" stopIfTrue="1" operator="equal">
      <formula>2</formula>
    </cfRule>
    <cfRule type="cellIs" dxfId="4268" priority="7795" stopIfTrue="1" operator="equal">
      <formula>"X"</formula>
    </cfRule>
  </conditionalFormatting>
  <conditionalFormatting sqref="GU184">
    <cfRule type="cellIs" dxfId="4267" priority="7787" stopIfTrue="1" operator="equal">
      <formula>0</formula>
    </cfRule>
    <cfRule type="cellIs" dxfId="4266" priority="7788" stopIfTrue="1" operator="notEqual">
      <formula>0</formula>
    </cfRule>
  </conditionalFormatting>
  <conditionalFormatting sqref="GV184">
    <cfRule type="cellIs" dxfId="4265" priority="7786" stopIfTrue="1" operator="equal">
      <formula>"STOP"</formula>
    </cfRule>
  </conditionalFormatting>
  <conditionalFormatting sqref="Q185">
    <cfRule type="cellIs" dxfId="4264" priority="7780" stopIfTrue="1" operator="equal">
      <formula>"SIM"</formula>
    </cfRule>
    <cfRule type="cellIs" dxfId="4263" priority="7781" stopIfTrue="1" operator="equal">
      <formula>"NÃO"</formula>
    </cfRule>
  </conditionalFormatting>
  <conditionalFormatting sqref="BF185 CJ185 DO185">
    <cfRule type="cellIs" dxfId="4262" priority="7776" stopIfTrue="1" operator="equal">
      <formula>0</formula>
    </cfRule>
    <cfRule type="cellIs" dxfId="4261" priority="7782" stopIfTrue="1" operator="notEqual">
      <formula>0</formula>
    </cfRule>
  </conditionalFormatting>
  <conditionalFormatting sqref="C185:D185">
    <cfRule type="expression" dxfId="4260" priority="7779" stopIfTrue="1">
      <formula>IF(AND($C185&lt;&gt;"",$H185+$L185=0),TRUE)</formula>
    </cfRule>
  </conditionalFormatting>
  <conditionalFormatting sqref="P185">
    <cfRule type="cellIs" dxfId="4259" priority="7768" stopIfTrue="1" operator="equal">
      <formula>1</formula>
    </cfRule>
    <cfRule type="cellIs" dxfId="4258" priority="7777" stopIfTrue="1" operator="equal">
      <formula>2</formula>
    </cfRule>
    <cfRule type="cellIs" dxfId="4257" priority="7778" stopIfTrue="1" operator="equal">
      <formula>"X"</formula>
    </cfRule>
  </conditionalFormatting>
  <conditionalFormatting sqref="GU185">
    <cfRule type="cellIs" dxfId="4256" priority="7770" stopIfTrue="1" operator="equal">
      <formula>0</formula>
    </cfRule>
    <cfRule type="cellIs" dxfId="4255" priority="7771" stopIfTrue="1" operator="notEqual">
      <formula>0</formula>
    </cfRule>
  </conditionalFormatting>
  <conditionalFormatting sqref="GV185">
    <cfRule type="cellIs" dxfId="4254" priority="7769" stopIfTrue="1" operator="equal">
      <formula>"STOP"</formula>
    </cfRule>
  </conditionalFormatting>
  <conditionalFormatting sqref="Q186">
    <cfRule type="cellIs" dxfId="4253" priority="7763" stopIfTrue="1" operator="equal">
      <formula>"SIM"</formula>
    </cfRule>
    <cfRule type="cellIs" dxfId="4252" priority="7764" stopIfTrue="1" operator="equal">
      <formula>"NÃO"</formula>
    </cfRule>
  </conditionalFormatting>
  <conditionalFormatting sqref="BF186 CJ186 DO186">
    <cfRule type="cellIs" dxfId="4251" priority="7759" stopIfTrue="1" operator="equal">
      <formula>0</formula>
    </cfRule>
    <cfRule type="cellIs" dxfId="4250" priority="7765" stopIfTrue="1" operator="notEqual">
      <formula>0</formula>
    </cfRule>
  </conditionalFormatting>
  <conditionalFormatting sqref="C186:D186">
    <cfRule type="expression" dxfId="4249" priority="7762" stopIfTrue="1">
      <formula>IF(AND($C186&lt;&gt;"",$H186+$L186=0),TRUE)</formula>
    </cfRule>
  </conditionalFormatting>
  <conditionalFormatting sqref="P186">
    <cfRule type="cellIs" dxfId="4248" priority="7751" stopIfTrue="1" operator="equal">
      <formula>1</formula>
    </cfRule>
    <cfRule type="cellIs" dxfId="4247" priority="7760" stopIfTrue="1" operator="equal">
      <formula>2</formula>
    </cfRule>
    <cfRule type="cellIs" dxfId="4246" priority="7761" stopIfTrue="1" operator="equal">
      <formula>"X"</formula>
    </cfRule>
  </conditionalFormatting>
  <conditionalFormatting sqref="GU186">
    <cfRule type="cellIs" dxfId="4245" priority="7753" stopIfTrue="1" operator="equal">
      <formula>0</formula>
    </cfRule>
    <cfRule type="cellIs" dxfId="4244" priority="7754" stopIfTrue="1" operator="notEqual">
      <formula>0</formula>
    </cfRule>
  </conditionalFormatting>
  <conditionalFormatting sqref="GV186">
    <cfRule type="cellIs" dxfId="4243" priority="7752" stopIfTrue="1" operator="equal">
      <formula>"STOP"</formula>
    </cfRule>
  </conditionalFormatting>
  <conditionalFormatting sqref="Q183">
    <cfRule type="cellIs" dxfId="4242" priority="7712" stopIfTrue="1" operator="equal">
      <formula>"SIM"</formula>
    </cfRule>
    <cfRule type="cellIs" dxfId="4241" priority="7713" stopIfTrue="1" operator="equal">
      <formula>"NÃO"</formula>
    </cfRule>
  </conditionalFormatting>
  <conditionalFormatting sqref="BF183 CJ183 DO183">
    <cfRule type="cellIs" dxfId="4240" priority="7708" stopIfTrue="1" operator="equal">
      <formula>0</formula>
    </cfRule>
    <cfRule type="cellIs" dxfId="4239" priority="7714" stopIfTrue="1" operator="notEqual">
      <formula>0</formula>
    </cfRule>
  </conditionalFormatting>
  <conditionalFormatting sqref="C183:D183">
    <cfRule type="expression" dxfId="4238" priority="7711" stopIfTrue="1">
      <formula>IF(AND($C183&lt;&gt;"",$H183+$L183=0),TRUE)</formula>
    </cfRule>
  </conditionalFormatting>
  <conditionalFormatting sqref="P183">
    <cfRule type="cellIs" dxfId="4237" priority="7700" stopIfTrue="1" operator="equal">
      <formula>1</formula>
    </cfRule>
    <cfRule type="cellIs" dxfId="4236" priority="7709" stopIfTrue="1" operator="equal">
      <formula>2</formula>
    </cfRule>
    <cfRule type="cellIs" dxfId="4235" priority="7710" stopIfTrue="1" operator="equal">
      <formula>"X"</formula>
    </cfRule>
  </conditionalFormatting>
  <conditionalFormatting sqref="GU183">
    <cfRule type="cellIs" dxfId="4234" priority="7702" stopIfTrue="1" operator="equal">
      <formula>0</formula>
    </cfRule>
    <cfRule type="cellIs" dxfId="4233" priority="7703" stopIfTrue="1" operator="notEqual">
      <formula>0</formula>
    </cfRule>
  </conditionalFormatting>
  <conditionalFormatting sqref="GV183">
    <cfRule type="cellIs" dxfId="4232" priority="7701" stopIfTrue="1" operator="equal">
      <formula>"STOP"</formula>
    </cfRule>
  </conditionalFormatting>
  <conditionalFormatting sqref="Q181">
    <cfRule type="cellIs" dxfId="4231" priority="7695" stopIfTrue="1" operator="equal">
      <formula>"SIM"</formula>
    </cfRule>
    <cfRule type="cellIs" dxfId="4230" priority="7696" stopIfTrue="1" operator="equal">
      <formula>"NÃO"</formula>
    </cfRule>
  </conditionalFormatting>
  <conditionalFormatting sqref="BF181 CJ181 DO181">
    <cfRule type="cellIs" dxfId="4229" priority="7691" stopIfTrue="1" operator="equal">
      <formula>0</formula>
    </cfRule>
    <cfRule type="cellIs" dxfId="4228" priority="7697" stopIfTrue="1" operator="notEqual">
      <formula>0</formula>
    </cfRule>
  </conditionalFormatting>
  <conditionalFormatting sqref="C181:D181">
    <cfRule type="expression" dxfId="4227" priority="7694" stopIfTrue="1">
      <formula>IF(AND($C181&lt;&gt;"",$H181+$L181=0),TRUE)</formula>
    </cfRule>
  </conditionalFormatting>
  <conditionalFormatting sqref="P181">
    <cfRule type="cellIs" dxfId="4226" priority="7683" stopIfTrue="1" operator="equal">
      <formula>1</formula>
    </cfRule>
    <cfRule type="cellIs" dxfId="4225" priority="7692" stopIfTrue="1" operator="equal">
      <formula>2</formula>
    </cfRule>
    <cfRule type="cellIs" dxfId="4224" priority="7693" stopIfTrue="1" operator="equal">
      <formula>"X"</formula>
    </cfRule>
  </conditionalFormatting>
  <conditionalFormatting sqref="GU181">
    <cfRule type="cellIs" dxfId="4223" priority="7685" stopIfTrue="1" operator="equal">
      <formula>0</formula>
    </cfRule>
    <cfRule type="cellIs" dxfId="4222" priority="7686" stopIfTrue="1" operator="notEqual">
      <formula>0</formula>
    </cfRule>
  </conditionalFormatting>
  <conditionalFormatting sqref="GV181">
    <cfRule type="cellIs" dxfId="4221" priority="7684" stopIfTrue="1" operator="equal">
      <formula>"STOP"</formula>
    </cfRule>
  </conditionalFormatting>
  <conditionalFormatting sqref="Q182">
    <cfRule type="cellIs" dxfId="4220" priority="7678" stopIfTrue="1" operator="equal">
      <formula>"SIM"</formula>
    </cfRule>
    <cfRule type="cellIs" dxfId="4219" priority="7679" stopIfTrue="1" operator="equal">
      <formula>"NÃO"</formula>
    </cfRule>
  </conditionalFormatting>
  <conditionalFormatting sqref="BF182 CJ182 DO182">
    <cfRule type="cellIs" dxfId="4218" priority="7674" stopIfTrue="1" operator="equal">
      <formula>0</formula>
    </cfRule>
    <cfRule type="cellIs" dxfId="4217" priority="7680" stopIfTrue="1" operator="notEqual">
      <formula>0</formula>
    </cfRule>
  </conditionalFormatting>
  <conditionalFormatting sqref="C182:D182">
    <cfRule type="expression" dxfId="4216" priority="7677" stopIfTrue="1">
      <formula>IF(AND($C182&lt;&gt;"",$H182+$L182=0),TRUE)</formula>
    </cfRule>
  </conditionalFormatting>
  <conditionalFormatting sqref="P182">
    <cfRule type="cellIs" dxfId="4215" priority="7666" stopIfTrue="1" operator="equal">
      <formula>1</formula>
    </cfRule>
    <cfRule type="cellIs" dxfId="4214" priority="7675" stopIfTrue="1" operator="equal">
      <formula>2</formula>
    </cfRule>
    <cfRule type="cellIs" dxfId="4213" priority="7676" stopIfTrue="1" operator="equal">
      <formula>"X"</formula>
    </cfRule>
  </conditionalFormatting>
  <conditionalFormatting sqref="GU182">
    <cfRule type="cellIs" dxfId="4212" priority="7668" stopIfTrue="1" operator="equal">
      <formula>0</formula>
    </cfRule>
    <cfRule type="cellIs" dxfId="4211" priority="7669" stopIfTrue="1" operator="notEqual">
      <formula>0</formula>
    </cfRule>
  </conditionalFormatting>
  <conditionalFormatting sqref="GV182">
    <cfRule type="cellIs" dxfId="4210" priority="7667" stopIfTrue="1" operator="equal">
      <formula>"STOP"</formula>
    </cfRule>
  </conditionalFormatting>
  <conditionalFormatting sqref="Q183">
    <cfRule type="cellIs" dxfId="4209" priority="7661" stopIfTrue="1" operator="equal">
      <formula>"SIM"</formula>
    </cfRule>
    <cfRule type="cellIs" dxfId="4208" priority="7662" stopIfTrue="1" operator="equal">
      <formula>"NÃO"</formula>
    </cfRule>
  </conditionalFormatting>
  <conditionalFormatting sqref="BF183 CJ183 DO183">
    <cfRule type="cellIs" dxfId="4207" priority="7657" stopIfTrue="1" operator="equal">
      <formula>0</formula>
    </cfRule>
    <cfRule type="cellIs" dxfId="4206" priority="7663" stopIfTrue="1" operator="notEqual">
      <formula>0</formula>
    </cfRule>
  </conditionalFormatting>
  <conditionalFormatting sqref="C183:D183">
    <cfRule type="expression" dxfId="4205" priority="7660" stopIfTrue="1">
      <formula>IF(AND($C183&lt;&gt;"",$H183+$L183=0),TRUE)</formula>
    </cfRule>
  </conditionalFormatting>
  <conditionalFormatting sqref="P183">
    <cfRule type="cellIs" dxfId="4204" priority="7649" stopIfTrue="1" operator="equal">
      <formula>1</formula>
    </cfRule>
    <cfRule type="cellIs" dxfId="4203" priority="7658" stopIfTrue="1" operator="equal">
      <formula>2</formula>
    </cfRule>
    <cfRule type="cellIs" dxfId="4202" priority="7659" stopIfTrue="1" operator="equal">
      <formula>"X"</formula>
    </cfRule>
  </conditionalFormatting>
  <conditionalFormatting sqref="GU183">
    <cfRule type="cellIs" dxfId="4201" priority="7651" stopIfTrue="1" operator="equal">
      <formula>0</formula>
    </cfRule>
    <cfRule type="cellIs" dxfId="4200" priority="7652" stopIfTrue="1" operator="notEqual">
      <formula>0</formula>
    </cfRule>
  </conditionalFormatting>
  <conditionalFormatting sqref="GV183">
    <cfRule type="cellIs" dxfId="4199" priority="7650" stopIfTrue="1" operator="equal">
      <formula>"STOP"</formula>
    </cfRule>
  </conditionalFormatting>
  <conditionalFormatting sqref="Q183">
    <cfRule type="cellIs" dxfId="4198" priority="7610" stopIfTrue="1" operator="equal">
      <formula>"SIM"</formula>
    </cfRule>
    <cfRule type="cellIs" dxfId="4197" priority="7611" stopIfTrue="1" operator="equal">
      <formula>"NÃO"</formula>
    </cfRule>
  </conditionalFormatting>
  <conditionalFormatting sqref="BF183 CJ183 DO183">
    <cfRule type="cellIs" dxfId="4196" priority="7606" stopIfTrue="1" operator="equal">
      <formula>0</formula>
    </cfRule>
    <cfRule type="cellIs" dxfId="4195" priority="7612" stopIfTrue="1" operator="notEqual">
      <formula>0</formula>
    </cfRule>
  </conditionalFormatting>
  <conditionalFormatting sqref="C183:D183">
    <cfRule type="expression" dxfId="4194" priority="7609" stopIfTrue="1">
      <formula>IF(AND($C183&lt;&gt;"",$H183+$L183=0),TRUE)</formula>
    </cfRule>
  </conditionalFormatting>
  <conditionalFormatting sqref="P183">
    <cfRule type="cellIs" dxfId="4193" priority="7598" stopIfTrue="1" operator="equal">
      <formula>1</formula>
    </cfRule>
    <cfRule type="cellIs" dxfId="4192" priority="7607" stopIfTrue="1" operator="equal">
      <formula>2</formula>
    </cfRule>
    <cfRule type="cellIs" dxfId="4191" priority="7608" stopIfTrue="1" operator="equal">
      <formula>"X"</formula>
    </cfRule>
  </conditionalFormatting>
  <conditionalFormatting sqref="GU183">
    <cfRule type="cellIs" dxfId="4190" priority="7600" stopIfTrue="1" operator="equal">
      <formula>0</formula>
    </cfRule>
    <cfRule type="cellIs" dxfId="4189" priority="7601" stopIfTrue="1" operator="notEqual">
      <formula>0</formula>
    </cfRule>
  </conditionalFormatting>
  <conditionalFormatting sqref="GV183">
    <cfRule type="cellIs" dxfId="4188" priority="7599" stopIfTrue="1" operator="equal">
      <formula>"STOP"</formula>
    </cfRule>
  </conditionalFormatting>
  <conditionalFormatting sqref="Q182">
    <cfRule type="cellIs" dxfId="4187" priority="7559" stopIfTrue="1" operator="equal">
      <formula>"SIM"</formula>
    </cfRule>
    <cfRule type="cellIs" dxfId="4186" priority="7560" stopIfTrue="1" operator="equal">
      <formula>"NÃO"</formula>
    </cfRule>
  </conditionalFormatting>
  <conditionalFormatting sqref="BF182 CJ182 DO182">
    <cfRule type="cellIs" dxfId="4185" priority="7555" stopIfTrue="1" operator="equal">
      <formula>0</formula>
    </cfRule>
    <cfRule type="cellIs" dxfId="4184" priority="7561" stopIfTrue="1" operator="notEqual">
      <formula>0</formula>
    </cfRule>
  </conditionalFormatting>
  <conditionalFormatting sqref="C182:D182">
    <cfRule type="expression" dxfId="4183" priority="7558" stopIfTrue="1">
      <formula>IF(AND($C182&lt;&gt;"",$H182+$L182=0),TRUE)</formula>
    </cfRule>
  </conditionalFormatting>
  <conditionalFormatting sqref="P182">
    <cfRule type="cellIs" dxfId="4182" priority="7547" stopIfTrue="1" operator="equal">
      <formula>1</formula>
    </cfRule>
    <cfRule type="cellIs" dxfId="4181" priority="7556" stopIfTrue="1" operator="equal">
      <formula>2</formula>
    </cfRule>
    <cfRule type="cellIs" dxfId="4180" priority="7557" stopIfTrue="1" operator="equal">
      <formula>"X"</formula>
    </cfRule>
  </conditionalFormatting>
  <conditionalFormatting sqref="GU182">
    <cfRule type="cellIs" dxfId="4179" priority="7549" stopIfTrue="1" operator="equal">
      <formula>0</formula>
    </cfRule>
    <cfRule type="cellIs" dxfId="4178" priority="7550" stopIfTrue="1" operator="notEqual">
      <formula>0</formula>
    </cfRule>
  </conditionalFormatting>
  <conditionalFormatting sqref="GV182">
    <cfRule type="cellIs" dxfId="4177" priority="7548" stopIfTrue="1" operator="equal">
      <formula>"STOP"</formula>
    </cfRule>
  </conditionalFormatting>
  <conditionalFormatting sqref="Q185">
    <cfRule type="cellIs" dxfId="4176" priority="7508" stopIfTrue="1" operator="equal">
      <formula>"SIM"</formula>
    </cfRule>
    <cfRule type="cellIs" dxfId="4175" priority="7509" stopIfTrue="1" operator="equal">
      <formula>"NÃO"</formula>
    </cfRule>
  </conditionalFormatting>
  <conditionalFormatting sqref="BF185 CJ185 DO185">
    <cfRule type="cellIs" dxfId="4174" priority="7504" stopIfTrue="1" operator="equal">
      <formula>0</formula>
    </cfRule>
    <cfRule type="cellIs" dxfId="4173" priority="7510" stopIfTrue="1" operator="notEqual">
      <formula>0</formula>
    </cfRule>
  </conditionalFormatting>
  <conditionalFormatting sqref="C185:D185">
    <cfRule type="expression" dxfId="4172" priority="7507" stopIfTrue="1">
      <formula>IF(AND($C185&lt;&gt;"",$H185+$L185=0),TRUE)</formula>
    </cfRule>
  </conditionalFormatting>
  <conditionalFormatting sqref="P185">
    <cfRule type="cellIs" dxfId="4171" priority="7496" stopIfTrue="1" operator="equal">
      <formula>1</formula>
    </cfRule>
    <cfRule type="cellIs" dxfId="4170" priority="7505" stopIfTrue="1" operator="equal">
      <formula>2</formula>
    </cfRule>
    <cfRule type="cellIs" dxfId="4169" priority="7506" stopIfTrue="1" operator="equal">
      <formula>"X"</formula>
    </cfRule>
  </conditionalFormatting>
  <conditionalFormatting sqref="GU185">
    <cfRule type="cellIs" dxfId="4168" priority="7498" stopIfTrue="1" operator="equal">
      <formula>0</formula>
    </cfRule>
    <cfRule type="cellIs" dxfId="4167" priority="7499" stopIfTrue="1" operator="notEqual">
      <formula>0</formula>
    </cfRule>
  </conditionalFormatting>
  <conditionalFormatting sqref="GV185">
    <cfRule type="cellIs" dxfId="4166" priority="7497" stopIfTrue="1" operator="equal">
      <formula>"STOP"</formula>
    </cfRule>
  </conditionalFormatting>
  <conditionalFormatting sqref="Q186">
    <cfRule type="cellIs" dxfId="4165" priority="7491" stopIfTrue="1" operator="equal">
      <formula>"SIM"</formula>
    </cfRule>
    <cfRule type="cellIs" dxfId="4164" priority="7492" stopIfTrue="1" operator="equal">
      <formula>"NÃO"</formula>
    </cfRule>
  </conditionalFormatting>
  <conditionalFormatting sqref="BF186 CJ186 DO186">
    <cfRule type="cellIs" dxfId="4163" priority="7487" stopIfTrue="1" operator="equal">
      <formula>0</formula>
    </cfRule>
    <cfRule type="cellIs" dxfId="4162" priority="7493" stopIfTrue="1" operator="notEqual">
      <formula>0</formula>
    </cfRule>
  </conditionalFormatting>
  <conditionalFormatting sqref="C186:D186">
    <cfRule type="expression" dxfId="4161" priority="7490" stopIfTrue="1">
      <formula>IF(AND($C186&lt;&gt;"",$H186+$L186=0),TRUE)</formula>
    </cfRule>
  </conditionalFormatting>
  <conditionalFormatting sqref="P186">
    <cfRule type="cellIs" dxfId="4160" priority="7479" stopIfTrue="1" operator="equal">
      <formula>1</formula>
    </cfRule>
    <cfRule type="cellIs" dxfId="4159" priority="7488" stopIfTrue="1" operator="equal">
      <formula>2</formula>
    </cfRule>
    <cfRule type="cellIs" dxfId="4158" priority="7489" stopIfTrue="1" operator="equal">
      <formula>"X"</formula>
    </cfRule>
  </conditionalFormatting>
  <conditionalFormatting sqref="GU186">
    <cfRule type="cellIs" dxfId="4157" priority="7481" stopIfTrue="1" operator="equal">
      <formula>0</formula>
    </cfRule>
    <cfRule type="cellIs" dxfId="4156" priority="7482" stopIfTrue="1" operator="notEqual">
      <formula>0</formula>
    </cfRule>
  </conditionalFormatting>
  <conditionalFormatting sqref="GV186">
    <cfRule type="cellIs" dxfId="4155" priority="7480" stopIfTrue="1" operator="equal">
      <formula>"STOP"</formula>
    </cfRule>
  </conditionalFormatting>
  <conditionalFormatting sqref="Q184">
    <cfRule type="cellIs" dxfId="4154" priority="7440" stopIfTrue="1" operator="equal">
      <formula>"SIM"</formula>
    </cfRule>
    <cfRule type="cellIs" dxfId="4153" priority="7441" stopIfTrue="1" operator="equal">
      <formula>"NÃO"</formula>
    </cfRule>
  </conditionalFormatting>
  <conditionalFormatting sqref="BF184 CJ184 DO184">
    <cfRule type="cellIs" dxfId="4152" priority="7436" stopIfTrue="1" operator="equal">
      <formula>0</formula>
    </cfRule>
    <cfRule type="cellIs" dxfId="4151" priority="7442" stopIfTrue="1" operator="notEqual">
      <formula>0</formula>
    </cfRule>
  </conditionalFormatting>
  <conditionalFormatting sqref="C184:D184">
    <cfRule type="expression" dxfId="4150" priority="7439" stopIfTrue="1">
      <formula>IF(AND($C184&lt;&gt;"",$H184+$L184=0),TRUE)</formula>
    </cfRule>
  </conditionalFormatting>
  <conditionalFormatting sqref="P184">
    <cfRule type="cellIs" dxfId="4149" priority="7428" stopIfTrue="1" operator="equal">
      <formula>1</formula>
    </cfRule>
    <cfRule type="cellIs" dxfId="4148" priority="7437" stopIfTrue="1" operator="equal">
      <formula>2</formula>
    </cfRule>
    <cfRule type="cellIs" dxfId="4147" priority="7438" stopIfTrue="1" operator="equal">
      <formula>"X"</formula>
    </cfRule>
  </conditionalFormatting>
  <conditionalFormatting sqref="GU184">
    <cfRule type="cellIs" dxfId="4146" priority="7430" stopIfTrue="1" operator="equal">
      <formula>0</formula>
    </cfRule>
    <cfRule type="cellIs" dxfId="4145" priority="7431" stopIfTrue="1" operator="notEqual">
      <formula>0</formula>
    </cfRule>
  </conditionalFormatting>
  <conditionalFormatting sqref="GV184">
    <cfRule type="cellIs" dxfId="4144" priority="7429" stopIfTrue="1" operator="equal">
      <formula>"STOP"</formula>
    </cfRule>
  </conditionalFormatting>
  <conditionalFormatting sqref="Q182">
    <cfRule type="cellIs" dxfId="4143" priority="7423" stopIfTrue="1" operator="equal">
      <formula>"SIM"</formula>
    </cfRule>
    <cfRule type="cellIs" dxfId="4142" priority="7424" stopIfTrue="1" operator="equal">
      <formula>"NÃO"</formula>
    </cfRule>
  </conditionalFormatting>
  <conditionalFormatting sqref="BF182 CJ182 DO182">
    <cfRule type="cellIs" dxfId="4141" priority="7419" stopIfTrue="1" operator="equal">
      <formula>0</formula>
    </cfRule>
    <cfRule type="cellIs" dxfId="4140" priority="7425" stopIfTrue="1" operator="notEqual">
      <formula>0</formula>
    </cfRule>
  </conditionalFormatting>
  <conditionalFormatting sqref="C182:D182">
    <cfRule type="expression" dxfId="4139" priority="7422" stopIfTrue="1">
      <formula>IF(AND($C182&lt;&gt;"",$H182+$L182=0),TRUE)</formula>
    </cfRule>
  </conditionalFormatting>
  <conditionalFormatting sqref="P182">
    <cfRule type="cellIs" dxfId="4138" priority="7411" stopIfTrue="1" operator="equal">
      <formula>1</formula>
    </cfRule>
    <cfRule type="cellIs" dxfId="4137" priority="7420" stopIfTrue="1" operator="equal">
      <formula>2</formula>
    </cfRule>
    <cfRule type="cellIs" dxfId="4136" priority="7421" stopIfTrue="1" operator="equal">
      <formula>"X"</formula>
    </cfRule>
  </conditionalFormatting>
  <conditionalFormatting sqref="GU182">
    <cfRule type="cellIs" dxfId="4135" priority="7413" stopIfTrue="1" operator="equal">
      <formula>0</formula>
    </cfRule>
    <cfRule type="cellIs" dxfId="4134" priority="7414" stopIfTrue="1" operator="notEqual">
      <formula>0</formula>
    </cfRule>
  </conditionalFormatting>
  <conditionalFormatting sqref="GV182">
    <cfRule type="cellIs" dxfId="4133" priority="7412" stopIfTrue="1" operator="equal">
      <formula>"STOP"</formula>
    </cfRule>
  </conditionalFormatting>
  <conditionalFormatting sqref="Q183">
    <cfRule type="cellIs" dxfId="4132" priority="7406" stopIfTrue="1" operator="equal">
      <formula>"SIM"</formula>
    </cfRule>
    <cfRule type="cellIs" dxfId="4131" priority="7407" stopIfTrue="1" operator="equal">
      <formula>"NÃO"</formula>
    </cfRule>
  </conditionalFormatting>
  <conditionalFormatting sqref="BF183 CJ183 DO183">
    <cfRule type="cellIs" dxfId="4130" priority="7402" stopIfTrue="1" operator="equal">
      <formula>0</formula>
    </cfRule>
    <cfRule type="cellIs" dxfId="4129" priority="7408" stopIfTrue="1" operator="notEqual">
      <formula>0</formula>
    </cfRule>
  </conditionalFormatting>
  <conditionalFormatting sqref="C183:D183">
    <cfRule type="expression" dxfId="4128" priority="7405" stopIfTrue="1">
      <formula>IF(AND($C183&lt;&gt;"",$H183+$L183=0),TRUE)</formula>
    </cfRule>
  </conditionalFormatting>
  <conditionalFormatting sqref="P183">
    <cfRule type="cellIs" dxfId="4127" priority="7394" stopIfTrue="1" operator="equal">
      <formula>1</formula>
    </cfRule>
    <cfRule type="cellIs" dxfId="4126" priority="7403" stopIfTrue="1" operator="equal">
      <formula>2</formula>
    </cfRule>
    <cfRule type="cellIs" dxfId="4125" priority="7404" stopIfTrue="1" operator="equal">
      <formula>"X"</formula>
    </cfRule>
  </conditionalFormatting>
  <conditionalFormatting sqref="GU183">
    <cfRule type="cellIs" dxfId="4124" priority="7396" stopIfTrue="1" operator="equal">
      <formula>0</formula>
    </cfRule>
    <cfRule type="cellIs" dxfId="4123" priority="7397" stopIfTrue="1" operator="notEqual">
      <formula>0</formula>
    </cfRule>
  </conditionalFormatting>
  <conditionalFormatting sqref="GV183">
    <cfRule type="cellIs" dxfId="4122" priority="7395" stopIfTrue="1" operator="equal">
      <formula>"STOP"</formula>
    </cfRule>
  </conditionalFormatting>
  <conditionalFormatting sqref="Q183">
    <cfRule type="cellIs" dxfId="4121" priority="7355" stopIfTrue="1" operator="equal">
      <formula>"SIM"</formula>
    </cfRule>
    <cfRule type="cellIs" dxfId="4120" priority="7356" stopIfTrue="1" operator="equal">
      <formula>"NÃO"</formula>
    </cfRule>
  </conditionalFormatting>
  <conditionalFormatting sqref="BF183 CJ183 DO183">
    <cfRule type="cellIs" dxfId="4119" priority="7351" stopIfTrue="1" operator="equal">
      <formula>0</formula>
    </cfRule>
    <cfRule type="cellIs" dxfId="4118" priority="7357" stopIfTrue="1" operator="notEqual">
      <formula>0</formula>
    </cfRule>
  </conditionalFormatting>
  <conditionalFormatting sqref="C183:D183">
    <cfRule type="expression" dxfId="4117" priority="7354" stopIfTrue="1">
      <formula>IF(AND($C183&lt;&gt;"",$H183+$L183=0),TRUE)</formula>
    </cfRule>
  </conditionalFormatting>
  <conditionalFormatting sqref="P183">
    <cfRule type="cellIs" dxfId="4116" priority="7343" stopIfTrue="1" operator="equal">
      <formula>1</formula>
    </cfRule>
    <cfRule type="cellIs" dxfId="4115" priority="7352" stopIfTrue="1" operator="equal">
      <formula>2</formula>
    </cfRule>
    <cfRule type="cellIs" dxfId="4114" priority="7353" stopIfTrue="1" operator="equal">
      <formula>"X"</formula>
    </cfRule>
  </conditionalFormatting>
  <conditionalFormatting sqref="GU183">
    <cfRule type="cellIs" dxfId="4113" priority="7345" stopIfTrue="1" operator="equal">
      <formula>0</formula>
    </cfRule>
    <cfRule type="cellIs" dxfId="4112" priority="7346" stopIfTrue="1" operator="notEqual">
      <formula>0</formula>
    </cfRule>
  </conditionalFormatting>
  <conditionalFormatting sqref="GV183">
    <cfRule type="cellIs" dxfId="4111" priority="7344" stopIfTrue="1" operator="equal">
      <formula>"STOP"</formula>
    </cfRule>
  </conditionalFormatting>
  <conditionalFormatting sqref="Q179">
    <cfRule type="cellIs" dxfId="4110" priority="7304" stopIfTrue="1" operator="equal">
      <formula>"SIM"</formula>
    </cfRule>
    <cfRule type="cellIs" dxfId="4109" priority="7305" stopIfTrue="1" operator="equal">
      <formula>"NÃO"</formula>
    </cfRule>
  </conditionalFormatting>
  <conditionalFormatting sqref="BF179 CJ179 DO179">
    <cfRule type="cellIs" dxfId="4108" priority="7300" stopIfTrue="1" operator="equal">
      <formula>0</formula>
    </cfRule>
    <cfRule type="cellIs" dxfId="4107" priority="7306" stopIfTrue="1" operator="notEqual">
      <formula>0</formula>
    </cfRule>
  </conditionalFormatting>
  <conditionalFormatting sqref="C179:D179">
    <cfRule type="expression" dxfId="4106" priority="7303" stopIfTrue="1">
      <formula>IF(AND($C179&lt;&gt;"",$H179+$L179=0),TRUE)</formula>
    </cfRule>
  </conditionalFormatting>
  <conditionalFormatting sqref="P179">
    <cfRule type="cellIs" dxfId="4105" priority="7292" stopIfTrue="1" operator="equal">
      <formula>1</formula>
    </cfRule>
    <cfRule type="cellIs" dxfId="4104" priority="7301" stopIfTrue="1" operator="equal">
      <formula>2</formula>
    </cfRule>
    <cfRule type="cellIs" dxfId="4103" priority="7302" stopIfTrue="1" operator="equal">
      <formula>"X"</formula>
    </cfRule>
  </conditionalFormatting>
  <conditionalFormatting sqref="GU179">
    <cfRule type="cellIs" dxfId="4102" priority="7294" stopIfTrue="1" operator="equal">
      <formula>0</formula>
    </cfRule>
    <cfRule type="cellIs" dxfId="4101" priority="7295" stopIfTrue="1" operator="notEqual">
      <formula>0</formula>
    </cfRule>
  </conditionalFormatting>
  <conditionalFormatting sqref="GV179">
    <cfRule type="cellIs" dxfId="4100" priority="7293" stopIfTrue="1" operator="equal">
      <formula>"STOP"</formula>
    </cfRule>
  </conditionalFormatting>
  <conditionalFormatting sqref="Q180">
    <cfRule type="cellIs" dxfId="4099" priority="7287" stopIfTrue="1" operator="equal">
      <formula>"SIM"</formula>
    </cfRule>
    <cfRule type="cellIs" dxfId="4098" priority="7288" stopIfTrue="1" operator="equal">
      <formula>"NÃO"</formula>
    </cfRule>
  </conditionalFormatting>
  <conditionalFormatting sqref="BF180 CJ180 DO180">
    <cfRule type="cellIs" dxfId="4097" priority="7283" stopIfTrue="1" operator="equal">
      <formula>0</formula>
    </cfRule>
    <cfRule type="cellIs" dxfId="4096" priority="7289" stopIfTrue="1" operator="notEqual">
      <formula>0</formula>
    </cfRule>
  </conditionalFormatting>
  <conditionalFormatting sqref="C180:D180">
    <cfRule type="expression" dxfId="4095" priority="7286" stopIfTrue="1">
      <formula>IF(AND($C180&lt;&gt;"",$H180+$L180=0),TRUE)</formula>
    </cfRule>
  </conditionalFormatting>
  <conditionalFormatting sqref="P180">
    <cfRule type="cellIs" dxfId="4094" priority="7275" stopIfTrue="1" operator="equal">
      <formula>1</formula>
    </cfRule>
    <cfRule type="cellIs" dxfId="4093" priority="7284" stopIfTrue="1" operator="equal">
      <formula>2</formula>
    </cfRule>
    <cfRule type="cellIs" dxfId="4092" priority="7285" stopIfTrue="1" operator="equal">
      <formula>"X"</formula>
    </cfRule>
  </conditionalFormatting>
  <conditionalFormatting sqref="GU180">
    <cfRule type="cellIs" dxfId="4091" priority="7277" stopIfTrue="1" operator="equal">
      <formula>0</formula>
    </cfRule>
    <cfRule type="cellIs" dxfId="4090" priority="7278" stopIfTrue="1" operator="notEqual">
      <formula>0</formula>
    </cfRule>
  </conditionalFormatting>
  <conditionalFormatting sqref="GV180">
    <cfRule type="cellIs" dxfId="4089" priority="7276" stopIfTrue="1" operator="equal">
      <formula>"STOP"</formula>
    </cfRule>
  </conditionalFormatting>
  <conditionalFormatting sqref="Q182">
    <cfRule type="cellIs" dxfId="4088" priority="7253" stopIfTrue="1" operator="equal">
      <formula>"SIM"</formula>
    </cfRule>
    <cfRule type="cellIs" dxfId="4087" priority="7254" stopIfTrue="1" operator="equal">
      <formula>"NÃO"</formula>
    </cfRule>
  </conditionalFormatting>
  <conditionalFormatting sqref="BF182 CJ182 DO182">
    <cfRule type="cellIs" dxfId="4086" priority="7249" stopIfTrue="1" operator="equal">
      <formula>0</formula>
    </cfRule>
    <cfRule type="cellIs" dxfId="4085" priority="7255" stopIfTrue="1" operator="notEqual">
      <formula>0</formula>
    </cfRule>
  </conditionalFormatting>
  <conditionalFormatting sqref="C182:D182">
    <cfRule type="expression" dxfId="4084" priority="7252" stopIfTrue="1">
      <formula>IF(AND($C182&lt;&gt;"",$H182+$L182=0),TRUE)</formula>
    </cfRule>
  </conditionalFormatting>
  <conditionalFormatting sqref="P182">
    <cfRule type="cellIs" dxfId="4083" priority="7241" stopIfTrue="1" operator="equal">
      <formula>1</formula>
    </cfRule>
    <cfRule type="cellIs" dxfId="4082" priority="7250" stopIfTrue="1" operator="equal">
      <formula>2</formula>
    </cfRule>
    <cfRule type="cellIs" dxfId="4081" priority="7251" stopIfTrue="1" operator="equal">
      <formula>"X"</formula>
    </cfRule>
  </conditionalFormatting>
  <conditionalFormatting sqref="GU182">
    <cfRule type="cellIs" dxfId="4080" priority="7243" stopIfTrue="1" operator="equal">
      <formula>0</formula>
    </cfRule>
    <cfRule type="cellIs" dxfId="4079" priority="7244" stopIfTrue="1" operator="notEqual">
      <formula>0</formula>
    </cfRule>
  </conditionalFormatting>
  <conditionalFormatting sqref="GV182">
    <cfRule type="cellIs" dxfId="4078" priority="7242" stopIfTrue="1" operator="equal">
      <formula>"STOP"</formula>
    </cfRule>
  </conditionalFormatting>
  <conditionalFormatting sqref="Q183">
    <cfRule type="cellIs" dxfId="4077" priority="7236" stopIfTrue="1" operator="equal">
      <formula>"SIM"</formula>
    </cfRule>
    <cfRule type="cellIs" dxfId="4076" priority="7237" stopIfTrue="1" operator="equal">
      <formula>"NÃO"</formula>
    </cfRule>
  </conditionalFormatting>
  <conditionalFormatting sqref="BF183 CJ183 DO183">
    <cfRule type="cellIs" dxfId="4075" priority="7232" stopIfTrue="1" operator="equal">
      <formula>0</formula>
    </cfRule>
    <cfRule type="cellIs" dxfId="4074" priority="7238" stopIfTrue="1" operator="notEqual">
      <formula>0</formula>
    </cfRule>
  </conditionalFormatting>
  <conditionalFormatting sqref="C183:D183">
    <cfRule type="expression" dxfId="4073" priority="7235" stopIfTrue="1">
      <formula>IF(AND($C183&lt;&gt;"",$H183+$L183=0),TRUE)</formula>
    </cfRule>
  </conditionalFormatting>
  <conditionalFormatting sqref="P183">
    <cfRule type="cellIs" dxfId="4072" priority="7224" stopIfTrue="1" operator="equal">
      <formula>1</formula>
    </cfRule>
    <cfRule type="cellIs" dxfId="4071" priority="7233" stopIfTrue="1" operator="equal">
      <formula>2</formula>
    </cfRule>
    <cfRule type="cellIs" dxfId="4070" priority="7234" stopIfTrue="1" operator="equal">
      <formula>"X"</formula>
    </cfRule>
  </conditionalFormatting>
  <conditionalFormatting sqref="GU183">
    <cfRule type="cellIs" dxfId="4069" priority="7226" stopIfTrue="1" operator="equal">
      <formula>0</formula>
    </cfRule>
    <cfRule type="cellIs" dxfId="4068" priority="7227" stopIfTrue="1" operator="notEqual">
      <formula>0</formula>
    </cfRule>
  </conditionalFormatting>
  <conditionalFormatting sqref="GV183">
    <cfRule type="cellIs" dxfId="4067" priority="7225" stopIfTrue="1" operator="equal">
      <formula>"STOP"</formula>
    </cfRule>
  </conditionalFormatting>
  <conditionalFormatting sqref="Q184">
    <cfRule type="cellIs" dxfId="4066" priority="7219" stopIfTrue="1" operator="equal">
      <formula>"SIM"</formula>
    </cfRule>
    <cfRule type="cellIs" dxfId="4065" priority="7220" stopIfTrue="1" operator="equal">
      <formula>"NÃO"</formula>
    </cfRule>
  </conditionalFormatting>
  <conditionalFormatting sqref="BF184 CJ184 DO184">
    <cfRule type="cellIs" dxfId="4064" priority="7215" stopIfTrue="1" operator="equal">
      <formula>0</formula>
    </cfRule>
    <cfRule type="cellIs" dxfId="4063" priority="7221" stopIfTrue="1" operator="notEqual">
      <formula>0</formula>
    </cfRule>
  </conditionalFormatting>
  <conditionalFormatting sqref="C184:D184">
    <cfRule type="expression" dxfId="4062" priority="7218" stopIfTrue="1">
      <formula>IF(AND($C184&lt;&gt;"",$H184+$L184=0),TRUE)</formula>
    </cfRule>
  </conditionalFormatting>
  <conditionalFormatting sqref="P184">
    <cfRule type="cellIs" dxfId="4061" priority="7207" stopIfTrue="1" operator="equal">
      <formula>1</formula>
    </cfRule>
    <cfRule type="cellIs" dxfId="4060" priority="7216" stopIfTrue="1" operator="equal">
      <formula>2</formula>
    </cfRule>
    <cfRule type="cellIs" dxfId="4059" priority="7217" stopIfTrue="1" operator="equal">
      <formula>"X"</formula>
    </cfRule>
  </conditionalFormatting>
  <conditionalFormatting sqref="GU184">
    <cfRule type="cellIs" dxfId="4058" priority="7209" stopIfTrue="1" operator="equal">
      <formula>0</formula>
    </cfRule>
    <cfRule type="cellIs" dxfId="4057" priority="7210" stopIfTrue="1" operator="notEqual">
      <formula>0</formula>
    </cfRule>
  </conditionalFormatting>
  <conditionalFormatting sqref="GV184">
    <cfRule type="cellIs" dxfId="4056" priority="7208" stopIfTrue="1" operator="equal">
      <formula>"STOP"</formula>
    </cfRule>
  </conditionalFormatting>
  <conditionalFormatting sqref="Q185">
    <cfRule type="cellIs" dxfId="4055" priority="7202" stopIfTrue="1" operator="equal">
      <formula>"SIM"</formula>
    </cfRule>
    <cfRule type="cellIs" dxfId="4054" priority="7203" stopIfTrue="1" operator="equal">
      <formula>"NÃO"</formula>
    </cfRule>
  </conditionalFormatting>
  <conditionalFormatting sqref="BF185 CJ185 DO185">
    <cfRule type="cellIs" dxfId="4053" priority="7198" stopIfTrue="1" operator="equal">
      <formula>0</formula>
    </cfRule>
    <cfRule type="cellIs" dxfId="4052" priority="7204" stopIfTrue="1" operator="notEqual">
      <formula>0</formula>
    </cfRule>
  </conditionalFormatting>
  <conditionalFormatting sqref="C185:D185">
    <cfRule type="expression" dxfId="4051" priority="7201" stopIfTrue="1">
      <formula>IF(AND($C185&lt;&gt;"",$H185+$L185=0),TRUE)</formula>
    </cfRule>
  </conditionalFormatting>
  <conditionalFormatting sqref="P185">
    <cfRule type="cellIs" dxfId="4050" priority="7190" stopIfTrue="1" operator="equal">
      <formula>1</formula>
    </cfRule>
    <cfRule type="cellIs" dxfId="4049" priority="7199" stopIfTrue="1" operator="equal">
      <formula>2</formula>
    </cfRule>
    <cfRule type="cellIs" dxfId="4048" priority="7200" stopIfTrue="1" operator="equal">
      <formula>"X"</formula>
    </cfRule>
  </conditionalFormatting>
  <conditionalFormatting sqref="GU185">
    <cfRule type="cellIs" dxfId="4047" priority="7192" stopIfTrue="1" operator="equal">
      <formula>0</formula>
    </cfRule>
    <cfRule type="cellIs" dxfId="4046" priority="7193" stopIfTrue="1" operator="notEqual">
      <formula>0</formula>
    </cfRule>
  </conditionalFormatting>
  <conditionalFormatting sqref="GV185">
    <cfRule type="cellIs" dxfId="4045" priority="7191" stopIfTrue="1" operator="equal">
      <formula>"STOP"</formula>
    </cfRule>
  </conditionalFormatting>
  <conditionalFormatting sqref="Q186">
    <cfRule type="cellIs" dxfId="4044" priority="7185" stopIfTrue="1" operator="equal">
      <formula>"SIM"</formula>
    </cfRule>
    <cfRule type="cellIs" dxfId="4043" priority="7186" stopIfTrue="1" operator="equal">
      <formula>"NÃO"</formula>
    </cfRule>
  </conditionalFormatting>
  <conditionalFormatting sqref="BF186 CJ186 DO186">
    <cfRule type="cellIs" dxfId="4042" priority="7181" stopIfTrue="1" operator="equal">
      <formula>0</formula>
    </cfRule>
    <cfRule type="cellIs" dxfId="4041" priority="7187" stopIfTrue="1" operator="notEqual">
      <formula>0</formula>
    </cfRule>
  </conditionalFormatting>
  <conditionalFormatting sqref="C186:D186">
    <cfRule type="expression" dxfId="4040" priority="7184" stopIfTrue="1">
      <formula>IF(AND($C186&lt;&gt;"",$H186+$L186=0),TRUE)</formula>
    </cfRule>
  </conditionalFormatting>
  <conditionalFormatting sqref="P186">
    <cfRule type="cellIs" dxfId="4039" priority="7173" stopIfTrue="1" operator="equal">
      <formula>1</formula>
    </cfRule>
    <cfRule type="cellIs" dxfId="4038" priority="7182" stopIfTrue="1" operator="equal">
      <formula>2</formula>
    </cfRule>
    <cfRule type="cellIs" dxfId="4037" priority="7183" stopIfTrue="1" operator="equal">
      <formula>"X"</formula>
    </cfRule>
  </conditionalFormatting>
  <conditionalFormatting sqref="GU186">
    <cfRule type="cellIs" dxfId="4036" priority="7175" stopIfTrue="1" operator="equal">
      <formula>0</formula>
    </cfRule>
    <cfRule type="cellIs" dxfId="4035" priority="7176" stopIfTrue="1" operator="notEqual">
      <formula>0</formula>
    </cfRule>
  </conditionalFormatting>
  <conditionalFormatting sqref="GV186">
    <cfRule type="cellIs" dxfId="4034" priority="7174" stopIfTrue="1" operator="equal">
      <formula>"STOP"</formula>
    </cfRule>
  </conditionalFormatting>
  <conditionalFormatting sqref="Q181">
    <cfRule type="cellIs" dxfId="4033" priority="7134" stopIfTrue="1" operator="equal">
      <formula>"SIM"</formula>
    </cfRule>
    <cfRule type="cellIs" dxfId="4032" priority="7135" stopIfTrue="1" operator="equal">
      <formula>"NÃO"</formula>
    </cfRule>
  </conditionalFormatting>
  <conditionalFormatting sqref="BF181 CJ181 DO181">
    <cfRule type="cellIs" dxfId="4031" priority="7130" stopIfTrue="1" operator="equal">
      <formula>0</formula>
    </cfRule>
    <cfRule type="cellIs" dxfId="4030" priority="7136" stopIfTrue="1" operator="notEqual">
      <formula>0</formula>
    </cfRule>
  </conditionalFormatting>
  <conditionalFormatting sqref="C181:D181">
    <cfRule type="expression" dxfId="4029" priority="7133" stopIfTrue="1">
      <formula>IF(AND($C181&lt;&gt;"",$H181+$L181=0),TRUE)</formula>
    </cfRule>
  </conditionalFormatting>
  <conditionalFormatting sqref="P181">
    <cfRule type="cellIs" dxfId="4028" priority="7122" stopIfTrue="1" operator="equal">
      <formula>1</formula>
    </cfRule>
    <cfRule type="cellIs" dxfId="4027" priority="7131" stopIfTrue="1" operator="equal">
      <formula>2</formula>
    </cfRule>
    <cfRule type="cellIs" dxfId="4026" priority="7132" stopIfTrue="1" operator="equal">
      <formula>"X"</formula>
    </cfRule>
  </conditionalFormatting>
  <conditionalFormatting sqref="GU181">
    <cfRule type="cellIs" dxfId="4025" priority="7124" stopIfTrue="1" operator="equal">
      <formula>0</formula>
    </cfRule>
    <cfRule type="cellIs" dxfId="4024" priority="7125" stopIfTrue="1" operator="notEqual">
      <formula>0</formula>
    </cfRule>
  </conditionalFormatting>
  <conditionalFormatting sqref="GV181">
    <cfRule type="cellIs" dxfId="4023" priority="7123" stopIfTrue="1" operator="equal">
      <formula>"STOP"</formula>
    </cfRule>
  </conditionalFormatting>
  <conditionalFormatting sqref="Q182">
    <cfRule type="cellIs" dxfId="4022" priority="7117" stopIfTrue="1" operator="equal">
      <formula>"SIM"</formula>
    </cfRule>
    <cfRule type="cellIs" dxfId="4021" priority="7118" stopIfTrue="1" operator="equal">
      <formula>"NÃO"</formula>
    </cfRule>
  </conditionalFormatting>
  <conditionalFormatting sqref="BF182 CJ182 DO182">
    <cfRule type="cellIs" dxfId="4020" priority="7113" stopIfTrue="1" operator="equal">
      <formula>0</formula>
    </cfRule>
    <cfRule type="cellIs" dxfId="4019" priority="7119" stopIfTrue="1" operator="notEqual">
      <formula>0</formula>
    </cfRule>
  </conditionalFormatting>
  <conditionalFormatting sqref="C182:D182">
    <cfRule type="expression" dxfId="4018" priority="7116" stopIfTrue="1">
      <formula>IF(AND($C182&lt;&gt;"",$H182+$L182=0),TRUE)</formula>
    </cfRule>
  </conditionalFormatting>
  <conditionalFormatting sqref="P182">
    <cfRule type="cellIs" dxfId="4017" priority="7105" stopIfTrue="1" operator="equal">
      <formula>1</formula>
    </cfRule>
    <cfRule type="cellIs" dxfId="4016" priority="7114" stopIfTrue="1" operator="equal">
      <formula>2</formula>
    </cfRule>
    <cfRule type="cellIs" dxfId="4015" priority="7115" stopIfTrue="1" operator="equal">
      <formula>"X"</formula>
    </cfRule>
  </conditionalFormatting>
  <conditionalFormatting sqref="GU182">
    <cfRule type="cellIs" dxfId="4014" priority="7107" stopIfTrue="1" operator="equal">
      <formula>0</formula>
    </cfRule>
    <cfRule type="cellIs" dxfId="4013" priority="7108" stopIfTrue="1" operator="notEqual">
      <formula>0</formula>
    </cfRule>
  </conditionalFormatting>
  <conditionalFormatting sqref="GV182">
    <cfRule type="cellIs" dxfId="4012" priority="7106" stopIfTrue="1" operator="equal">
      <formula>"STOP"</formula>
    </cfRule>
  </conditionalFormatting>
  <conditionalFormatting sqref="Q180">
    <cfRule type="cellIs" dxfId="4011" priority="7100" stopIfTrue="1" operator="equal">
      <formula>"SIM"</formula>
    </cfRule>
    <cfRule type="cellIs" dxfId="4010" priority="7101" stopIfTrue="1" operator="equal">
      <formula>"NÃO"</formula>
    </cfRule>
  </conditionalFormatting>
  <conditionalFormatting sqref="BF180 CJ180 DO180">
    <cfRule type="cellIs" dxfId="4009" priority="7096" stopIfTrue="1" operator="equal">
      <formula>0</formula>
    </cfRule>
    <cfRule type="cellIs" dxfId="4008" priority="7102" stopIfTrue="1" operator="notEqual">
      <formula>0</formula>
    </cfRule>
  </conditionalFormatting>
  <conditionalFormatting sqref="C180:D180">
    <cfRule type="expression" dxfId="4007" priority="7099" stopIfTrue="1">
      <formula>IF(AND($C180&lt;&gt;"",$H180+$L180=0),TRUE)</formula>
    </cfRule>
  </conditionalFormatting>
  <conditionalFormatting sqref="P180">
    <cfRule type="cellIs" dxfId="4006" priority="7088" stopIfTrue="1" operator="equal">
      <formula>1</formula>
    </cfRule>
    <cfRule type="cellIs" dxfId="4005" priority="7097" stopIfTrue="1" operator="equal">
      <formula>2</formula>
    </cfRule>
    <cfRule type="cellIs" dxfId="4004" priority="7098" stopIfTrue="1" operator="equal">
      <formula>"X"</formula>
    </cfRule>
  </conditionalFormatting>
  <conditionalFormatting sqref="GU180">
    <cfRule type="cellIs" dxfId="4003" priority="7090" stopIfTrue="1" operator="equal">
      <formula>0</formula>
    </cfRule>
    <cfRule type="cellIs" dxfId="4002" priority="7091" stopIfTrue="1" operator="notEqual">
      <formula>0</formula>
    </cfRule>
  </conditionalFormatting>
  <conditionalFormatting sqref="GV180">
    <cfRule type="cellIs" dxfId="4001" priority="7089" stopIfTrue="1" operator="equal">
      <formula>"STOP"</formula>
    </cfRule>
  </conditionalFormatting>
  <conditionalFormatting sqref="Q181">
    <cfRule type="cellIs" dxfId="4000" priority="7083" stopIfTrue="1" operator="equal">
      <formula>"SIM"</formula>
    </cfRule>
    <cfRule type="cellIs" dxfId="3999" priority="7084" stopIfTrue="1" operator="equal">
      <formula>"NÃO"</formula>
    </cfRule>
  </conditionalFormatting>
  <conditionalFormatting sqref="BF181 CJ181 DO181">
    <cfRule type="cellIs" dxfId="3998" priority="7079" stopIfTrue="1" operator="equal">
      <formula>0</formula>
    </cfRule>
    <cfRule type="cellIs" dxfId="3997" priority="7085" stopIfTrue="1" operator="notEqual">
      <formula>0</formula>
    </cfRule>
  </conditionalFormatting>
  <conditionalFormatting sqref="C181:D181">
    <cfRule type="expression" dxfId="3996" priority="7082" stopIfTrue="1">
      <formula>IF(AND($C181&lt;&gt;"",$H181+$L181=0),TRUE)</formula>
    </cfRule>
  </conditionalFormatting>
  <conditionalFormatting sqref="P181">
    <cfRule type="cellIs" dxfId="3995" priority="7071" stopIfTrue="1" operator="equal">
      <formula>1</formula>
    </cfRule>
    <cfRule type="cellIs" dxfId="3994" priority="7080" stopIfTrue="1" operator="equal">
      <formula>2</formula>
    </cfRule>
    <cfRule type="cellIs" dxfId="3993" priority="7081" stopIfTrue="1" operator="equal">
      <formula>"X"</formula>
    </cfRule>
  </conditionalFormatting>
  <conditionalFormatting sqref="GU181">
    <cfRule type="cellIs" dxfId="3992" priority="7073" stopIfTrue="1" operator="equal">
      <formula>0</formula>
    </cfRule>
    <cfRule type="cellIs" dxfId="3991" priority="7074" stopIfTrue="1" operator="notEqual">
      <formula>0</formula>
    </cfRule>
  </conditionalFormatting>
  <conditionalFormatting sqref="GV181">
    <cfRule type="cellIs" dxfId="3990" priority="7072" stopIfTrue="1" operator="equal">
      <formula>"STOP"</formula>
    </cfRule>
  </conditionalFormatting>
  <conditionalFormatting sqref="Q182">
    <cfRule type="cellIs" dxfId="3989" priority="7066" stopIfTrue="1" operator="equal">
      <formula>"SIM"</formula>
    </cfRule>
    <cfRule type="cellIs" dxfId="3988" priority="7067" stopIfTrue="1" operator="equal">
      <formula>"NÃO"</formula>
    </cfRule>
  </conditionalFormatting>
  <conditionalFormatting sqref="BF182 CJ182 DO182">
    <cfRule type="cellIs" dxfId="3987" priority="7062" stopIfTrue="1" operator="equal">
      <formula>0</formula>
    </cfRule>
    <cfRule type="cellIs" dxfId="3986" priority="7068" stopIfTrue="1" operator="notEqual">
      <formula>0</formula>
    </cfRule>
  </conditionalFormatting>
  <conditionalFormatting sqref="C182:D182">
    <cfRule type="expression" dxfId="3985" priority="7065" stopIfTrue="1">
      <formula>IF(AND($C182&lt;&gt;"",$H182+$L182=0),TRUE)</formula>
    </cfRule>
  </conditionalFormatting>
  <conditionalFormatting sqref="P182">
    <cfRule type="cellIs" dxfId="3984" priority="7054" stopIfTrue="1" operator="equal">
      <formula>1</formula>
    </cfRule>
    <cfRule type="cellIs" dxfId="3983" priority="7063" stopIfTrue="1" operator="equal">
      <formula>2</formula>
    </cfRule>
    <cfRule type="cellIs" dxfId="3982" priority="7064" stopIfTrue="1" operator="equal">
      <formula>"X"</formula>
    </cfRule>
  </conditionalFormatting>
  <conditionalFormatting sqref="GU182">
    <cfRule type="cellIs" dxfId="3981" priority="7056" stopIfTrue="1" operator="equal">
      <formula>0</formula>
    </cfRule>
    <cfRule type="cellIs" dxfId="3980" priority="7057" stopIfTrue="1" operator="notEqual">
      <formula>0</formula>
    </cfRule>
  </conditionalFormatting>
  <conditionalFormatting sqref="GV182">
    <cfRule type="cellIs" dxfId="3979" priority="7055" stopIfTrue="1" operator="equal">
      <formula>"STOP"</formula>
    </cfRule>
  </conditionalFormatting>
  <conditionalFormatting sqref="Q183">
    <cfRule type="cellIs" dxfId="3978" priority="7049" stopIfTrue="1" operator="equal">
      <formula>"SIM"</formula>
    </cfRule>
    <cfRule type="cellIs" dxfId="3977" priority="7050" stopIfTrue="1" operator="equal">
      <formula>"NÃO"</formula>
    </cfRule>
  </conditionalFormatting>
  <conditionalFormatting sqref="BF183 CJ183 DO183">
    <cfRule type="cellIs" dxfId="3976" priority="7045" stopIfTrue="1" operator="equal">
      <formula>0</formula>
    </cfRule>
    <cfRule type="cellIs" dxfId="3975" priority="7051" stopIfTrue="1" operator="notEqual">
      <formula>0</formula>
    </cfRule>
  </conditionalFormatting>
  <conditionalFormatting sqref="C183:D183">
    <cfRule type="expression" dxfId="3974" priority="7048" stopIfTrue="1">
      <formula>IF(AND($C183&lt;&gt;"",$H183+$L183=0),TRUE)</formula>
    </cfRule>
  </conditionalFormatting>
  <conditionalFormatting sqref="P183">
    <cfRule type="cellIs" dxfId="3973" priority="7037" stopIfTrue="1" operator="equal">
      <formula>1</formula>
    </cfRule>
    <cfRule type="cellIs" dxfId="3972" priority="7046" stopIfTrue="1" operator="equal">
      <formula>2</formula>
    </cfRule>
    <cfRule type="cellIs" dxfId="3971" priority="7047" stopIfTrue="1" operator="equal">
      <formula>"X"</formula>
    </cfRule>
  </conditionalFormatting>
  <conditionalFormatting sqref="GU183">
    <cfRule type="cellIs" dxfId="3970" priority="7039" stopIfTrue="1" operator="equal">
      <formula>0</formula>
    </cfRule>
    <cfRule type="cellIs" dxfId="3969" priority="7040" stopIfTrue="1" operator="notEqual">
      <formula>0</formula>
    </cfRule>
  </conditionalFormatting>
  <conditionalFormatting sqref="GV183">
    <cfRule type="cellIs" dxfId="3968" priority="7038" stopIfTrue="1" operator="equal">
      <formula>"STOP"</formula>
    </cfRule>
  </conditionalFormatting>
  <conditionalFormatting sqref="Q182">
    <cfRule type="cellIs" dxfId="3967" priority="7015" stopIfTrue="1" operator="equal">
      <formula>"SIM"</formula>
    </cfRule>
    <cfRule type="cellIs" dxfId="3966" priority="7016" stopIfTrue="1" operator="equal">
      <formula>"NÃO"</formula>
    </cfRule>
  </conditionalFormatting>
  <conditionalFormatting sqref="BF182 CJ182 DO182">
    <cfRule type="cellIs" dxfId="3965" priority="7011" stopIfTrue="1" operator="equal">
      <formula>0</formula>
    </cfRule>
    <cfRule type="cellIs" dxfId="3964" priority="7017" stopIfTrue="1" operator="notEqual">
      <formula>0</formula>
    </cfRule>
  </conditionalFormatting>
  <conditionalFormatting sqref="C182:D182">
    <cfRule type="expression" dxfId="3963" priority="7014" stopIfTrue="1">
      <formula>IF(AND($C182&lt;&gt;"",$H182+$L182=0),TRUE)</formula>
    </cfRule>
  </conditionalFormatting>
  <conditionalFormatting sqref="P182">
    <cfRule type="cellIs" dxfId="3962" priority="7003" stopIfTrue="1" operator="equal">
      <formula>1</formula>
    </cfRule>
    <cfRule type="cellIs" dxfId="3961" priority="7012" stopIfTrue="1" operator="equal">
      <formula>2</formula>
    </cfRule>
    <cfRule type="cellIs" dxfId="3960" priority="7013" stopIfTrue="1" operator="equal">
      <formula>"X"</formula>
    </cfRule>
  </conditionalFormatting>
  <conditionalFormatting sqref="GU182">
    <cfRule type="cellIs" dxfId="3959" priority="7005" stopIfTrue="1" operator="equal">
      <formula>0</formula>
    </cfRule>
    <cfRule type="cellIs" dxfId="3958" priority="7006" stopIfTrue="1" operator="notEqual">
      <formula>0</formula>
    </cfRule>
  </conditionalFormatting>
  <conditionalFormatting sqref="GV182">
    <cfRule type="cellIs" dxfId="3957" priority="7004" stopIfTrue="1" operator="equal">
      <formula>"STOP"</formula>
    </cfRule>
  </conditionalFormatting>
  <conditionalFormatting sqref="Q183">
    <cfRule type="cellIs" dxfId="3956" priority="6998" stopIfTrue="1" operator="equal">
      <formula>"SIM"</formula>
    </cfRule>
    <cfRule type="cellIs" dxfId="3955" priority="6999" stopIfTrue="1" operator="equal">
      <formula>"NÃO"</formula>
    </cfRule>
  </conditionalFormatting>
  <conditionalFormatting sqref="BF183 CJ183 DO183">
    <cfRule type="cellIs" dxfId="3954" priority="6994" stopIfTrue="1" operator="equal">
      <formula>0</formula>
    </cfRule>
    <cfRule type="cellIs" dxfId="3953" priority="7000" stopIfTrue="1" operator="notEqual">
      <formula>0</formula>
    </cfRule>
  </conditionalFormatting>
  <conditionalFormatting sqref="C183:D183">
    <cfRule type="expression" dxfId="3952" priority="6997" stopIfTrue="1">
      <formula>IF(AND($C183&lt;&gt;"",$H183+$L183=0),TRUE)</formula>
    </cfRule>
  </conditionalFormatting>
  <conditionalFormatting sqref="P183">
    <cfRule type="cellIs" dxfId="3951" priority="6986" stopIfTrue="1" operator="equal">
      <formula>1</formula>
    </cfRule>
    <cfRule type="cellIs" dxfId="3950" priority="6995" stopIfTrue="1" operator="equal">
      <formula>2</formula>
    </cfRule>
    <cfRule type="cellIs" dxfId="3949" priority="6996" stopIfTrue="1" operator="equal">
      <formula>"X"</formula>
    </cfRule>
  </conditionalFormatting>
  <conditionalFormatting sqref="GU183">
    <cfRule type="cellIs" dxfId="3948" priority="6988" stopIfTrue="1" operator="equal">
      <formula>0</formula>
    </cfRule>
    <cfRule type="cellIs" dxfId="3947" priority="6989" stopIfTrue="1" operator="notEqual">
      <formula>0</formula>
    </cfRule>
  </conditionalFormatting>
  <conditionalFormatting sqref="GV183">
    <cfRule type="cellIs" dxfId="3946" priority="6987" stopIfTrue="1" operator="equal">
      <formula>"STOP"</formula>
    </cfRule>
  </conditionalFormatting>
  <conditionalFormatting sqref="Q182">
    <cfRule type="cellIs" dxfId="3945" priority="6947" stopIfTrue="1" operator="equal">
      <formula>"SIM"</formula>
    </cfRule>
    <cfRule type="cellIs" dxfId="3944" priority="6948" stopIfTrue="1" operator="equal">
      <formula>"NÃO"</formula>
    </cfRule>
  </conditionalFormatting>
  <conditionalFormatting sqref="BF182 CJ182 DO182">
    <cfRule type="cellIs" dxfId="3943" priority="6943" stopIfTrue="1" operator="equal">
      <formula>0</formula>
    </cfRule>
    <cfRule type="cellIs" dxfId="3942" priority="6949" stopIfTrue="1" operator="notEqual">
      <formula>0</formula>
    </cfRule>
  </conditionalFormatting>
  <conditionalFormatting sqref="C182:D182">
    <cfRule type="expression" dxfId="3941" priority="6946" stopIfTrue="1">
      <formula>IF(AND($C182&lt;&gt;"",$H182+$L182=0),TRUE)</formula>
    </cfRule>
  </conditionalFormatting>
  <conditionalFormatting sqref="P182">
    <cfRule type="cellIs" dxfId="3940" priority="6935" stopIfTrue="1" operator="equal">
      <formula>1</formula>
    </cfRule>
    <cfRule type="cellIs" dxfId="3939" priority="6944" stopIfTrue="1" operator="equal">
      <formula>2</formula>
    </cfRule>
    <cfRule type="cellIs" dxfId="3938" priority="6945" stopIfTrue="1" operator="equal">
      <formula>"X"</formula>
    </cfRule>
  </conditionalFormatting>
  <conditionalFormatting sqref="GU182">
    <cfRule type="cellIs" dxfId="3937" priority="6937" stopIfTrue="1" operator="equal">
      <formula>0</formula>
    </cfRule>
    <cfRule type="cellIs" dxfId="3936" priority="6938" stopIfTrue="1" operator="notEqual">
      <formula>0</formula>
    </cfRule>
  </conditionalFormatting>
  <conditionalFormatting sqref="GV182">
    <cfRule type="cellIs" dxfId="3935" priority="6936" stopIfTrue="1" operator="equal">
      <formula>"STOP"</formula>
    </cfRule>
  </conditionalFormatting>
  <conditionalFormatting sqref="Q185">
    <cfRule type="cellIs" dxfId="3934" priority="6896" stopIfTrue="1" operator="equal">
      <formula>"SIM"</formula>
    </cfRule>
    <cfRule type="cellIs" dxfId="3933" priority="6897" stopIfTrue="1" operator="equal">
      <formula>"NÃO"</formula>
    </cfRule>
  </conditionalFormatting>
  <conditionalFormatting sqref="BF185 CJ185 DO185">
    <cfRule type="cellIs" dxfId="3932" priority="6892" stopIfTrue="1" operator="equal">
      <formula>0</formula>
    </cfRule>
    <cfRule type="cellIs" dxfId="3931" priority="6898" stopIfTrue="1" operator="notEqual">
      <formula>0</formula>
    </cfRule>
  </conditionalFormatting>
  <conditionalFormatting sqref="C185:D185">
    <cfRule type="expression" dxfId="3930" priority="6895" stopIfTrue="1">
      <formula>IF(AND($C185&lt;&gt;"",$H185+$L185=0),TRUE)</formula>
    </cfRule>
  </conditionalFormatting>
  <conditionalFormatting sqref="P185">
    <cfRule type="cellIs" dxfId="3929" priority="6884" stopIfTrue="1" operator="equal">
      <formula>1</formula>
    </cfRule>
    <cfRule type="cellIs" dxfId="3928" priority="6893" stopIfTrue="1" operator="equal">
      <formula>2</formula>
    </cfRule>
    <cfRule type="cellIs" dxfId="3927" priority="6894" stopIfTrue="1" operator="equal">
      <formula>"X"</formula>
    </cfRule>
  </conditionalFormatting>
  <conditionalFormatting sqref="GU185">
    <cfRule type="cellIs" dxfId="3926" priority="6886" stopIfTrue="1" operator="equal">
      <formula>0</formula>
    </cfRule>
    <cfRule type="cellIs" dxfId="3925" priority="6887" stopIfTrue="1" operator="notEqual">
      <formula>0</formula>
    </cfRule>
  </conditionalFormatting>
  <conditionalFormatting sqref="GV185">
    <cfRule type="cellIs" dxfId="3924" priority="6885" stopIfTrue="1" operator="equal">
      <formula>"STOP"</formula>
    </cfRule>
  </conditionalFormatting>
  <conditionalFormatting sqref="Q181">
    <cfRule type="cellIs" dxfId="3923" priority="6879" stopIfTrue="1" operator="equal">
      <formula>"SIM"</formula>
    </cfRule>
    <cfRule type="cellIs" dxfId="3922" priority="6880" stopIfTrue="1" operator="equal">
      <formula>"NÃO"</formula>
    </cfRule>
  </conditionalFormatting>
  <conditionalFormatting sqref="BF181 CJ181 DO181">
    <cfRule type="cellIs" dxfId="3921" priority="6875" stopIfTrue="1" operator="equal">
      <formula>0</formula>
    </cfRule>
    <cfRule type="cellIs" dxfId="3920" priority="6881" stopIfTrue="1" operator="notEqual">
      <formula>0</formula>
    </cfRule>
  </conditionalFormatting>
  <conditionalFormatting sqref="C181:D181">
    <cfRule type="expression" dxfId="3919" priority="6878" stopIfTrue="1">
      <formula>IF(AND($C181&lt;&gt;"",$H181+$L181=0),TRUE)</formula>
    </cfRule>
  </conditionalFormatting>
  <conditionalFormatting sqref="P181">
    <cfRule type="cellIs" dxfId="3918" priority="6867" stopIfTrue="1" operator="equal">
      <formula>1</formula>
    </cfRule>
    <cfRule type="cellIs" dxfId="3917" priority="6876" stopIfTrue="1" operator="equal">
      <formula>2</formula>
    </cfRule>
    <cfRule type="cellIs" dxfId="3916" priority="6877" stopIfTrue="1" operator="equal">
      <formula>"X"</formula>
    </cfRule>
  </conditionalFormatting>
  <conditionalFormatting sqref="GU181">
    <cfRule type="cellIs" dxfId="3915" priority="6869" stopIfTrue="1" operator="equal">
      <formula>0</formula>
    </cfRule>
    <cfRule type="cellIs" dxfId="3914" priority="6870" stopIfTrue="1" operator="notEqual">
      <formula>0</formula>
    </cfRule>
  </conditionalFormatting>
  <conditionalFormatting sqref="GV181">
    <cfRule type="cellIs" dxfId="3913" priority="6868" stopIfTrue="1" operator="equal">
      <formula>"STOP"</formula>
    </cfRule>
  </conditionalFormatting>
  <conditionalFormatting sqref="Q181">
    <cfRule type="cellIs" dxfId="3912" priority="6828" stopIfTrue="1" operator="equal">
      <formula>"SIM"</formula>
    </cfRule>
    <cfRule type="cellIs" dxfId="3911" priority="6829" stopIfTrue="1" operator="equal">
      <formula>"NÃO"</formula>
    </cfRule>
  </conditionalFormatting>
  <conditionalFormatting sqref="BF181 CJ181 DO181">
    <cfRule type="cellIs" dxfId="3910" priority="6824" stopIfTrue="1" operator="equal">
      <formula>0</formula>
    </cfRule>
    <cfRule type="cellIs" dxfId="3909" priority="6830" stopIfTrue="1" operator="notEqual">
      <formula>0</formula>
    </cfRule>
  </conditionalFormatting>
  <conditionalFormatting sqref="C181:D181">
    <cfRule type="expression" dxfId="3908" priority="6827" stopIfTrue="1">
      <formula>IF(AND($C181&lt;&gt;"",$H181+$L181=0),TRUE)</formula>
    </cfRule>
  </conditionalFormatting>
  <conditionalFormatting sqref="P181">
    <cfRule type="cellIs" dxfId="3907" priority="6816" stopIfTrue="1" operator="equal">
      <formula>1</formula>
    </cfRule>
    <cfRule type="cellIs" dxfId="3906" priority="6825" stopIfTrue="1" operator="equal">
      <formula>2</formula>
    </cfRule>
    <cfRule type="cellIs" dxfId="3905" priority="6826" stopIfTrue="1" operator="equal">
      <formula>"X"</formula>
    </cfRule>
  </conditionalFormatting>
  <conditionalFormatting sqref="GU181">
    <cfRule type="cellIs" dxfId="3904" priority="6818" stopIfTrue="1" operator="equal">
      <formula>0</formula>
    </cfRule>
    <cfRule type="cellIs" dxfId="3903" priority="6819" stopIfTrue="1" operator="notEqual">
      <formula>0</formula>
    </cfRule>
  </conditionalFormatting>
  <conditionalFormatting sqref="GV181">
    <cfRule type="cellIs" dxfId="3902" priority="6817" stopIfTrue="1" operator="equal">
      <formula>"STOP"</formula>
    </cfRule>
  </conditionalFormatting>
  <conditionalFormatting sqref="Q182">
    <cfRule type="cellIs" dxfId="3901" priority="6811" stopIfTrue="1" operator="equal">
      <formula>"SIM"</formula>
    </cfRule>
    <cfRule type="cellIs" dxfId="3900" priority="6812" stopIfTrue="1" operator="equal">
      <formula>"NÃO"</formula>
    </cfRule>
  </conditionalFormatting>
  <conditionalFormatting sqref="BF182 CJ182 DO182">
    <cfRule type="cellIs" dxfId="3899" priority="6807" stopIfTrue="1" operator="equal">
      <formula>0</formula>
    </cfRule>
    <cfRule type="cellIs" dxfId="3898" priority="6813" stopIfTrue="1" operator="notEqual">
      <formula>0</formula>
    </cfRule>
  </conditionalFormatting>
  <conditionalFormatting sqref="C182:D182">
    <cfRule type="expression" dxfId="3897" priority="6810" stopIfTrue="1">
      <formula>IF(AND($C182&lt;&gt;"",$H182+$L182=0),TRUE)</formula>
    </cfRule>
  </conditionalFormatting>
  <conditionalFormatting sqref="P182">
    <cfRule type="cellIs" dxfId="3896" priority="6799" stopIfTrue="1" operator="equal">
      <formula>1</formula>
    </cfRule>
    <cfRule type="cellIs" dxfId="3895" priority="6808" stopIfTrue="1" operator="equal">
      <formula>2</formula>
    </cfRule>
    <cfRule type="cellIs" dxfId="3894" priority="6809" stopIfTrue="1" operator="equal">
      <formula>"X"</formula>
    </cfRule>
  </conditionalFormatting>
  <conditionalFormatting sqref="GU182">
    <cfRule type="cellIs" dxfId="3893" priority="6801" stopIfTrue="1" operator="equal">
      <formula>0</formula>
    </cfRule>
    <cfRule type="cellIs" dxfId="3892" priority="6802" stopIfTrue="1" operator="notEqual">
      <formula>0</formula>
    </cfRule>
  </conditionalFormatting>
  <conditionalFormatting sqref="GV182">
    <cfRule type="cellIs" dxfId="3891" priority="6800" stopIfTrue="1" operator="equal">
      <formula>"STOP"</formula>
    </cfRule>
  </conditionalFormatting>
  <conditionalFormatting sqref="Q183">
    <cfRule type="cellIs" dxfId="3890" priority="6794" stopIfTrue="1" operator="equal">
      <formula>"SIM"</formula>
    </cfRule>
    <cfRule type="cellIs" dxfId="3889" priority="6795" stopIfTrue="1" operator="equal">
      <formula>"NÃO"</formula>
    </cfRule>
  </conditionalFormatting>
  <conditionalFormatting sqref="BF183 CJ183 DO183">
    <cfRule type="cellIs" dxfId="3888" priority="6790" stopIfTrue="1" operator="equal">
      <formula>0</formula>
    </cfRule>
    <cfRule type="cellIs" dxfId="3887" priority="6796" stopIfTrue="1" operator="notEqual">
      <formula>0</formula>
    </cfRule>
  </conditionalFormatting>
  <conditionalFormatting sqref="C183:D183">
    <cfRule type="expression" dxfId="3886" priority="6793" stopIfTrue="1">
      <formula>IF(AND($C183&lt;&gt;"",$H183+$L183=0),TRUE)</formula>
    </cfRule>
  </conditionalFormatting>
  <conditionalFormatting sqref="P183">
    <cfRule type="cellIs" dxfId="3885" priority="6782" stopIfTrue="1" operator="equal">
      <formula>1</formula>
    </cfRule>
    <cfRule type="cellIs" dxfId="3884" priority="6791" stopIfTrue="1" operator="equal">
      <formula>2</formula>
    </cfRule>
    <cfRule type="cellIs" dxfId="3883" priority="6792" stopIfTrue="1" operator="equal">
      <formula>"X"</formula>
    </cfRule>
  </conditionalFormatting>
  <conditionalFormatting sqref="GU183">
    <cfRule type="cellIs" dxfId="3882" priority="6784" stopIfTrue="1" operator="equal">
      <formula>0</formula>
    </cfRule>
    <cfRule type="cellIs" dxfId="3881" priority="6785" stopIfTrue="1" operator="notEqual">
      <formula>0</formula>
    </cfRule>
  </conditionalFormatting>
  <conditionalFormatting sqref="GV183">
    <cfRule type="cellIs" dxfId="3880" priority="6783" stopIfTrue="1" operator="equal">
      <formula>"STOP"</formula>
    </cfRule>
  </conditionalFormatting>
  <conditionalFormatting sqref="Q183">
    <cfRule type="cellIs" dxfId="3879" priority="6743" stopIfTrue="1" operator="equal">
      <formula>"SIM"</formula>
    </cfRule>
    <cfRule type="cellIs" dxfId="3878" priority="6744" stopIfTrue="1" operator="equal">
      <formula>"NÃO"</formula>
    </cfRule>
  </conditionalFormatting>
  <conditionalFormatting sqref="BF183 CJ183 DO183">
    <cfRule type="cellIs" dxfId="3877" priority="6739" stopIfTrue="1" operator="equal">
      <formula>0</formula>
    </cfRule>
    <cfRule type="cellIs" dxfId="3876" priority="6745" stopIfTrue="1" operator="notEqual">
      <formula>0</formula>
    </cfRule>
  </conditionalFormatting>
  <conditionalFormatting sqref="C183:D183">
    <cfRule type="expression" dxfId="3875" priority="6742" stopIfTrue="1">
      <formula>IF(AND($C183&lt;&gt;"",$H183+$L183=0),TRUE)</formula>
    </cfRule>
  </conditionalFormatting>
  <conditionalFormatting sqref="P183">
    <cfRule type="cellIs" dxfId="3874" priority="6731" stopIfTrue="1" operator="equal">
      <formula>1</formula>
    </cfRule>
    <cfRule type="cellIs" dxfId="3873" priority="6740" stopIfTrue="1" operator="equal">
      <formula>2</formula>
    </cfRule>
    <cfRule type="cellIs" dxfId="3872" priority="6741" stopIfTrue="1" operator="equal">
      <formula>"X"</formula>
    </cfRule>
  </conditionalFormatting>
  <conditionalFormatting sqref="GU183">
    <cfRule type="cellIs" dxfId="3871" priority="6733" stopIfTrue="1" operator="equal">
      <formula>0</formula>
    </cfRule>
    <cfRule type="cellIs" dxfId="3870" priority="6734" stopIfTrue="1" operator="notEqual">
      <formula>0</formula>
    </cfRule>
  </conditionalFormatting>
  <conditionalFormatting sqref="GV183">
    <cfRule type="cellIs" dxfId="3869" priority="6732" stopIfTrue="1" operator="equal">
      <formula>"STOP"</formula>
    </cfRule>
  </conditionalFormatting>
  <conditionalFormatting sqref="Q181">
    <cfRule type="cellIs" dxfId="3868" priority="6692" stopIfTrue="1" operator="equal">
      <formula>"SIM"</formula>
    </cfRule>
    <cfRule type="cellIs" dxfId="3867" priority="6693" stopIfTrue="1" operator="equal">
      <formula>"NÃO"</formula>
    </cfRule>
  </conditionalFormatting>
  <conditionalFormatting sqref="BF181 CJ181 DO181">
    <cfRule type="cellIs" dxfId="3866" priority="6688" stopIfTrue="1" operator="equal">
      <formula>0</formula>
    </cfRule>
    <cfRule type="cellIs" dxfId="3865" priority="6694" stopIfTrue="1" operator="notEqual">
      <formula>0</formula>
    </cfRule>
  </conditionalFormatting>
  <conditionalFormatting sqref="C181:D181">
    <cfRule type="expression" dxfId="3864" priority="6691" stopIfTrue="1">
      <formula>IF(AND($C181&lt;&gt;"",$H181+$L181=0),TRUE)</formula>
    </cfRule>
  </conditionalFormatting>
  <conditionalFormatting sqref="P181">
    <cfRule type="cellIs" dxfId="3863" priority="6680" stopIfTrue="1" operator="equal">
      <formula>1</formula>
    </cfRule>
    <cfRule type="cellIs" dxfId="3862" priority="6689" stopIfTrue="1" operator="equal">
      <formula>2</formula>
    </cfRule>
    <cfRule type="cellIs" dxfId="3861" priority="6690" stopIfTrue="1" operator="equal">
      <formula>"X"</formula>
    </cfRule>
  </conditionalFormatting>
  <conditionalFormatting sqref="GU181">
    <cfRule type="cellIs" dxfId="3860" priority="6682" stopIfTrue="1" operator="equal">
      <formula>0</formula>
    </cfRule>
    <cfRule type="cellIs" dxfId="3859" priority="6683" stopIfTrue="1" operator="notEqual">
      <formula>0</formula>
    </cfRule>
  </conditionalFormatting>
  <conditionalFormatting sqref="GV181">
    <cfRule type="cellIs" dxfId="3858" priority="6681" stopIfTrue="1" operator="equal">
      <formula>"STOP"</formula>
    </cfRule>
  </conditionalFormatting>
  <conditionalFormatting sqref="Q184">
    <cfRule type="cellIs" dxfId="3857" priority="6641" stopIfTrue="1" operator="equal">
      <formula>"SIM"</formula>
    </cfRule>
    <cfRule type="cellIs" dxfId="3856" priority="6642" stopIfTrue="1" operator="equal">
      <formula>"NÃO"</formula>
    </cfRule>
  </conditionalFormatting>
  <conditionalFormatting sqref="BF184 CJ184 DO184">
    <cfRule type="cellIs" dxfId="3855" priority="6637" stopIfTrue="1" operator="equal">
      <formula>0</formula>
    </cfRule>
    <cfRule type="cellIs" dxfId="3854" priority="6643" stopIfTrue="1" operator="notEqual">
      <formula>0</formula>
    </cfRule>
  </conditionalFormatting>
  <conditionalFormatting sqref="C184:D184">
    <cfRule type="expression" dxfId="3853" priority="6640" stopIfTrue="1">
      <formula>IF(AND($C184&lt;&gt;"",$H184+$L184=0),TRUE)</formula>
    </cfRule>
  </conditionalFormatting>
  <conditionalFormatting sqref="P184">
    <cfRule type="cellIs" dxfId="3852" priority="6629" stopIfTrue="1" operator="equal">
      <formula>1</formula>
    </cfRule>
    <cfRule type="cellIs" dxfId="3851" priority="6638" stopIfTrue="1" operator="equal">
      <formula>2</formula>
    </cfRule>
    <cfRule type="cellIs" dxfId="3850" priority="6639" stopIfTrue="1" operator="equal">
      <formula>"X"</formula>
    </cfRule>
  </conditionalFormatting>
  <conditionalFormatting sqref="GU184">
    <cfRule type="cellIs" dxfId="3849" priority="6631" stopIfTrue="1" operator="equal">
      <formula>0</formula>
    </cfRule>
    <cfRule type="cellIs" dxfId="3848" priority="6632" stopIfTrue="1" operator="notEqual">
      <formula>0</formula>
    </cfRule>
  </conditionalFormatting>
  <conditionalFormatting sqref="GV184">
    <cfRule type="cellIs" dxfId="3847" priority="6630" stopIfTrue="1" operator="equal">
      <formula>"STOP"</formula>
    </cfRule>
  </conditionalFormatting>
  <conditionalFormatting sqref="Q185">
    <cfRule type="cellIs" dxfId="3846" priority="6624" stopIfTrue="1" operator="equal">
      <formula>"SIM"</formula>
    </cfRule>
    <cfRule type="cellIs" dxfId="3845" priority="6625" stopIfTrue="1" operator="equal">
      <formula>"NÃO"</formula>
    </cfRule>
  </conditionalFormatting>
  <conditionalFormatting sqref="BF185 CJ185 DO185">
    <cfRule type="cellIs" dxfId="3844" priority="6620" stopIfTrue="1" operator="equal">
      <formula>0</formula>
    </cfRule>
    <cfRule type="cellIs" dxfId="3843" priority="6626" stopIfTrue="1" operator="notEqual">
      <formula>0</formula>
    </cfRule>
  </conditionalFormatting>
  <conditionalFormatting sqref="C185:D185">
    <cfRule type="expression" dxfId="3842" priority="6623" stopIfTrue="1">
      <formula>IF(AND($C185&lt;&gt;"",$H185+$L185=0),TRUE)</formula>
    </cfRule>
  </conditionalFormatting>
  <conditionalFormatting sqref="P185">
    <cfRule type="cellIs" dxfId="3841" priority="6612" stopIfTrue="1" operator="equal">
      <formula>1</formula>
    </cfRule>
    <cfRule type="cellIs" dxfId="3840" priority="6621" stopIfTrue="1" operator="equal">
      <formula>2</formula>
    </cfRule>
    <cfRule type="cellIs" dxfId="3839" priority="6622" stopIfTrue="1" operator="equal">
      <formula>"X"</formula>
    </cfRule>
  </conditionalFormatting>
  <conditionalFormatting sqref="GU185">
    <cfRule type="cellIs" dxfId="3838" priority="6614" stopIfTrue="1" operator="equal">
      <formula>0</formula>
    </cfRule>
    <cfRule type="cellIs" dxfId="3837" priority="6615" stopIfTrue="1" operator="notEqual">
      <formula>0</formula>
    </cfRule>
  </conditionalFormatting>
  <conditionalFormatting sqref="GV185">
    <cfRule type="cellIs" dxfId="3836" priority="6613" stopIfTrue="1" operator="equal">
      <formula>"STOP"</formula>
    </cfRule>
  </conditionalFormatting>
  <conditionalFormatting sqref="Q186">
    <cfRule type="cellIs" dxfId="3835" priority="6607" stopIfTrue="1" operator="equal">
      <formula>"SIM"</formula>
    </cfRule>
    <cfRule type="cellIs" dxfId="3834" priority="6608" stopIfTrue="1" operator="equal">
      <formula>"NÃO"</formula>
    </cfRule>
  </conditionalFormatting>
  <conditionalFormatting sqref="BF186 CJ186 DO186">
    <cfRule type="cellIs" dxfId="3833" priority="6603" stopIfTrue="1" operator="equal">
      <formula>0</formula>
    </cfRule>
    <cfRule type="cellIs" dxfId="3832" priority="6609" stopIfTrue="1" operator="notEqual">
      <formula>0</formula>
    </cfRule>
  </conditionalFormatting>
  <conditionalFormatting sqref="C186:D186">
    <cfRule type="expression" dxfId="3831" priority="6606" stopIfTrue="1">
      <formula>IF(AND($C186&lt;&gt;"",$H186+$L186=0),TRUE)</formula>
    </cfRule>
  </conditionalFormatting>
  <conditionalFormatting sqref="P186">
    <cfRule type="cellIs" dxfId="3830" priority="6595" stopIfTrue="1" operator="equal">
      <formula>1</formula>
    </cfRule>
    <cfRule type="cellIs" dxfId="3829" priority="6604" stopIfTrue="1" operator="equal">
      <formula>2</formula>
    </cfRule>
    <cfRule type="cellIs" dxfId="3828" priority="6605" stopIfTrue="1" operator="equal">
      <formula>"X"</formula>
    </cfRule>
  </conditionalFormatting>
  <conditionalFormatting sqref="GU186">
    <cfRule type="cellIs" dxfId="3827" priority="6597" stopIfTrue="1" operator="equal">
      <formula>0</formula>
    </cfRule>
    <cfRule type="cellIs" dxfId="3826" priority="6598" stopIfTrue="1" operator="notEqual">
      <formula>0</formula>
    </cfRule>
  </conditionalFormatting>
  <conditionalFormatting sqref="GV186">
    <cfRule type="cellIs" dxfId="3825" priority="6596" stopIfTrue="1" operator="equal">
      <formula>"STOP"</formula>
    </cfRule>
  </conditionalFormatting>
  <conditionalFormatting sqref="Q183">
    <cfRule type="cellIs" dxfId="3824" priority="6556" stopIfTrue="1" operator="equal">
      <formula>"SIM"</formula>
    </cfRule>
    <cfRule type="cellIs" dxfId="3823" priority="6557" stopIfTrue="1" operator="equal">
      <formula>"NÃO"</formula>
    </cfRule>
  </conditionalFormatting>
  <conditionalFormatting sqref="BF183 CJ183 DO183">
    <cfRule type="cellIs" dxfId="3822" priority="6552" stopIfTrue="1" operator="equal">
      <formula>0</formula>
    </cfRule>
    <cfRule type="cellIs" dxfId="3821" priority="6558" stopIfTrue="1" operator="notEqual">
      <formula>0</formula>
    </cfRule>
  </conditionalFormatting>
  <conditionalFormatting sqref="C183:D183">
    <cfRule type="expression" dxfId="3820" priority="6555" stopIfTrue="1">
      <formula>IF(AND($C183&lt;&gt;"",$H183+$L183=0),TRUE)</formula>
    </cfRule>
  </conditionalFormatting>
  <conditionalFormatting sqref="P183">
    <cfRule type="cellIs" dxfId="3819" priority="6544" stopIfTrue="1" operator="equal">
      <formula>1</formula>
    </cfRule>
    <cfRule type="cellIs" dxfId="3818" priority="6553" stopIfTrue="1" operator="equal">
      <formula>2</formula>
    </cfRule>
    <cfRule type="cellIs" dxfId="3817" priority="6554" stopIfTrue="1" operator="equal">
      <formula>"X"</formula>
    </cfRule>
  </conditionalFormatting>
  <conditionalFormatting sqref="GU183">
    <cfRule type="cellIs" dxfId="3816" priority="6546" stopIfTrue="1" operator="equal">
      <formula>0</formula>
    </cfRule>
    <cfRule type="cellIs" dxfId="3815" priority="6547" stopIfTrue="1" operator="notEqual">
      <formula>0</formula>
    </cfRule>
  </conditionalFormatting>
  <conditionalFormatting sqref="GV183">
    <cfRule type="cellIs" dxfId="3814" priority="6545" stopIfTrue="1" operator="equal">
      <formula>"STOP"</formula>
    </cfRule>
  </conditionalFormatting>
  <conditionalFormatting sqref="Q181">
    <cfRule type="cellIs" dxfId="3813" priority="6539" stopIfTrue="1" operator="equal">
      <formula>"SIM"</formula>
    </cfRule>
    <cfRule type="cellIs" dxfId="3812" priority="6540" stopIfTrue="1" operator="equal">
      <formula>"NÃO"</formula>
    </cfRule>
  </conditionalFormatting>
  <conditionalFormatting sqref="BF181 CJ181 DO181">
    <cfRule type="cellIs" dxfId="3811" priority="6535" stopIfTrue="1" operator="equal">
      <formula>0</formula>
    </cfRule>
    <cfRule type="cellIs" dxfId="3810" priority="6541" stopIfTrue="1" operator="notEqual">
      <formula>0</formula>
    </cfRule>
  </conditionalFormatting>
  <conditionalFormatting sqref="C181:D181">
    <cfRule type="expression" dxfId="3809" priority="6538" stopIfTrue="1">
      <formula>IF(AND($C181&lt;&gt;"",$H181+$L181=0),TRUE)</formula>
    </cfRule>
  </conditionalFormatting>
  <conditionalFormatting sqref="P181">
    <cfRule type="cellIs" dxfId="3808" priority="6527" stopIfTrue="1" operator="equal">
      <formula>1</formula>
    </cfRule>
    <cfRule type="cellIs" dxfId="3807" priority="6536" stopIfTrue="1" operator="equal">
      <formula>2</formula>
    </cfRule>
    <cfRule type="cellIs" dxfId="3806" priority="6537" stopIfTrue="1" operator="equal">
      <formula>"X"</formula>
    </cfRule>
  </conditionalFormatting>
  <conditionalFormatting sqref="GU181">
    <cfRule type="cellIs" dxfId="3805" priority="6529" stopIfTrue="1" operator="equal">
      <formula>0</formula>
    </cfRule>
    <cfRule type="cellIs" dxfId="3804" priority="6530" stopIfTrue="1" operator="notEqual">
      <formula>0</formula>
    </cfRule>
  </conditionalFormatting>
  <conditionalFormatting sqref="GV181">
    <cfRule type="cellIs" dxfId="3803" priority="6528" stopIfTrue="1" operator="equal">
      <formula>"STOP"</formula>
    </cfRule>
  </conditionalFormatting>
  <conditionalFormatting sqref="Q182">
    <cfRule type="cellIs" dxfId="3802" priority="6522" stopIfTrue="1" operator="equal">
      <formula>"SIM"</formula>
    </cfRule>
    <cfRule type="cellIs" dxfId="3801" priority="6523" stopIfTrue="1" operator="equal">
      <formula>"NÃO"</formula>
    </cfRule>
  </conditionalFormatting>
  <conditionalFormatting sqref="BF182 CJ182 DO182">
    <cfRule type="cellIs" dxfId="3800" priority="6518" stopIfTrue="1" operator="equal">
      <formula>0</formula>
    </cfRule>
    <cfRule type="cellIs" dxfId="3799" priority="6524" stopIfTrue="1" operator="notEqual">
      <formula>0</formula>
    </cfRule>
  </conditionalFormatting>
  <conditionalFormatting sqref="C182:D182">
    <cfRule type="expression" dxfId="3798" priority="6521" stopIfTrue="1">
      <formula>IF(AND($C182&lt;&gt;"",$H182+$L182=0),TRUE)</formula>
    </cfRule>
  </conditionalFormatting>
  <conditionalFormatting sqref="P182">
    <cfRule type="cellIs" dxfId="3797" priority="6510" stopIfTrue="1" operator="equal">
      <formula>1</formula>
    </cfRule>
    <cfRule type="cellIs" dxfId="3796" priority="6519" stopIfTrue="1" operator="equal">
      <formula>2</formula>
    </cfRule>
    <cfRule type="cellIs" dxfId="3795" priority="6520" stopIfTrue="1" operator="equal">
      <formula>"X"</formula>
    </cfRule>
  </conditionalFormatting>
  <conditionalFormatting sqref="GU182">
    <cfRule type="cellIs" dxfId="3794" priority="6512" stopIfTrue="1" operator="equal">
      <formula>0</formula>
    </cfRule>
    <cfRule type="cellIs" dxfId="3793" priority="6513" stopIfTrue="1" operator="notEqual">
      <formula>0</formula>
    </cfRule>
  </conditionalFormatting>
  <conditionalFormatting sqref="GV182">
    <cfRule type="cellIs" dxfId="3792" priority="6511" stopIfTrue="1" operator="equal">
      <formula>"STOP"</formula>
    </cfRule>
  </conditionalFormatting>
  <conditionalFormatting sqref="Q183">
    <cfRule type="cellIs" dxfId="3791" priority="6505" stopIfTrue="1" operator="equal">
      <formula>"SIM"</formula>
    </cfRule>
    <cfRule type="cellIs" dxfId="3790" priority="6506" stopIfTrue="1" operator="equal">
      <formula>"NÃO"</formula>
    </cfRule>
  </conditionalFormatting>
  <conditionalFormatting sqref="BF183 CJ183 DO183">
    <cfRule type="cellIs" dxfId="3789" priority="6501" stopIfTrue="1" operator="equal">
      <formula>0</formula>
    </cfRule>
    <cfRule type="cellIs" dxfId="3788" priority="6507" stopIfTrue="1" operator="notEqual">
      <formula>0</formula>
    </cfRule>
  </conditionalFormatting>
  <conditionalFormatting sqref="C183:D183">
    <cfRule type="expression" dxfId="3787" priority="6504" stopIfTrue="1">
      <formula>IF(AND($C183&lt;&gt;"",$H183+$L183=0),TRUE)</formula>
    </cfRule>
  </conditionalFormatting>
  <conditionalFormatting sqref="P183">
    <cfRule type="cellIs" dxfId="3786" priority="6493" stopIfTrue="1" operator="equal">
      <formula>1</formula>
    </cfRule>
    <cfRule type="cellIs" dxfId="3785" priority="6502" stopIfTrue="1" operator="equal">
      <formula>2</formula>
    </cfRule>
    <cfRule type="cellIs" dxfId="3784" priority="6503" stopIfTrue="1" operator="equal">
      <formula>"X"</formula>
    </cfRule>
  </conditionalFormatting>
  <conditionalFormatting sqref="GU183">
    <cfRule type="cellIs" dxfId="3783" priority="6495" stopIfTrue="1" operator="equal">
      <formula>0</formula>
    </cfRule>
    <cfRule type="cellIs" dxfId="3782" priority="6496" stopIfTrue="1" operator="notEqual">
      <formula>0</formula>
    </cfRule>
  </conditionalFormatting>
  <conditionalFormatting sqref="GV183">
    <cfRule type="cellIs" dxfId="3781" priority="6494" stopIfTrue="1" operator="equal">
      <formula>"STOP"</formula>
    </cfRule>
  </conditionalFormatting>
  <conditionalFormatting sqref="Q183">
    <cfRule type="cellIs" dxfId="3780" priority="6454" stopIfTrue="1" operator="equal">
      <formula>"SIM"</formula>
    </cfRule>
    <cfRule type="cellIs" dxfId="3779" priority="6455" stopIfTrue="1" operator="equal">
      <formula>"NÃO"</formula>
    </cfRule>
  </conditionalFormatting>
  <conditionalFormatting sqref="BF183 CJ183 DO183">
    <cfRule type="cellIs" dxfId="3778" priority="6450" stopIfTrue="1" operator="equal">
      <formula>0</formula>
    </cfRule>
    <cfRule type="cellIs" dxfId="3777" priority="6456" stopIfTrue="1" operator="notEqual">
      <formula>0</formula>
    </cfRule>
  </conditionalFormatting>
  <conditionalFormatting sqref="C183:D183">
    <cfRule type="expression" dxfId="3776" priority="6453" stopIfTrue="1">
      <formula>IF(AND($C183&lt;&gt;"",$H183+$L183=0),TRUE)</formula>
    </cfRule>
  </conditionalFormatting>
  <conditionalFormatting sqref="P183">
    <cfRule type="cellIs" dxfId="3775" priority="6442" stopIfTrue="1" operator="equal">
      <formula>1</formula>
    </cfRule>
    <cfRule type="cellIs" dxfId="3774" priority="6451" stopIfTrue="1" operator="equal">
      <formula>2</formula>
    </cfRule>
    <cfRule type="cellIs" dxfId="3773" priority="6452" stopIfTrue="1" operator="equal">
      <formula>"X"</formula>
    </cfRule>
  </conditionalFormatting>
  <conditionalFormatting sqref="GU183">
    <cfRule type="cellIs" dxfId="3772" priority="6444" stopIfTrue="1" operator="equal">
      <formula>0</formula>
    </cfRule>
    <cfRule type="cellIs" dxfId="3771" priority="6445" stopIfTrue="1" operator="notEqual">
      <formula>0</formula>
    </cfRule>
  </conditionalFormatting>
  <conditionalFormatting sqref="GV183">
    <cfRule type="cellIs" dxfId="3770" priority="6443" stopIfTrue="1" operator="equal">
      <formula>"STOP"</formula>
    </cfRule>
  </conditionalFormatting>
  <conditionalFormatting sqref="Q182">
    <cfRule type="cellIs" dxfId="3769" priority="6403" stopIfTrue="1" operator="equal">
      <formula>"SIM"</formula>
    </cfRule>
    <cfRule type="cellIs" dxfId="3768" priority="6404" stopIfTrue="1" operator="equal">
      <formula>"NÃO"</formula>
    </cfRule>
  </conditionalFormatting>
  <conditionalFormatting sqref="BF182 CJ182 DO182">
    <cfRule type="cellIs" dxfId="3767" priority="6399" stopIfTrue="1" operator="equal">
      <formula>0</formula>
    </cfRule>
    <cfRule type="cellIs" dxfId="3766" priority="6405" stopIfTrue="1" operator="notEqual">
      <formula>0</formula>
    </cfRule>
  </conditionalFormatting>
  <conditionalFormatting sqref="C182:D182">
    <cfRule type="expression" dxfId="3765" priority="6402" stopIfTrue="1">
      <formula>IF(AND($C182&lt;&gt;"",$H182+$L182=0),TRUE)</formula>
    </cfRule>
  </conditionalFormatting>
  <conditionalFormatting sqref="P182">
    <cfRule type="cellIs" dxfId="3764" priority="6391" stopIfTrue="1" operator="equal">
      <formula>1</formula>
    </cfRule>
    <cfRule type="cellIs" dxfId="3763" priority="6400" stopIfTrue="1" operator="equal">
      <formula>2</formula>
    </cfRule>
    <cfRule type="cellIs" dxfId="3762" priority="6401" stopIfTrue="1" operator="equal">
      <formula>"X"</formula>
    </cfRule>
  </conditionalFormatting>
  <conditionalFormatting sqref="GU182">
    <cfRule type="cellIs" dxfId="3761" priority="6393" stopIfTrue="1" operator="equal">
      <formula>0</formula>
    </cfRule>
    <cfRule type="cellIs" dxfId="3760" priority="6394" stopIfTrue="1" operator="notEqual">
      <formula>0</formula>
    </cfRule>
  </conditionalFormatting>
  <conditionalFormatting sqref="GV182">
    <cfRule type="cellIs" dxfId="3759" priority="6392" stopIfTrue="1" operator="equal">
      <formula>"STOP"</formula>
    </cfRule>
  </conditionalFormatting>
  <conditionalFormatting sqref="Q185">
    <cfRule type="cellIs" dxfId="3758" priority="6352" stopIfTrue="1" operator="equal">
      <formula>"SIM"</formula>
    </cfRule>
    <cfRule type="cellIs" dxfId="3757" priority="6353" stopIfTrue="1" operator="equal">
      <formula>"NÃO"</formula>
    </cfRule>
  </conditionalFormatting>
  <conditionalFormatting sqref="BF185 CJ185 DO185">
    <cfRule type="cellIs" dxfId="3756" priority="6348" stopIfTrue="1" operator="equal">
      <formula>0</formula>
    </cfRule>
    <cfRule type="cellIs" dxfId="3755" priority="6354" stopIfTrue="1" operator="notEqual">
      <formula>0</formula>
    </cfRule>
  </conditionalFormatting>
  <conditionalFormatting sqref="C185:D185">
    <cfRule type="expression" dxfId="3754" priority="6351" stopIfTrue="1">
      <formula>IF(AND($C185&lt;&gt;"",$H185+$L185=0),TRUE)</formula>
    </cfRule>
  </conditionalFormatting>
  <conditionalFormatting sqref="P185">
    <cfRule type="cellIs" dxfId="3753" priority="6340" stopIfTrue="1" operator="equal">
      <formula>1</formula>
    </cfRule>
    <cfRule type="cellIs" dxfId="3752" priority="6349" stopIfTrue="1" operator="equal">
      <formula>2</formula>
    </cfRule>
    <cfRule type="cellIs" dxfId="3751" priority="6350" stopIfTrue="1" operator="equal">
      <formula>"X"</formula>
    </cfRule>
  </conditionalFormatting>
  <conditionalFormatting sqref="GU185">
    <cfRule type="cellIs" dxfId="3750" priority="6342" stopIfTrue="1" operator="equal">
      <formula>0</formula>
    </cfRule>
    <cfRule type="cellIs" dxfId="3749" priority="6343" stopIfTrue="1" operator="notEqual">
      <formula>0</formula>
    </cfRule>
  </conditionalFormatting>
  <conditionalFormatting sqref="GV185">
    <cfRule type="cellIs" dxfId="3748" priority="6341" stopIfTrue="1" operator="equal">
      <formula>"STOP"</formula>
    </cfRule>
  </conditionalFormatting>
  <conditionalFormatting sqref="Q186">
    <cfRule type="cellIs" dxfId="3747" priority="6335" stopIfTrue="1" operator="equal">
      <formula>"SIM"</formula>
    </cfRule>
    <cfRule type="cellIs" dxfId="3746" priority="6336" stopIfTrue="1" operator="equal">
      <formula>"NÃO"</formula>
    </cfRule>
  </conditionalFormatting>
  <conditionalFormatting sqref="BF186 CJ186 DO186">
    <cfRule type="cellIs" dxfId="3745" priority="6331" stopIfTrue="1" operator="equal">
      <formula>0</formula>
    </cfRule>
    <cfRule type="cellIs" dxfId="3744" priority="6337" stopIfTrue="1" operator="notEqual">
      <formula>0</formula>
    </cfRule>
  </conditionalFormatting>
  <conditionalFormatting sqref="C186:D186">
    <cfRule type="expression" dxfId="3743" priority="6334" stopIfTrue="1">
      <formula>IF(AND($C186&lt;&gt;"",$H186+$L186=0),TRUE)</formula>
    </cfRule>
  </conditionalFormatting>
  <conditionalFormatting sqref="P186">
    <cfRule type="cellIs" dxfId="3742" priority="6323" stopIfTrue="1" operator="equal">
      <formula>1</formula>
    </cfRule>
    <cfRule type="cellIs" dxfId="3741" priority="6332" stopIfTrue="1" operator="equal">
      <formula>2</formula>
    </cfRule>
    <cfRule type="cellIs" dxfId="3740" priority="6333" stopIfTrue="1" operator="equal">
      <formula>"X"</formula>
    </cfRule>
  </conditionalFormatting>
  <conditionalFormatting sqref="GU186">
    <cfRule type="cellIs" dxfId="3739" priority="6325" stopIfTrue="1" operator="equal">
      <formula>0</formula>
    </cfRule>
    <cfRule type="cellIs" dxfId="3738" priority="6326" stopIfTrue="1" operator="notEqual">
      <formula>0</formula>
    </cfRule>
  </conditionalFormatting>
  <conditionalFormatting sqref="GV186">
    <cfRule type="cellIs" dxfId="3737" priority="6324" stopIfTrue="1" operator="equal">
      <formula>"STOP"</formula>
    </cfRule>
  </conditionalFormatting>
  <conditionalFormatting sqref="Q184">
    <cfRule type="cellIs" dxfId="3736" priority="6284" stopIfTrue="1" operator="equal">
      <formula>"SIM"</formula>
    </cfRule>
    <cfRule type="cellIs" dxfId="3735" priority="6285" stopIfTrue="1" operator="equal">
      <formula>"NÃO"</formula>
    </cfRule>
  </conditionalFormatting>
  <conditionalFormatting sqref="BF184 CJ184 DO184">
    <cfRule type="cellIs" dxfId="3734" priority="6280" stopIfTrue="1" operator="equal">
      <formula>0</formula>
    </cfRule>
    <cfRule type="cellIs" dxfId="3733" priority="6286" stopIfTrue="1" operator="notEqual">
      <formula>0</formula>
    </cfRule>
  </conditionalFormatting>
  <conditionalFormatting sqref="C184:D184">
    <cfRule type="expression" dxfId="3732" priority="6283" stopIfTrue="1">
      <formula>IF(AND($C184&lt;&gt;"",$H184+$L184=0),TRUE)</formula>
    </cfRule>
  </conditionalFormatting>
  <conditionalFormatting sqref="P184">
    <cfRule type="cellIs" dxfId="3731" priority="6272" stopIfTrue="1" operator="equal">
      <formula>1</formula>
    </cfRule>
    <cfRule type="cellIs" dxfId="3730" priority="6281" stopIfTrue="1" operator="equal">
      <formula>2</formula>
    </cfRule>
    <cfRule type="cellIs" dxfId="3729" priority="6282" stopIfTrue="1" operator="equal">
      <formula>"X"</formula>
    </cfRule>
  </conditionalFormatting>
  <conditionalFormatting sqref="GU184">
    <cfRule type="cellIs" dxfId="3728" priority="6274" stopIfTrue="1" operator="equal">
      <formula>0</formula>
    </cfRule>
    <cfRule type="cellIs" dxfId="3727" priority="6275" stopIfTrue="1" operator="notEqual">
      <formula>0</formula>
    </cfRule>
  </conditionalFormatting>
  <conditionalFormatting sqref="GV184">
    <cfRule type="cellIs" dxfId="3726" priority="6273" stopIfTrue="1" operator="equal">
      <formula>"STOP"</formula>
    </cfRule>
  </conditionalFormatting>
  <conditionalFormatting sqref="Q182">
    <cfRule type="cellIs" dxfId="3725" priority="6267" stopIfTrue="1" operator="equal">
      <formula>"SIM"</formula>
    </cfRule>
    <cfRule type="cellIs" dxfId="3724" priority="6268" stopIfTrue="1" operator="equal">
      <formula>"NÃO"</formula>
    </cfRule>
  </conditionalFormatting>
  <conditionalFormatting sqref="BF182 CJ182 DO182">
    <cfRule type="cellIs" dxfId="3723" priority="6263" stopIfTrue="1" operator="equal">
      <formula>0</formula>
    </cfRule>
    <cfRule type="cellIs" dxfId="3722" priority="6269" stopIfTrue="1" operator="notEqual">
      <formula>0</formula>
    </cfRule>
  </conditionalFormatting>
  <conditionalFormatting sqref="C182:D182">
    <cfRule type="expression" dxfId="3721" priority="6266" stopIfTrue="1">
      <formula>IF(AND($C182&lt;&gt;"",$H182+$L182=0),TRUE)</formula>
    </cfRule>
  </conditionalFormatting>
  <conditionalFormatting sqref="P182">
    <cfRule type="cellIs" dxfId="3720" priority="6255" stopIfTrue="1" operator="equal">
      <formula>1</formula>
    </cfRule>
    <cfRule type="cellIs" dxfId="3719" priority="6264" stopIfTrue="1" operator="equal">
      <formula>2</formula>
    </cfRule>
    <cfRule type="cellIs" dxfId="3718" priority="6265" stopIfTrue="1" operator="equal">
      <formula>"X"</formula>
    </cfRule>
  </conditionalFormatting>
  <conditionalFormatting sqref="GU182">
    <cfRule type="cellIs" dxfId="3717" priority="6257" stopIfTrue="1" operator="equal">
      <formula>0</formula>
    </cfRule>
    <cfRule type="cellIs" dxfId="3716" priority="6258" stopIfTrue="1" operator="notEqual">
      <formula>0</formula>
    </cfRule>
  </conditionalFormatting>
  <conditionalFormatting sqref="GV182">
    <cfRule type="cellIs" dxfId="3715" priority="6256" stopIfTrue="1" operator="equal">
      <formula>"STOP"</formula>
    </cfRule>
  </conditionalFormatting>
  <conditionalFormatting sqref="Q183">
    <cfRule type="cellIs" dxfId="3714" priority="6250" stopIfTrue="1" operator="equal">
      <formula>"SIM"</formula>
    </cfRule>
    <cfRule type="cellIs" dxfId="3713" priority="6251" stopIfTrue="1" operator="equal">
      <formula>"NÃO"</formula>
    </cfRule>
  </conditionalFormatting>
  <conditionalFormatting sqref="BF183 CJ183 DO183">
    <cfRule type="cellIs" dxfId="3712" priority="6246" stopIfTrue="1" operator="equal">
      <formula>0</formula>
    </cfRule>
    <cfRule type="cellIs" dxfId="3711" priority="6252" stopIfTrue="1" operator="notEqual">
      <formula>0</formula>
    </cfRule>
  </conditionalFormatting>
  <conditionalFormatting sqref="C183:D183">
    <cfRule type="expression" dxfId="3710" priority="6249" stopIfTrue="1">
      <formula>IF(AND($C183&lt;&gt;"",$H183+$L183=0),TRUE)</formula>
    </cfRule>
  </conditionalFormatting>
  <conditionalFormatting sqref="P183">
    <cfRule type="cellIs" dxfId="3709" priority="6238" stopIfTrue="1" operator="equal">
      <formula>1</formula>
    </cfRule>
    <cfRule type="cellIs" dxfId="3708" priority="6247" stopIfTrue="1" operator="equal">
      <formula>2</formula>
    </cfRule>
    <cfRule type="cellIs" dxfId="3707" priority="6248" stopIfTrue="1" operator="equal">
      <formula>"X"</formula>
    </cfRule>
  </conditionalFormatting>
  <conditionalFormatting sqref="GU183">
    <cfRule type="cellIs" dxfId="3706" priority="6240" stopIfTrue="1" operator="equal">
      <formula>0</formula>
    </cfRule>
    <cfRule type="cellIs" dxfId="3705" priority="6241" stopIfTrue="1" operator="notEqual">
      <formula>0</formula>
    </cfRule>
  </conditionalFormatting>
  <conditionalFormatting sqref="GV183">
    <cfRule type="cellIs" dxfId="3704" priority="6239" stopIfTrue="1" operator="equal">
      <formula>"STOP"</formula>
    </cfRule>
  </conditionalFormatting>
  <conditionalFormatting sqref="Q183">
    <cfRule type="cellIs" dxfId="3703" priority="6199" stopIfTrue="1" operator="equal">
      <formula>"SIM"</formula>
    </cfRule>
    <cfRule type="cellIs" dxfId="3702" priority="6200" stopIfTrue="1" operator="equal">
      <formula>"NÃO"</formula>
    </cfRule>
  </conditionalFormatting>
  <conditionalFormatting sqref="BF183 CJ183 DO183">
    <cfRule type="cellIs" dxfId="3701" priority="6195" stopIfTrue="1" operator="equal">
      <formula>0</formula>
    </cfRule>
    <cfRule type="cellIs" dxfId="3700" priority="6201" stopIfTrue="1" operator="notEqual">
      <formula>0</formula>
    </cfRule>
  </conditionalFormatting>
  <conditionalFormatting sqref="C183:D183">
    <cfRule type="expression" dxfId="3699" priority="6198" stopIfTrue="1">
      <formula>IF(AND($C183&lt;&gt;"",$H183+$L183=0),TRUE)</formula>
    </cfRule>
  </conditionalFormatting>
  <conditionalFormatting sqref="P183">
    <cfRule type="cellIs" dxfId="3698" priority="6187" stopIfTrue="1" operator="equal">
      <formula>1</formula>
    </cfRule>
    <cfRule type="cellIs" dxfId="3697" priority="6196" stopIfTrue="1" operator="equal">
      <formula>2</formula>
    </cfRule>
    <cfRule type="cellIs" dxfId="3696" priority="6197" stopIfTrue="1" operator="equal">
      <formula>"X"</formula>
    </cfRule>
  </conditionalFormatting>
  <conditionalFormatting sqref="GU183">
    <cfRule type="cellIs" dxfId="3695" priority="6189" stopIfTrue="1" operator="equal">
      <formula>0</formula>
    </cfRule>
    <cfRule type="cellIs" dxfId="3694" priority="6190" stopIfTrue="1" operator="notEqual">
      <formula>0</formula>
    </cfRule>
  </conditionalFormatting>
  <conditionalFormatting sqref="GV183">
    <cfRule type="cellIs" dxfId="3693" priority="6188" stopIfTrue="1" operator="equal">
      <formula>"STOP"</formula>
    </cfRule>
  </conditionalFormatting>
  <conditionalFormatting sqref="Q180">
    <cfRule type="cellIs" dxfId="3692" priority="6148" stopIfTrue="1" operator="equal">
      <formula>"SIM"</formula>
    </cfRule>
    <cfRule type="cellIs" dxfId="3691" priority="6149" stopIfTrue="1" operator="equal">
      <formula>"NÃO"</formula>
    </cfRule>
  </conditionalFormatting>
  <conditionalFormatting sqref="BF180 CJ180 DO180">
    <cfRule type="cellIs" dxfId="3690" priority="6144" stopIfTrue="1" operator="equal">
      <formula>0</formula>
    </cfRule>
    <cfRule type="cellIs" dxfId="3689" priority="6150" stopIfTrue="1" operator="notEqual">
      <formula>0</formula>
    </cfRule>
  </conditionalFormatting>
  <conditionalFormatting sqref="C180:D180">
    <cfRule type="expression" dxfId="3688" priority="6147" stopIfTrue="1">
      <formula>IF(AND($C180&lt;&gt;"",$H180+$L180=0),TRUE)</formula>
    </cfRule>
  </conditionalFormatting>
  <conditionalFormatting sqref="P180">
    <cfRule type="cellIs" dxfId="3687" priority="6136" stopIfTrue="1" operator="equal">
      <formula>1</formula>
    </cfRule>
    <cfRule type="cellIs" dxfId="3686" priority="6145" stopIfTrue="1" operator="equal">
      <formula>2</formula>
    </cfRule>
    <cfRule type="cellIs" dxfId="3685" priority="6146" stopIfTrue="1" operator="equal">
      <formula>"X"</formula>
    </cfRule>
  </conditionalFormatting>
  <conditionalFormatting sqref="GU180">
    <cfRule type="cellIs" dxfId="3684" priority="6138" stopIfTrue="1" operator="equal">
      <formula>0</formula>
    </cfRule>
    <cfRule type="cellIs" dxfId="3683" priority="6139" stopIfTrue="1" operator="notEqual">
      <formula>0</formula>
    </cfRule>
  </conditionalFormatting>
  <conditionalFormatting sqref="GV180">
    <cfRule type="cellIs" dxfId="3682" priority="6137" stopIfTrue="1" operator="equal">
      <formula>"STOP"</formula>
    </cfRule>
  </conditionalFormatting>
  <conditionalFormatting sqref="Q181">
    <cfRule type="cellIs" dxfId="3681" priority="6131" stopIfTrue="1" operator="equal">
      <formula>"SIM"</formula>
    </cfRule>
    <cfRule type="cellIs" dxfId="3680" priority="6132" stopIfTrue="1" operator="equal">
      <formula>"NÃO"</formula>
    </cfRule>
  </conditionalFormatting>
  <conditionalFormatting sqref="BF181 CJ181 DO181">
    <cfRule type="cellIs" dxfId="3679" priority="6127" stopIfTrue="1" operator="equal">
      <formula>0</formula>
    </cfRule>
    <cfRule type="cellIs" dxfId="3678" priority="6133" stopIfTrue="1" operator="notEqual">
      <formula>0</formula>
    </cfRule>
  </conditionalFormatting>
  <conditionalFormatting sqref="C181:D181">
    <cfRule type="expression" dxfId="3677" priority="6130" stopIfTrue="1">
      <formula>IF(AND($C181&lt;&gt;"",$H181+$L181=0),TRUE)</formula>
    </cfRule>
  </conditionalFormatting>
  <conditionalFormatting sqref="P181">
    <cfRule type="cellIs" dxfId="3676" priority="6119" stopIfTrue="1" operator="equal">
      <formula>1</formula>
    </cfRule>
    <cfRule type="cellIs" dxfId="3675" priority="6128" stopIfTrue="1" operator="equal">
      <formula>2</formula>
    </cfRule>
    <cfRule type="cellIs" dxfId="3674" priority="6129" stopIfTrue="1" operator="equal">
      <formula>"X"</formula>
    </cfRule>
  </conditionalFormatting>
  <conditionalFormatting sqref="GU181">
    <cfRule type="cellIs" dxfId="3673" priority="6121" stopIfTrue="1" operator="equal">
      <formula>0</formula>
    </cfRule>
    <cfRule type="cellIs" dxfId="3672" priority="6122" stopIfTrue="1" operator="notEqual">
      <formula>0</formula>
    </cfRule>
  </conditionalFormatting>
  <conditionalFormatting sqref="GV181">
    <cfRule type="cellIs" dxfId="3671" priority="6120" stopIfTrue="1" operator="equal">
      <formula>"STOP"</formula>
    </cfRule>
  </conditionalFormatting>
  <conditionalFormatting sqref="Q183">
    <cfRule type="cellIs" dxfId="3670" priority="6097" stopIfTrue="1" operator="equal">
      <formula>"SIM"</formula>
    </cfRule>
    <cfRule type="cellIs" dxfId="3669" priority="6098" stopIfTrue="1" operator="equal">
      <formula>"NÃO"</formula>
    </cfRule>
  </conditionalFormatting>
  <conditionalFormatting sqref="BF183 CJ183 DO183">
    <cfRule type="cellIs" dxfId="3668" priority="6093" stopIfTrue="1" operator="equal">
      <formula>0</formula>
    </cfRule>
    <cfRule type="cellIs" dxfId="3667" priority="6099" stopIfTrue="1" operator="notEqual">
      <formula>0</formula>
    </cfRule>
  </conditionalFormatting>
  <conditionalFormatting sqref="C183:D183">
    <cfRule type="expression" dxfId="3666" priority="6096" stopIfTrue="1">
      <formula>IF(AND($C183&lt;&gt;"",$H183+$L183=0),TRUE)</formula>
    </cfRule>
  </conditionalFormatting>
  <conditionalFormatting sqref="P183">
    <cfRule type="cellIs" dxfId="3665" priority="6085" stopIfTrue="1" operator="equal">
      <formula>1</formula>
    </cfRule>
    <cfRule type="cellIs" dxfId="3664" priority="6094" stopIfTrue="1" operator="equal">
      <formula>2</formula>
    </cfRule>
    <cfRule type="cellIs" dxfId="3663" priority="6095" stopIfTrue="1" operator="equal">
      <formula>"X"</formula>
    </cfRule>
  </conditionalFormatting>
  <conditionalFormatting sqref="GU183">
    <cfRule type="cellIs" dxfId="3662" priority="6087" stopIfTrue="1" operator="equal">
      <formula>0</formula>
    </cfRule>
    <cfRule type="cellIs" dxfId="3661" priority="6088" stopIfTrue="1" operator="notEqual">
      <formula>0</formula>
    </cfRule>
  </conditionalFormatting>
  <conditionalFormatting sqref="GV183">
    <cfRule type="cellIs" dxfId="3660" priority="6086" stopIfTrue="1" operator="equal">
      <formula>"STOP"</formula>
    </cfRule>
  </conditionalFormatting>
  <conditionalFormatting sqref="Q184">
    <cfRule type="cellIs" dxfId="3659" priority="6080" stopIfTrue="1" operator="equal">
      <formula>"SIM"</formula>
    </cfRule>
    <cfRule type="cellIs" dxfId="3658" priority="6081" stopIfTrue="1" operator="equal">
      <formula>"NÃO"</formula>
    </cfRule>
  </conditionalFormatting>
  <conditionalFormatting sqref="BF184 CJ184 DO184">
    <cfRule type="cellIs" dxfId="3657" priority="6076" stopIfTrue="1" operator="equal">
      <formula>0</formula>
    </cfRule>
    <cfRule type="cellIs" dxfId="3656" priority="6082" stopIfTrue="1" operator="notEqual">
      <formula>0</formula>
    </cfRule>
  </conditionalFormatting>
  <conditionalFormatting sqref="C184:D184">
    <cfRule type="expression" dxfId="3655" priority="6079" stopIfTrue="1">
      <formula>IF(AND($C184&lt;&gt;"",$H184+$L184=0),TRUE)</formula>
    </cfRule>
  </conditionalFormatting>
  <conditionalFormatting sqref="P184">
    <cfRule type="cellIs" dxfId="3654" priority="6068" stopIfTrue="1" operator="equal">
      <formula>1</formula>
    </cfRule>
    <cfRule type="cellIs" dxfId="3653" priority="6077" stopIfTrue="1" operator="equal">
      <formula>2</formula>
    </cfRule>
    <cfRule type="cellIs" dxfId="3652" priority="6078" stopIfTrue="1" operator="equal">
      <formula>"X"</formula>
    </cfRule>
  </conditionalFormatting>
  <conditionalFormatting sqref="GU184">
    <cfRule type="cellIs" dxfId="3651" priority="6070" stopIfTrue="1" operator="equal">
      <formula>0</formula>
    </cfRule>
    <cfRule type="cellIs" dxfId="3650" priority="6071" stopIfTrue="1" operator="notEqual">
      <formula>0</formula>
    </cfRule>
  </conditionalFormatting>
  <conditionalFormatting sqref="GV184">
    <cfRule type="cellIs" dxfId="3649" priority="6069" stopIfTrue="1" operator="equal">
      <formula>"STOP"</formula>
    </cfRule>
  </conditionalFormatting>
  <conditionalFormatting sqref="Q185">
    <cfRule type="cellIs" dxfId="3648" priority="6063" stopIfTrue="1" operator="equal">
      <formula>"SIM"</formula>
    </cfRule>
    <cfRule type="cellIs" dxfId="3647" priority="6064" stopIfTrue="1" operator="equal">
      <formula>"NÃO"</formula>
    </cfRule>
  </conditionalFormatting>
  <conditionalFormatting sqref="BF185 CJ185 DO185">
    <cfRule type="cellIs" dxfId="3646" priority="6059" stopIfTrue="1" operator="equal">
      <formula>0</formula>
    </cfRule>
    <cfRule type="cellIs" dxfId="3645" priority="6065" stopIfTrue="1" operator="notEqual">
      <formula>0</formula>
    </cfRule>
  </conditionalFormatting>
  <conditionalFormatting sqref="C185:D185">
    <cfRule type="expression" dxfId="3644" priority="6062" stopIfTrue="1">
      <formula>IF(AND($C185&lt;&gt;"",$H185+$L185=0),TRUE)</formula>
    </cfRule>
  </conditionalFormatting>
  <conditionalFormatting sqref="P185">
    <cfRule type="cellIs" dxfId="3643" priority="6051" stopIfTrue="1" operator="equal">
      <formula>1</formula>
    </cfRule>
    <cfRule type="cellIs" dxfId="3642" priority="6060" stopIfTrue="1" operator="equal">
      <formula>2</formula>
    </cfRule>
    <cfRule type="cellIs" dxfId="3641" priority="6061" stopIfTrue="1" operator="equal">
      <formula>"X"</formula>
    </cfRule>
  </conditionalFormatting>
  <conditionalFormatting sqref="GU185">
    <cfRule type="cellIs" dxfId="3640" priority="6053" stopIfTrue="1" operator="equal">
      <formula>0</formula>
    </cfRule>
    <cfRule type="cellIs" dxfId="3639" priority="6054" stopIfTrue="1" operator="notEqual">
      <formula>0</formula>
    </cfRule>
  </conditionalFormatting>
  <conditionalFormatting sqref="GV185">
    <cfRule type="cellIs" dxfId="3638" priority="6052" stopIfTrue="1" operator="equal">
      <formula>"STOP"</formula>
    </cfRule>
  </conditionalFormatting>
  <conditionalFormatting sqref="Q186">
    <cfRule type="cellIs" dxfId="3637" priority="6046" stopIfTrue="1" operator="equal">
      <formula>"SIM"</formula>
    </cfRule>
    <cfRule type="cellIs" dxfId="3636" priority="6047" stopIfTrue="1" operator="equal">
      <formula>"NÃO"</formula>
    </cfRule>
  </conditionalFormatting>
  <conditionalFormatting sqref="BF186 CJ186 DO186">
    <cfRule type="cellIs" dxfId="3635" priority="6042" stopIfTrue="1" operator="equal">
      <formula>0</formula>
    </cfRule>
    <cfRule type="cellIs" dxfId="3634" priority="6048" stopIfTrue="1" operator="notEqual">
      <formula>0</formula>
    </cfRule>
  </conditionalFormatting>
  <conditionalFormatting sqref="C186:D186">
    <cfRule type="expression" dxfId="3633" priority="6045" stopIfTrue="1">
      <formula>IF(AND($C186&lt;&gt;"",$H186+$L186=0),TRUE)</formula>
    </cfRule>
  </conditionalFormatting>
  <conditionalFormatting sqref="P186">
    <cfRule type="cellIs" dxfId="3632" priority="6034" stopIfTrue="1" operator="equal">
      <formula>1</formula>
    </cfRule>
    <cfRule type="cellIs" dxfId="3631" priority="6043" stopIfTrue="1" operator="equal">
      <formula>2</formula>
    </cfRule>
    <cfRule type="cellIs" dxfId="3630" priority="6044" stopIfTrue="1" operator="equal">
      <formula>"X"</formula>
    </cfRule>
  </conditionalFormatting>
  <conditionalFormatting sqref="GU186">
    <cfRule type="cellIs" dxfId="3629" priority="6036" stopIfTrue="1" operator="equal">
      <formula>0</formula>
    </cfRule>
    <cfRule type="cellIs" dxfId="3628" priority="6037" stopIfTrue="1" operator="notEqual">
      <formula>0</formula>
    </cfRule>
  </conditionalFormatting>
  <conditionalFormatting sqref="GV186">
    <cfRule type="cellIs" dxfId="3627" priority="6035" stopIfTrue="1" operator="equal">
      <formula>"STOP"</formula>
    </cfRule>
  </conditionalFormatting>
  <conditionalFormatting sqref="Q182">
    <cfRule type="cellIs" dxfId="3626" priority="5995" stopIfTrue="1" operator="equal">
      <formula>"SIM"</formula>
    </cfRule>
    <cfRule type="cellIs" dxfId="3625" priority="5996" stopIfTrue="1" operator="equal">
      <formula>"NÃO"</formula>
    </cfRule>
  </conditionalFormatting>
  <conditionalFormatting sqref="BF182 CJ182 DO182">
    <cfRule type="cellIs" dxfId="3624" priority="5991" stopIfTrue="1" operator="equal">
      <formula>0</formula>
    </cfRule>
    <cfRule type="cellIs" dxfId="3623" priority="5997" stopIfTrue="1" operator="notEqual">
      <formula>0</formula>
    </cfRule>
  </conditionalFormatting>
  <conditionalFormatting sqref="C182:D182">
    <cfRule type="expression" dxfId="3622" priority="5994" stopIfTrue="1">
      <formula>IF(AND($C182&lt;&gt;"",$H182+$L182=0),TRUE)</formula>
    </cfRule>
  </conditionalFormatting>
  <conditionalFormatting sqref="P182">
    <cfRule type="cellIs" dxfId="3621" priority="5983" stopIfTrue="1" operator="equal">
      <formula>1</formula>
    </cfRule>
    <cfRule type="cellIs" dxfId="3620" priority="5992" stopIfTrue="1" operator="equal">
      <formula>2</formula>
    </cfRule>
    <cfRule type="cellIs" dxfId="3619" priority="5993" stopIfTrue="1" operator="equal">
      <formula>"X"</formula>
    </cfRule>
  </conditionalFormatting>
  <conditionalFormatting sqref="GU182">
    <cfRule type="cellIs" dxfId="3618" priority="5985" stopIfTrue="1" operator="equal">
      <formula>0</formula>
    </cfRule>
    <cfRule type="cellIs" dxfId="3617" priority="5986" stopIfTrue="1" operator="notEqual">
      <formula>0</formula>
    </cfRule>
  </conditionalFormatting>
  <conditionalFormatting sqref="GV182">
    <cfRule type="cellIs" dxfId="3616" priority="5984" stopIfTrue="1" operator="equal">
      <formula>"STOP"</formula>
    </cfRule>
  </conditionalFormatting>
  <conditionalFormatting sqref="Q183">
    <cfRule type="cellIs" dxfId="3615" priority="5978" stopIfTrue="1" operator="equal">
      <formula>"SIM"</formula>
    </cfRule>
    <cfRule type="cellIs" dxfId="3614" priority="5979" stopIfTrue="1" operator="equal">
      <formula>"NÃO"</formula>
    </cfRule>
  </conditionalFormatting>
  <conditionalFormatting sqref="BF183 CJ183 DO183">
    <cfRule type="cellIs" dxfId="3613" priority="5974" stopIfTrue="1" operator="equal">
      <formula>0</formula>
    </cfRule>
    <cfRule type="cellIs" dxfId="3612" priority="5980" stopIfTrue="1" operator="notEqual">
      <formula>0</formula>
    </cfRule>
  </conditionalFormatting>
  <conditionalFormatting sqref="C183:D183">
    <cfRule type="expression" dxfId="3611" priority="5977" stopIfTrue="1">
      <formula>IF(AND($C183&lt;&gt;"",$H183+$L183=0),TRUE)</formula>
    </cfRule>
  </conditionalFormatting>
  <conditionalFormatting sqref="P183">
    <cfRule type="cellIs" dxfId="3610" priority="5966" stopIfTrue="1" operator="equal">
      <formula>1</formula>
    </cfRule>
    <cfRule type="cellIs" dxfId="3609" priority="5975" stopIfTrue="1" operator="equal">
      <formula>2</formula>
    </cfRule>
    <cfRule type="cellIs" dxfId="3608" priority="5976" stopIfTrue="1" operator="equal">
      <formula>"X"</formula>
    </cfRule>
  </conditionalFormatting>
  <conditionalFormatting sqref="GU183">
    <cfRule type="cellIs" dxfId="3607" priority="5968" stopIfTrue="1" operator="equal">
      <formula>0</formula>
    </cfRule>
    <cfRule type="cellIs" dxfId="3606" priority="5969" stopIfTrue="1" operator="notEqual">
      <formula>0</formula>
    </cfRule>
  </conditionalFormatting>
  <conditionalFormatting sqref="GV183">
    <cfRule type="cellIs" dxfId="3605" priority="5967" stopIfTrue="1" operator="equal">
      <formula>"STOP"</formula>
    </cfRule>
  </conditionalFormatting>
  <conditionalFormatting sqref="Q181">
    <cfRule type="cellIs" dxfId="3604" priority="5961" stopIfTrue="1" operator="equal">
      <formula>"SIM"</formula>
    </cfRule>
    <cfRule type="cellIs" dxfId="3603" priority="5962" stopIfTrue="1" operator="equal">
      <formula>"NÃO"</formula>
    </cfRule>
  </conditionalFormatting>
  <conditionalFormatting sqref="BF181 CJ181 DO181">
    <cfRule type="cellIs" dxfId="3602" priority="5957" stopIfTrue="1" operator="equal">
      <formula>0</formula>
    </cfRule>
    <cfRule type="cellIs" dxfId="3601" priority="5963" stopIfTrue="1" operator="notEqual">
      <formula>0</formula>
    </cfRule>
  </conditionalFormatting>
  <conditionalFormatting sqref="C181:D181">
    <cfRule type="expression" dxfId="3600" priority="5960" stopIfTrue="1">
      <formula>IF(AND($C181&lt;&gt;"",$H181+$L181=0),TRUE)</formula>
    </cfRule>
  </conditionalFormatting>
  <conditionalFormatting sqref="P181">
    <cfRule type="cellIs" dxfId="3599" priority="5949" stopIfTrue="1" operator="equal">
      <formula>1</formula>
    </cfRule>
    <cfRule type="cellIs" dxfId="3598" priority="5958" stopIfTrue="1" operator="equal">
      <formula>2</formula>
    </cfRule>
    <cfRule type="cellIs" dxfId="3597" priority="5959" stopIfTrue="1" operator="equal">
      <formula>"X"</formula>
    </cfRule>
  </conditionalFormatting>
  <conditionalFormatting sqref="GU181">
    <cfRule type="cellIs" dxfId="3596" priority="5951" stopIfTrue="1" operator="equal">
      <formula>0</formula>
    </cfRule>
    <cfRule type="cellIs" dxfId="3595" priority="5952" stopIfTrue="1" operator="notEqual">
      <formula>0</formula>
    </cfRule>
  </conditionalFormatting>
  <conditionalFormatting sqref="GV181">
    <cfRule type="cellIs" dxfId="3594" priority="5950" stopIfTrue="1" operator="equal">
      <formula>"STOP"</formula>
    </cfRule>
  </conditionalFormatting>
  <conditionalFormatting sqref="Q182">
    <cfRule type="cellIs" dxfId="3593" priority="5944" stopIfTrue="1" operator="equal">
      <formula>"SIM"</formula>
    </cfRule>
    <cfRule type="cellIs" dxfId="3592" priority="5945" stopIfTrue="1" operator="equal">
      <formula>"NÃO"</formula>
    </cfRule>
  </conditionalFormatting>
  <conditionalFormatting sqref="BF182 CJ182 DO182">
    <cfRule type="cellIs" dxfId="3591" priority="5940" stopIfTrue="1" operator="equal">
      <formula>0</formula>
    </cfRule>
    <cfRule type="cellIs" dxfId="3590" priority="5946" stopIfTrue="1" operator="notEqual">
      <formula>0</formula>
    </cfRule>
  </conditionalFormatting>
  <conditionalFormatting sqref="C182:D182">
    <cfRule type="expression" dxfId="3589" priority="5943" stopIfTrue="1">
      <formula>IF(AND($C182&lt;&gt;"",$H182+$L182=0),TRUE)</formula>
    </cfRule>
  </conditionalFormatting>
  <conditionalFormatting sqref="P182">
    <cfRule type="cellIs" dxfId="3588" priority="5932" stopIfTrue="1" operator="equal">
      <formula>1</formula>
    </cfRule>
    <cfRule type="cellIs" dxfId="3587" priority="5941" stopIfTrue="1" operator="equal">
      <formula>2</formula>
    </cfRule>
    <cfRule type="cellIs" dxfId="3586" priority="5942" stopIfTrue="1" operator="equal">
      <formula>"X"</formula>
    </cfRule>
  </conditionalFormatting>
  <conditionalFormatting sqref="GU182">
    <cfRule type="cellIs" dxfId="3585" priority="5934" stopIfTrue="1" operator="equal">
      <formula>0</formula>
    </cfRule>
    <cfRule type="cellIs" dxfId="3584" priority="5935" stopIfTrue="1" operator="notEqual">
      <formula>0</formula>
    </cfRule>
  </conditionalFormatting>
  <conditionalFormatting sqref="GV182">
    <cfRule type="cellIs" dxfId="3583" priority="5933" stopIfTrue="1" operator="equal">
      <formula>"STOP"</formula>
    </cfRule>
  </conditionalFormatting>
  <conditionalFormatting sqref="Q183">
    <cfRule type="cellIs" dxfId="3582" priority="5927" stopIfTrue="1" operator="equal">
      <formula>"SIM"</formula>
    </cfRule>
    <cfRule type="cellIs" dxfId="3581" priority="5928" stopIfTrue="1" operator="equal">
      <formula>"NÃO"</formula>
    </cfRule>
  </conditionalFormatting>
  <conditionalFormatting sqref="BF183 CJ183 DO183">
    <cfRule type="cellIs" dxfId="3580" priority="5923" stopIfTrue="1" operator="equal">
      <formula>0</formula>
    </cfRule>
    <cfRule type="cellIs" dxfId="3579" priority="5929" stopIfTrue="1" operator="notEqual">
      <formula>0</formula>
    </cfRule>
  </conditionalFormatting>
  <conditionalFormatting sqref="C183:D183">
    <cfRule type="expression" dxfId="3578" priority="5926" stopIfTrue="1">
      <formula>IF(AND($C183&lt;&gt;"",$H183+$L183=0),TRUE)</formula>
    </cfRule>
  </conditionalFormatting>
  <conditionalFormatting sqref="P183">
    <cfRule type="cellIs" dxfId="3577" priority="5915" stopIfTrue="1" operator="equal">
      <formula>1</formula>
    </cfRule>
    <cfRule type="cellIs" dxfId="3576" priority="5924" stopIfTrue="1" operator="equal">
      <formula>2</formula>
    </cfRule>
    <cfRule type="cellIs" dxfId="3575" priority="5925" stopIfTrue="1" operator="equal">
      <formula>"X"</formula>
    </cfRule>
  </conditionalFormatting>
  <conditionalFormatting sqref="GU183">
    <cfRule type="cellIs" dxfId="3574" priority="5917" stopIfTrue="1" operator="equal">
      <formula>0</formula>
    </cfRule>
    <cfRule type="cellIs" dxfId="3573" priority="5918" stopIfTrue="1" operator="notEqual">
      <formula>0</formula>
    </cfRule>
  </conditionalFormatting>
  <conditionalFormatting sqref="GV183">
    <cfRule type="cellIs" dxfId="3572" priority="5916" stopIfTrue="1" operator="equal">
      <formula>"STOP"</formula>
    </cfRule>
  </conditionalFormatting>
  <conditionalFormatting sqref="Q183">
    <cfRule type="cellIs" dxfId="3571" priority="5876" stopIfTrue="1" operator="equal">
      <formula>"SIM"</formula>
    </cfRule>
    <cfRule type="cellIs" dxfId="3570" priority="5877" stopIfTrue="1" operator="equal">
      <formula>"NÃO"</formula>
    </cfRule>
  </conditionalFormatting>
  <conditionalFormatting sqref="BF183 CJ183 DO183">
    <cfRule type="cellIs" dxfId="3569" priority="5872" stopIfTrue="1" operator="equal">
      <formula>0</formula>
    </cfRule>
    <cfRule type="cellIs" dxfId="3568" priority="5878" stopIfTrue="1" operator="notEqual">
      <formula>0</formula>
    </cfRule>
  </conditionalFormatting>
  <conditionalFormatting sqref="C183:D183">
    <cfRule type="expression" dxfId="3567" priority="5875" stopIfTrue="1">
      <formula>IF(AND($C183&lt;&gt;"",$H183+$L183=0),TRUE)</formula>
    </cfRule>
  </conditionalFormatting>
  <conditionalFormatting sqref="P183">
    <cfRule type="cellIs" dxfId="3566" priority="5864" stopIfTrue="1" operator="equal">
      <formula>1</formula>
    </cfRule>
    <cfRule type="cellIs" dxfId="3565" priority="5873" stopIfTrue="1" operator="equal">
      <formula>2</formula>
    </cfRule>
    <cfRule type="cellIs" dxfId="3564" priority="5874" stopIfTrue="1" operator="equal">
      <formula>"X"</formula>
    </cfRule>
  </conditionalFormatting>
  <conditionalFormatting sqref="GU183">
    <cfRule type="cellIs" dxfId="3563" priority="5866" stopIfTrue="1" operator="equal">
      <formula>0</formula>
    </cfRule>
    <cfRule type="cellIs" dxfId="3562" priority="5867" stopIfTrue="1" operator="notEqual">
      <formula>0</formula>
    </cfRule>
  </conditionalFormatting>
  <conditionalFormatting sqref="GV183">
    <cfRule type="cellIs" dxfId="3561" priority="5865" stopIfTrue="1" operator="equal">
      <formula>"STOP"</formula>
    </cfRule>
  </conditionalFormatting>
  <conditionalFormatting sqref="Q182">
    <cfRule type="cellIs" dxfId="3560" priority="5825" stopIfTrue="1" operator="equal">
      <formula>"SIM"</formula>
    </cfRule>
    <cfRule type="cellIs" dxfId="3559" priority="5826" stopIfTrue="1" operator="equal">
      <formula>"NÃO"</formula>
    </cfRule>
  </conditionalFormatting>
  <conditionalFormatting sqref="BF182 CJ182 DO182">
    <cfRule type="cellIs" dxfId="3558" priority="5821" stopIfTrue="1" operator="equal">
      <formula>0</formula>
    </cfRule>
    <cfRule type="cellIs" dxfId="3557" priority="5827" stopIfTrue="1" operator="notEqual">
      <formula>0</formula>
    </cfRule>
  </conditionalFormatting>
  <conditionalFormatting sqref="C182:D182">
    <cfRule type="expression" dxfId="3556" priority="5824" stopIfTrue="1">
      <formula>IF(AND($C182&lt;&gt;"",$H182+$L182=0),TRUE)</formula>
    </cfRule>
  </conditionalFormatting>
  <conditionalFormatting sqref="P182">
    <cfRule type="cellIs" dxfId="3555" priority="5813" stopIfTrue="1" operator="equal">
      <formula>1</formula>
    </cfRule>
    <cfRule type="cellIs" dxfId="3554" priority="5822" stopIfTrue="1" operator="equal">
      <formula>2</formula>
    </cfRule>
    <cfRule type="cellIs" dxfId="3553" priority="5823" stopIfTrue="1" operator="equal">
      <formula>"X"</formula>
    </cfRule>
  </conditionalFormatting>
  <conditionalFormatting sqref="GU182">
    <cfRule type="cellIs" dxfId="3552" priority="5815" stopIfTrue="1" operator="equal">
      <formula>0</formula>
    </cfRule>
    <cfRule type="cellIs" dxfId="3551" priority="5816" stopIfTrue="1" operator="notEqual">
      <formula>0</formula>
    </cfRule>
  </conditionalFormatting>
  <conditionalFormatting sqref="GV182">
    <cfRule type="cellIs" dxfId="3550" priority="5814" stopIfTrue="1" operator="equal">
      <formula>"STOP"</formula>
    </cfRule>
  </conditionalFormatting>
  <conditionalFormatting sqref="Q185">
    <cfRule type="cellIs" dxfId="3549" priority="5774" stopIfTrue="1" operator="equal">
      <formula>"SIM"</formula>
    </cfRule>
    <cfRule type="cellIs" dxfId="3548" priority="5775" stopIfTrue="1" operator="equal">
      <formula>"NÃO"</formula>
    </cfRule>
  </conditionalFormatting>
  <conditionalFormatting sqref="BF185 CJ185 DO185">
    <cfRule type="cellIs" dxfId="3547" priority="5770" stopIfTrue="1" operator="equal">
      <formula>0</formula>
    </cfRule>
    <cfRule type="cellIs" dxfId="3546" priority="5776" stopIfTrue="1" operator="notEqual">
      <formula>0</formula>
    </cfRule>
  </conditionalFormatting>
  <conditionalFormatting sqref="C185:D185">
    <cfRule type="expression" dxfId="3545" priority="5773" stopIfTrue="1">
      <formula>IF(AND($C185&lt;&gt;"",$H185+$L185=0),TRUE)</formula>
    </cfRule>
  </conditionalFormatting>
  <conditionalFormatting sqref="P185">
    <cfRule type="cellIs" dxfId="3544" priority="5762" stopIfTrue="1" operator="equal">
      <formula>1</formula>
    </cfRule>
    <cfRule type="cellIs" dxfId="3543" priority="5771" stopIfTrue="1" operator="equal">
      <formula>2</formula>
    </cfRule>
    <cfRule type="cellIs" dxfId="3542" priority="5772" stopIfTrue="1" operator="equal">
      <formula>"X"</formula>
    </cfRule>
  </conditionalFormatting>
  <conditionalFormatting sqref="GU185">
    <cfRule type="cellIs" dxfId="3541" priority="5764" stopIfTrue="1" operator="equal">
      <formula>0</formula>
    </cfRule>
    <cfRule type="cellIs" dxfId="3540" priority="5765" stopIfTrue="1" operator="notEqual">
      <formula>0</formula>
    </cfRule>
  </conditionalFormatting>
  <conditionalFormatting sqref="GV185">
    <cfRule type="cellIs" dxfId="3539" priority="5763" stopIfTrue="1" operator="equal">
      <formula>"STOP"</formula>
    </cfRule>
  </conditionalFormatting>
  <conditionalFormatting sqref="Q186">
    <cfRule type="cellIs" dxfId="3538" priority="5757" stopIfTrue="1" operator="equal">
      <formula>"SIM"</formula>
    </cfRule>
    <cfRule type="cellIs" dxfId="3537" priority="5758" stopIfTrue="1" operator="equal">
      <formula>"NÃO"</formula>
    </cfRule>
  </conditionalFormatting>
  <conditionalFormatting sqref="BF186 CJ186 DO186">
    <cfRule type="cellIs" dxfId="3536" priority="5753" stopIfTrue="1" operator="equal">
      <formula>0</formula>
    </cfRule>
    <cfRule type="cellIs" dxfId="3535" priority="5759" stopIfTrue="1" operator="notEqual">
      <formula>0</formula>
    </cfRule>
  </conditionalFormatting>
  <conditionalFormatting sqref="C186:D186">
    <cfRule type="expression" dxfId="3534" priority="5756" stopIfTrue="1">
      <formula>IF(AND($C186&lt;&gt;"",$H186+$L186=0),TRUE)</formula>
    </cfRule>
  </conditionalFormatting>
  <conditionalFormatting sqref="P186">
    <cfRule type="cellIs" dxfId="3533" priority="5745" stopIfTrue="1" operator="equal">
      <formula>1</formula>
    </cfRule>
    <cfRule type="cellIs" dxfId="3532" priority="5754" stopIfTrue="1" operator="equal">
      <formula>2</formula>
    </cfRule>
    <cfRule type="cellIs" dxfId="3531" priority="5755" stopIfTrue="1" operator="equal">
      <formula>"X"</formula>
    </cfRule>
  </conditionalFormatting>
  <conditionalFormatting sqref="GU186">
    <cfRule type="cellIs" dxfId="3530" priority="5747" stopIfTrue="1" operator="equal">
      <formula>0</formula>
    </cfRule>
    <cfRule type="cellIs" dxfId="3529" priority="5748" stopIfTrue="1" operator="notEqual">
      <formula>0</formula>
    </cfRule>
  </conditionalFormatting>
  <conditionalFormatting sqref="GV186">
    <cfRule type="cellIs" dxfId="3528" priority="5746" stopIfTrue="1" operator="equal">
      <formula>"STOP"</formula>
    </cfRule>
  </conditionalFormatting>
  <conditionalFormatting sqref="Q184">
    <cfRule type="cellIs" dxfId="3527" priority="5706" stopIfTrue="1" operator="equal">
      <formula>"SIM"</formula>
    </cfRule>
    <cfRule type="cellIs" dxfId="3526" priority="5707" stopIfTrue="1" operator="equal">
      <formula>"NÃO"</formula>
    </cfRule>
  </conditionalFormatting>
  <conditionalFormatting sqref="BF184 CJ184 DO184">
    <cfRule type="cellIs" dxfId="3525" priority="5702" stopIfTrue="1" operator="equal">
      <formula>0</formula>
    </cfRule>
    <cfRule type="cellIs" dxfId="3524" priority="5708" stopIfTrue="1" operator="notEqual">
      <formula>0</formula>
    </cfRule>
  </conditionalFormatting>
  <conditionalFormatting sqref="C184:D184">
    <cfRule type="expression" dxfId="3523" priority="5705" stopIfTrue="1">
      <formula>IF(AND($C184&lt;&gt;"",$H184+$L184=0),TRUE)</formula>
    </cfRule>
  </conditionalFormatting>
  <conditionalFormatting sqref="P184">
    <cfRule type="cellIs" dxfId="3522" priority="5694" stopIfTrue="1" operator="equal">
      <formula>1</formula>
    </cfRule>
    <cfRule type="cellIs" dxfId="3521" priority="5703" stopIfTrue="1" operator="equal">
      <formula>2</formula>
    </cfRule>
    <cfRule type="cellIs" dxfId="3520" priority="5704" stopIfTrue="1" operator="equal">
      <formula>"X"</formula>
    </cfRule>
  </conditionalFormatting>
  <conditionalFormatting sqref="GU184">
    <cfRule type="cellIs" dxfId="3519" priority="5696" stopIfTrue="1" operator="equal">
      <formula>0</formula>
    </cfRule>
    <cfRule type="cellIs" dxfId="3518" priority="5697" stopIfTrue="1" operator="notEqual">
      <formula>0</formula>
    </cfRule>
  </conditionalFormatting>
  <conditionalFormatting sqref="GV184">
    <cfRule type="cellIs" dxfId="3517" priority="5695" stopIfTrue="1" operator="equal">
      <formula>"STOP"</formula>
    </cfRule>
  </conditionalFormatting>
  <conditionalFormatting sqref="Q182">
    <cfRule type="cellIs" dxfId="3516" priority="5689" stopIfTrue="1" operator="equal">
      <formula>"SIM"</formula>
    </cfRule>
    <cfRule type="cellIs" dxfId="3515" priority="5690" stopIfTrue="1" operator="equal">
      <formula>"NÃO"</formula>
    </cfRule>
  </conditionalFormatting>
  <conditionalFormatting sqref="BF182 CJ182 DO182">
    <cfRule type="cellIs" dxfId="3514" priority="5685" stopIfTrue="1" operator="equal">
      <formula>0</formula>
    </cfRule>
    <cfRule type="cellIs" dxfId="3513" priority="5691" stopIfTrue="1" operator="notEqual">
      <formula>0</formula>
    </cfRule>
  </conditionalFormatting>
  <conditionalFormatting sqref="C182:D182">
    <cfRule type="expression" dxfId="3512" priority="5688" stopIfTrue="1">
      <formula>IF(AND($C182&lt;&gt;"",$H182+$L182=0),TRUE)</formula>
    </cfRule>
  </conditionalFormatting>
  <conditionalFormatting sqref="P182">
    <cfRule type="cellIs" dxfId="3511" priority="5677" stopIfTrue="1" operator="equal">
      <formula>1</formula>
    </cfRule>
    <cfRule type="cellIs" dxfId="3510" priority="5686" stopIfTrue="1" operator="equal">
      <formula>2</formula>
    </cfRule>
    <cfRule type="cellIs" dxfId="3509" priority="5687" stopIfTrue="1" operator="equal">
      <formula>"X"</formula>
    </cfRule>
  </conditionalFormatting>
  <conditionalFormatting sqref="GU182">
    <cfRule type="cellIs" dxfId="3508" priority="5679" stopIfTrue="1" operator="equal">
      <formula>0</formula>
    </cfRule>
    <cfRule type="cellIs" dxfId="3507" priority="5680" stopIfTrue="1" operator="notEqual">
      <formula>0</formula>
    </cfRule>
  </conditionalFormatting>
  <conditionalFormatting sqref="GV182">
    <cfRule type="cellIs" dxfId="3506" priority="5678" stopIfTrue="1" operator="equal">
      <formula>"STOP"</formula>
    </cfRule>
  </conditionalFormatting>
  <conditionalFormatting sqref="Q183">
    <cfRule type="cellIs" dxfId="3505" priority="5672" stopIfTrue="1" operator="equal">
      <formula>"SIM"</formula>
    </cfRule>
    <cfRule type="cellIs" dxfId="3504" priority="5673" stopIfTrue="1" operator="equal">
      <formula>"NÃO"</formula>
    </cfRule>
  </conditionalFormatting>
  <conditionalFormatting sqref="BF183 CJ183 DO183">
    <cfRule type="cellIs" dxfId="3503" priority="5668" stopIfTrue="1" operator="equal">
      <formula>0</formula>
    </cfRule>
    <cfRule type="cellIs" dxfId="3502" priority="5674" stopIfTrue="1" operator="notEqual">
      <formula>0</formula>
    </cfRule>
  </conditionalFormatting>
  <conditionalFormatting sqref="C183:D183">
    <cfRule type="expression" dxfId="3501" priority="5671" stopIfTrue="1">
      <formula>IF(AND($C183&lt;&gt;"",$H183+$L183=0),TRUE)</formula>
    </cfRule>
  </conditionalFormatting>
  <conditionalFormatting sqref="P183">
    <cfRule type="cellIs" dxfId="3500" priority="5660" stopIfTrue="1" operator="equal">
      <formula>1</formula>
    </cfRule>
    <cfRule type="cellIs" dxfId="3499" priority="5669" stopIfTrue="1" operator="equal">
      <formula>2</formula>
    </cfRule>
    <cfRule type="cellIs" dxfId="3498" priority="5670" stopIfTrue="1" operator="equal">
      <formula>"X"</formula>
    </cfRule>
  </conditionalFormatting>
  <conditionalFormatting sqref="GU183">
    <cfRule type="cellIs" dxfId="3497" priority="5662" stopIfTrue="1" operator="equal">
      <formula>0</formula>
    </cfRule>
    <cfRule type="cellIs" dxfId="3496" priority="5663" stopIfTrue="1" operator="notEqual">
      <formula>0</formula>
    </cfRule>
  </conditionalFormatting>
  <conditionalFormatting sqref="GV183">
    <cfRule type="cellIs" dxfId="3495" priority="5661" stopIfTrue="1" operator="equal">
      <formula>"STOP"</formula>
    </cfRule>
  </conditionalFormatting>
  <conditionalFormatting sqref="Q183">
    <cfRule type="cellIs" dxfId="3494" priority="5621" stopIfTrue="1" operator="equal">
      <formula>"SIM"</formula>
    </cfRule>
    <cfRule type="cellIs" dxfId="3493" priority="5622" stopIfTrue="1" operator="equal">
      <formula>"NÃO"</formula>
    </cfRule>
  </conditionalFormatting>
  <conditionalFormatting sqref="BF183 CJ183 DO183">
    <cfRule type="cellIs" dxfId="3492" priority="5617" stopIfTrue="1" operator="equal">
      <formula>0</formula>
    </cfRule>
    <cfRule type="cellIs" dxfId="3491" priority="5623" stopIfTrue="1" operator="notEqual">
      <formula>0</formula>
    </cfRule>
  </conditionalFormatting>
  <conditionalFormatting sqref="C183:D183">
    <cfRule type="expression" dxfId="3490" priority="5620" stopIfTrue="1">
      <formula>IF(AND($C183&lt;&gt;"",$H183+$L183=0),TRUE)</formula>
    </cfRule>
  </conditionalFormatting>
  <conditionalFormatting sqref="P183">
    <cfRule type="cellIs" dxfId="3489" priority="5609" stopIfTrue="1" operator="equal">
      <formula>1</formula>
    </cfRule>
    <cfRule type="cellIs" dxfId="3488" priority="5618" stopIfTrue="1" operator="equal">
      <formula>2</formula>
    </cfRule>
    <cfRule type="cellIs" dxfId="3487" priority="5619" stopIfTrue="1" operator="equal">
      <formula>"X"</formula>
    </cfRule>
  </conditionalFormatting>
  <conditionalFormatting sqref="GU183">
    <cfRule type="cellIs" dxfId="3486" priority="5611" stopIfTrue="1" operator="equal">
      <formula>0</formula>
    </cfRule>
    <cfRule type="cellIs" dxfId="3485" priority="5612" stopIfTrue="1" operator="notEqual">
      <formula>0</formula>
    </cfRule>
  </conditionalFormatting>
  <conditionalFormatting sqref="GV183">
    <cfRule type="cellIs" dxfId="3484" priority="5610" stopIfTrue="1" operator="equal">
      <formula>"STOP"</formula>
    </cfRule>
  </conditionalFormatting>
  <conditionalFormatting sqref="Q181">
    <cfRule type="cellIs" dxfId="3483" priority="5570" stopIfTrue="1" operator="equal">
      <formula>"SIM"</formula>
    </cfRule>
    <cfRule type="cellIs" dxfId="3482" priority="5571" stopIfTrue="1" operator="equal">
      <formula>"NÃO"</formula>
    </cfRule>
  </conditionalFormatting>
  <conditionalFormatting sqref="BF181 CJ181 DO181">
    <cfRule type="cellIs" dxfId="3481" priority="5566" stopIfTrue="1" operator="equal">
      <formula>0</formula>
    </cfRule>
    <cfRule type="cellIs" dxfId="3480" priority="5572" stopIfTrue="1" operator="notEqual">
      <formula>0</formula>
    </cfRule>
  </conditionalFormatting>
  <conditionalFormatting sqref="C181:D181">
    <cfRule type="expression" dxfId="3479" priority="5569" stopIfTrue="1">
      <formula>IF(AND($C181&lt;&gt;"",$H181+$L181=0),TRUE)</formula>
    </cfRule>
  </conditionalFormatting>
  <conditionalFormatting sqref="P181">
    <cfRule type="cellIs" dxfId="3478" priority="5558" stopIfTrue="1" operator="equal">
      <formula>1</formula>
    </cfRule>
    <cfRule type="cellIs" dxfId="3477" priority="5567" stopIfTrue="1" operator="equal">
      <formula>2</formula>
    </cfRule>
    <cfRule type="cellIs" dxfId="3476" priority="5568" stopIfTrue="1" operator="equal">
      <formula>"X"</formula>
    </cfRule>
  </conditionalFormatting>
  <conditionalFormatting sqref="GU181">
    <cfRule type="cellIs" dxfId="3475" priority="5560" stopIfTrue="1" operator="equal">
      <formula>0</formula>
    </cfRule>
    <cfRule type="cellIs" dxfId="3474" priority="5561" stopIfTrue="1" operator="notEqual">
      <formula>0</formula>
    </cfRule>
  </conditionalFormatting>
  <conditionalFormatting sqref="GV181">
    <cfRule type="cellIs" dxfId="3473" priority="5559" stopIfTrue="1" operator="equal">
      <formula>"STOP"</formula>
    </cfRule>
  </conditionalFormatting>
  <conditionalFormatting sqref="Q182">
    <cfRule type="cellIs" dxfId="3472" priority="5553" stopIfTrue="1" operator="equal">
      <formula>"SIM"</formula>
    </cfRule>
    <cfRule type="cellIs" dxfId="3471" priority="5554" stopIfTrue="1" operator="equal">
      <formula>"NÃO"</formula>
    </cfRule>
  </conditionalFormatting>
  <conditionalFormatting sqref="BF182 CJ182 DO182">
    <cfRule type="cellIs" dxfId="3470" priority="5549" stopIfTrue="1" operator="equal">
      <formula>0</formula>
    </cfRule>
    <cfRule type="cellIs" dxfId="3469" priority="5555" stopIfTrue="1" operator="notEqual">
      <formula>0</formula>
    </cfRule>
  </conditionalFormatting>
  <conditionalFormatting sqref="C182:D182">
    <cfRule type="expression" dxfId="3468" priority="5552" stopIfTrue="1">
      <formula>IF(AND($C182&lt;&gt;"",$H182+$L182=0),TRUE)</formula>
    </cfRule>
  </conditionalFormatting>
  <conditionalFormatting sqref="P182">
    <cfRule type="cellIs" dxfId="3467" priority="5541" stopIfTrue="1" operator="equal">
      <formula>1</formula>
    </cfRule>
    <cfRule type="cellIs" dxfId="3466" priority="5550" stopIfTrue="1" operator="equal">
      <formula>2</formula>
    </cfRule>
    <cfRule type="cellIs" dxfId="3465" priority="5551" stopIfTrue="1" operator="equal">
      <formula>"X"</formula>
    </cfRule>
  </conditionalFormatting>
  <conditionalFormatting sqref="GU182">
    <cfRule type="cellIs" dxfId="3464" priority="5543" stopIfTrue="1" operator="equal">
      <formula>0</formula>
    </cfRule>
    <cfRule type="cellIs" dxfId="3463" priority="5544" stopIfTrue="1" operator="notEqual">
      <formula>0</formula>
    </cfRule>
  </conditionalFormatting>
  <conditionalFormatting sqref="GV182">
    <cfRule type="cellIs" dxfId="3462" priority="5542" stopIfTrue="1" operator="equal">
      <formula>"STOP"</formula>
    </cfRule>
  </conditionalFormatting>
  <conditionalFormatting sqref="Q184">
    <cfRule type="cellIs" dxfId="3461" priority="5519" stopIfTrue="1" operator="equal">
      <formula>"SIM"</formula>
    </cfRule>
    <cfRule type="cellIs" dxfId="3460" priority="5520" stopIfTrue="1" operator="equal">
      <formula>"NÃO"</formula>
    </cfRule>
  </conditionalFormatting>
  <conditionalFormatting sqref="BF184 CJ184 DO184">
    <cfRule type="cellIs" dxfId="3459" priority="5515" stopIfTrue="1" operator="equal">
      <formula>0</formula>
    </cfRule>
    <cfRule type="cellIs" dxfId="3458" priority="5521" stopIfTrue="1" operator="notEqual">
      <formula>0</formula>
    </cfRule>
  </conditionalFormatting>
  <conditionalFormatting sqref="C184:D184">
    <cfRule type="expression" dxfId="3457" priority="5518" stopIfTrue="1">
      <formula>IF(AND($C184&lt;&gt;"",$H184+$L184=0),TRUE)</formula>
    </cfRule>
  </conditionalFormatting>
  <conditionalFormatting sqref="P184">
    <cfRule type="cellIs" dxfId="3456" priority="5507" stopIfTrue="1" operator="equal">
      <formula>1</formula>
    </cfRule>
    <cfRule type="cellIs" dxfId="3455" priority="5516" stopIfTrue="1" operator="equal">
      <formula>2</formula>
    </cfRule>
    <cfRule type="cellIs" dxfId="3454" priority="5517" stopIfTrue="1" operator="equal">
      <formula>"X"</formula>
    </cfRule>
  </conditionalFormatting>
  <conditionalFormatting sqref="GU184">
    <cfRule type="cellIs" dxfId="3453" priority="5509" stopIfTrue="1" operator="equal">
      <formula>0</formula>
    </cfRule>
    <cfRule type="cellIs" dxfId="3452" priority="5510" stopIfTrue="1" operator="notEqual">
      <formula>0</formula>
    </cfRule>
  </conditionalFormatting>
  <conditionalFormatting sqref="GV184">
    <cfRule type="cellIs" dxfId="3451" priority="5508" stopIfTrue="1" operator="equal">
      <formula>"STOP"</formula>
    </cfRule>
  </conditionalFormatting>
  <conditionalFormatting sqref="Q185">
    <cfRule type="cellIs" dxfId="3450" priority="5502" stopIfTrue="1" operator="equal">
      <formula>"SIM"</formula>
    </cfRule>
    <cfRule type="cellIs" dxfId="3449" priority="5503" stopIfTrue="1" operator="equal">
      <formula>"NÃO"</formula>
    </cfRule>
  </conditionalFormatting>
  <conditionalFormatting sqref="BF185 CJ185 DO185">
    <cfRule type="cellIs" dxfId="3448" priority="5498" stopIfTrue="1" operator="equal">
      <formula>0</formula>
    </cfRule>
    <cfRule type="cellIs" dxfId="3447" priority="5504" stopIfTrue="1" operator="notEqual">
      <formula>0</formula>
    </cfRule>
  </conditionalFormatting>
  <conditionalFormatting sqref="C185:D185">
    <cfRule type="expression" dxfId="3446" priority="5501" stopIfTrue="1">
      <formula>IF(AND($C185&lt;&gt;"",$H185+$L185=0),TRUE)</formula>
    </cfRule>
  </conditionalFormatting>
  <conditionalFormatting sqref="P185">
    <cfRule type="cellIs" dxfId="3445" priority="5490" stopIfTrue="1" operator="equal">
      <formula>1</formula>
    </cfRule>
    <cfRule type="cellIs" dxfId="3444" priority="5499" stopIfTrue="1" operator="equal">
      <formula>2</formula>
    </cfRule>
    <cfRule type="cellIs" dxfId="3443" priority="5500" stopIfTrue="1" operator="equal">
      <formula>"X"</formula>
    </cfRule>
  </conditionalFormatting>
  <conditionalFormatting sqref="GU185">
    <cfRule type="cellIs" dxfId="3442" priority="5492" stopIfTrue="1" operator="equal">
      <formula>0</formula>
    </cfRule>
    <cfRule type="cellIs" dxfId="3441" priority="5493" stopIfTrue="1" operator="notEqual">
      <formula>0</formula>
    </cfRule>
  </conditionalFormatting>
  <conditionalFormatting sqref="GV185">
    <cfRule type="cellIs" dxfId="3440" priority="5491" stopIfTrue="1" operator="equal">
      <formula>"STOP"</formula>
    </cfRule>
  </conditionalFormatting>
  <conditionalFormatting sqref="Q186">
    <cfRule type="cellIs" dxfId="3439" priority="5485" stopIfTrue="1" operator="equal">
      <formula>"SIM"</formula>
    </cfRule>
    <cfRule type="cellIs" dxfId="3438" priority="5486" stopIfTrue="1" operator="equal">
      <formula>"NÃO"</formula>
    </cfRule>
  </conditionalFormatting>
  <conditionalFormatting sqref="BF186 CJ186 DO186">
    <cfRule type="cellIs" dxfId="3437" priority="5481" stopIfTrue="1" operator="equal">
      <formula>0</formula>
    </cfRule>
    <cfRule type="cellIs" dxfId="3436" priority="5487" stopIfTrue="1" operator="notEqual">
      <formula>0</formula>
    </cfRule>
  </conditionalFormatting>
  <conditionalFormatting sqref="C186:D186">
    <cfRule type="expression" dxfId="3435" priority="5484" stopIfTrue="1">
      <formula>IF(AND($C186&lt;&gt;"",$H186+$L186=0),TRUE)</formula>
    </cfRule>
  </conditionalFormatting>
  <conditionalFormatting sqref="P186">
    <cfRule type="cellIs" dxfId="3434" priority="5473" stopIfTrue="1" operator="equal">
      <formula>1</formula>
    </cfRule>
    <cfRule type="cellIs" dxfId="3433" priority="5482" stopIfTrue="1" operator="equal">
      <formula>2</formula>
    </cfRule>
    <cfRule type="cellIs" dxfId="3432" priority="5483" stopIfTrue="1" operator="equal">
      <formula>"X"</formula>
    </cfRule>
  </conditionalFormatting>
  <conditionalFormatting sqref="GU186">
    <cfRule type="cellIs" dxfId="3431" priority="5475" stopIfTrue="1" operator="equal">
      <formula>0</formula>
    </cfRule>
    <cfRule type="cellIs" dxfId="3430" priority="5476" stopIfTrue="1" operator="notEqual">
      <formula>0</formula>
    </cfRule>
  </conditionalFormatting>
  <conditionalFormatting sqref="GV186">
    <cfRule type="cellIs" dxfId="3429" priority="5474" stopIfTrue="1" operator="equal">
      <formula>"STOP"</formula>
    </cfRule>
  </conditionalFormatting>
  <conditionalFormatting sqref="Q183">
    <cfRule type="cellIs" dxfId="3428" priority="5434" stopIfTrue="1" operator="equal">
      <formula>"SIM"</formula>
    </cfRule>
    <cfRule type="cellIs" dxfId="3427" priority="5435" stopIfTrue="1" operator="equal">
      <formula>"NÃO"</formula>
    </cfRule>
  </conditionalFormatting>
  <conditionalFormatting sqref="BF183 CJ183 DO183">
    <cfRule type="cellIs" dxfId="3426" priority="5430" stopIfTrue="1" operator="equal">
      <formula>0</formula>
    </cfRule>
    <cfRule type="cellIs" dxfId="3425" priority="5436" stopIfTrue="1" operator="notEqual">
      <formula>0</formula>
    </cfRule>
  </conditionalFormatting>
  <conditionalFormatting sqref="C183:D183">
    <cfRule type="expression" dxfId="3424" priority="5433" stopIfTrue="1">
      <formula>IF(AND($C183&lt;&gt;"",$H183+$L183=0),TRUE)</formula>
    </cfRule>
  </conditionalFormatting>
  <conditionalFormatting sqref="P183">
    <cfRule type="cellIs" dxfId="3423" priority="5422" stopIfTrue="1" operator="equal">
      <formula>1</formula>
    </cfRule>
    <cfRule type="cellIs" dxfId="3422" priority="5431" stopIfTrue="1" operator="equal">
      <formula>2</formula>
    </cfRule>
    <cfRule type="cellIs" dxfId="3421" priority="5432" stopIfTrue="1" operator="equal">
      <formula>"X"</formula>
    </cfRule>
  </conditionalFormatting>
  <conditionalFormatting sqref="GU183">
    <cfRule type="cellIs" dxfId="3420" priority="5424" stopIfTrue="1" operator="equal">
      <formula>0</formula>
    </cfRule>
    <cfRule type="cellIs" dxfId="3419" priority="5425" stopIfTrue="1" operator="notEqual">
      <formula>0</formula>
    </cfRule>
  </conditionalFormatting>
  <conditionalFormatting sqref="GV183">
    <cfRule type="cellIs" dxfId="3418" priority="5423" stopIfTrue="1" operator="equal">
      <formula>"STOP"</formula>
    </cfRule>
  </conditionalFormatting>
  <conditionalFormatting sqref="Q184">
    <cfRule type="cellIs" dxfId="3417" priority="5417" stopIfTrue="1" operator="equal">
      <formula>"SIM"</formula>
    </cfRule>
    <cfRule type="cellIs" dxfId="3416" priority="5418" stopIfTrue="1" operator="equal">
      <formula>"NÃO"</formula>
    </cfRule>
  </conditionalFormatting>
  <conditionalFormatting sqref="BF184 CJ184 DO184">
    <cfRule type="cellIs" dxfId="3415" priority="5413" stopIfTrue="1" operator="equal">
      <formula>0</formula>
    </cfRule>
    <cfRule type="cellIs" dxfId="3414" priority="5419" stopIfTrue="1" operator="notEqual">
      <formula>0</formula>
    </cfRule>
  </conditionalFormatting>
  <conditionalFormatting sqref="C184:D184">
    <cfRule type="expression" dxfId="3413" priority="5416" stopIfTrue="1">
      <formula>IF(AND($C184&lt;&gt;"",$H184+$L184=0),TRUE)</formula>
    </cfRule>
  </conditionalFormatting>
  <conditionalFormatting sqref="P184">
    <cfRule type="cellIs" dxfId="3412" priority="5405" stopIfTrue="1" operator="equal">
      <formula>1</formula>
    </cfRule>
    <cfRule type="cellIs" dxfId="3411" priority="5414" stopIfTrue="1" operator="equal">
      <formula>2</formula>
    </cfRule>
    <cfRule type="cellIs" dxfId="3410" priority="5415" stopIfTrue="1" operator="equal">
      <formula>"X"</formula>
    </cfRule>
  </conditionalFormatting>
  <conditionalFormatting sqref="GU184">
    <cfRule type="cellIs" dxfId="3409" priority="5407" stopIfTrue="1" operator="equal">
      <formula>0</formula>
    </cfRule>
    <cfRule type="cellIs" dxfId="3408" priority="5408" stopIfTrue="1" operator="notEqual">
      <formula>0</formula>
    </cfRule>
  </conditionalFormatting>
  <conditionalFormatting sqref="GV184">
    <cfRule type="cellIs" dxfId="3407" priority="5406" stopIfTrue="1" operator="equal">
      <formula>"STOP"</formula>
    </cfRule>
  </conditionalFormatting>
  <conditionalFormatting sqref="Q182">
    <cfRule type="cellIs" dxfId="3406" priority="5400" stopIfTrue="1" operator="equal">
      <formula>"SIM"</formula>
    </cfRule>
    <cfRule type="cellIs" dxfId="3405" priority="5401" stopIfTrue="1" operator="equal">
      <formula>"NÃO"</formula>
    </cfRule>
  </conditionalFormatting>
  <conditionalFormatting sqref="BF182 CJ182 DO182">
    <cfRule type="cellIs" dxfId="3404" priority="5396" stopIfTrue="1" operator="equal">
      <formula>0</formula>
    </cfRule>
    <cfRule type="cellIs" dxfId="3403" priority="5402" stopIfTrue="1" operator="notEqual">
      <formula>0</formula>
    </cfRule>
  </conditionalFormatting>
  <conditionalFormatting sqref="C182:D182">
    <cfRule type="expression" dxfId="3402" priority="5399" stopIfTrue="1">
      <formula>IF(AND($C182&lt;&gt;"",$H182+$L182=0),TRUE)</formula>
    </cfRule>
  </conditionalFormatting>
  <conditionalFormatting sqref="P182">
    <cfRule type="cellIs" dxfId="3401" priority="5388" stopIfTrue="1" operator="equal">
      <formula>1</formula>
    </cfRule>
    <cfRule type="cellIs" dxfId="3400" priority="5397" stopIfTrue="1" operator="equal">
      <formula>2</formula>
    </cfRule>
    <cfRule type="cellIs" dxfId="3399" priority="5398" stopIfTrue="1" operator="equal">
      <formula>"X"</formula>
    </cfRule>
  </conditionalFormatting>
  <conditionalFormatting sqref="GU182">
    <cfRule type="cellIs" dxfId="3398" priority="5390" stopIfTrue="1" operator="equal">
      <formula>0</formula>
    </cfRule>
    <cfRule type="cellIs" dxfId="3397" priority="5391" stopIfTrue="1" operator="notEqual">
      <formula>0</formula>
    </cfRule>
  </conditionalFormatting>
  <conditionalFormatting sqref="GV182">
    <cfRule type="cellIs" dxfId="3396" priority="5389" stopIfTrue="1" operator="equal">
      <formula>"STOP"</formula>
    </cfRule>
  </conditionalFormatting>
  <conditionalFormatting sqref="Q183">
    <cfRule type="cellIs" dxfId="3395" priority="5383" stopIfTrue="1" operator="equal">
      <formula>"SIM"</formula>
    </cfRule>
    <cfRule type="cellIs" dxfId="3394" priority="5384" stopIfTrue="1" operator="equal">
      <formula>"NÃO"</formula>
    </cfRule>
  </conditionalFormatting>
  <conditionalFormatting sqref="BF183 CJ183 DO183">
    <cfRule type="cellIs" dxfId="3393" priority="5379" stopIfTrue="1" operator="equal">
      <formula>0</formula>
    </cfRule>
    <cfRule type="cellIs" dxfId="3392" priority="5385" stopIfTrue="1" operator="notEqual">
      <formula>0</formula>
    </cfRule>
  </conditionalFormatting>
  <conditionalFormatting sqref="C183:D183">
    <cfRule type="expression" dxfId="3391" priority="5382" stopIfTrue="1">
      <formula>IF(AND($C183&lt;&gt;"",$H183+$L183=0),TRUE)</formula>
    </cfRule>
  </conditionalFormatting>
  <conditionalFormatting sqref="P183">
    <cfRule type="cellIs" dxfId="3390" priority="5371" stopIfTrue="1" operator="equal">
      <formula>1</formula>
    </cfRule>
    <cfRule type="cellIs" dxfId="3389" priority="5380" stopIfTrue="1" operator="equal">
      <formula>2</formula>
    </cfRule>
    <cfRule type="cellIs" dxfId="3388" priority="5381" stopIfTrue="1" operator="equal">
      <formula>"X"</formula>
    </cfRule>
  </conditionalFormatting>
  <conditionalFormatting sqref="GU183">
    <cfRule type="cellIs" dxfId="3387" priority="5373" stopIfTrue="1" operator="equal">
      <formula>0</formula>
    </cfRule>
    <cfRule type="cellIs" dxfId="3386" priority="5374" stopIfTrue="1" operator="notEqual">
      <formula>0</formula>
    </cfRule>
  </conditionalFormatting>
  <conditionalFormatting sqref="GV183">
    <cfRule type="cellIs" dxfId="3385" priority="5372" stopIfTrue="1" operator="equal">
      <formula>"STOP"</formula>
    </cfRule>
  </conditionalFormatting>
  <conditionalFormatting sqref="Q183">
    <cfRule type="cellIs" dxfId="3384" priority="5332" stopIfTrue="1" operator="equal">
      <formula>"SIM"</formula>
    </cfRule>
    <cfRule type="cellIs" dxfId="3383" priority="5333" stopIfTrue="1" operator="equal">
      <formula>"NÃO"</formula>
    </cfRule>
  </conditionalFormatting>
  <conditionalFormatting sqref="BF183 CJ183 DO183">
    <cfRule type="cellIs" dxfId="3382" priority="5328" stopIfTrue="1" operator="equal">
      <formula>0</formula>
    </cfRule>
    <cfRule type="cellIs" dxfId="3381" priority="5334" stopIfTrue="1" operator="notEqual">
      <formula>0</formula>
    </cfRule>
  </conditionalFormatting>
  <conditionalFormatting sqref="C183:D183">
    <cfRule type="expression" dxfId="3380" priority="5331" stopIfTrue="1">
      <formula>IF(AND($C183&lt;&gt;"",$H183+$L183=0),TRUE)</formula>
    </cfRule>
  </conditionalFormatting>
  <conditionalFormatting sqref="P183">
    <cfRule type="cellIs" dxfId="3379" priority="5320" stopIfTrue="1" operator="equal">
      <formula>1</formula>
    </cfRule>
    <cfRule type="cellIs" dxfId="3378" priority="5329" stopIfTrue="1" operator="equal">
      <formula>2</formula>
    </cfRule>
    <cfRule type="cellIs" dxfId="3377" priority="5330" stopIfTrue="1" operator="equal">
      <formula>"X"</formula>
    </cfRule>
  </conditionalFormatting>
  <conditionalFormatting sqref="GU183">
    <cfRule type="cellIs" dxfId="3376" priority="5322" stopIfTrue="1" operator="equal">
      <formula>0</formula>
    </cfRule>
    <cfRule type="cellIs" dxfId="3375" priority="5323" stopIfTrue="1" operator="notEqual">
      <formula>0</formula>
    </cfRule>
  </conditionalFormatting>
  <conditionalFormatting sqref="GV183">
    <cfRule type="cellIs" dxfId="3374" priority="5321" stopIfTrue="1" operator="equal">
      <formula>"STOP"</formula>
    </cfRule>
  </conditionalFormatting>
  <conditionalFormatting sqref="Q182">
    <cfRule type="cellIs" dxfId="3373" priority="5281" stopIfTrue="1" operator="equal">
      <formula>"SIM"</formula>
    </cfRule>
    <cfRule type="cellIs" dxfId="3372" priority="5282" stopIfTrue="1" operator="equal">
      <formula>"NÃO"</formula>
    </cfRule>
  </conditionalFormatting>
  <conditionalFormatting sqref="BF182 CJ182 DO182">
    <cfRule type="cellIs" dxfId="3371" priority="5277" stopIfTrue="1" operator="equal">
      <formula>0</formula>
    </cfRule>
    <cfRule type="cellIs" dxfId="3370" priority="5283" stopIfTrue="1" operator="notEqual">
      <formula>0</formula>
    </cfRule>
  </conditionalFormatting>
  <conditionalFormatting sqref="C182:D182">
    <cfRule type="expression" dxfId="3369" priority="5280" stopIfTrue="1">
      <formula>IF(AND($C182&lt;&gt;"",$H182+$L182=0),TRUE)</formula>
    </cfRule>
  </conditionalFormatting>
  <conditionalFormatting sqref="P182">
    <cfRule type="cellIs" dxfId="3368" priority="5269" stopIfTrue="1" operator="equal">
      <formula>1</formula>
    </cfRule>
    <cfRule type="cellIs" dxfId="3367" priority="5278" stopIfTrue="1" operator="equal">
      <formula>2</formula>
    </cfRule>
    <cfRule type="cellIs" dxfId="3366" priority="5279" stopIfTrue="1" operator="equal">
      <formula>"X"</formula>
    </cfRule>
  </conditionalFormatting>
  <conditionalFormatting sqref="GU182">
    <cfRule type="cellIs" dxfId="3365" priority="5271" stopIfTrue="1" operator="equal">
      <formula>0</formula>
    </cfRule>
    <cfRule type="cellIs" dxfId="3364" priority="5272" stopIfTrue="1" operator="notEqual">
      <formula>0</formula>
    </cfRule>
  </conditionalFormatting>
  <conditionalFormatting sqref="GV182">
    <cfRule type="cellIs" dxfId="3363" priority="5270" stopIfTrue="1" operator="equal">
      <formula>"STOP"</formula>
    </cfRule>
  </conditionalFormatting>
  <conditionalFormatting sqref="Q183">
    <cfRule type="cellIs" dxfId="3362" priority="5264" stopIfTrue="1" operator="equal">
      <formula>"SIM"</formula>
    </cfRule>
    <cfRule type="cellIs" dxfId="3361" priority="5265" stopIfTrue="1" operator="equal">
      <formula>"NÃO"</formula>
    </cfRule>
  </conditionalFormatting>
  <conditionalFormatting sqref="BF183 CJ183 DO183">
    <cfRule type="cellIs" dxfId="3360" priority="5260" stopIfTrue="1" operator="equal">
      <formula>0</formula>
    </cfRule>
    <cfRule type="cellIs" dxfId="3359" priority="5266" stopIfTrue="1" operator="notEqual">
      <formula>0</formula>
    </cfRule>
  </conditionalFormatting>
  <conditionalFormatting sqref="C183:D183">
    <cfRule type="expression" dxfId="3358" priority="5263" stopIfTrue="1">
      <formula>IF(AND($C183&lt;&gt;"",$H183+$L183=0),TRUE)</formula>
    </cfRule>
  </conditionalFormatting>
  <conditionalFormatting sqref="P183">
    <cfRule type="cellIs" dxfId="3357" priority="5252" stopIfTrue="1" operator="equal">
      <formula>1</formula>
    </cfRule>
    <cfRule type="cellIs" dxfId="3356" priority="5261" stopIfTrue="1" operator="equal">
      <formula>2</formula>
    </cfRule>
    <cfRule type="cellIs" dxfId="3355" priority="5262" stopIfTrue="1" operator="equal">
      <formula>"X"</formula>
    </cfRule>
  </conditionalFormatting>
  <conditionalFormatting sqref="GU183">
    <cfRule type="cellIs" dxfId="3354" priority="5254" stopIfTrue="1" operator="equal">
      <formula>0</formula>
    </cfRule>
    <cfRule type="cellIs" dxfId="3353" priority="5255" stopIfTrue="1" operator="notEqual">
      <formula>0</formula>
    </cfRule>
  </conditionalFormatting>
  <conditionalFormatting sqref="GV183">
    <cfRule type="cellIs" dxfId="3352" priority="5253" stopIfTrue="1" operator="equal">
      <formula>"STOP"</formula>
    </cfRule>
  </conditionalFormatting>
  <conditionalFormatting sqref="Q185">
    <cfRule type="cellIs" dxfId="3351" priority="5230" stopIfTrue="1" operator="equal">
      <formula>"SIM"</formula>
    </cfRule>
    <cfRule type="cellIs" dxfId="3350" priority="5231" stopIfTrue="1" operator="equal">
      <formula>"NÃO"</formula>
    </cfRule>
  </conditionalFormatting>
  <conditionalFormatting sqref="BF185 CJ185 DO185">
    <cfRule type="cellIs" dxfId="3349" priority="5226" stopIfTrue="1" operator="equal">
      <formula>0</formula>
    </cfRule>
    <cfRule type="cellIs" dxfId="3348" priority="5232" stopIfTrue="1" operator="notEqual">
      <formula>0</formula>
    </cfRule>
  </conditionalFormatting>
  <conditionalFormatting sqref="C185:D185">
    <cfRule type="expression" dxfId="3347" priority="5229" stopIfTrue="1">
      <formula>IF(AND($C185&lt;&gt;"",$H185+$L185=0),TRUE)</formula>
    </cfRule>
  </conditionalFormatting>
  <conditionalFormatting sqref="P185">
    <cfRule type="cellIs" dxfId="3346" priority="5218" stopIfTrue="1" operator="equal">
      <formula>1</formula>
    </cfRule>
    <cfRule type="cellIs" dxfId="3345" priority="5227" stopIfTrue="1" operator="equal">
      <formula>2</formula>
    </cfRule>
    <cfRule type="cellIs" dxfId="3344" priority="5228" stopIfTrue="1" operator="equal">
      <formula>"X"</formula>
    </cfRule>
  </conditionalFormatting>
  <conditionalFormatting sqref="GU185">
    <cfRule type="cellIs" dxfId="3343" priority="5220" stopIfTrue="1" operator="equal">
      <formula>0</formula>
    </cfRule>
    <cfRule type="cellIs" dxfId="3342" priority="5221" stopIfTrue="1" operator="notEqual">
      <formula>0</formula>
    </cfRule>
  </conditionalFormatting>
  <conditionalFormatting sqref="GV185">
    <cfRule type="cellIs" dxfId="3341" priority="5219" stopIfTrue="1" operator="equal">
      <formula>"STOP"</formula>
    </cfRule>
  </conditionalFormatting>
  <conditionalFormatting sqref="Q186">
    <cfRule type="cellIs" dxfId="3340" priority="5213" stopIfTrue="1" operator="equal">
      <formula>"SIM"</formula>
    </cfRule>
    <cfRule type="cellIs" dxfId="3339" priority="5214" stopIfTrue="1" operator="equal">
      <formula>"NÃO"</formula>
    </cfRule>
  </conditionalFormatting>
  <conditionalFormatting sqref="BF186 CJ186 DO186">
    <cfRule type="cellIs" dxfId="3338" priority="5209" stopIfTrue="1" operator="equal">
      <formula>0</formula>
    </cfRule>
    <cfRule type="cellIs" dxfId="3337" priority="5215" stopIfTrue="1" operator="notEqual">
      <formula>0</formula>
    </cfRule>
  </conditionalFormatting>
  <conditionalFormatting sqref="C186:D186">
    <cfRule type="expression" dxfId="3336" priority="5212" stopIfTrue="1">
      <formula>IF(AND($C186&lt;&gt;"",$H186+$L186=0),TRUE)</formula>
    </cfRule>
  </conditionalFormatting>
  <conditionalFormatting sqref="P186">
    <cfRule type="cellIs" dxfId="3335" priority="5201" stopIfTrue="1" operator="equal">
      <formula>1</formula>
    </cfRule>
    <cfRule type="cellIs" dxfId="3334" priority="5210" stopIfTrue="1" operator="equal">
      <formula>2</formula>
    </cfRule>
    <cfRule type="cellIs" dxfId="3333" priority="5211" stopIfTrue="1" operator="equal">
      <formula>"X"</formula>
    </cfRule>
  </conditionalFormatting>
  <conditionalFormatting sqref="GU186">
    <cfRule type="cellIs" dxfId="3332" priority="5203" stopIfTrue="1" operator="equal">
      <formula>0</formula>
    </cfRule>
    <cfRule type="cellIs" dxfId="3331" priority="5204" stopIfTrue="1" operator="notEqual">
      <formula>0</formula>
    </cfRule>
  </conditionalFormatting>
  <conditionalFormatting sqref="GV186">
    <cfRule type="cellIs" dxfId="3330" priority="5202" stopIfTrue="1" operator="equal">
      <formula>"STOP"</formula>
    </cfRule>
  </conditionalFormatting>
  <conditionalFormatting sqref="Q184">
    <cfRule type="cellIs" dxfId="3329" priority="5162" stopIfTrue="1" operator="equal">
      <formula>"SIM"</formula>
    </cfRule>
    <cfRule type="cellIs" dxfId="3328" priority="5163" stopIfTrue="1" operator="equal">
      <formula>"NÃO"</formula>
    </cfRule>
  </conditionalFormatting>
  <conditionalFormatting sqref="BF184 CJ184 DO184">
    <cfRule type="cellIs" dxfId="3327" priority="5158" stopIfTrue="1" operator="equal">
      <formula>0</formula>
    </cfRule>
    <cfRule type="cellIs" dxfId="3326" priority="5164" stopIfTrue="1" operator="notEqual">
      <formula>0</formula>
    </cfRule>
  </conditionalFormatting>
  <conditionalFormatting sqref="C184:D184">
    <cfRule type="expression" dxfId="3325" priority="5161" stopIfTrue="1">
      <formula>IF(AND($C184&lt;&gt;"",$H184+$L184=0),TRUE)</formula>
    </cfRule>
  </conditionalFormatting>
  <conditionalFormatting sqref="P184">
    <cfRule type="cellIs" dxfId="3324" priority="5150" stopIfTrue="1" operator="equal">
      <formula>1</formula>
    </cfRule>
    <cfRule type="cellIs" dxfId="3323" priority="5159" stopIfTrue="1" operator="equal">
      <formula>2</formula>
    </cfRule>
    <cfRule type="cellIs" dxfId="3322" priority="5160" stopIfTrue="1" operator="equal">
      <formula>"X"</formula>
    </cfRule>
  </conditionalFormatting>
  <conditionalFormatting sqref="GU184">
    <cfRule type="cellIs" dxfId="3321" priority="5152" stopIfTrue="1" operator="equal">
      <formula>0</formula>
    </cfRule>
    <cfRule type="cellIs" dxfId="3320" priority="5153" stopIfTrue="1" operator="notEqual">
      <formula>0</formula>
    </cfRule>
  </conditionalFormatting>
  <conditionalFormatting sqref="GV184">
    <cfRule type="cellIs" dxfId="3319" priority="5151" stopIfTrue="1" operator="equal">
      <formula>"STOP"</formula>
    </cfRule>
  </conditionalFormatting>
  <conditionalFormatting sqref="Q185">
    <cfRule type="cellIs" dxfId="3318" priority="5145" stopIfTrue="1" operator="equal">
      <formula>"SIM"</formula>
    </cfRule>
    <cfRule type="cellIs" dxfId="3317" priority="5146" stopIfTrue="1" operator="equal">
      <formula>"NÃO"</formula>
    </cfRule>
  </conditionalFormatting>
  <conditionalFormatting sqref="BF185 CJ185 DO185">
    <cfRule type="cellIs" dxfId="3316" priority="5141" stopIfTrue="1" operator="equal">
      <formula>0</formula>
    </cfRule>
    <cfRule type="cellIs" dxfId="3315" priority="5147" stopIfTrue="1" operator="notEqual">
      <formula>0</formula>
    </cfRule>
  </conditionalFormatting>
  <conditionalFormatting sqref="C185:D185">
    <cfRule type="expression" dxfId="3314" priority="5144" stopIfTrue="1">
      <formula>IF(AND($C185&lt;&gt;"",$H185+$L185=0),TRUE)</formula>
    </cfRule>
  </conditionalFormatting>
  <conditionalFormatting sqref="P185">
    <cfRule type="cellIs" dxfId="3313" priority="5133" stopIfTrue="1" operator="equal">
      <formula>1</formula>
    </cfRule>
    <cfRule type="cellIs" dxfId="3312" priority="5142" stopIfTrue="1" operator="equal">
      <formula>2</formula>
    </cfRule>
    <cfRule type="cellIs" dxfId="3311" priority="5143" stopIfTrue="1" operator="equal">
      <formula>"X"</formula>
    </cfRule>
  </conditionalFormatting>
  <conditionalFormatting sqref="GU185">
    <cfRule type="cellIs" dxfId="3310" priority="5135" stopIfTrue="1" operator="equal">
      <formula>0</formula>
    </cfRule>
    <cfRule type="cellIs" dxfId="3309" priority="5136" stopIfTrue="1" operator="notEqual">
      <formula>0</formula>
    </cfRule>
  </conditionalFormatting>
  <conditionalFormatting sqref="GV185">
    <cfRule type="cellIs" dxfId="3308" priority="5134" stopIfTrue="1" operator="equal">
      <formula>"STOP"</formula>
    </cfRule>
  </conditionalFormatting>
  <conditionalFormatting sqref="Q183">
    <cfRule type="cellIs" dxfId="3307" priority="5128" stopIfTrue="1" operator="equal">
      <formula>"SIM"</formula>
    </cfRule>
    <cfRule type="cellIs" dxfId="3306" priority="5129" stopIfTrue="1" operator="equal">
      <formula>"NÃO"</formula>
    </cfRule>
  </conditionalFormatting>
  <conditionalFormatting sqref="BF183 CJ183 DO183">
    <cfRule type="cellIs" dxfId="3305" priority="5124" stopIfTrue="1" operator="equal">
      <formula>0</formula>
    </cfRule>
    <cfRule type="cellIs" dxfId="3304" priority="5130" stopIfTrue="1" operator="notEqual">
      <formula>0</formula>
    </cfRule>
  </conditionalFormatting>
  <conditionalFormatting sqref="C183:D183">
    <cfRule type="expression" dxfId="3303" priority="5127" stopIfTrue="1">
      <formula>IF(AND($C183&lt;&gt;"",$H183+$L183=0),TRUE)</formula>
    </cfRule>
  </conditionalFormatting>
  <conditionalFormatting sqref="P183">
    <cfRule type="cellIs" dxfId="3302" priority="5116" stopIfTrue="1" operator="equal">
      <formula>1</formula>
    </cfRule>
    <cfRule type="cellIs" dxfId="3301" priority="5125" stopIfTrue="1" operator="equal">
      <formula>2</formula>
    </cfRule>
    <cfRule type="cellIs" dxfId="3300" priority="5126" stopIfTrue="1" operator="equal">
      <formula>"X"</formula>
    </cfRule>
  </conditionalFormatting>
  <conditionalFormatting sqref="GU183">
    <cfRule type="cellIs" dxfId="3299" priority="5118" stopIfTrue="1" operator="equal">
      <formula>0</formula>
    </cfRule>
    <cfRule type="cellIs" dxfId="3298" priority="5119" stopIfTrue="1" operator="notEqual">
      <formula>0</formula>
    </cfRule>
  </conditionalFormatting>
  <conditionalFormatting sqref="GV183">
    <cfRule type="cellIs" dxfId="3297" priority="5117" stopIfTrue="1" operator="equal">
      <formula>"STOP"</formula>
    </cfRule>
  </conditionalFormatting>
  <conditionalFormatting sqref="Q184">
    <cfRule type="cellIs" dxfId="3296" priority="5111" stopIfTrue="1" operator="equal">
      <formula>"SIM"</formula>
    </cfRule>
    <cfRule type="cellIs" dxfId="3295" priority="5112" stopIfTrue="1" operator="equal">
      <formula>"NÃO"</formula>
    </cfRule>
  </conditionalFormatting>
  <conditionalFormatting sqref="BF184 CJ184 DO184">
    <cfRule type="cellIs" dxfId="3294" priority="5107" stopIfTrue="1" operator="equal">
      <formula>0</formula>
    </cfRule>
    <cfRule type="cellIs" dxfId="3293" priority="5113" stopIfTrue="1" operator="notEqual">
      <formula>0</formula>
    </cfRule>
  </conditionalFormatting>
  <conditionalFormatting sqref="C184:D184">
    <cfRule type="expression" dxfId="3292" priority="5110" stopIfTrue="1">
      <formula>IF(AND($C184&lt;&gt;"",$H184+$L184=0),TRUE)</formula>
    </cfRule>
  </conditionalFormatting>
  <conditionalFormatting sqref="P184">
    <cfRule type="cellIs" dxfId="3291" priority="5099" stopIfTrue="1" operator="equal">
      <formula>1</formula>
    </cfRule>
    <cfRule type="cellIs" dxfId="3290" priority="5108" stopIfTrue="1" operator="equal">
      <formula>2</formula>
    </cfRule>
    <cfRule type="cellIs" dxfId="3289" priority="5109" stopIfTrue="1" operator="equal">
      <formula>"X"</formula>
    </cfRule>
  </conditionalFormatting>
  <conditionalFormatting sqref="GU184">
    <cfRule type="cellIs" dxfId="3288" priority="5101" stopIfTrue="1" operator="equal">
      <formula>0</formula>
    </cfRule>
    <cfRule type="cellIs" dxfId="3287" priority="5102" stopIfTrue="1" operator="notEqual">
      <formula>0</formula>
    </cfRule>
  </conditionalFormatting>
  <conditionalFormatting sqref="GV184">
    <cfRule type="cellIs" dxfId="3286" priority="5100" stopIfTrue="1" operator="equal">
      <formula>"STOP"</formula>
    </cfRule>
  </conditionalFormatting>
  <conditionalFormatting sqref="Q186">
    <cfRule type="cellIs" dxfId="3285" priority="5077" stopIfTrue="1" operator="equal">
      <formula>"SIM"</formula>
    </cfRule>
    <cfRule type="cellIs" dxfId="3284" priority="5078" stopIfTrue="1" operator="equal">
      <formula>"NÃO"</formula>
    </cfRule>
  </conditionalFormatting>
  <conditionalFormatting sqref="BF186 CJ186 DO186">
    <cfRule type="cellIs" dxfId="3283" priority="5073" stopIfTrue="1" operator="equal">
      <formula>0</formula>
    </cfRule>
    <cfRule type="cellIs" dxfId="3282" priority="5079" stopIfTrue="1" operator="notEqual">
      <formula>0</formula>
    </cfRule>
  </conditionalFormatting>
  <conditionalFormatting sqref="C186:D186">
    <cfRule type="expression" dxfId="3281" priority="5076" stopIfTrue="1">
      <formula>IF(AND($C186&lt;&gt;"",$H186+$L186=0),TRUE)</formula>
    </cfRule>
  </conditionalFormatting>
  <conditionalFormatting sqref="P186">
    <cfRule type="cellIs" dxfId="3280" priority="5065" stopIfTrue="1" operator="equal">
      <formula>1</formula>
    </cfRule>
    <cfRule type="cellIs" dxfId="3279" priority="5074" stopIfTrue="1" operator="equal">
      <formula>2</formula>
    </cfRule>
    <cfRule type="cellIs" dxfId="3278" priority="5075" stopIfTrue="1" operator="equal">
      <formula>"X"</formula>
    </cfRule>
  </conditionalFormatting>
  <conditionalFormatting sqref="GU186">
    <cfRule type="cellIs" dxfId="3277" priority="5067" stopIfTrue="1" operator="equal">
      <formula>0</formula>
    </cfRule>
    <cfRule type="cellIs" dxfId="3276" priority="5068" stopIfTrue="1" operator="notEqual">
      <formula>0</formula>
    </cfRule>
  </conditionalFormatting>
  <conditionalFormatting sqref="GV186">
    <cfRule type="cellIs" dxfId="3275" priority="5066" stopIfTrue="1" operator="equal">
      <formula>"STOP"</formula>
    </cfRule>
  </conditionalFormatting>
  <conditionalFormatting sqref="Q184">
    <cfRule type="cellIs" dxfId="3274" priority="5060" stopIfTrue="1" operator="equal">
      <formula>"SIM"</formula>
    </cfRule>
    <cfRule type="cellIs" dxfId="3273" priority="5061" stopIfTrue="1" operator="equal">
      <formula>"NÃO"</formula>
    </cfRule>
  </conditionalFormatting>
  <conditionalFormatting sqref="BF184 CJ184 DO184">
    <cfRule type="cellIs" dxfId="3272" priority="5056" stopIfTrue="1" operator="equal">
      <formula>0</formula>
    </cfRule>
    <cfRule type="cellIs" dxfId="3271" priority="5062" stopIfTrue="1" operator="notEqual">
      <formula>0</formula>
    </cfRule>
  </conditionalFormatting>
  <conditionalFormatting sqref="C184:D184">
    <cfRule type="expression" dxfId="3270" priority="5059" stopIfTrue="1">
      <formula>IF(AND($C184&lt;&gt;"",$H184+$L184=0),TRUE)</formula>
    </cfRule>
  </conditionalFormatting>
  <conditionalFormatting sqref="P184">
    <cfRule type="cellIs" dxfId="3269" priority="5048" stopIfTrue="1" operator="equal">
      <formula>1</formula>
    </cfRule>
    <cfRule type="cellIs" dxfId="3268" priority="5057" stopIfTrue="1" operator="equal">
      <formula>2</formula>
    </cfRule>
    <cfRule type="cellIs" dxfId="3267" priority="5058" stopIfTrue="1" operator="equal">
      <formula>"X"</formula>
    </cfRule>
  </conditionalFormatting>
  <conditionalFormatting sqref="GU184">
    <cfRule type="cellIs" dxfId="3266" priority="5050" stopIfTrue="1" operator="equal">
      <formula>0</formula>
    </cfRule>
    <cfRule type="cellIs" dxfId="3265" priority="5051" stopIfTrue="1" operator="notEqual">
      <formula>0</formula>
    </cfRule>
  </conditionalFormatting>
  <conditionalFormatting sqref="GV184">
    <cfRule type="cellIs" dxfId="3264" priority="5049" stopIfTrue="1" operator="equal">
      <formula>"STOP"</formula>
    </cfRule>
  </conditionalFormatting>
  <conditionalFormatting sqref="Q186">
    <cfRule type="cellIs" dxfId="3263" priority="5026" stopIfTrue="1" operator="equal">
      <formula>"SIM"</formula>
    </cfRule>
    <cfRule type="cellIs" dxfId="3262" priority="5027" stopIfTrue="1" operator="equal">
      <formula>"NÃO"</formula>
    </cfRule>
  </conditionalFormatting>
  <conditionalFormatting sqref="BF186 CJ186 DO186">
    <cfRule type="cellIs" dxfId="3261" priority="5022" stopIfTrue="1" operator="equal">
      <formula>0</formula>
    </cfRule>
    <cfRule type="cellIs" dxfId="3260" priority="5028" stopIfTrue="1" operator="notEqual">
      <formula>0</formula>
    </cfRule>
  </conditionalFormatting>
  <conditionalFormatting sqref="C186:D186">
    <cfRule type="expression" dxfId="3259" priority="5025" stopIfTrue="1">
      <formula>IF(AND($C186&lt;&gt;"",$H186+$L186=0),TRUE)</formula>
    </cfRule>
  </conditionalFormatting>
  <conditionalFormatting sqref="P186">
    <cfRule type="cellIs" dxfId="3258" priority="5014" stopIfTrue="1" operator="equal">
      <formula>1</formula>
    </cfRule>
    <cfRule type="cellIs" dxfId="3257" priority="5023" stopIfTrue="1" operator="equal">
      <formula>2</formula>
    </cfRule>
    <cfRule type="cellIs" dxfId="3256" priority="5024" stopIfTrue="1" operator="equal">
      <formula>"X"</formula>
    </cfRule>
  </conditionalFormatting>
  <conditionalFormatting sqref="GU186">
    <cfRule type="cellIs" dxfId="3255" priority="5016" stopIfTrue="1" operator="equal">
      <formula>0</formula>
    </cfRule>
    <cfRule type="cellIs" dxfId="3254" priority="5017" stopIfTrue="1" operator="notEqual">
      <formula>0</formula>
    </cfRule>
  </conditionalFormatting>
  <conditionalFormatting sqref="GV186">
    <cfRule type="cellIs" dxfId="3253" priority="5015" stopIfTrue="1" operator="equal">
      <formula>"STOP"</formula>
    </cfRule>
  </conditionalFormatting>
  <conditionalFormatting sqref="Q177:Q178">
    <cfRule type="cellIs" dxfId="3252" priority="5009" stopIfTrue="1" operator="equal">
      <formula>"SIM"</formula>
    </cfRule>
    <cfRule type="cellIs" dxfId="3251" priority="5010" stopIfTrue="1" operator="equal">
      <formula>"NÃO"</formula>
    </cfRule>
  </conditionalFormatting>
  <conditionalFormatting sqref="DO177:DO178 CJ177:CJ178 BF177:BF178">
    <cfRule type="cellIs" dxfId="3250" priority="5005" stopIfTrue="1" operator="equal">
      <formula>0</formula>
    </cfRule>
    <cfRule type="cellIs" dxfId="3249" priority="5011" stopIfTrue="1" operator="notEqual">
      <formula>0</formula>
    </cfRule>
  </conditionalFormatting>
  <conditionalFormatting sqref="C177:D178">
    <cfRule type="expression" dxfId="3248" priority="5008" stopIfTrue="1">
      <formula>IF(AND($C177&lt;&gt;"",$H177+$L177=0),TRUE)</formula>
    </cfRule>
  </conditionalFormatting>
  <conditionalFormatting sqref="P177:P178">
    <cfRule type="cellIs" dxfId="3247" priority="4997" stopIfTrue="1" operator="equal">
      <formula>1</formula>
    </cfRule>
    <cfRule type="cellIs" dxfId="3246" priority="5006" stopIfTrue="1" operator="equal">
      <formula>2</formula>
    </cfRule>
    <cfRule type="cellIs" dxfId="3245" priority="5007" stopIfTrue="1" operator="equal">
      <formula>"X"</formula>
    </cfRule>
  </conditionalFormatting>
  <conditionalFormatting sqref="GU177:GU178">
    <cfRule type="cellIs" dxfId="3244" priority="4999" stopIfTrue="1" operator="equal">
      <formula>0</formula>
    </cfRule>
    <cfRule type="cellIs" dxfId="3243" priority="5000" stopIfTrue="1" operator="notEqual">
      <formula>0</formula>
    </cfRule>
  </conditionalFormatting>
  <conditionalFormatting sqref="GV177:GV178">
    <cfRule type="cellIs" dxfId="3242" priority="4998" stopIfTrue="1" operator="equal">
      <formula>"STOP"</formula>
    </cfRule>
  </conditionalFormatting>
  <conditionalFormatting sqref="Q177">
    <cfRule type="cellIs" dxfId="3241" priority="4992" stopIfTrue="1" operator="equal">
      <formula>"SIM"</formula>
    </cfRule>
    <cfRule type="cellIs" dxfId="3240" priority="4993" stopIfTrue="1" operator="equal">
      <formula>"NÃO"</formula>
    </cfRule>
  </conditionalFormatting>
  <conditionalFormatting sqref="BF177 CJ177 DO177">
    <cfRule type="cellIs" dxfId="3239" priority="4988" stopIfTrue="1" operator="equal">
      <formula>0</formula>
    </cfRule>
    <cfRule type="cellIs" dxfId="3238" priority="4994" stopIfTrue="1" operator="notEqual">
      <formula>0</formula>
    </cfRule>
  </conditionalFormatting>
  <conditionalFormatting sqref="C177:D177">
    <cfRule type="expression" dxfId="3237" priority="4991" stopIfTrue="1">
      <formula>IF(AND($C177&lt;&gt;"",$H177+$L177=0),TRUE)</formula>
    </cfRule>
  </conditionalFormatting>
  <conditionalFormatting sqref="P177">
    <cfRule type="cellIs" dxfId="3236" priority="4980" stopIfTrue="1" operator="equal">
      <formula>1</formula>
    </cfRule>
    <cfRule type="cellIs" dxfId="3235" priority="4989" stopIfTrue="1" operator="equal">
      <formula>2</formula>
    </cfRule>
    <cfRule type="cellIs" dxfId="3234" priority="4990" stopIfTrue="1" operator="equal">
      <formula>"X"</formula>
    </cfRule>
  </conditionalFormatting>
  <conditionalFormatting sqref="GU177">
    <cfRule type="cellIs" dxfId="3233" priority="4982" stopIfTrue="1" operator="equal">
      <formula>0</formula>
    </cfRule>
    <cfRule type="cellIs" dxfId="3232" priority="4983" stopIfTrue="1" operator="notEqual">
      <formula>0</formula>
    </cfRule>
  </conditionalFormatting>
  <conditionalFormatting sqref="GV177">
    <cfRule type="cellIs" dxfId="3231" priority="4981" stopIfTrue="1" operator="equal">
      <formula>"STOP"</formula>
    </cfRule>
  </conditionalFormatting>
  <conditionalFormatting sqref="Q178">
    <cfRule type="cellIs" dxfId="3230" priority="4975" stopIfTrue="1" operator="equal">
      <formula>"SIM"</formula>
    </cfRule>
    <cfRule type="cellIs" dxfId="3229" priority="4976" stopIfTrue="1" operator="equal">
      <formula>"NÃO"</formula>
    </cfRule>
  </conditionalFormatting>
  <conditionalFormatting sqref="BF178 CJ178 DO178">
    <cfRule type="cellIs" dxfId="3228" priority="4971" stopIfTrue="1" operator="equal">
      <formula>0</formula>
    </cfRule>
    <cfRule type="cellIs" dxfId="3227" priority="4977" stopIfTrue="1" operator="notEqual">
      <formula>0</formula>
    </cfRule>
  </conditionalFormatting>
  <conditionalFormatting sqref="C178:D178">
    <cfRule type="expression" dxfId="3226" priority="4974" stopIfTrue="1">
      <formula>IF(AND($C178&lt;&gt;"",$H178+$L178=0),TRUE)</formula>
    </cfRule>
  </conditionalFormatting>
  <conditionalFormatting sqref="P178">
    <cfRule type="cellIs" dxfId="3225" priority="4963" stopIfTrue="1" operator="equal">
      <formula>1</formula>
    </cfRule>
    <cfRule type="cellIs" dxfId="3224" priority="4972" stopIfTrue="1" operator="equal">
      <formula>2</formula>
    </cfRule>
    <cfRule type="cellIs" dxfId="3223" priority="4973" stopIfTrue="1" operator="equal">
      <formula>"X"</formula>
    </cfRule>
  </conditionalFormatting>
  <conditionalFormatting sqref="GU178">
    <cfRule type="cellIs" dxfId="3222" priority="4965" stopIfTrue="1" operator="equal">
      <formula>0</formula>
    </cfRule>
    <cfRule type="cellIs" dxfId="3221" priority="4966" stopIfTrue="1" operator="notEqual">
      <formula>0</formula>
    </cfRule>
  </conditionalFormatting>
  <conditionalFormatting sqref="GV178">
    <cfRule type="cellIs" dxfId="3220" priority="4964" stopIfTrue="1" operator="equal">
      <formula>"STOP"</formula>
    </cfRule>
  </conditionalFormatting>
  <conditionalFormatting sqref="Q177">
    <cfRule type="cellIs" dxfId="3219" priority="4958" stopIfTrue="1" operator="equal">
      <formula>"SIM"</formula>
    </cfRule>
    <cfRule type="cellIs" dxfId="3218" priority="4959" stopIfTrue="1" operator="equal">
      <formula>"NÃO"</formula>
    </cfRule>
  </conditionalFormatting>
  <conditionalFormatting sqref="BF177 CJ177 DO177">
    <cfRule type="cellIs" dxfId="3217" priority="4954" stopIfTrue="1" operator="equal">
      <formula>0</formula>
    </cfRule>
    <cfRule type="cellIs" dxfId="3216" priority="4960" stopIfTrue="1" operator="notEqual">
      <formula>0</formula>
    </cfRule>
  </conditionalFormatting>
  <conditionalFormatting sqref="C177:D177">
    <cfRule type="expression" dxfId="3215" priority="4957" stopIfTrue="1">
      <formula>IF(AND($C177&lt;&gt;"",$H177+$L177=0),TRUE)</formula>
    </cfRule>
  </conditionalFormatting>
  <conditionalFormatting sqref="P177">
    <cfRule type="cellIs" dxfId="3214" priority="4946" stopIfTrue="1" operator="equal">
      <formula>1</formula>
    </cfRule>
    <cfRule type="cellIs" dxfId="3213" priority="4955" stopIfTrue="1" operator="equal">
      <formula>2</formula>
    </cfRule>
    <cfRule type="cellIs" dxfId="3212" priority="4956" stopIfTrue="1" operator="equal">
      <formula>"X"</formula>
    </cfRule>
  </conditionalFormatting>
  <conditionalFormatting sqref="GU177">
    <cfRule type="cellIs" dxfId="3211" priority="4948" stopIfTrue="1" operator="equal">
      <formula>0</formula>
    </cfRule>
    <cfRule type="cellIs" dxfId="3210" priority="4949" stopIfTrue="1" operator="notEqual">
      <formula>0</formula>
    </cfRule>
  </conditionalFormatting>
  <conditionalFormatting sqref="GV177">
    <cfRule type="cellIs" dxfId="3209" priority="4947" stopIfTrue="1" operator="equal">
      <formula>"STOP"</formula>
    </cfRule>
  </conditionalFormatting>
  <conditionalFormatting sqref="Q177">
    <cfRule type="cellIs" dxfId="3208" priority="4941" stopIfTrue="1" operator="equal">
      <formula>"SIM"</formula>
    </cfRule>
    <cfRule type="cellIs" dxfId="3207" priority="4942" stopIfTrue="1" operator="equal">
      <formula>"NÃO"</formula>
    </cfRule>
  </conditionalFormatting>
  <conditionalFormatting sqref="BF177 CJ177 DO177">
    <cfRule type="cellIs" dxfId="3206" priority="4937" stopIfTrue="1" operator="equal">
      <formula>0</formula>
    </cfRule>
    <cfRule type="cellIs" dxfId="3205" priority="4943" stopIfTrue="1" operator="notEqual">
      <formula>0</formula>
    </cfRule>
  </conditionalFormatting>
  <conditionalFormatting sqref="C177:D177">
    <cfRule type="expression" dxfId="3204" priority="4940" stopIfTrue="1">
      <formula>IF(AND($C177&lt;&gt;"",$H177+$L177=0),TRUE)</formula>
    </cfRule>
  </conditionalFormatting>
  <conditionalFormatting sqref="P177">
    <cfRule type="cellIs" dxfId="3203" priority="4929" stopIfTrue="1" operator="equal">
      <formula>1</formula>
    </cfRule>
    <cfRule type="cellIs" dxfId="3202" priority="4938" stopIfTrue="1" operator="equal">
      <formula>2</formula>
    </cfRule>
    <cfRule type="cellIs" dxfId="3201" priority="4939" stopIfTrue="1" operator="equal">
      <formula>"X"</formula>
    </cfRule>
  </conditionalFormatting>
  <conditionalFormatting sqref="GU177">
    <cfRule type="cellIs" dxfId="3200" priority="4931" stopIfTrue="1" operator="equal">
      <formula>0</formula>
    </cfRule>
    <cfRule type="cellIs" dxfId="3199" priority="4932" stopIfTrue="1" operator="notEqual">
      <formula>0</formula>
    </cfRule>
  </conditionalFormatting>
  <conditionalFormatting sqref="GV177">
    <cfRule type="cellIs" dxfId="3198" priority="4930" stopIfTrue="1" operator="equal">
      <formula>"STOP"</formula>
    </cfRule>
  </conditionalFormatting>
  <conditionalFormatting sqref="Q177">
    <cfRule type="cellIs" dxfId="3197" priority="4907" stopIfTrue="1" operator="equal">
      <formula>"SIM"</formula>
    </cfRule>
    <cfRule type="cellIs" dxfId="3196" priority="4908" stopIfTrue="1" operator="equal">
      <formula>"NÃO"</formula>
    </cfRule>
  </conditionalFormatting>
  <conditionalFormatting sqref="BF177 CJ177 DO177">
    <cfRule type="cellIs" dxfId="3195" priority="4903" stopIfTrue="1" operator="equal">
      <formula>0</formula>
    </cfRule>
    <cfRule type="cellIs" dxfId="3194" priority="4909" stopIfTrue="1" operator="notEqual">
      <formula>0</formula>
    </cfRule>
  </conditionalFormatting>
  <conditionalFormatting sqref="C177:D177">
    <cfRule type="expression" dxfId="3193" priority="4906" stopIfTrue="1">
      <formula>IF(AND($C177&lt;&gt;"",$H177+$L177=0),TRUE)</formula>
    </cfRule>
  </conditionalFormatting>
  <conditionalFormatting sqref="P177">
    <cfRule type="cellIs" dxfId="3192" priority="4895" stopIfTrue="1" operator="equal">
      <formula>1</formula>
    </cfRule>
    <cfRule type="cellIs" dxfId="3191" priority="4904" stopIfTrue="1" operator="equal">
      <formula>2</formula>
    </cfRule>
    <cfRule type="cellIs" dxfId="3190" priority="4905" stopIfTrue="1" operator="equal">
      <formula>"X"</formula>
    </cfRule>
  </conditionalFormatting>
  <conditionalFormatting sqref="GU177">
    <cfRule type="cellIs" dxfId="3189" priority="4897" stopIfTrue="1" operator="equal">
      <formula>0</formula>
    </cfRule>
    <cfRule type="cellIs" dxfId="3188" priority="4898" stopIfTrue="1" operator="notEqual">
      <formula>0</formula>
    </cfRule>
  </conditionalFormatting>
  <conditionalFormatting sqref="GV177">
    <cfRule type="cellIs" dxfId="3187" priority="4896" stopIfTrue="1" operator="equal">
      <formula>"STOP"</formula>
    </cfRule>
  </conditionalFormatting>
  <conditionalFormatting sqref="Q178">
    <cfRule type="cellIs" dxfId="3186" priority="4890" stopIfTrue="1" operator="equal">
      <formula>"SIM"</formula>
    </cfRule>
    <cfRule type="cellIs" dxfId="3185" priority="4891" stopIfTrue="1" operator="equal">
      <formula>"NÃO"</formula>
    </cfRule>
  </conditionalFormatting>
  <conditionalFormatting sqref="BF178 CJ178 DO178">
    <cfRule type="cellIs" dxfId="3184" priority="4886" stopIfTrue="1" operator="equal">
      <formula>0</formula>
    </cfRule>
    <cfRule type="cellIs" dxfId="3183" priority="4892" stopIfTrue="1" operator="notEqual">
      <formula>0</formula>
    </cfRule>
  </conditionalFormatting>
  <conditionalFormatting sqref="C178:D178">
    <cfRule type="expression" dxfId="3182" priority="4889" stopIfTrue="1">
      <formula>IF(AND($C178&lt;&gt;"",$H178+$L178=0),TRUE)</formula>
    </cfRule>
  </conditionalFormatting>
  <conditionalFormatting sqref="P178">
    <cfRule type="cellIs" dxfId="3181" priority="4878" stopIfTrue="1" operator="equal">
      <formula>1</formula>
    </cfRule>
    <cfRule type="cellIs" dxfId="3180" priority="4887" stopIfTrue="1" operator="equal">
      <formula>2</formula>
    </cfRule>
    <cfRule type="cellIs" dxfId="3179" priority="4888" stopIfTrue="1" operator="equal">
      <formula>"X"</formula>
    </cfRule>
  </conditionalFormatting>
  <conditionalFormatting sqref="GU178">
    <cfRule type="cellIs" dxfId="3178" priority="4880" stopIfTrue="1" operator="equal">
      <formula>0</formula>
    </cfRule>
    <cfRule type="cellIs" dxfId="3177" priority="4881" stopIfTrue="1" operator="notEqual">
      <formula>0</formula>
    </cfRule>
  </conditionalFormatting>
  <conditionalFormatting sqref="GV178">
    <cfRule type="cellIs" dxfId="3176" priority="4879" stopIfTrue="1" operator="equal">
      <formula>"STOP"</formula>
    </cfRule>
  </conditionalFormatting>
  <conditionalFormatting sqref="Q177">
    <cfRule type="cellIs" dxfId="3175" priority="4873" stopIfTrue="1" operator="equal">
      <formula>"SIM"</formula>
    </cfRule>
    <cfRule type="cellIs" dxfId="3174" priority="4874" stopIfTrue="1" operator="equal">
      <formula>"NÃO"</formula>
    </cfRule>
  </conditionalFormatting>
  <conditionalFormatting sqref="BF177 CJ177 DO177">
    <cfRule type="cellIs" dxfId="3173" priority="4869" stopIfTrue="1" operator="equal">
      <formula>0</formula>
    </cfRule>
    <cfRule type="cellIs" dxfId="3172" priority="4875" stopIfTrue="1" operator="notEqual">
      <formula>0</formula>
    </cfRule>
  </conditionalFormatting>
  <conditionalFormatting sqref="C177:D177">
    <cfRule type="expression" dxfId="3171" priority="4872" stopIfTrue="1">
      <formula>IF(AND($C177&lt;&gt;"",$H177+$L177=0),TRUE)</formula>
    </cfRule>
  </conditionalFormatting>
  <conditionalFormatting sqref="P177">
    <cfRule type="cellIs" dxfId="3170" priority="4861" stopIfTrue="1" operator="equal">
      <formula>1</formula>
    </cfRule>
    <cfRule type="cellIs" dxfId="3169" priority="4870" stopIfTrue="1" operator="equal">
      <formula>2</formula>
    </cfRule>
    <cfRule type="cellIs" dxfId="3168" priority="4871" stopIfTrue="1" operator="equal">
      <formula>"X"</formula>
    </cfRule>
  </conditionalFormatting>
  <conditionalFormatting sqref="GU177">
    <cfRule type="cellIs" dxfId="3167" priority="4863" stopIfTrue="1" operator="equal">
      <formula>0</formula>
    </cfRule>
    <cfRule type="cellIs" dxfId="3166" priority="4864" stopIfTrue="1" operator="notEqual">
      <formula>0</formula>
    </cfRule>
  </conditionalFormatting>
  <conditionalFormatting sqref="GV177">
    <cfRule type="cellIs" dxfId="3165" priority="4862" stopIfTrue="1" operator="equal">
      <formula>"STOP"</formula>
    </cfRule>
  </conditionalFormatting>
  <conditionalFormatting sqref="Q177">
    <cfRule type="cellIs" dxfId="3164" priority="4856" stopIfTrue="1" operator="equal">
      <formula>"SIM"</formula>
    </cfRule>
    <cfRule type="cellIs" dxfId="3163" priority="4857" stopIfTrue="1" operator="equal">
      <formula>"NÃO"</formula>
    </cfRule>
  </conditionalFormatting>
  <conditionalFormatting sqref="BF177 CJ177 DO177">
    <cfRule type="cellIs" dxfId="3162" priority="4852" stopIfTrue="1" operator="equal">
      <formula>0</formula>
    </cfRule>
    <cfRule type="cellIs" dxfId="3161" priority="4858" stopIfTrue="1" operator="notEqual">
      <formula>0</formula>
    </cfRule>
  </conditionalFormatting>
  <conditionalFormatting sqref="C177:D177">
    <cfRule type="expression" dxfId="3160" priority="4855" stopIfTrue="1">
      <formula>IF(AND($C177&lt;&gt;"",$H177+$L177=0),TRUE)</formula>
    </cfRule>
  </conditionalFormatting>
  <conditionalFormatting sqref="P177">
    <cfRule type="cellIs" dxfId="3159" priority="4844" stopIfTrue="1" operator="equal">
      <formula>1</formula>
    </cfRule>
    <cfRule type="cellIs" dxfId="3158" priority="4853" stopIfTrue="1" operator="equal">
      <formula>2</formula>
    </cfRule>
    <cfRule type="cellIs" dxfId="3157" priority="4854" stopIfTrue="1" operator="equal">
      <formula>"X"</formula>
    </cfRule>
  </conditionalFormatting>
  <conditionalFormatting sqref="GU177">
    <cfRule type="cellIs" dxfId="3156" priority="4846" stopIfTrue="1" operator="equal">
      <formula>0</formula>
    </cfRule>
    <cfRule type="cellIs" dxfId="3155" priority="4847" stopIfTrue="1" operator="notEqual">
      <formula>0</formula>
    </cfRule>
  </conditionalFormatting>
  <conditionalFormatting sqref="GV177">
    <cfRule type="cellIs" dxfId="3154" priority="4845" stopIfTrue="1" operator="equal">
      <formula>"STOP"</formula>
    </cfRule>
  </conditionalFormatting>
  <conditionalFormatting sqref="Q177">
    <cfRule type="cellIs" dxfId="3153" priority="4839" stopIfTrue="1" operator="equal">
      <formula>"SIM"</formula>
    </cfRule>
    <cfRule type="cellIs" dxfId="3152" priority="4840" stopIfTrue="1" operator="equal">
      <formula>"NÃO"</formula>
    </cfRule>
  </conditionalFormatting>
  <conditionalFormatting sqref="BF177 CJ177 DO177">
    <cfRule type="cellIs" dxfId="3151" priority="4835" stopIfTrue="1" operator="equal">
      <formula>0</formula>
    </cfRule>
    <cfRule type="cellIs" dxfId="3150" priority="4841" stopIfTrue="1" operator="notEqual">
      <formula>0</formula>
    </cfRule>
  </conditionalFormatting>
  <conditionalFormatting sqref="C177:D177">
    <cfRule type="expression" dxfId="3149" priority="4838" stopIfTrue="1">
      <formula>IF(AND($C177&lt;&gt;"",$H177+$L177=0),TRUE)</formula>
    </cfRule>
  </conditionalFormatting>
  <conditionalFormatting sqref="P177">
    <cfRule type="cellIs" dxfId="3148" priority="4827" stopIfTrue="1" operator="equal">
      <formula>1</formula>
    </cfRule>
    <cfRule type="cellIs" dxfId="3147" priority="4836" stopIfTrue="1" operator="equal">
      <formula>2</formula>
    </cfRule>
    <cfRule type="cellIs" dxfId="3146" priority="4837" stopIfTrue="1" operator="equal">
      <formula>"X"</formula>
    </cfRule>
  </conditionalFormatting>
  <conditionalFormatting sqref="GU177">
    <cfRule type="cellIs" dxfId="3145" priority="4829" stopIfTrue="1" operator="equal">
      <formula>0</formula>
    </cfRule>
    <cfRule type="cellIs" dxfId="3144" priority="4830" stopIfTrue="1" operator="notEqual">
      <formula>0</formula>
    </cfRule>
  </conditionalFormatting>
  <conditionalFormatting sqref="GV177">
    <cfRule type="cellIs" dxfId="3143" priority="4828" stopIfTrue="1" operator="equal">
      <formula>"STOP"</formula>
    </cfRule>
  </conditionalFormatting>
  <conditionalFormatting sqref="Q178">
    <cfRule type="cellIs" dxfId="3142" priority="4822" stopIfTrue="1" operator="equal">
      <formula>"SIM"</formula>
    </cfRule>
    <cfRule type="cellIs" dxfId="3141" priority="4823" stopIfTrue="1" operator="equal">
      <formula>"NÃO"</formula>
    </cfRule>
  </conditionalFormatting>
  <conditionalFormatting sqref="BF178 CJ178 DO178">
    <cfRule type="cellIs" dxfId="3140" priority="4818" stopIfTrue="1" operator="equal">
      <formula>0</formula>
    </cfRule>
    <cfRule type="cellIs" dxfId="3139" priority="4824" stopIfTrue="1" operator="notEqual">
      <formula>0</formula>
    </cfRule>
  </conditionalFormatting>
  <conditionalFormatting sqref="C178:D178">
    <cfRule type="expression" dxfId="3138" priority="4821" stopIfTrue="1">
      <formula>IF(AND($C178&lt;&gt;"",$H178+$L178=0),TRUE)</formula>
    </cfRule>
  </conditionalFormatting>
  <conditionalFormatting sqref="P178">
    <cfRule type="cellIs" dxfId="3137" priority="4810" stopIfTrue="1" operator="equal">
      <formula>1</formula>
    </cfRule>
    <cfRule type="cellIs" dxfId="3136" priority="4819" stopIfTrue="1" operator="equal">
      <formula>2</formula>
    </cfRule>
    <cfRule type="cellIs" dxfId="3135" priority="4820" stopIfTrue="1" operator="equal">
      <formula>"X"</formula>
    </cfRule>
  </conditionalFormatting>
  <conditionalFormatting sqref="GU178">
    <cfRule type="cellIs" dxfId="3134" priority="4812" stopIfTrue="1" operator="equal">
      <formula>0</formula>
    </cfRule>
    <cfRule type="cellIs" dxfId="3133" priority="4813" stopIfTrue="1" operator="notEqual">
      <formula>0</formula>
    </cfRule>
  </conditionalFormatting>
  <conditionalFormatting sqref="GV178">
    <cfRule type="cellIs" dxfId="3132" priority="4811" stopIfTrue="1" operator="equal">
      <formula>"STOP"</formula>
    </cfRule>
  </conditionalFormatting>
  <conditionalFormatting sqref="Q177">
    <cfRule type="cellIs" dxfId="3131" priority="4805" stopIfTrue="1" operator="equal">
      <formula>"SIM"</formula>
    </cfRule>
    <cfRule type="cellIs" dxfId="3130" priority="4806" stopIfTrue="1" operator="equal">
      <formula>"NÃO"</formula>
    </cfRule>
  </conditionalFormatting>
  <conditionalFormatting sqref="BF177 CJ177 DO177">
    <cfRule type="cellIs" dxfId="3129" priority="4801" stopIfTrue="1" operator="equal">
      <formula>0</formula>
    </cfRule>
    <cfRule type="cellIs" dxfId="3128" priority="4807" stopIfTrue="1" operator="notEqual">
      <formula>0</formula>
    </cfRule>
  </conditionalFormatting>
  <conditionalFormatting sqref="C177:D177">
    <cfRule type="expression" dxfId="3127" priority="4804" stopIfTrue="1">
      <formula>IF(AND($C177&lt;&gt;"",$H177+$L177=0),TRUE)</formula>
    </cfRule>
  </conditionalFormatting>
  <conditionalFormatting sqref="P177">
    <cfRule type="cellIs" dxfId="3126" priority="4793" stopIfTrue="1" operator="equal">
      <formula>1</formula>
    </cfRule>
    <cfRule type="cellIs" dxfId="3125" priority="4802" stopIfTrue="1" operator="equal">
      <formula>2</formula>
    </cfRule>
    <cfRule type="cellIs" dxfId="3124" priority="4803" stopIfTrue="1" operator="equal">
      <formula>"X"</formula>
    </cfRule>
  </conditionalFormatting>
  <conditionalFormatting sqref="GU177">
    <cfRule type="cellIs" dxfId="3123" priority="4795" stopIfTrue="1" operator="equal">
      <formula>0</formula>
    </cfRule>
    <cfRule type="cellIs" dxfId="3122" priority="4796" stopIfTrue="1" operator="notEqual">
      <formula>0</formula>
    </cfRule>
  </conditionalFormatting>
  <conditionalFormatting sqref="GV177">
    <cfRule type="cellIs" dxfId="3121" priority="4794" stopIfTrue="1" operator="equal">
      <formula>"STOP"</formula>
    </cfRule>
  </conditionalFormatting>
  <conditionalFormatting sqref="Q178">
    <cfRule type="cellIs" dxfId="3120" priority="4788" stopIfTrue="1" operator="equal">
      <formula>"SIM"</formula>
    </cfRule>
    <cfRule type="cellIs" dxfId="3119" priority="4789" stopIfTrue="1" operator="equal">
      <formula>"NÃO"</formula>
    </cfRule>
  </conditionalFormatting>
  <conditionalFormatting sqref="BF178 CJ178 DO178">
    <cfRule type="cellIs" dxfId="3118" priority="4784" stopIfTrue="1" operator="equal">
      <formula>0</formula>
    </cfRule>
    <cfRule type="cellIs" dxfId="3117" priority="4790" stopIfTrue="1" operator="notEqual">
      <formula>0</formula>
    </cfRule>
  </conditionalFormatting>
  <conditionalFormatting sqref="C178:D178">
    <cfRule type="expression" dxfId="3116" priority="4787" stopIfTrue="1">
      <formula>IF(AND($C178&lt;&gt;"",$H178+$L178=0),TRUE)</formula>
    </cfRule>
  </conditionalFormatting>
  <conditionalFormatting sqref="P178">
    <cfRule type="cellIs" dxfId="3115" priority="4776" stopIfTrue="1" operator="equal">
      <formula>1</formula>
    </cfRule>
    <cfRule type="cellIs" dxfId="3114" priority="4785" stopIfTrue="1" operator="equal">
      <formula>2</formula>
    </cfRule>
    <cfRule type="cellIs" dxfId="3113" priority="4786" stopIfTrue="1" operator="equal">
      <formula>"X"</formula>
    </cfRule>
  </conditionalFormatting>
  <conditionalFormatting sqref="GU178">
    <cfRule type="cellIs" dxfId="3112" priority="4778" stopIfTrue="1" operator="equal">
      <formula>0</formula>
    </cfRule>
    <cfRule type="cellIs" dxfId="3111" priority="4779" stopIfTrue="1" operator="notEqual">
      <formula>0</formula>
    </cfRule>
  </conditionalFormatting>
  <conditionalFormatting sqref="GV178">
    <cfRule type="cellIs" dxfId="3110" priority="4777" stopIfTrue="1" operator="equal">
      <formula>"STOP"</formula>
    </cfRule>
  </conditionalFormatting>
  <conditionalFormatting sqref="Q177">
    <cfRule type="cellIs" dxfId="3109" priority="4771" stopIfTrue="1" operator="equal">
      <formula>"SIM"</formula>
    </cfRule>
    <cfRule type="cellIs" dxfId="3108" priority="4772" stopIfTrue="1" operator="equal">
      <formula>"NÃO"</formula>
    </cfRule>
  </conditionalFormatting>
  <conditionalFormatting sqref="BF177 CJ177 DO177">
    <cfRule type="cellIs" dxfId="3107" priority="4767" stopIfTrue="1" operator="equal">
      <formula>0</formula>
    </cfRule>
    <cfRule type="cellIs" dxfId="3106" priority="4773" stopIfTrue="1" operator="notEqual">
      <formula>0</formula>
    </cfRule>
  </conditionalFormatting>
  <conditionalFormatting sqref="C177:D177">
    <cfRule type="expression" dxfId="3105" priority="4770" stopIfTrue="1">
      <formula>IF(AND($C177&lt;&gt;"",$H177+$L177=0),TRUE)</formula>
    </cfRule>
  </conditionalFormatting>
  <conditionalFormatting sqref="P177">
    <cfRule type="cellIs" dxfId="3104" priority="4759" stopIfTrue="1" operator="equal">
      <formula>1</formula>
    </cfRule>
    <cfRule type="cellIs" dxfId="3103" priority="4768" stopIfTrue="1" operator="equal">
      <formula>2</formula>
    </cfRule>
    <cfRule type="cellIs" dxfId="3102" priority="4769" stopIfTrue="1" operator="equal">
      <formula>"X"</formula>
    </cfRule>
  </conditionalFormatting>
  <conditionalFormatting sqref="GU177">
    <cfRule type="cellIs" dxfId="3101" priority="4761" stopIfTrue="1" operator="equal">
      <formula>0</formula>
    </cfRule>
    <cfRule type="cellIs" dxfId="3100" priority="4762" stopIfTrue="1" operator="notEqual">
      <formula>0</formula>
    </cfRule>
  </conditionalFormatting>
  <conditionalFormatting sqref="GV177">
    <cfRule type="cellIs" dxfId="3099" priority="4760" stopIfTrue="1" operator="equal">
      <formula>"STOP"</formula>
    </cfRule>
  </conditionalFormatting>
  <conditionalFormatting sqref="Q177">
    <cfRule type="cellIs" dxfId="3098" priority="4754" stopIfTrue="1" operator="equal">
      <formula>"SIM"</formula>
    </cfRule>
    <cfRule type="cellIs" dxfId="3097" priority="4755" stopIfTrue="1" operator="equal">
      <formula>"NÃO"</formula>
    </cfRule>
  </conditionalFormatting>
  <conditionalFormatting sqref="BF177 CJ177 DO177">
    <cfRule type="cellIs" dxfId="3096" priority="4750" stopIfTrue="1" operator="equal">
      <formula>0</formula>
    </cfRule>
    <cfRule type="cellIs" dxfId="3095" priority="4756" stopIfTrue="1" operator="notEqual">
      <formula>0</formula>
    </cfRule>
  </conditionalFormatting>
  <conditionalFormatting sqref="C177:D177">
    <cfRule type="expression" dxfId="3094" priority="4753" stopIfTrue="1">
      <formula>IF(AND($C177&lt;&gt;"",$H177+$L177=0),TRUE)</formula>
    </cfRule>
  </conditionalFormatting>
  <conditionalFormatting sqref="P177">
    <cfRule type="cellIs" dxfId="3093" priority="4742" stopIfTrue="1" operator="equal">
      <formula>1</formula>
    </cfRule>
    <cfRule type="cellIs" dxfId="3092" priority="4751" stopIfTrue="1" operator="equal">
      <formula>2</formula>
    </cfRule>
    <cfRule type="cellIs" dxfId="3091" priority="4752" stopIfTrue="1" operator="equal">
      <formula>"X"</formula>
    </cfRule>
  </conditionalFormatting>
  <conditionalFormatting sqref="GU177">
    <cfRule type="cellIs" dxfId="3090" priority="4744" stopIfTrue="1" operator="equal">
      <formula>0</formula>
    </cfRule>
    <cfRule type="cellIs" dxfId="3089" priority="4745" stopIfTrue="1" operator="notEqual">
      <formula>0</formula>
    </cfRule>
  </conditionalFormatting>
  <conditionalFormatting sqref="GV177">
    <cfRule type="cellIs" dxfId="3088" priority="4743" stopIfTrue="1" operator="equal">
      <formula>"STOP"</formula>
    </cfRule>
  </conditionalFormatting>
  <conditionalFormatting sqref="Q177">
    <cfRule type="cellIs" dxfId="3087" priority="4737" stopIfTrue="1" operator="equal">
      <formula>"SIM"</formula>
    </cfRule>
    <cfRule type="cellIs" dxfId="3086" priority="4738" stopIfTrue="1" operator="equal">
      <formula>"NÃO"</formula>
    </cfRule>
  </conditionalFormatting>
  <conditionalFormatting sqref="BF177 CJ177 DO177">
    <cfRule type="cellIs" dxfId="3085" priority="4733" stopIfTrue="1" operator="equal">
      <formula>0</formula>
    </cfRule>
    <cfRule type="cellIs" dxfId="3084" priority="4739" stopIfTrue="1" operator="notEqual">
      <formula>0</formula>
    </cfRule>
  </conditionalFormatting>
  <conditionalFormatting sqref="C177:D177">
    <cfRule type="expression" dxfId="3083" priority="4736" stopIfTrue="1">
      <formula>IF(AND($C177&lt;&gt;"",$H177+$L177=0),TRUE)</formula>
    </cfRule>
  </conditionalFormatting>
  <conditionalFormatting sqref="P177">
    <cfRule type="cellIs" dxfId="3082" priority="4725" stopIfTrue="1" operator="equal">
      <formula>1</formula>
    </cfRule>
    <cfRule type="cellIs" dxfId="3081" priority="4734" stopIfTrue="1" operator="equal">
      <formula>2</formula>
    </cfRule>
    <cfRule type="cellIs" dxfId="3080" priority="4735" stopIfTrue="1" operator="equal">
      <formula>"X"</formula>
    </cfRule>
  </conditionalFormatting>
  <conditionalFormatting sqref="GU177">
    <cfRule type="cellIs" dxfId="3079" priority="4727" stopIfTrue="1" operator="equal">
      <formula>0</formula>
    </cfRule>
    <cfRule type="cellIs" dxfId="3078" priority="4728" stopIfTrue="1" operator="notEqual">
      <formula>0</formula>
    </cfRule>
  </conditionalFormatting>
  <conditionalFormatting sqref="GV177">
    <cfRule type="cellIs" dxfId="3077" priority="4726" stopIfTrue="1" operator="equal">
      <formula>"STOP"</formula>
    </cfRule>
  </conditionalFormatting>
  <conditionalFormatting sqref="Q178">
    <cfRule type="cellIs" dxfId="3076" priority="4720" stopIfTrue="1" operator="equal">
      <formula>"SIM"</formula>
    </cfRule>
    <cfRule type="cellIs" dxfId="3075" priority="4721" stopIfTrue="1" operator="equal">
      <formula>"NÃO"</formula>
    </cfRule>
  </conditionalFormatting>
  <conditionalFormatting sqref="BF178 CJ178 DO178">
    <cfRule type="cellIs" dxfId="3074" priority="4716" stopIfTrue="1" operator="equal">
      <formula>0</formula>
    </cfRule>
    <cfRule type="cellIs" dxfId="3073" priority="4722" stopIfTrue="1" operator="notEqual">
      <formula>0</formula>
    </cfRule>
  </conditionalFormatting>
  <conditionalFormatting sqref="C178:D178">
    <cfRule type="expression" dxfId="3072" priority="4719" stopIfTrue="1">
      <formula>IF(AND($C178&lt;&gt;"",$H178+$L178=0),TRUE)</formula>
    </cfRule>
  </conditionalFormatting>
  <conditionalFormatting sqref="P178">
    <cfRule type="cellIs" dxfId="3071" priority="4708" stopIfTrue="1" operator="equal">
      <formula>1</formula>
    </cfRule>
    <cfRule type="cellIs" dxfId="3070" priority="4717" stopIfTrue="1" operator="equal">
      <formula>2</formula>
    </cfRule>
    <cfRule type="cellIs" dxfId="3069" priority="4718" stopIfTrue="1" operator="equal">
      <formula>"X"</formula>
    </cfRule>
  </conditionalFormatting>
  <conditionalFormatting sqref="GU178">
    <cfRule type="cellIs" dxfId="3068" priority="4710" stopIfTrue="1" operator="equal">
      <formula>0</formula>
    </cfRule>
    <cfRule type="cellIs" dxfId="3067" priority="4711" stopIfTrue="1" operator="notEqual">
      <formula>0</formula>
    </cfRule>
  </conditionalFormatting>
  <conditionalFormatting sqref="GV178">
    <cfRule type="cellIs" dxfId="3066" priority="4709" stopIfTrue="1" operator="equal">
      <formula>"STOP"</formula>
    </cfRule>
  </conditionalFormatting>
  <conditionalFormatting sqref="Q177">
    <cfRule type="cellIs" dxfId="3065" priority="4703" stopIfTrue="1" operator="equal">
      <formula>"SIM"</formula>
    </cfRule>
    <cfRule type="cellIs" dxfId="3064" priority="4704" stopIfTrue="1" operator="equal">
      <formula>"NÃO"</formula>
    </cfRule>
  </conditionalFormatting>
  <conditionalFormatting sqref="BF177 CJ177 DO177">
    <cfRule type="cellIs" dxfId="3063" priority="4699" stopIfTrue="1" operator="equal">
      <formula>0</formula>
    </cfRule>
    <cfRule type="cellIs" dxfId="3062" priority="4705" stopIfTrue="1" operator="notEqual">
      <formula>0</formula>
    </cfRule>
  </conditionalFormatting>
  <conditionalFormatting sqref="C177:D177">
    <cfRule type="expression" dxfId="3061" priority="4702" stopIfTrue="1">
      <formula>IF(AND($C177&lt;&gt;"",$H177+$L177=0),TRUE)</formula>
    </cfRule>
  </conditionalFormatting>
  <conditionalFormatting sqref="P177">
    <cfRule type="cellIs" dxfId="3060" priority="4691" stopIfTrue="1" operator="equal">
      <formula>1</formula>
    </cfRule>
    <cfRule type="cellIs" dxfId="3059" priority="4700" stopIfTrue="1" operator="equal">
      <formula>2</formula>
    </cfRule>
    <cfRule type="cellIs" dxfId="3058" priority="4701" stopIfTrue="1" operator="equal">
      <formula>"X"</formula>
    </cfRule>
  </conditionalFormatting>
  <conditionalFormatting sqref="GU177">
    <cfRule type="cellIs" dxfId="3057" priority="4693" stopIfTrue="1" operator="equal">
      <formula>0</formula>
    </cfRule>
    <cfRule type="cellIs" dxfId="3056" priority="4694" stopIfTrue="1" operator="notEqual">
      <formula>0</formula>
    </cfRule>
  </conditionalFormatting>
  <conditionalFormatting sqref="GV177">
    <cfRule type="cellIs" dxfId="3055" priority="4692" stopIfTrue="1" operator="equal">
      <formula>"STOP"</formula>
    </cfRule>
  </conditionalFormatting>
  <conditionalFormatting sqref="Q177">
    <cfRule type="cellIs" dxfId="3054" priority="4686" stopIfTrue="1" operator="equal">
      <formula>"SIM"</formula>
    </cfRule>
    <cfRule type="cellIs" dxfId="3053" priority="4687" stopIfTrue="1" operator="equal">
      <formula>"NÃO"</formula>
    </cfRule>
  </conditionalFormatting>
  <conditionalFormatting sqref="BF177 CJ177 DO177">
    <cfRule type="cellIs" dxfId="3052" priority="4682" stopIfTrue="1" operator="equal">
      <formula>0</formula>
    </cfRule>
    <cfRule type="cellIs" dxfId="3051" priority="4688" stopIfTrue="1" operator="notEqual">
      <formula>0</formula>
    </cfRule>
  </conditionalFormatting>
  <conditionalFormatting sqref="C177:D177">
    <cfRule type="expression" dxfId="3050" priority="4685" stopIfTrue="1">
      <formula>IF(AND($C177&lt;&gt;"",$H177+$L177=0),TRUE)</formula>
    </cfRule>
  </conditionalFormatting>
  <conditionalFormatting sqref="P177">
    <cfRule type="cellIs" dxfId="3049" priority="4674" stopIfTrue="1" operator="equal">
      <formula>1</formula>
    </cfRule>
    <cfRule type="cellIs" dxfId="3048" priority="4683" stopIfTrue="1" operator="equal">
      <formula>2</formula>
    </cfRule>
    <cfRule type="cellIs" dxfId="3047" priority="4684" stopIfTrue="1" operator="equal">
      <formula>"X"</formula>
    </cfRule>
  </conditionalFormatting>
  <conditionalFormatting sqref="GU177">
    <cfRule type="cellIs" dxfId="3046" priority="4676" stopIfTrue="1" operator="equal">
      <formula>0</formula>
    </cfRule>
    <cfRule type="cellIs" dxfId="3045" priority="4677" stopIfTrue="1" operator="notEqual">
      <formula>0</formula>
    </cfRule>
  </conditionalFormatting>
  <conditionalFormatting sqref="GV177">
    <cfRule type="cellIs" dxfId="3044" priority="4675" stopIfTrue="1" operator="equal">
      <formula>"STOP"</formula>
    </cfRule>
  </conditionalFormatting>
  <conditionalFormatting sqref="Q177">
    <cfRule type="cellIs" dxfId="3043" priority="4669" stopIfTrue="1" operator="equal">
      <formula>"SIM"</formula>
    </cfRule>
    <cfRule type="cellIs" dxfId="3042" priority="4670" stopIfTrue="1" operator="equal">
      <formula>"NÃO"</formula>
    </cfRule>
  </conditionalFormatting>
  <conditionalFormatting sqref="BF177 CJ177 DO177">
    <cfRule type="cellIs" dxfId="3041" priority="4665" stopIfTrue="1" operator="equal">
      <formula>0</formula>
    </cfRule>
    <cfRule type="cellIs" dxfId="3040" priority="4671" stopIfTrue="1" operator="notEqual">
      <formula>0</formula>
    </cfRule>
  </conditionalFormatting>
  <conditionalFormatting sqref="C177:D177">
    <cfRule type="expression" dxfId="3039" priority="4668" stopIfTrue="1">
      <formula>IF(AND($C177&lt;&gt;"",$H177+$L177=0),TRUE)</formula>
    </cfRule>
  </conditionalFormatting>
  <conditionalFormatting sqref="P177">
    <cfRule type="cellIs" dxfId="3038" priority="4657" stopIfTrue="1" operator="equal">
      <formula>1</formula>
    </cfRule>
    <cfRule type="cellIs" dxfId="3037" priority="4666" stopIfTrue="1" operator="equal">
      <formula>2</formula>
    </cfRule>
    <cfRule type="cellIs" dxfId="3036" priority="4667" stopIfTrue="1" operator="equal">
      <formula>"X"</formula>
    </cfRule>
  </conditionalFormatting>
  <conditionalFormatting sqref="GU177">
    <cfRule type="cellIs" dxfId="3035" priority="4659" stopIfTrue="1" operator="equal">
      <formula>0</formula>
    </cfRule>
    <cfRule type="cellIs" dxfId="3034" priority="4660" stopIfTrue="1" operator="notEqual">
      <formula>0</formula>
    </cfRule>
  </conditionalFormatting>
  <conditionalFormatting sqref="GV177">
    <cfRule type="cellIs" dxfId="3033" priority="4658" stopIfTrue="1" operator="equal">
      <formula>"STOP"</formula>
    </cfRule>
  </conditionalFormatting>
  <conditionalFormatting sqref="Q178">
    <cfRule type="cellIs" dxfId="3032" priority="4652" stopIfTrue="1" operator="equal">
      <formula>"SIM"</formula>
    </cfRule>
    <cfRule type="cellIs" dxfId="3031" priority="4653" stopIfTrue="1" operator="equal">
      <formula>"NÃO"</formula>
    </cfRule>
  </conditionalFormatting>
  <conditionalFormatting sqref="BF178 CJ178 DO178">
    <cfRule type="cellIs" dxfId="3030" priority="4648" stopIfTrue="1" operator="equal">
      <formula>0</formula>
    </cfRule>
    <cfRule type="cellIs" dxfId="3029" priority="4654" stopIfTrue="1" operator="notEqual">
      <formula>0</formula>
    </cfRule>
  </conditionalFormatting>
  <conditionalFormatting sqref="C178:D178">
    <cfRule type="expression" dxfId="3028" priority="4651" stopIfTrue="1">
      <formula>IF(AND($C178&lt;&gt;"",$H178+$L178=0),TRUE)</formula>
    </cfRule>
  </conditionalFormatting>
  <conditionalFormatting sqref="P178">
    <cfRule type="cellIs" dxfId="3027" priority="4640" stopIfTrue="1" operator="equal">
      <formula>1</formula>
    </cfRule>
    <cfRule type="cellIs" dxfId="3026" priority="4649" stopIfTrue="1" operator="equal">
      <formula>2</formula>
    </cfRule>
    <cfRule type="cellIs" dxfId="3025" priority="4650" stopIfTrue="1" operator="equal">
      <formula>"X"</formula>
    </cfRule>
  </conditionalFormatting>
  <conditionalFormatting sqref="GU178">
    <cfRule type="cellIs" dxfId="3024" priority="4642" stopIfTrue="1" operator="equal">
      <formula>0</formula>
    </cfRule>
    <cfRule type="cellIs" dxfId="3023" priority="4643" stopIfTrue="1" operator="notEqual">
      <formula>0</formula>
    </cfRule>
  </conditionalFormatting>
  <conditionalFormatting sqref="GV178">
    <cfRule type="cellIs" dxfId="3022" priority="4641" stopIfTrue="1" operator="equal">
      <formula>"STOP"</formula>
    </cfRule>
  </conditionalFormatting>
  <conditionalFormatting sqref="Q177">
    <cfRule type="cellIs" dxfId="3021" priority="4635" stopIfTrue="1" operator="equal">
      <formula>"SIM"</formula>
    </cfRule>
    <cfRule type="cellIs" dxfId="3020" priority="4636" stopIfTrue="1" operator="equal">
      <formula>"NÃO"</formula>
    </cfRule>
  </conditionalFormatting>
  <conditionalFormatting sqref="BF177 CJ177 DO177">
    <cfRule type="cellIs" dxfId="3019" priority="4631" stopIfTrue="1" operator="equal">
      <formula>0</formula>
    </cfRule>
    <cfRule type="cellIs" dxfId="3018" priority="4637" stopIfTrue="1" operator="notEqual">
      <formula>0</formula>
    </cfRule>
  </conditionalFormatting>
  <conditionalFormatting sqref="C177:D177">
    <cfRule type="expression" dxfId="3017" priority="4634" stopIfTrue="1">
      <formula>IF(AND($C177&lt;&gt;"",$H177+$L177=0),TRUE)</formula>
    </cfRule>
  </conditionalFormatting>
  <conditionalFormatting sqref="P177">
    <cfRule type="cellIs" dxfId="3016" priority="4623" stopIfTrue="1" operator="equal">
      <formula>1</formula>
    </cfRule>
    <cfRule type="cellIs" dxfId="3015" priority="4632" stopIfTrue="1" operator="equal">
      <formula>2</formula>
    </cfRule>
    <cfRule type="cellIs" dxfId="3014" priority="4633" stopIfTrue="1" operator="equal">
      <formula>"X"</formula>
    </cfRule>
  </conditionalFormatting>
  <conditionalFormatting sqref="GU177">
    <cfRule type="cellIs" dxfId="3013" priority="4625" stopIfTrue="1" operator="equal">
      <formula>0</formula>
    </cfRule>
    <cfRule type="cellIs" dxfId="3012" priority="4626" stopIfTrue="1" operator="notEqual">
      <formula>0</formula>
    </cfRule>
  </conditionalFormatting>
  <conditionalFormatting sqref="GV177">
    <cfRule type="cellIs" dxfId="3011" priority="4624" stopIfTrue="1" operator="equal">
      <formula>"STOP"</formula>
    </cfRule>
  </conditionalFormatting>
  <conditionalFormatting sqref="Q177">
    <cfRule type="cellIs" dxfId="3010" priority="4618" stopIfTrue="1" operator="equal">
      <formula>"SIM"</formula>
    </cfRule>
    <cfRule type="cellIs" dxfId="3009" priority="4619" stopIfTrue="1" operator="equal">
      <formula>"NÃO"</formula>
    </cfRule>
  </conditionalFormatting>
  <conditionalFormatting sqref="BF177 CJ177 DO177">
    <cfRule type="cellIs" dxfId="3008" priority="4614" stopIfTrue="1" operator="equal">
      <formula>0</formula>
    </cfRule>
    <cfRule type="cellIs" dxfId="3007" priority="4620" stopIfTrue="1" operator="notEqual">
      <formula>0</formula>
    </cfRule>
  </conditionalFormatting>
  <conditionalFormatting sqref="C177:D177">
    <cfRule type="expression" dxfId="3006" priority="4617" stopIfTrue="1">
      <formula>IF(AND($C177&lt;&gt;"",$H177+$L177=0),TRUE)</formula>
    </cfRule>
  </conditionalFormatting>
  <conditionalFormatting sqref="P177">
    <cfRule type="cellIs" dxfId="3005" priority="4606" stopIfTrue="1" operator="equal">
      <formula>1</formula>
    </cfRule>
    <cfRule type="cellIs" dxfId="3004" priority="4615" stopIfTrue="1" operator="equal">
      <formula>2</formula>
    </cfRule>
    <cfRule type="cellIs" dxfId="3003" priority="4616" stopIfTrue="1" operator="equal">
      <formula>"X"</formula>
    </cfRule>
  </conditionalFormatting>
  <conditionalFormatting sqref="GU177">
    <cfRule type="cellIs" dxfId="3002" priority="4608" stopIfTrue="1" operator="equal">
      <formula>0</formula>
    </cfRule>
    <cfRule type="cellIs" dxfId="3001" priority="4609" stopIfTrue="1" operator="notEqual">
      <formula>0</formula>
    </cfRule>
  </conditionalFormatting>
  <conditionalFormatting sqref="GV177">
    <cfRule type="cellIs" dxfId="3000" priority="4607" stopIfTrue="1" operator="equal">
      <formula>"STOP"</formula>
    </cfRule>
  </conditionalFormatting>
  <conditionalFormatting sqref="Q178">
    <cfRule type="cellIs" dxfId="2999" priority="4601" stopIfTrue="1" operator="equal">
      <formula>"SIM"</formula>
    </cfRule>
    <cfRule type="cellIs" dxfId="2998" priority="4602" stopIfTrue="1" operator="equal">
      <formula>"NÃO"</formula>
    </cfRule>
  </conditionalFormatting>
  <conditionalFormatting sqref="BF178 CJ178 DO178">
    <cfRule type="cellIs" dxfId="2997" priority="4597" stopIfTrue="1" operator="equal">
      <formula>0</formula>
    </cfRule>
    <cfRule type="cellIs" dxfId="2996" priority="4603" stopIfTrue="1" operator="notEqual">
      <formula>0</formula>
    </cfRule>
  </conditionalFormatting>
  <conditionalFormatting sqref="C178:D178">
    <cfRule type="expression" dxfId="2995" priority="4600" stopIfTrue="1">
      <formula>IF(AND($C178&lt;&gt;"",$H178+$L178=0),TRUE)</formula>
    </cfRule>
  </conditionalFormatting>
  <conditionalFormatting sqref="P178">
    <cfRule type="cellIs" dxfId="2994" priority="4589" stopIfTrue="1" operator="equal">
      <formula>1</formula>
    </cfRule>
    <cfRule type="cellIs" dxfId="2993" priority="4598" stopIfTrue="1" operator="equal">
      <formula>2</formula>
    </cfRule>
    <cfRule type="cellIs" dxfId="2992" priority="4599" stopIfTrue="1" operator="equal">
      <formula>"X"</formula>
    </cfRule>
  </conditionalFormatting>
  <conditionalFormatting sqref="GU178">
    <cfRule type="cellIs" dxfId="2991" priority="4591" stopIfTrue="1" operator="equal">
      <formula>0</formula>
    </cfRule>
    <cfRule type="cellIs" dxfId="2990" priority="4592" stopIfTrue="1" operator="notEqual">
      <formula>0</formula>
    </cfRule>
  </conditionalFormatting>
  <conditionalFormatting sqref="GV178">
    <cfRule type="cellIs" dxfId="2989" priority="4590" stopIfTrue="1" operator="equal">
      <formula>"STOP"</formula>
    </cfRule>
  </conditionalFormatting>
  <conditionalFormatting sqref="Q177">
    <cfRule type="cellIs" dxfId="2988" priority="4584" stopIfTrue="1" operator="equal">
      <formula>"SIM"</formula>
    </cfRule>
    <cfRule type="cellIs" dxfId="2987" priority="4585" stopIfTrue="1" operator="equal">
      <formula>"NÃO"</formula>
    </cfRule>
  </conditionalFormatting>
  <conditionalFormatting sqref="BF177 CJ177 DO177">
    <cfRule type="cellIs" dxfId="2986" priority="4580" stopIfTrue="1" operator="equal">
      <formula>0</formula>
    </cfRule>
    <cfRule type="cellIs" dxfId="2985" priority="4586" stopIfTrue="1" operator="notEqual">
      <formula>0</formula>
    </cfRule>
  </conditionalFormatting>
  <conditionalFormatting sqref="C177:D177">
    <cfRule type="expression" dxfId="2984" priority="4583" stopIfTrue="1">
      <formula>IF(AND($C177&lt;&gt;"",$H177+$L177=0),TRUE)</formula>
    </cfRule>
  </conditionalFormatting>
  <conditionalFormatting sqref="P177">
    <cfRule type="cellIs" dxfId="2983" priority="4572" stopIfTrue="1" operator="equal">
      <formula>1</formula>
    </cfRule>
    <cfRule type="cellIs" dxfId="2982" priority="4581" stopIfTrue="1" operator="equal">
      <formula>2</formula>
    </cfRule>
    <cfRule type="cellIs" dxfId="2981" priority="4582" stopIfTrue="1" operator="equal">
      <formula>"X"</formula>
    </cfRule>
  </conditionalFormatting>
  <conditionalFormatting sqref="GU177">
    <cfRule type="cellIs" dxfId="2980" priority="4574" stopIfTrue="1" operator="equal">
      <formula>0</formula>
    </cfRule>
    <cfRule type="cellIs" dxfId="2979" priority="4575" stopIfTrue="1" operator="notEqual">
      <formula>0</formula>
    </cfRule>
  </conditionalFormatting>
  <conditionalFormatting sqref="GV177">
    <cfRule type="cellIs" dxfId="2978" priority="4573" stopIfTrue="1" operator="equal">
      <formula>"STOP"</formula>
    </cfRule>
  </conditionalFormatting>
  <conditionalFormatting sqref="Q178">
    <cfRule type="cellIs" dxfId="2977" priority="4567" stopIfTrue="1" operator="equal">
      <formula>"SIM"</formula>
    </cfRule>
    <cfRule type="cellIs" dxfId="2976" priority="4568" stopIfTrue="1" operator="equal">
      <formula>"NÃO"</formula>
    </cfRule>
  </conditionalFormatting>
  <conditionalFormatting sqref="BF178 CJ178 DO178">
    <cfRule type="cellIs" dxfId="2975" priority="4563" stopIfTrue="1" operator="equal">
      <formula>0</formula>
    </cfRule>
    <cfRule type="cellIs" dxfId="2974" priority="4569" stopIfTrue="1" operator="notEqual">
      <formula>0</formula>
    </cfRule>
  </conditionalFormatting>
  <conditionalFormatting sqref="C178:D178">
    <cfRule type="expression" dxfId="2973" priority="4566" stopIfTrue="1">
      <formula>IF(AND($C178&lt;&gt;"",$H178+$L178=0),TRUE)</formula>
    </cfRule>
  </conditionalFormatting>
  <conditionalFormatting sqref="P178">
    <cfRule type="cellIs" dxfId="2972" priority="4555" stopIfTrue="1" operator="equal">
      <formula>1</formula>
    </cfRule>
    <cfRule type="cellIs" dxfId="2971" priority="4564" stopIfTrue="1" operator="equal">
      <formula>2</formula>
    </cfRule>
    <cfRule type="cellIs" dxfId="2970" priority="4565" stopIfTrue="1" operator="equal">
      <formula>"X"</formula>
    </cfRule>
  </conditionalFormatting>
  <conditionalFormatting sqref="GU178">
    <cfRule type="cellIs" dxfId="2969" priority="4557" stopIfTrue="1" operator="equal">
      <formula>0</formula>
    </cfRule>
    <cfRule type="cellIs" dxfId="2968" priority="4558" stopIfTrue="1" operator="notEqual">
      <formula>0</formula>
    </cfRule>
  </conditionalFormatting>
  <conditionalFormatting sqref="GV178">
    <cfRule type="cellIs" dxfId="2967" priority="4556" stopIfTrue="1" operator="equal">
      <formula>"STOP"</formula>
    </cfRule>
  </conditionalFormatting>
  <conditionalFormatting sqref="Q177">
    <cfRule type="cellIs" dxfId="2966" priority="4550" stopIfTrue="1" operator="equal">
      <formula>"SIM"</formula>
    </cfRule>
    <cfRule type="cellIs" dxfId="2965" priority="4551" stopIfTrue="1" operator="equal">
      <formula>"NÃO"</formula>
    </cfRule>
  </conditionalFormatting>
  <conditionalFormatting sqref="BF177 CJ177 DO177">
    <cfRule type="cellIs" dxfId="2964" priority="4546" stopIfTrue="1" operator="equal">
      <formula>0</formula>
    </cfRule>
    <cfRule type="cellIs" dxfId="2963" priority="4552" stopIfTrue="1" operator="notEqual">
      <formula>0</formula>
    </cfRule>
  </conditionalFormatting>
  <conditionalFormatting sqref="C177:D177">
    <cfRule type="expression" dxfId="2962" priority="4549" stopIfTrue="1">
      <formula>IF(AND($C177&lt;&gt;"",$H177+$L177=0),TRUE)</formula>
    </cfRule>
  </conditionalFormatting>
  <conditionalFormatting sqref="P177">
    <cfRule type="cellIs" dxfId="2961" priority="4538" stopIfTrue="1" operator="equal">
      <formula>1</formula>
    </cfRule>
    <cfRule type="cellIs" dxfId="2960" priority="4547" stopIfTrue="1" operator="equal">
      <formula>2</formula>
    </cfRule>
    <cfRule type="cellIs" dxfId="2959" priority="4548" stopIfTrue="1" operator="equal">
      <formula>"X"</formula>
    </cfRule>
  </conditionalFormatting>
  <conditionalFormatting sqref="GU177">
    <cfRule type="cellIs" dxfId="2958" priority="4540" stopIfTrue="1" operator="equal">
      <formula>0</formula>
    </cfRule>
    <cfRule type="cellIs" dxfId="2957" priority="4541" stopIfTrue="1" operator="notEqual">
      <formula>0</formula>
    </cfRule>
  </conditionalFormatting>
  <conditionalFormatting sqref="GV177">
    <cfRule type="cellIs" dxfId="2956" priority="4539" stopIfTrue="1" operator="equal">
      <formula>"STOP"</formula>
    </cfRule>
  </conditionalFormatting>
  <conditionalFormatting sqref="Q178">
    <cfRule type="cellIs" dxfId="2955" priority="4533" stopIfTrue="1" operator="equal">
      <formula>"SIM"</formula>
    </cfRule>
    <cfRule type="cellIs" dxfId="2954" priority="4534" stopIfTrue="1" operator="equal">
      <formula>"NÃO"</formula>
    </cfRule>
  </conditionalFormatting>
  <conditionalFormatting sqref="BF178 CJ178 DO178">
    <cfRule type="cellIs" dxfId="2953" priority="4529" stopIfTrue="1" operator="equal">
      <formula>0</formula>
    </cfRule>
    <cfRule type="cellIs" dxfId="2952" priority="4535" stopIfTrue="1" operator="notEqual">
      <formula>0</formula>
    </cfRule>
  </conditionalFormatting>
  <conditionalFormatting sqref="C178:D178">
    <cfRule type="expression" dxfId="2951" priority="4532" stopIfTrue="1">
      <formula>IF(AND($C178&lt;&gt;"",$H178+$L178=0),TRUE)</formula>
    </cfRule>
  </conditionalFormatting>
  <conditionalFormatting sqref="P178">
    <cfRule type="cellIs" dxfId="2950" priority="4521" stopIfTrue="1" operator="equal">
      <formula>1</formula>
    </cfRule>
    <cfRule type="cellIs" dxfId="2949" priority="4530" stopIfTrue="1" operator="equal">
      <formula>2</formula>
    </cfRule>
    <cfRule type="cellIs" dxfId="2948" priority="4531" stopIfTrue="1" operator="equal">
      <formula>"X"</formula>
    </cfRule>
  </conditionalFormatting>
  <conditionalFormatting sqref="GU178">
    <cfRule type="cellIs" dxfId="2947" priority="4523" stopIfTrue="1" operator="equal">
      <formula>0</formula>
    </cfRule>
    <cfRule type="cellIs" dxfId="2946" priority="4524" stopIfTrue="1" operator="notEqual">
      <formula>0</formula>
    </cfRule>
  </conditionalFormatting>
  <conditionalFormatting sqref="GV178">
    <cfRule type="cellIs" dxfId="2945" priority="4522" stopIfTrue="1" operator="equal">
      <formula>"STOP"</formula>
    </cfRule>
  </conditionalFormatting>
  <conditionalFormatting sqref="Q177">
    <cfRule type="cellIs" dxfId="2944" priority="4516" stopIfTrue="1" operator="equal">
      <formula>"SIM"</formula>
    </cfRule>
    <cfRule type="cellIs" dxfId="2943" priority="4517" stopIfTrue="1" operator="equal">
      <formula>"NÃO"</formula>
    </cfRule>
  </conditionalFormatting>
  <conditionalFormatting sqref="BF177 CJ177 DO177">
    <cfRule type="cellIs" dxfId="2942" priority="4512" stopIfTrue="1" operator="equal">
      <formula>0</formula>
    </cfRule>
    <cfRule type="cellIs" dxfId="2941" priority="4518" stopIfTrue="1" operator="notEqual">
      <formula>0</formula>
    </cfRule>
  </conditionalFormatting>
  <conditionalFormatting sqref="C177:D177">
    <cfRule type="expression" dxfId="2940" priority="4515" stopIfTrue="1">
      <formula>IF(AND($C177&lt;&gt;"",$H177+$L177=0),TRUE)</formula>
    </cfRule>
  </conditionalFormatting>
  <conditionalFormatting sqref="P177">
    <cfRule type="cellIs" dxfId="2939" priority="4504" stopIfTrue="1" operator="equal">
      <formula>1</formula>
    </cfRule>
    <cfRule type="cellIs" dxfId="2938" priority="4513" stopIfTrue="1" operator="equal">
      <formula>2</formula>
    </cfRule>
    <cfRule type="cellIs" dxfId="2937" priority="4514" stopIfTrue="1" operator="equal">
      <formula>"X"</formula>
    </cfRule>
  </conditionalFormatting>
  <conditionalFormatting sqref="GU177">
    <cfRule type="cellIs" dxfId="2936" priority="4506" stopIfTrue="1" operator="equal">
      <formula>0</formula>
    </cfRule>
    <cfRule type="cellIs" dxfId="2935" priority="4507" stopIfTrue="1" operator="notEqual">
      <formula>0</formula>
    </cfRule>
  </conditionalFormatting>
  <conditionalFormatting sqref="GV177">
    <cfRule type="cellIs" dxfId="2934" priority="4505" stopIfTrue="1" operator="equal">
      <formula>"STOP"</formula>
    </cfRule>
  </conditionalFormatting>
  <conditionalFormatting sqref="Q178">
    <cfRule type="cellIs" dxfId="2933" priority="4499" stopIfTrue="1" operator="equal">
      <formula>"SIM"</formula>
    </cfRule>
    <cfRule type="cellIs" dxfId="2932" priority="4500" stopIfTrue="1" operator="equal">
      <formula>"NÃO"</formula>
    </cfRule>
  </conditionalFormatting>
  <conditionalFormatting sqref="BF178 CJ178 DO178">
    <cfRule type="cellIs" dxfId="2931" priority="4495" stopIfTrue="1" operator="equal">
      <formula>0</formula>
    </cfRule>
    <cfRule type="cellIs" dxfId="2930" priority="4501" stopIfTrue="1" operator="notEqual">
      <formula>0</formula>
    </cfRule>
  </conditionalFormatting>
  <conditionalFormatting sqref="C178:D178">
    <cfRule type="expression" dxfId="2929" priority="4498" stopIfTrue="1">
      <formula>IF(AND($C178&lt;&gt;"",$H178+$L178=0),TRUE)</formula>
    </cfRule>
  </conditionalFormatting>
  <conditionalFormatting sqref="P178">
    <cfRule type="cellIs" dxfId="2928" priority="4487" stopIfTrue="1" operator="equal">
      <formula>1</formula>
    </cfRule>
    <cfRule type="cellIs" dxfId="2927" priority="4496" stopIfTrue="1" operator="equal">
      <formula>2</formula>
    </cfRule>
    <cfRule type="cellIs" dxfId="2926" priority="4497" stopIfTrue="1" operator="equal">
      <formula>"X"</formula>
    </cfRule>
  </conditionalFormatting>
  <conditionalFormatting sqref="GU178">
    <cfRule type="cellIs" dxfId="2925" priority="4489" stopIfTrue="1" operator="equal">
      <formula>0</formula>
    </cfRule>
    <cfRule type="cellIs" dxfId="2924" priority="4490" stopIfTrue="1" operator="notEqual">
      <formula>0</formula>
    </cfRule>
  </conditionalFormatting>
  <conditionalFormatting sqref="GV178">
    <cfRule type="cellIs" dxfId="2923" priority="4488" stopIfTrue="1" operator="equal">
      <formula>"STOP"</formula>
    </cfRule>
  </conditionalFormatting>
  <conditionalFormatting sqref="Q177">
    <cfRule type="cellIs" dxfId="2922" priority="4482" stopIfTrue="1" operator="equal">
      <formula>"SIM"</formula>
    </cfRule>
    <cfRule type="cellIs" dxfId="2921" priority="4483" stopIfTrue="1" operator="equal">
      <formula>"NÃO"</formula>
    </cfRule>
  </conditionalFormatting>
  <conditionalFormatting sqref="BF177 CJ177 DO177">
    <cfRule type="cellIs" dxfId="2920" priority="4478" stopIfTrue="1" operator="equal">
      <formula>0</formula>
    </cfRule>
    <cfRule type="cellIs" dxfId="2919" priority="4484" stopIfTrue="1" operator="notEqual">
      <formula>0</formula>
    </cfRule>
  </conditionalFormatting>
  <conditionalFormatting sqref="C177:D177">
    <cfRule type="expression" dxfId="2918" priority="4481" stopIfTrue="1">
      <formula>IF(AND($C177&lt;&gt;"",$H177+$L177=0),TRUE)</formula>
    </cfRule>
  </conditionalFormatting>
  <conditionalFormatting sqref="P177">
    <cfRule type="cellIs" dxfId="2917" priority="4470" stopIfTrue="1" operator="equal">
      <formula>1</formula>
    </cfRule>
    <cfRule type="cellIs" dxfId="2916" priority="4479" stopIfTrue="1" operator="equal">
      <formula>2</formula>
    </cfRule>
    <cfRule type="cellIs" dxfId="2915" priority="4480" stopIfTrue="1" operator="equal">
      <formula>"X"</formula>
    </cfRule>
  </conditionalFormatting>
  <conditionalFormatting sqref="GU177">
    <cfRule type="cellIs" dxfId="2914" priority="4472" stopIfTrue="1" operator="equal">
      <formula>0</formula>
    </cfRule>
    <cfRule type="cellIs" dxfId="2913" priority="4473" stopIfTrue="1" operator="notEqual">
      <formula>0</formula>
    </cfRule>
  </conditionalFormatting>
  <conditionalFormatting sqref="GV177">
    <cfRule type="cellIs" dxfId="2912" priority="4471" stopIfTrue="1" operator="equal">
      <formula>"STOP"</formula>
    </cfRule>
  </conditionalFormatting>
  <conditionalFormatting sqref="Q177">
    <cfRule type="cellIs" dxfId="2911" priority="4465" stopIfTrue="1" operator="equal">
      <formula>"SIM"</formula>
    </cfRule>
    <cfRule type="cellIs" dxfId="2910" priority="4466" stopIfTrue="1" operator="equal">
      <formula>"NÃO"</formula>
    </cfRule>
  </conditionalFormatting>
  <conditionalFormatting sqref="BF177 CJ177 DO177">
    <cfRule type="cellIs" dxfId="2909" priority="4461" stopIfTrue="1" operator="equal">
      <formula>0</formula>
    </cfRule>
    <cfRule type="cellIs" dxfId="2908" priority="4467" stopIfTrue="1" operator="notEqual">
      <formula>0</formula>
    </cfRule>
  </conditionalFormatting>
  <conditionalFormatting sqref="C177:D177">
    <cfRule type="expression" dxfId="2907" priority="4464" stopIfTrue="1">
      <formula>IF(AND($C177&lt;&gt;"",$H177+$L177=0),TRUE)</formula>
    </cfRule>
  </conditionalFormatting>
  <conditionalFormatting sqref="P177">
    <cfRule type="cellIs" dxfId="2906" priority="4453" stopIfTrue="1" operator="equal">
      <formula>1</formula>
    </cfRule>
    <cfRule type="cellIs" dxfId="2905" priority="4462" stopIfTrue="1" operator="equal">
      <formula>2</formula>
    </cfRule>
    <cfRule type="cellIs" dxfId="2904" priority="4463" stopIfTrue="1" operator="equal">
      <formula>"X"</formula>
    </cfRule>
  </conditionalFormatting>
  <conditionalFormatting sqref="GU177">
    <cfRule type="cellIs" dxfId="2903" priority="4455" stopIfTrue="1" operator="equal">
      <formula>0</formula>
    </cfRule>
    <cfRule type="cellIs" dxfId="2902" priority="4456" stopIfTrue="1" operator="notEqual">
      <formula>0</formula>
    </cfRule>
  </conditionalFormatting>
  <conditionalFormatting sqref="GV177">
    <cfRule type="cellIs" dxfId="2901" priority="4454" stopIfTrue="1" operator="equal">
      <formula>"STOP"</formula>
    </cfRule>
  </conditionalFormatting>
  <conditionalFormatting sqref="Q177">
    <cfRule type="cellIs" dxfId="2900" priority="4448" stopIfTrue="1" operator="equal">
      <formula>"SIM"</formula>
    </cfRule>
    <cfRule type="cellIs" dxfId="2899" priority="4449" stopIfTrue="1" operator="equal">
      <formula>"NÃO"</formula>
    </cfRule>
  </conditionalFormatting>
  <conditionalFormatting sqref="BF177 CJ177 DO177">
    <cfRule type="cellIs" dxfId="2898" priority="4444" stopIfTrue="1" operator="equal">
      <formula>0</formula>
    </cfRule>
    <cfRule type="cellIs" dxfId="2897" priority="4450" stopIfTrue="1" operator="notEqual">
      <formula>0</formula>
    </cfRule>
  </conditionalFormatting>
  <conditionalFormatting sqref="C177:D177">
    <cfRule type="expression" dxfId="2896" priority="4447" stopIfTrue="1">
      <formula>IF(AND($C177&lt;&gt;"",$H177+$L177=0),TRUE)</formula>
    </cfRule>
  </conditionalFormatting>
  <conditionalFormatting sqref="P177">
    <cfRule type="cellIs" dxfId="2895" priority="4436" stopIfTrue="1" operator="equal">
      <formula>1</formula>
    </cfRule>
    <cfRule type="cellIs" dxfId="2894" priority="4445" stopIfTrue="1" operator="equal">
      <formula>2</formula>
    </cfRule>
    <cfRule type="cellIs" dxfId="2893" priority="4446" stopIfTrue="1" operator="equal">
      <formula>"X"</formula>
    </cfRule>
  </conditionalFormatting>
  <conditionalFormatting sqref="GU177">
    <cfRule type="cellIs" dxfId="2892" priority="4438" stopIfTrue="1" operator="equal">
      <formula>0</formula>
    </cfRule>
    <cfRule type="cellIs" dxfId="2891" priority="4439" stopIfTrue="1" operator="notEqual">
      <formula>0</formula>
    </cfRule>
  </conditionalFormatting>
  <conditionalFormatting sqref="GV177">
    <cfRule type="cellIs" dxfId="2890" priority="4437" stopIfTrue="1" operator="equal">
      <formula>"STOP"</formula>
    </cfRule>
  </conditionalFormatting>
  <conditionalFormatting sqref="Q178">
    <cfRule type="cellIs" dxfId="2889" priority="4431" stopIfTrue="1" operator="equal">
      <formula>"SIM"</formula>
    </cfRule>
    <cfRule type="cellIs" dxfId="2888" priority="4432" stopIfTrue="1" operator="equal">
      <formula>"NÃO"</formula>
    </cfRule>
  </conditionalFormatting>
  <conditionalFormatting sqref="BF178 CJ178 DO178">
    <cfRule type="cellIs" dxfId="2887" priority="4427" stopIfTrue="1" operator="equal">
      <formula>0</formula>
    </cfRule>
    <cfRule type="cellIs" dxfId="2886" priority="4433" stopIfTrue="1" operator="notEqual">
      <formula>0</formula>
    </cfRule>
  </conditionalFormatting>
  <conditionalFormatting sqref="C178:D178">
    <cfRule type="expression" dxfId="2885" priority="4430" stopIfTrue="1">
      <formula>IF(AND($C178&lt;&gt;"",$H178+$L178=0),TRUE)</formula>
    </cfRule>
  </conditionalFormatting>
  <conditionalFormatting sqref="P178">
    <cfRule type="cellIs" dxfId="2884" priority="4419" stopIfTrue="1" operator="equal">
      <formula>1</formula>
    </cfRule>
    <cfRule type="cellIs" dxfId="2883" priority="4428" stopIfTrue="1" operator="equal">
      <formula>2</formula>
    </cfRule>
    <cfRule type="cellIs" dxfId="2882" priority="4429" stopIfTrue="1" operator="equal">
      <formula>"X"</formula>
    </cfRule>
  </conditionalFormatting>
  <conditionalFormatting sqref="GU178">
    <cfRule type="cellIs" dxfId="2881" priority="4421" stopIfTrue="1" operator="equal">
      <formula>0</formula>
    </cfRule>
    <cfRule type="cellIs" dxfId="2880" priority="4422" stopIfTrue="1" operator="notEqual">
      <formula>0</formula>
    </cfRule>
  </conditionalFormatting>
  <conditionalFormatting sqref="GV178">
    <cfRule type="cellIs" dxfId="2879" priority="4420" stopIfTrue="1" operator="equal">
      <formula>"STOP"</formula>
    </cfRule>
  </conditionalFormatting>
  <conditionalFormatting sqref="Q177">
    <cfRule type="cellIs" dxfId="2878" priority="4414" stopIfTrue="1" operator="equal">
      <formula>"SIM"</formula>
    </cfRule>
    <cfRule type="cellIs" dxfId="2877" priority="4415" stopIfTrue="1" operator="equal">
      <formula>"NÃO"</formula>
    </cfRule>
  </conditionalFormatting>
  <conditionalFormatting sqref="BF177 CJ177 DO177">
    <cfRule type="cellIs" dxfId="2876" priority="4410" stopIfTrue="1" operator="equal">
      <formula>0</formula>
    </cfRule>
    <cfRule type="cellIs" dxfId="2875" priority="4416" stopIfTrue="1" operator="notEqual">
      <formula>0</formula>
    </cfRule>
  </conditionalFormatting>
  <conditionalFormatting sqref="C177:D177">
    <cfRule type="expression" dxfId="2874" priority="4413" stopIfTrue="1">
      <formula>IF(AND($C177&lt;&gt;"",$H177+$L177=0),TRUE)</formula>
    </cfRule>
  </conditionalFormatting>
  <conditionalFormatting sqref="P177">
    <cfRule type="cellIs" dxfId="2873" priority="4402" stopIfTrue="1" operator="equal">
      <formula>1</formula>
    </cfRule>
    <cfRule type="cellIs" dxfId="2872" priority="4411" stopIfTrue="1" operator="equal">
      <formula>2</formula>
    </cfRule>
    <cfRule type="cellIs" dxfId="2871" priority="4412" stopIfTrue="1" operator="equal">
      <formula>"X"</formula>
    </cfRule>
  </conditionalFormatting>
  <conditionalFormatting sqref="GU177">
    <cfRule type="cellIs" dxfId="2870" priority="4404" stopIfTrue="1" operator="equal">
      <formula>0</formula>
    </cfRule>
    <cfRule type="cellIs" dxfId="2869" priority="4405" stopIfTrue="1" operator="notEqual">
      <formula>0</formula>
    </cfRule>
  </conditionalFormatting>
  <conditionalFormatting sqref="GV177">
    <cfRule type="cellIs" dxfId="2868" priority="4403" stopIfTrue="1" operator="equal">
      <formula>"STOP"</formula>
    </cfRule>
  </conditionalFormatting>
  <conditionalFormatting sqref="Q177">
    <cfRule type="cellIs" dxfId="2867" priority="4397" stopIfTrue="1" operator="equal">
      <formula>"SIM"</formula>
    </cfRule>
    <cfRule type="cellIs" dxfId="2866" priority="4398" stopIfTrue="1" operator="equal">
      <formula>"NÃO"</formula>
    </cfRule>
  </conditionalFormatting>
  <conditionalFormatting sqref="BF177 CJ177 DO177">
    <cfRule type="cellIs" dxfId="2865" priority="4393" stopIfTrue="1" operator="equal">
      <formula>0</formula>
    </cfRule>
    <cfRule type="cellIs" dxfId="2864" priority="4399" stopIfTrue="1" operator="notEqual">
      <formula>0</formula>
    </cfRule>
  </conditionalFormatting>
  <conditionalFormatting sqref="C177:D177">
    <cfRule type="expression" dxfId="2863" priority="4396" stopIfTrue="1">
      <formula>IF(AND($C177&lt;&gt;"",$H177+$L177=0),TRUE)</formula>
    </cfRule>
  </conditionalFormatting>
  <conditionalFormatting sqref="P177">
    <cfRule type="cellIs" dxfId="2862" priority="4385" stopIfTrue="1" operator="equal">
      <formula>1</formula>
    </cfRule>
    <cfRule type="cellIs" dxfId="2861" priority="4394" stopIfTrue="1" operator="equal">
      <formula>2</formula>
    </cfRule>
    <cfRule type="cellIs" dxfId="2860" priority="4395" stopIfTrue="1" operator="equal">
      <formula>"X"</formula>
    </cfRule>
  </conditionalFormatting>
  <conditionalFormatting sqref="GU177">
    <cfRule type="cellIs" dxfId="2859" priority="4387" stopIfTrue="1" operator="equal">
      <formula>0</formula>
    </cfRule>
    <cfRule type="cellIs" dxfId="2858" priority="4388" stopIfTrue="1" operator="notEqual">
      <formula>0</formula>
    </cfRule>
  </conditionalFormatting>
  <conditionalFormatting sqref="GV177">
    <cfRule type="cellIs" dxfId="2857" priority="4386" stopIfTrue="1" operator="equal">
      <formula>"STOP"</formula>
    </cfRule>
  </conditionalFormatting>
  <conditionalFormatting sqref="Q177">
    <cfRule type="cellIs" dxfId="2856" priority="4380" stopIfTrue="1" operator="equal">
      <formula>"SIM"</formula>
    </cfRule>
    <cfRule type="cellIs" dxfId="2855" priority="4381" stopIfTrue="1" operator="equal">
      <formula>"NÃO"</formula>
    </cfRule>
  </conditionalFormatting>
  <conditionalFormatting sqref="BF177 CJ177 DO177">
    <cfRule type="cellIs" dxfId="2854" priority="4376" stopIfTrue="1" operator="equal">
      <formula>0</formula>
    </cfRule>
    <cfRule type="cellIs" dxfId="2853" priority="4382" stopIfTrue="1" operator="notEqual">
      <formula>0</formula>
    </cfRule>
  </conditionalFormatting>
  <conditionalFormatting sqref="C177:D177">
    <cfRule type="expression" dxfId="2852" priority="4379" stopIfTrue="1">
      <formula>IF(AND($C177&lt;&gt;"",$H177+$L177=0),TRUE)</formula>
    </cfRule>
  </conditionalFormatting>
  <conditionalFormatting sqref="P177">
    <cfRule type="cellIs" dxfId="2851" priority="4368" stopIfTrue="1" operator="equal">
      <formula>1</formula>
    </cfRule>
    <cfRule type="cellIs" dxfId="2850" priority="4377" stopIfTrue="1" operator="equal">
      <formula>2</formula>
    </cfRule>
    <cfRule type="cellIs" dxfId="2849" priority="4378" stopIfTrue="1" operator="equal">
      <formula>"X"</formula>
    </cfRule>
  </conditionalFormatting>
  <conditionalFormatting sqref="GU177">
    <cfRule type="cellIs" dxfId="2848" priority="4370" stopIfTrue="1" operator="equal">
      <formula>0</formula>
    </cfRule>
    <cfRule type="cellIs" dxfId="2847" priority="4371" stopIfTrue="1" operator="notEqual">
      <formula>0</formula>
    </cfRule>
  </conditionalFormatting>
  <conditionalFormatting sqref="GV177">
    <cfRule type="cellIs" dxfId="2846" priority="4369" stopIfTrue="1" operator="equal">
      <formula>"STOP"</formula>
    </cfRule>
  </conditionalFormatting>
  <conditionalFormatting sqref="Q178">
    <cfRule type="cellIs" dxfId="2845" priority="4363" stopIfTrue="1" operator="equal">
      <formula>"SIM"</formula>
    </cfRule>
    <cfRule type="cellIs" dxfId="2844" priority="4364" stopIfTrue="1" operator="equal">
      <formula>"NÃO"</formula>
    </cfRule>
  </conditionalFormatting>
  <conditionalFormatting sqref="BF178 CJ178 DO178">
    <cfRule type="cellIs" dxfId="2843" priority="4359" stopIfTrue="1" operator="equal">
      <formula>0</formula>
    </cfRule>
    <cfRule type="cellIs" dxfId="2842" priority="4365" stopIfTrue="1" operator="notEqual">
      <formula>0</formula>
    </cfRule>
  </conditionalFormatting>
  <conditionalFormatting sqref="C178:D178">
    <cfRule type="expression" dxfId="2841" priority="4362" stopIfTrue="1">
      <formula>IF(AND($C178&lt;&gt;"",$H178+$L178=0),TRUE)</formula>
    </cfRule>
  </conditionalFormatting>
  <conditionalFormatting sqref="P178">
    <cfRule type="cellIs" dxfId="2840" priority="4351" stopIfTrue="1" operator="equal">
      <formula>1</formula>
    </cfRule>
    <cfRule type="cellIs" dxfId="2839" priority="4360" stopIfTrue="1" operator="equal">
      <formula>2</formula>
    </cfRule>
    <cfRule type="cellIs" dxfId="2838" priority="4361" stopIfTrue="1" operator="equal">
      <formula>"X"</formula>
    </cfRule>
  </conditionalFormatting>
  <conditionalFormatting sqref="GU178">
    <cfRule type="cellIs" dxfId="2837" priority="4353" stopIfTrue="1" operator="equal">
      <formula>0</formula>
    </cfRule>
    <cfRule type="cellIs" dxfId="2836" priority="4354" stopIfTrue="1" operator="notEqual">
      <formula>0</formula>
    </cfRule>
  </conditionalFormatting>
  <conditionalFormatting sqref="GV178">
    <cfRule type="cellIs" dxfId="2835" priority="4352" stopIfTrue="1" operator="equal">
      <formula>"STOP"</formula>
    </cfRule>
  </conditionalFormatting>
  <conditionalFormatting sqref="Q177">
    <cfRule type="cellIs" dxfId="2834" priority="4346" stopIfTrue="1" operator="equal">
      <formula>"SIM"</formula>
    </cfRule>
    <cfRule type="cellIs" dxfId="2833" priority="4347" stopIfTrue="1" operator="equal">
      <formula>"NÃO"</formula>
    </cfRule>
  </conditionalFormatting>
  <conditionalFormatting sqref="BF177 CJ177 DO177">
    <cfRule type="cellIs" dxfId="2832" priority="4342" stopIfTrue="1" operator="equal">
      <formula>0</formula>
    </cfRule>
    <cfRule type="cellIs" dxfId="2831" priority="4348" stopIfTrue="1" operator="notEqual">
      <formula>0</formula>
    </cfRule>
  </conditionalFormatting>
  <conditionalFormatting sqref="C177:D177">
    <cfRule type="expression" dxfId="2830" priority="4345" stopIfTrue="1">
      <formula>IF(AND($C177&lt;&gt;"",$H177+$L177=0),TRUE)</formula>
    </cfRule>
  </conditionalFormatting>
  <conditionalFormatting sqref="P177">
    <cfRule type="cellIs" dxfId="2829" priority="4334" stopIfTrue="1" operator="equal">
      <formula>1</formula>
    </cfRule>
    <cfRule type="cellIs" dxfId="2828" priority="4343" stopIfTrue="1" operator="equal">
      <formula>2</formula>
    </cfRule>
    <cfRule type="cellIs" dxfId="2827" priority="4344" stopIfTrue="1" operator="equal">
      <formula>"X"</formula>
    </cfRule>
  </conditionalFormatting>
  <conditionalFormatting sqref="GU177">
    <cfRule type="cellIs" dxfId="2826" priority="4336" stopIfTrue="1" operator="equal">
      <formula>0</formula>
    </cfRule>
    <cfRule type="cellIs" dxfId="2825" priority="4337" stopIfTrue="1" operator="notEqual">
      <formula>0</formula>
    </cfRule>
  </conditionalFormatting>
  <conditionalFormatting sqref="GV177">
    <cfRule type="cellIs" dxfId="2824" priority="4335" stopIfTrue="1" operator="equal">
      <formula>"STOP"</formula>
    </cfRule>
  </conditionalFormatting>
  <conditionalFormatting sqref="Q177">
    <cfRule type="cellIs" dxfId="2823" priority="4329" stopIfTrue="1" operator="equal">
      <formula>"SIM"</formula>
    </cfRule>
    <cfRule type="cellIs" dxfId="2822" priority="4330" stopIfTrue="1" operator="equal">
      <formula>"NÃO"</formula>
    </cfRule>
  </conditionalFormatting>
  <conditionalFormatting sqref="BF177 CJ177 DO177">
    <cfRule type="cellIs" dxfId="2821" priority="4325" stopIfTrue="1" operator="equal">
      <formula>0</formula>
    </cfRule>
    <cfRule type="cellIs" dxfId="2820" priority="4331" stopIfTrue="1" operator="notEqual">
      <formula>0</formula>
    </cfRule>
  </conditionalFormatting>
  <conditionalFormatting sqref="C177:D177">
    <cfRule type="expression" dxfId="2819" priority="4328" stopIfTrue="1">
      <formula>IF(AND($C177&lt;&gt;"",$H177+$L177=0),TRUE)</formula>
    </cfRule>
  </conditionalFormatting>
  <conditionalFormatting sqref="P177">
    <cfRule type="cellIs" dxfId="2818" priority="4317" stopIfTrue="1" operator="equal">
      <formula>1</formula>
    </cfRule>
    <cfRule type="cellIs" dxfId="2817" priority="4326" stopIfTrue="1" operator="equal">
      <formula>2</formula>
    </cfRule>
    <cfRule type="cellIs" dxfId="2816" priority="4327" stopIfTrue="1" operator="equal">
      <formula>"X"</formula>
    </cfRule>
  </conditionalFormatting>
  <conditionalFormatting sqref="GU177">
    <cfRule type="cellIs" dxfId="2815" priority="4319" stopIfTrue="1" operator="equal">
      <formula>0</formula>
    </cfRule>
    <cfRule type="cellIs" dxfId="2814" priority="4320" stopIfTrue="1" operator="notEqual">
      <formula>0</formula>
    </cfRule>
  </conditionalFormatting>
  <conditionalFormatting sqref="GV177">
    <cfRule type="cellIs" dxfId="2813" priority="4318" stopIfTrue="1" operator="equal">
      <formula>"STOP"</formula>
    </cfRule>
  </conditionalFormatting>
  <conditionalFormatting sqref="Q178">
    <cfRule type="cellIs" dxfId="2812" priority="4312" stopIfTrue="1" operator="equal">
      <formula>"SIM"</formula>
    </cfRule>
    <cfRule type="cellIs" dxfId="2811" priority="4313" stopIfTrue="1" operator="equal">
      <formula>"NÃO"</formula>
    </cfRule>
  </conditionalFormatting>
  <conditionalFormatting sqref="BF178 CJ178 DO178">
    <cfRule type="cellIs" dxfId="2810" priority="4308" stopIfTrue="1" operator="equal">
      <formula>0</formula>
    </cfRule>
    <cfRule type="cellIs" dxfId="2809" priority="4314" stopIfTrue="1" operator="notEqual">
      <formula>0</formula>
    </cfRule>
  </conditionalFormatting>
  <conditionalFormatting sqref="C178:D178">
    <cfRule type="expression" dxfId="2808" priority="4311" stopIfTrue="1">
      <formula>IF(AND($C178&lt;&gt;"",$H178+$L178=0),TRUE)</formula>
    </cfRule>
  </conditionalFormatting>
  <conditionalFormatting sqref="P178">
    <cfRule type="cellIs" dxfId="2807" priority="4300" stopIfTrue="1" operator="equal">
      <formula>1</formula>
    </cfRule>
    <cfRule type="cellIs" dxfId="2806" priority="4309" stopIfTrue="1" operator="equal">
      <formula>2</formula>
    </cfRule>
    <cfRule type="cellIs" dxfId="2805" priority="4310" stopIfTrue="1" operator="equal">
      <formula>"X"</formula>
    </cfRule>
  </conditionalFormatting>
  <conditionalFormatting sqref="GU178">
    <cfRule type="cellIs" dxfId="2804" priority="4302" stopIfTrue="1" operator="equal">
      <formula>0</formula>
    </cfRule>
    <cfRule type="cellIs" dxfId="2803" priority="4303" stopIfTrue="1" operator="notEqual">
      <formula>0</formula>
    </cfRule>
  </conditionalFormatting>
  <conditionalFormatting sqref="GV178">
    <cfRule type="cellIs" dxfId="2802" priority="4301" stopIfTrue="1" operator="equal">
      <formula>"STOP"</formula>
    </cfRule>
  </conditionalFormatting>
  <conditionalFormatting sqref="Q177">
    <cfRule type="cellIs" dxfId="2801" priority="4295" stopIfTrue="1" operator="equal">
      <formula>"SIM"</formula>
    </cfRule>
    <cfRule type="cellIs" dxfId="2800" priority="4296" stopIfTrue="1" operator="equal">
      <formula>"NÃO"</formula>
    </cfRule>
  </conditionalFormatting>
  <conditionalFormatting sqref="BF177 CJ177 DO177">
    <cfRule type="cellIs" dxfId="2799" priority="4291" stopIfTrue="1" operator="equal">
      <formula>0</formula>
    </cfRule>
    <cfRule type="cellIs" dxfId="2798" priority="4297" stopIfTrue="1" operator="notEqual">
      <formula>0</formula>
    </cfRule>
  </conditionalFormatting>
  <conditionalFormatting sqref="C177:D177">
    <cfRule type="expression" dxfId="2797" priority="4294" stopIfTrue="1">
      <formula>IF(AND($C177&lt;&gt;"",$H177+$L177=0),TRUE)</formula>
    </cfRule>
  </conditionalFormatting>
  <conditionalFormatting sqref="P177">
    <cfRule type="cellIs" dxfId="2796" priority="4283" stopIfTrue="1" operator="equal">
      <formula>1</formula>
    </cfRule>
    <cfRule type="cellIs" dxfId="2795" priority="4292" stopIfTrue="1" operator="equal">
      <formula>2</formula>
    </cfRule>
    <cfRule type="cellIs" dxfId="2794" priority="4293" stopIfTrue="1" operator="equal">
      <formula>"X"</formula>
    </cfRule>
  </conditionalFormatting>
  <conditionalFormatting sqref="GU177">
    <cfRule type="cellIs" dxfId="2793" priority="4285" stopIfTrue="1" operator="equal">
      <formula>0</formula>
    </cfRule>
    <cfRule type="cellIs" dxfId="2792" priority="4286" stopIfTrue="1" operator="notEqual">
      <formula>0</formula>
    </cfRule>
  </conditionalFormatting>
  <conditionalFormatting sqref="GV177">
    <cfRule type="cellIs" dxfId="2791" priority="4284" stopIfTrue="1" operator="equal">
      <formula>"STOP"</formula>
    </cfRule>
  </conditionalFormatting>
  <conditionalFormatting sqref="Q178">
    <cfRule type="cellIs" dxfId="2790" priority="4278" stopIfTrue="1" operator="equal">
      <formula>"SIM"</formula>
    </cfRule>
    <cfRule type="cellIs" dxfId="2789" priority="4279" stopIfTrue="1" operator="equal">
      <formula>"NÃO"</formula>
    </cfRule>
  </conditionalFormatting>
  <conditionalFormatting sqref="BF178 CJ178 DO178">
    <cfRule type="cellIs" dxfId="2788" priority="4274" stopIfTrue="1" operator="equal">
      <formula>0</formula>
    </cfRule>
    <cfRule type="cellIs" dxfId="2787" priority="4280" stopIfTrue="1" operator="notEqual">
      <formula>0</formula>
    </cfRule>
  </conditionalFormatting>
  <conditionalFormatting sqref="C178:D178">
    <cfRule type="expression" dxfId="2786" priority="4277" stopIfTrue="1">
      <formula>IF(AND($C178&lt;&gt;"",$H178+$L178=0),TRUE)</formula>
    </cfRule>
  </conditionalFormatting>
  <conditionalFormatting sqref="P178">
    <cfRule type="cellIs" dxfId="2785" priority="4266" stopIfTrue="1" operator="equal">
      <formula>1</formula>
    </cfRule>
    <cfRule type="cellIs" dxfId="2784" priority="4275" stopIfTrue="1" operator="equal">
      <formula>2</formula>
    </cfRule>
    <cfRule type="cellIs" dxfId="2783" priority="4276" stopIfTrue="1" operator="equal">
      <formula>"X"</formula>
    </cfRule>
  </conditionalFormatting>
  <conditionalFormatting sqref="GU178">
    <cfRule type="cellIs" dxfId="2782" priority="4268" stopIfTrue="1" operator="equal">
      <formula>0</formula>
    </cfRule>
    <cfRule type="cellIs" dxfId="2781" priority="4269" stopIfTrue="1" operator="notEqual">
      <formula>0</formula>
    </cfRule>
  </conditionalFormatting>
  <conditionalFormatting sqref="GV178">
    <cfRule type="cellIs" dxfId="2780" priority="4267" stopIfTrue="1" operator="equal">
      <formula>"STOP"</formula>
    </cfRule>
  </conditionalFormatting>
  <conditionalFormatting sqref="Q177">
    <cfRule type="cellIs" dxfId="2779" priority="4261" stopIfTrue="1" operator="equal">
      <formula>"SIM"</formula>
    </cfRule>
    <cfRule type="cellIs" dxfId="2778" priority="4262" stopIfTrue="1" operator="equal">
      <formula>"NÃO"</formula>
    </cfRule>
  </conditionalFormatting>
  <conditionalFormatting sqref="BF177 CJ177 DO177">
    <cfRule type="cellIs" dxfId="2777" priority="4257" stopIfTrue="1" operator="equal">
      <formula>0</formula>
    </cfRule>
    <cfRule type="cellIs" dxfId="2776" priority="4263" stopIfTrue="1" operator="notEqual">
      <formula>0</formula>
    </cfRule>
  </conditionalFormatting>
  <conditionalFormatting sqref="C177:D177">
    <cfRule type="expression" dxfId="2775" priority="4260" stopIfTrue="1">
      <formula>IF(AND($C177&lt;&gt;"",$H177+$L177=0),TRUE)</formula>
    </cfRule>
  </conditionalFormatting>
  <conditionalFormatting sqref="P177">
    <cfRule type="cellIs" dxfId="2774" priority="4249" stopIfTrue="1" operator="equal">
      <formula>1</formula>
    </cfRule>
    <cfRule type="cellIs" dxfId="2773" priority="4258" stopIfTrue="1" operator="equal">
      <formula>2</formula>
    </cfRule>
    <cfRule type="cellIs" dxfId="2772" priority="4259" stopIfTrue="1" operator="equal">
      <formula>"X"</formula>
    </cfRule>
  </conditionalFormatting>
  <conditionalFormatting sqref="GU177">
    <cfRule type="cellIs" dxfId="2771" priority="4251" stopIfTrue="1" operator="equal">
      <formula>0</formula>
    </cfRule>
    <cfRule type="cellIs" dxfId="2770" priority="4252" stopIfTrue="1" operator="notEqual">
      <formula>0</formula>
    </cfRule>
  </conditionalFormatting>
  <conditionalFormatting sqref="GV177">
    <cfRule type="cellIs" dxfId="2769" priority="4250" stopIfTrue="1" operator="equal">
      <formula>"STOP"</formula>
    </cfRule>
  </conditionalFormatting>
  <conditionalFormatting sqref="Q178">
    <cfRule type="cellIs" dxfId="2768" priority="4244" stopIfTrue="1" operator="equal">
      <formula>"SIM"</formula>
    </cfRule>
    <cfRule type="cellIs" dxfId="2767" priority="4245" stopIfTrue="1" operator="equal">
      <formula>"NÃO"</formula>
    </cfRule>
  </conditionalFormatting>
  <conditionalFormatting sqref="BF178 CJ178 DO178">
    <cfRule type="cellIs" dxfId="2766" priority="4240" stopIfTrue="1" operator="equal">
      <formula>0</formula>
    </cfRule>
    <cfRule type="cellIs" dxfId="2765" priority="4246" stopIfTrue="1" operator="notEqual">
      <formula>0</formula>
    </cfRule>
  </conditionalFormatting>
  <conditionalFormatting sqref="C178:D178">
    <cfRule type="expression" dxfId="2764" priority="4243" stopIfTrue="1">
      <formula>IF(AND($C178&lt;&gt;"",$H178+$L178=0),TRUE)</formula>
    </cfRule>
  </conditionalFormatting>
  <conditionalFormatting sqref="P178">
    <cfRule type="cellIs" dxfId="2763" priority="4232" stopIfTrue="1" operator="equal">
      <formula>1</formula>
    </cfRule>
    <cfRule type="cellIs" dxfId="2762" priority="4241" stopIfTrue="1" operator="equal">
      <formula>2</formula>
    </cfRule>
    <cfRule type="cellIs" dxfId="2761" priority="4242" stopIfTrue="1" operator="equal">
      <formula>"X"</formula>
    </cfRule>
  </conditionalFormatting>
  <conditionalFormatting sqref="GU178">
    <cfRule type="cellIs" dxfId="2760" priority="4234" stopIfTrue="1" operator="equal">
      <formula>0</formula>
    </cfRule>
    <cfRule type="cellIs" dxfId="2759" priority="4235" stopIfTrue="1" operator="notEqual">
      <formula>0</formula>
    </cfRule>
  </conditionalFormatting>
  <conditionalFormatting sqref="GV178">
    <cfRule type="cellIs" dxfId="2758" priority="4233" stopIfTrue="1" operator="equal">
      <formula>"STOP"</formula>
    </cfRule>
  </conditionalFormatting>
  <conditionalFormatting sqref="Q177">
    <cfRule type="cellIs" dxfId="2757" priority="4227" stopIfTrue="1" operator="equal">
      <formula>"SIM"</formula>
    </cfRule>
    <cfRule type="cellIs" dxfId="2756" priority="4228" stopIfTrue="1" operator="equal">
      <formula>"NÃO"</formula>
    </cfRule>
  </conditionalFormatting>
  <conditionalFormatting sqref="BF177 CJ177 DO177">
    <cfRule type="cellIs" dxfId="2755" priority="4223" stopIfTrue="1" operator="equal">
      <formula>0</formula>
    </cfRule>
    <cfRule type="cellIs" dxfId="2754" priority="4229" stopIfTrue="1" operator="notEqual">
      <formula>0</formula>
    </cfRule>
  </conditionalFormatting>
  <conditionalFormatting sqref="C177:D177">
    <cfRule type="expression" dxfId="2753" priority="4226" stopIfTrue="1">
      <formula>IF(AND($C177&lt;&gt;"",$H177+$L177=0),TRUE)</formula>
    </cfRule>
  </conditionalFormatting>
  <conditionalFormatting sqref="P177">
    <cfRule type="cellIs" dxfId="2752" priority="4215" stopIfTrue="1" operator="equal">
      <formula>1</formula>
    </cfRule>
    <cfRule type="cellIs" dxfId="2751" priority="4224" stopIfTrue="1" operator="equal">
      <formula>2</formula>
    </cfRule>
    <cfRule type="cellIs" dxfId="2750" priority="4225" stopIfTrue="1" operator="equal">
      <formula>"X"</formula>
    </cfRule>
  </conditionalFormatting>
  <conditionalFormatting sqref="GU177">
    <cfRule type="cellIs" dxfId="2749" priority="4217" stopIfTrue="1" operator="equal">
      <formula>0</formula>
    </cfRule>
    <cfRule type="cellIs" dxfId="2748" priority="4218" stopIfTrue="1" operator="notEqual">
      <formula>0</formula>
    </cfRule>
  </conditionalFormatting>
  <conditionalFormatting sqref="GV177">
    <cfRule type="cellIs" dxfId="2747" priority="4216" stopIfTrue="1" operator="equal">
      <formula>"STOP"</formula>
    </cfRule>
  </conditionalFormatting>
  <conditionalFormatting sqref="Q177">
    <cfRule type="cellIs" dxfId="2746" priority="4210" stopIfTrue="1" operator="equal">
      <formula>"SIM"</formula>
    </cfRule>
    <cfRule type="cellIs" dxfId="2745" priority="4211" stopIfTrue="1" operator="equal">
      <formula>"NÃO"</formula>
    </cfRule>
  </conditionalFormatting>
  <conditionalFormatting sqref="BF177 CJ177 DO177">
    <cfRule type="cellIs" dxfId="2744" priority="4206" stopIfTrue="1" operator="equal">
      <formula>0</formula>
    </cfRule>
    <cfRule type="cellIs" dxfId="2743" priority="4212" stopIfTrue="1" operator="notEqual">
      <formula>0</formula>
    </cfRule>
  </conditionalFormatting>
  <conditionalFormatting sqref="C177:D177">
    <cfRule type="expression" dxfId="2742" priority="4209" stopIfTrue="1">
      <formula>IF(AND($C177&lt;&gt;"",$H177+$L177=0),TRUE)</formula>
    </cfRule>
  </conditionalFormatting>
  <conditionalFormatting sqref="P177">
    <cfRule type="cellIs" dxfId="2741" priority="4198" stopIfTrue="1" operator="equal">
      <formula>1</formula>
    </cfRule>
    <cfRule type="cellIs" dxfId="2740" priority="4207" stopIfTrue="1" operator="equal">
      <formula>2</formula>
    </cfRule>
    <cfRule type="cellIs" dxfId="2739" priority="4208" stopIfTrue="1" operator="equal">
      <formula>"X"</formula>
    </cfRule>
  </conditionalFormatting>
  <conditionalFormatting sqref="GU177">
    <cfRule type="cellIs" dxfId="2738" priority="4200" stopIfTrue="1" operator="equal">
      <formula>0</formula>
    </cfRule>
    <cfRule type="cellIs" dxfId="2737" priority="4201" stopIfTrue="1" operator="notEqual">
      <formula>0</formula>
    </cfRule>
  </conditionalFormatting>
  <conditionalFormatting sqref="GV177">
    <cfRule type="cellIs" dxfId="2736" priority="4199" stopIfTrue="1" operator="equal">
      <formula>"STOP"</formula>
    </cfRule>
  </conditionalFormatting>
  <conditionalFormatting sqref="Q177">
    <cfRule type="cellIs" dxfId="2735" priority="4193" stopIfTrue="1" operator="equal">
      <formula>"SIM"</formula>
    </cfRule>
    <cfRule type="cellIs" dxfId="2734" priority="4194" stopIfTrue="1" operator="equal">
      <formula>"NÃO"</formula>
    </cfRule>
  </conditionalFormatting>
  <conditionalFormatting sqref="BF177 CJ177 DO177">
    <cfRule type="cellIs" dxfId="2733" priority="4189" stopIfTrue="1" operator="equal">
      <formula>0</formula>
    </cfRule>
    <cfRule type="cellIs" dxfId="2732" priority="4195" stopIfTrue="1" operator="notEqual">
      <formula>0</formula>
    </cfRule>
  </conditionalFormatting>
  <conditionalFormatting sqref="C177:D177">
    <cfRule type="expression" dxfId="2731" priority="4192" stopIfTrue="1">
      <formula>IF(AND($C177&lt;&gt;"",$H177+$L177=0),TRUE)</formula>
    </cfRule>
  </conditionalFormatting>
  <conditionalFormatting sqref="P177">
    <cfRule type="cellIs" dxfId="2730" priority="4181" stopIfTrue="1" operator="equal">
      <formula>1</formula>
    </cfRule>
    <cfRule type="cellIs" dxfId="2729" priority="4190" stopIfTrue="1" operator="equal">
      <formula>2</formula>
    </cfRule>
    <cfRule type="cellIs" dxfId="2728" priority="4191" stopIfTrue="1" operator="equal">
      <formula>"X"</formula>
    </cfRule>
  </conditionalFormatting>
  <conditionalFormatting sqref="GU177">
    <cfRule type="cellIs" dxfId="2727" priority="4183" stopIfTrue="1" operator="equal">
      <formula>0</formula>
    </cfRule>
    <cfRule type="cellIs" dxfId="2726" priority="4184" stopIfTrue="1" operator="notEqual">
      <formula>0</formula>
    </cfRule>
  </conditionalFormatting>
  <conditionalFormatting sqref="GV177">
    <cfRule type="cellIs" dxfId="2725" priority="4182" stopIfTrue="1" operator="equal">
      <formula>"STOP"</formula>
    </cfRule>
  </conditionalFormatting>
  <conditionalFormatting sqref="Q178">
    <cfRule type="cellIs" dxfId="2724" priority="4176" stopIfTrue="1" operator="equal">
      <formula>"SIM"</formula>
    </cfRule>
    <cfRule type="cellIs" dxfId="2723" priority="4177" stopIfTrue="1" operator="equal">
      <formula>"NÃO"</formula>
    </cfRule>
  </conditionalFormatting>
  <conditionalFormatting sqref="BF178 CJ178 DO178">
    <cfRule type="cellIs" dxfId="2722" priority="4172" stopIfTrue="1" operator="equal">
      <formula>0</formula>
    </cfRule>
    <cfRule type="cellIs" dxfId="2721" priority="4178" stopIfTrue="1" operator="notEqual">
      <formula>0</formula>
    </cfRule>
  </conditionalFormatting>
  <conditionalFormatting sqref="C178:D178">
    <cfRule type="expression" dxfId="2720" priority="4175" stopIfTrue="1">
      <formula>IF(AND($C178&lt;&gt;"",$H178+$L178=0),TRUE)</formula>
    </cfRule>
  </conditionalFormatting>
  <conditionalFormatting sqref="P178">
    <cfRule type="cellIs" dxfId="2719" priority="4164" stopIfTrue="1" operator="equal">
      <formula>1</formula>
    </cfRule>
    <cfRule type="cellIs" dxfId="2718" priority="4173" stopIfTrue="1" operator="equal">
      <formula>2</formula>
    </cfRule>
    <cfRule type="cellIs" dxfId="2717" priority="4174" stopIfTrue="1" operator="equal">
      <formula>"X"</formula>
    </cfRule>
  </conditionalFormatting>
  <conditionalFormatting sqref="GU178">
    <cfRule type="cellIs" dxfId="2716" priority="4166" stopIfTrue="1" operator="equal">
      <formula>0</formula>
    </cfRule>
    <cfRule type="cellIs" dxfId="2715" priority="4167" stopIfTrue="1" operator="notEqual">
      <formula>0</formula>
    </cfRule>
  </conditionalFormatting>
  <conditionalFormatting sqref="GV178">
    <cfRule type="cellIs" dxfId="2714" priority="4165" stopIfTrue="1" operator="equal">
      <formula>"STOP"</formula>
    </cfRule>
  </conditionalFormatting>
  <conditionalFormatting sqref="Q177">
    <cfRule type="cellIs" dxfId="2713" priority="4159" stopIfTrue="1" operator="equal">
      <formula>"SIM"</formula>
    </cfRule>
    <cfRule type="cellIs" dxfId="2712" priority="4160" stopIfTrue="1" operator="equal">
      <formula>"NÃO"</formula>
    </cfRule>
  </conditionalFormatting>
  <conditionalFormatting sqref="BF177 CJ177 DO177">
    <cfRule type="cellIs" dxfId="2711" priority="4155" stopIfTrue="1" operator="equal">
      <formula>0</formula>
    </cfRule>
    <cfRule type="cellIs" dxfId="2710" priority="4161" stopIfTrue="1" operator="notEqual">
      <formula>0</formula>
    </cfRule>
  </conditionalFormatting>
  <conditionalFormatting sqref="C177:D177">
    <cfRule type="expression" dxfId="2709" priority="4158" stopIfTrue="1">
      <formula>IF(AND($C177&lt;&gt;"",$H177+$L177=0),TRUE)</formula>
    </cfRule>
  </conditionalFormatting>
  <conditionalFormatting sqref="P177">
    <cfRule type="cellIs" dxfId="2708" priority="4147" stopIfTrue="1" operator="equal">
      <formula>1</formula>
    </cfRule>
    <cfRule type="cellIs" dxfId="2707" priority="4156" stopIfTrue="1" operator="equal">
      <formula>2</formula>
    </cfRule>
    <cfRule type="cellIs" dxfId="2706" priority="4157" stopIfTrue="1" operator="equal">
      <formula>"X"</formula>
    </cfRule>
  </conditionalFormatting>
  <conditionalFormatting sqref="GU177">
    <cfRule type="cellIs" dxfId="2705" priority="4149" stopIfTrue="1" operator="equal">
      <formula>0</formula>
    </cfRule>
    <cfRule type="cellIs" dxfId="2704" priority="4150" stopIfTrue="1" operator="notEqual">
      <formula>0</formula>
    </cfRule>
  </conditionalFormatting>
  <conditionalFormatting sqref="GV177">
    <cfRule type="cellIs" dxfId="2703" priority="4148" stopIfTrue="1" operator="equal">
      <formula>"STOP"</formula>
    </cfRule>
  </conditionalFormatting>
  <conditionalFormatting sqref="Q177">
    <cfRule type="cellIs" dxfId="2702" priority="4142" stopIfTrue="1" operator="equal">
      <formula>"SIM"</formula>
    </cfRule>
    <cfRule type="cellIs" dxfId="2701" priority="4143" stopIfTrue="1" operator="equal">
      <formula>"NÃO"</formula>
    </cfRule>
  </conditionalFormatting>
  <conditionalFormatting sqref="BF177 CJ177 DO177">
    <cfRule type="cellIs" dxfId="2700" priority="4138" stopIfTrue="1" operator="equal">
      <formula>0</formula>
    </cfRule>
    <cfRule type="cellIs" dxfId="2699" priority="4144" stopIfTrue="1" operator="notEqual">
      <formula>0</formula>
    </cfRule>
  </conditionalFormatting>
  <conditionalFormatting sqref="C177:D177">
    <cfRule type="expression" dxfId="2698" priority="4141" stopIfTrue="1">
      <formula>IF(AND($C177&lt;&gt;"",$H177+$L177=0),TRUE)</formula>
    </cfRule>
  </conditionalFormatting>
  <conditionalFormatting sqref="P177">
    <cfRule type="cellIs" dxfId="2697" priority="4130" stopIfTrue="1" operator="equal">
      <formula>1</formula>
    </cfRule>
    <cfRule type="cellIs" dxfId="2696" priority="4139" stopIfTrue="1" operator="equal">
      <formula>2</formula>
    </cfRule>
    <cfRule type="cellIs" dxfId="2695" priority="4140" stopIfTrue="1" operator="equal">
      <formula>"X"</formula>
    </cfRule>
  </conditionalFormatting>
  <conditionalFormatting sqref="GU177">
    <cfRule type="cellIs" dxfId="2694" priority="4132" stopIfTrue="1" operator="equal">
      <formula>0</formula>
    </cfRule>
    <cfRule type="cellIs" dxfId="2693" priority="4133" stopIfTrue="1" operator="notEqual">
      <formula>0</formula>
    </cfRule>
  </conditionalFormatting>
  <conditionalFormatting sqref="GV177">
    <cfRule type="cellIs" dxfId="2692" priority="4131" stopIfTrue="1" operator="equal">
      <formula>"STOP"</formula>
    </cfRule>
  </conditionalFormatting>
  <conditionalFormatting sqref="Q178">
    <cfRule type="cellIs" dxfId="2691" priority="4125" stopIfTrue="1" operator="equal">
      <formula>"SIM"</formula>
    </cfRule>
    <cfRule type="cellIs" dxfId="2690" priority="4126" stopIfTrue="1" operator="equal">
      <formula>"NÃO"</formula>
    </cfRule>
  </conditionalFormatting>
  <conditionalFormatting sqref="BF178 CJ178 DO178">
    <cfRule type="cellIs" dxfId="2689" priority="4121" stopIfTrue="1" operator="equal">
      <formula>0</formula>
    </cfRule>
    <cfRule type="cellIs" dxfId="2688" priority="4127" stopIfTrue="1" operator="notEqual">
      <formula>0</formula>
    </cfRule>
  </conditionalFormatting>
  <conditionalFormatting sqref="C178:D178">
    <cfRule type="expression" dxfId="2687" priority="4124" stopIfTrue="1">
      <formula>IF(AND($C178&lt;&gt;"",$H178+$L178=0),TRUE)</formula>
    </cfRule>
  </conditionalFormatting>
  <conditionalFormatting sqref="P178">
    <cfRule type="cellIs" dxfId="2686" priority="4113" stopIfTrue="1" operator="equal">
      <formula>1</formula>
    </cfRule>
    <cfRule type="cellIs" dxfId="2685" priority="4122" stopIfTrue="1" operator="equal">
      <formula>2</formula>
    </cfRule>
    <cfRule type="cellIs" dxfId="2684" priority="4123" stopIfTrue="1" operator="equal">
      <formula>"X"</formula>
    </cfRule>
  </conditionalFormatting>
  <conditionalFormatting sqref="GU178">
    <cfRule type="cellIs" dxfId="2683" priority="4115" stopIfTrue="1" operator="equal">
      <formula>0</formula>
    </cfRule>
    <cfRule type="cellIs" dxfId="2682" priority="4116" stopIfTrue="1" operator="notEqual">
      <formula>0</formula>
    </cfRule>
  </conditionalFormatting>
  <conditionalFormatting sqref="GV178">
    <cfRule type="cellIs" dxfId="2681" priority="4114" stopIfTrue="1" operator="equal">
      <formula>"STOP"</formula>
    </cfRule>
  </conditionalFormatting>
  <conditionalFormatting sqref="Q177">
    <cfRule type="cellIs" dxfId="2680" priority="4108" stopIfTrue="1" operator="equal">
      <formula>"SIM"</formula>
    </cfRule>
    <cfRule type="cellIs" dxfId="2679" priority="4109" stopIfTrue="1" operator="equal">
      <formula>"NÃO"</formula>
    </cfRule>
  </conditionalFormatting>
  <conditionalFormatting sqref="BF177 CJ177 DO177">
    <cfRule type="cellIs" dxfId="2678" priority="4104" stopIfTrue="1" operator="equal">
      <formula>0</formula>
    </cfRule>
    <cfRule type="cellIs" dxfId="2677" priority="4110" stopIfTrue="1" operator="notEqual">
      <formula>0</formula>
    </cfRule>
  </conditionalFormatting>
  <conditionalFormatting sqref="C177:D177">
    <cfRule type="expression" dxfId="2676" priority="4107" stopIfTrue="1">
      <formula>IF(AND($C177&lt;&gt;"",$H177+$L177=0),TRUE)</formula>
    </cfRule>
  </conditionalFormatting>
  <conditionalFormatting sqref="P177">
    <cfRule type="cellIs" dxfId="2675" priority="4096" stopIfTrue="1" operator="equal">
      <formula>1</formula>
    </cfRule>
    <cfRule type="cellIs" dxfId="2674" priority="4105" stopIfTrue="1" operator="equal">
      <formula>2</formula>
    </cfRule>
    <cfRule type="cellIs" dxfId="2673" priority="4106" stopIfTrue="1" operator="equal">
      <formula>"X"</formula>
    </cfRule>
  </conditionalFormatting>
  <conditionalFormatting sqref="GU177">
    <cfRule type="cellIs" dxfId="2672" priority="4098" stopIfTrue="1" operator="equal">
      <formula>0</formula>
    </cfRule>
    <cfRule type="cellIs" dxfId="2671" priority="4099" stopIfTrue="1" operator="notEqual">
      <formula>0</formula>
    </cfRule>
  </conditionalFormatting>
  <conditionalFormatting sqref="GV177">
    <cfRule type="cellIs" dxfId="2670" priority="4097" stopIfTrue="1" operator="equal">
      <formula>"STOP"</formula>
    </cfRule>
  </conditionalFormatting>
  <conditionalFormatting sqref="Q178">
    <cfRule type="cellIs" dxfId="2669" priority="4091" stopIfTrue="1" operator="equal">
      <formula>"SIM"</formula>
    </cfRule>
    <cfRule type="cellIs" dxfId="2668" priority="4092" stopIfTrue="1" operator="equal">
      <formula>"NÃO"</formula>
    </cfRule>
  </conditionalFormatting>
  <conditionalFormatting sqref="BF178 CJ178 DO178">
    <cfRule type="cellIs" dxfId="2667" priority="4087" stopIfTrue="1" operator="equal">
      <formula>0</formula>
    </cfRule>
    <cfRule type="cellIs" dxfId="2666" priority="4093" stopIfTrue="1" operator="notEqual">
      <formula>0</formula>
    </cfRule>
  </conditionalFormatting>
  <conditionalFormatting sqref="C178:D178">
    <cfRule type="expression" dxfId="2665" priority="4090" stopIfTrue="1">
      <formula>IF(AND($C178&lt;&gt;"",$H178+$L178=0),TRUE)</formula>
    </cfRule>
  </conditionalFormatting>
  <conditionalFormatting sqref="P178">
    <cfRule type="cellIs" dxfId="2664" priority="4079" stopIfTrue="1" operator="equal">
      <formula>1</formula>
    </cfRule>
    <cfRule type="cellIs" dxfId="2663" priority="4088" stopIfTrue="1" operator="equal">
      <formula>2</formula>
    </cfRule>
    <cfRule type="cellIs" dxfId="2662" priority="4089" stopIfTrue="1" operator="equal">
      <formula>"X"</formula>
    </cfRule>
  </conditionalFormatting>
  <conditionalFormatting sqref="GU178">
    <cfRule type="cellIs" dxfId="2661" priority="4081" stopIfTrue="1" operator="equal">
      <formula>0</formula>
    </cfRule>
    <cfRule type="cellIs" dxfId="2660" priority="4082" stopIfTrue="1" operator="notEqual">
      <formula>0</formula>
    </cfRule>
  </conditionalFormatting>
  <conditionalFormatting sqref="GV178">
    <cfRule type="cellIs" dxfId="2659" priority="4080" stopIfTrue="1" operator="equal">
      <formula>"STOP"</formula>
    </cfRule>
  </conditionalFormatting>
  <conditionalFormatting sqref="Q177">
    <cfRule type="cellIs" dxfId="2658" priority="4074" stopIfTrue="1" operator="equal">
      <formula>"SIM"</formula>
    </cfRule>
    <cfRule type="cellIs" dxfId="2657" priority="4075" stopIfTrue="1" operator="equal">
      <formula>"NÃO"</formula>
    </cfRule>
  </conditionalFormatting>
  <conditionalFormatting sqref="BF177 CJ177 DO177">
    <cfRule type="cellIs" dxfId="2656" priority="4070" stopIfTrue="1" operator="equal">
      <formula>0</formula>
    </cfRule>
    <cfRule type="cellIs" dxfId="2655" priority="4076" stopIfTrue="1" operator="notEqual">
      <formula>0</formula>
    </cfRule>
  </conditionalFormatting>
  <conditionalFormatting sqref="C177:D177">
    <cfRule type="expression" dxfId="2654" priority="4073" stopIfTrue="1">
      <formula>IF(AND($C177&lt;&gt;"",$H177+$L177=0),TRUE)</formula>
    </cfRule>
  </conditionalFormatting>
  <conditionalFormatting sqref="P177">
    <cfRule type="cellIs" dxfId="2653" priority="4062" stopIfTrue="1" operator="equal">
      <formula>1</formula>
    </cfRule>
    <cfRule type="cellIs" dxfId="2652" priority="4071" stopIfTrue="1" operator="equal">
      <formula>2</formula>
    </cfRule>
    <cfRule type="cellIs" dxfId="2651" priority="4072" stopIfTrue="1" operator="equal">
      <formula>"X"</formula>
    </cfRule>
  </conditionalFormatting>
  <conditionalFormatting sqref="GU177">
    <cfRule type="cellIs" dxfId="2650" priority="4064" stopIfTrue="1" operator="equal">
      <formula>0</formula>
    </cfRule>
    <cfRule type="cellIs" dxfId="2649" priority="4065" stopIfTrue="1" operator="notEqual">
      <formula>0</formula>
    </cfRule>
  </conditionalFormatting>
  <conditionalFormatting sqref="GV177">
    <cfRule type="cellIs" dxfId="2648" priority="4063" stopIfTrue="1" operator="equal">
      <formula>"STOP"</formula>
    </cfRule>
  </conditionalFormatting>
  <conditionalFormatting sqref="Q178">
    <cfRule type="cellIs" dxfId="2647" priority="4057" stopIfTrue="1" operator="equal">
      <formula>"SIM"</formula>
    </cfRule>
    <cfRule type="cellIs" dxfId="2646" priority="4058" stopIfTrue="1" operator="equal">
      <formula>"NÃO"</formula>
    </cfRule>
  </conditionalFormatting>
  <conditionalFormatting sqref="BF178 CJ178 DO178">
    <cfRule type="cellIs" dxfId="2645" priority="4053" stopIfTrue="1" operator="equal">
      <formula>0</formula>
    </cfRule>
    <cfRule type="cellIs" dxfId="2644" priority="4059" stopIfTrue="1" operator="notEqual">
      <formula>0</formula>
    </cfRule>
  </conditionalFormatting>
  <conditionalFormatting sqref="C178:D178">
    <cfRule type="expression" dxfId="2643" priority="4056" stopIfTrue="1">
      <formula>IF(AND($C178&lt;&gt;"",$H178+$L178=0),TRUE)</formula>
    </cfRule>
  </conditionalFormatting>
  <conditionalFormatting sqref="P178">
    <cfRule type="cellIs" dxfId="2642" priority="4045" stopIfTrue="1" operator="equal">
      <formula>1</formula>
    </cfRule>
    <cfRule type="cellIs" dxfId="2641" priority="4054" stopIfTrue="1" operator="equal">
      <formula>2</formula>
    </cfRule>
    <cfRule type="cellIs" dxfId="2640" priority="4055" stopIfTrue="1" operator="equal">
      <formula>"X"</formula>
    </cfRule>
  </conditionalFormatting>
  <conditionalFormatting sqref="GU178">
    <cfRule type="cellIs" dxfId="2639" priority="4047" stopIfTrue="1" operator="equal">
      <formula>0</formula>
    </cfRule>
    <cfRule type="cellIs" dxfId="2638" priority="4048" stopIfTrue="1" operator="notEqual">
      <formula>0</formula>
    </cfRule>
  </conditionalFormatting>
  <conditionalFormatting sqref="GV178">
    <cfRule type="cellIs" dxfId="2637" priority="4046" stopIfTrue="1" operator="equal">
      <formula>"STOP"</formula>
    </cfRule>
  </conditionalFormatting>
  <conditionalFormatting sqref="Q177">
    <cfRule type="cellIs" dxfId="2636" priority="4040" stopIfTrue="1" operator="equal">
      <formula>"SIM"</formula>
    </cfRule>
    <cfRule type="cellIs" dxfId="2635" priority="4041" stopIfTrue="1" operator="equal">
      <formula>"NÃO"</formula>
    </cfRule>
  </conditionalFormatting>
  <conditionalFormatting sqref="BF177 CJ177 DO177">
    <cfRule type="cellIs" dxfId="2634" priority="4036" stopIfTrue="1" operator="equal">
      <formula>0</formula>
    </cfRule>
    <cfRule type="cellIs" dxfId="2633" priority="4042" stopIfTrue="1" operator="notEqual">
      <formula>0</formula>
    </cfRule>
  </conditionalFormatting>
  <conditionalFormatting sqref="C177:D177">
    <cfRule type="expression" dxfId="2632" priority="4039" stopIfTrue="1">
      <formula>IF(AND($C177&lt;&gt;"",$H177+$L177=0),TRUE)</formula>
    </cfRule>
  </conditionalFormatting>
  <conditionalFormatting sqref="P177">
    <cfRule type="cellIs" dxfId="2631" priority="4028" stopIfTrue="1" operator="equal">
      <formula>1</formula>
    </cfRule>
    <cfRule type="cellIs" dxfId="2630" priority="4037" stopIfTrue="1" operator="equal">
      <formula>2</formula>
    </cfRule>
    <cfRule type="cellIs" dxfId="2629" priority="4038" stopIfTrue="1" operator="equal">
      <formula>"X"</formula>
    </cfRule>
  </conditionalFormatting>
  <conditionalFormatting sqref="GU177">
    <cfRule type="cellIs" dxfId="2628" priority="4030" stopIfTrue="1" operator="equal">
      <formula>0</formula>
    </cfRule>
    <cfRule type="cellIs" dxfId="2627" priority="4031" stopIfTrue="1" operator="notEqual">
      <formula>0</formula>
    </cfRule>
  </conditionalFormatting>
  <conditionalFormatting sqref="GV177">
    <cfRule type="cellIs" dxfId="2626" priority="4029" stopIfTrue="1" operator="equal">
      <formula>"STOP"</formula>
    </cfRule>
  </conditionalFormatting>
  <conditionalFormatting sqref="Q177">
    <cfRule type="cellIs" dxfId="2625" priority="4023" stopIfTrue="1" operator="equal">
      <formula>"SIM"</formula>
    </cfRule>
    <cfRule type="cellIs" dxfId="2624" priority="4024" stopIfTrue="1" operator="equal">
      <formula>"NÃO"</formula>
    </cfRule>
  </conditionalFormatting>
  <conditionalFormatting sqref="BF177 CJ177 DO177">
    <cfRule type="cellIs" dxfId="2623" priority="4019" stopIfTrue="1" operator="equal">
      <formula>0</formula>
    </cfRule>
    <cfRule type="cellIs" dxfId="2622" priority="4025" stopIfTrue="1" operator="notEqual">
      <formula>0</formula>
    </cfRule>
  </conditionalFormatting>
  <conditionalFormatting sqref="C177:D177">
    <cfRule type="expression" dxfId="2621" priority="4022" stopIfTrue="1">
      <formula>IF(AND($C177&lt;&gt;"",$H177+$L177=0),TRUE)</formula>
    </cfRule>
  </conditionalFormatting>
  <conditionalFormatting sqref="P177">
    <cfRule type="cellIs" dxfId="2620" priority="4011" stopIfTrue="1" operator="equal">
      <formula>1</formula>
    </cfRule>
    <cfRule type="cellIs" dxfId="2619" priority="4020" stopIfTrue="1" operator="equal">
      <formula>2</formula>
    </cfRule>
    <cfRule type="cellIs" dxfId="2618" priority="4021" stopIfTrue="1" operator="equal">
      <formula>"X"</formula>
    </cfRule>
  </conditionalFormatting>
  <conditionalFormatting sqref="GU177">
    <cfRule type="cellIs" dxfId="2617" priority="4013" stopIfTrue="1" operator="equal">
      <formula>0</formula>
    </cfRule>
    <cfRule type="cellIs" dxfId="2616" priority="4014" stopIfTrue="1" operator="notEqual">
      <formula>0</formula>
    </cfRule>
  </conditionalFormatting>
  <conditionalFormatting sqref="GV177">
    <cfRule type="cellIs" dxfId="2615" priority="4012" stopIfTrue="1" operator="equal">
      <formula>"STOP"</formula>
    </cfRule>
  </conditionalFormatting>
  <conditionalFormatting sqref="Q178">
    <cfRule type="cellIs" dxfId="2614" priority="4006" stopIfTrue="1" operator="equal">
      <formula>"SIM"</formula>
    </cfRule>
    <cfRule type="cellIs" dxfId="2613" priority="4007" stopIfTrue="1" operator="equal">
      <formula>"NÃO"</formula>
    </cfRule>
  </conditionalFormatting>
  <conditionalFormatting sqref="BF178 CJ178 DO178">
    <cfRule type="cellIs" dxfId="2612" priority="4002" stopIfTrue="1" operator="equal">
      <formula>0</formula>
    </cfRule>
    <cfRule type="cellIs" dxfId="2611" priority="4008" stopIfTrue="1" operator="notEqual">
      <formula>0</formula>
    </cfRule>
  </conditionalFormatting>
  <conditionalFormatting sqref="C178:D178">
    <cfRule type="expression" dxfId="2610" priority="4005" stopIfTrue="1">
      <formula>IF(AND($C178&lt;&gt;"",$H178+$L178=0),TRUE)</formula>
    </cfRule>
  </conditionalFormatting>
  <conditionalFormatting sqref="P178">
    <cfRule type="cellIs" dxfId="2609" priority="3994" stopIfTrue="1" operator="equal">
      <formula>1</formula>
    </cfRule>
    <cfRule type="cellIs" dxfId="2608" priority="4003" stopIfTrue="1" operator="equal">
      <formula>2</formula>
    </cfRule>
    <cfRule type="cellIs" dxfId="2607" priority="4004" stopIfTrue="1" operator="equal">
      <formula>"X"</formula>
    </cfRule>
  </conditionalFormatting>
  <conditionalFormatting sqref="GU178">
    <cfRule type="cellIs" dxfId="2606" priority="3996" stopIfTrue="1" operator="equal">
      <formula>0</formula>
    </cfRule>
    <cfRule type="cellIs" dxfId="2605" priority="3997" stopIfTrue="1" operator="notEqual">
      <formula>0</formula>
    </cfRule>
  </conditionalFormatting>
  <conditionalFormatting sqref="GV178">
    <cfRule type="cellIs" dxfId="2604" priority="3995" stopIfTrue="1" operator="equal">
      <formula>"STOP"</formula>
    </cfRule>
  </conditionalFormatting>
  <conditionalFormatting sqref="Q177">
    <cfRule type="cellIs" dxfId="2603" priority="3989" stopIfTrue="1" operator="equal">
      <formula>"SIM"</formula>
    </cfRule>
    <cfRule type="cellIs" dxfId="2602" priority="3990" stopIfTrue="1" operator="equal">
      <formula>"NÃO"</formula>
    </cfRule>
  </conditionalFormatting>
  <conditionalFormatting sqref="BF177 CJ177 DO177">
    <cfRule type="cellIs" dxfId="2601" priority="3985" stopIfTrue="1" operator="equal">
      <formula>0</formula>
    </cfRule>
    <cfRule type="cellIs" dxfId="2600" priority="3991" stopIfTrue="1" operator="notEqual">
      <formula>0</formula>
    </cfRule>
  </conditionalFormatting>
  <conditionalFormatting sqref="C177:D177">
    <cfRule type="expression" dxfId="2599" priority="3988" stopIfTrue="1">
      <formula>IF(AND($C177&lt;&gt;"",$H177+$L177=0),TRUE)</formula>
    </cfRule>
  </conditionalFormatting>
  <conditionalFormatting sqref="P177">
    <cfRule type="cellIs" dxfId="2598" priority="3977" stopIfTrue="1" operator="equal">
      <formula>1</formula>
    </cfRule>
    <cfRule type="cellIs" dxfId="2597" priority="3986" stopIfTrue="1" operator="equal">
      <formula>2</formula>
    </cfRule>
    <cfRule type="cellIs" dxfId="2596" priority="3987" stopIfTrue="1" operator="equal">
      <formula>"X"</formula>
    </cfRule>
  </conditionalFormatting>
  <conditionalFormatting sqref="GU177">
    <cfRule type="cellIs" dxfId="2595" priority="3979" stopIfTrue="1" operator="equal">
      <formula>0</formula>
    </cfRule>
    <cfRule type="cellIs" dxfId="2594" priority="3980" stopIfTrue="1" operator="notEqual">
      <formula>0</formula>
    </cfRule>
  </conditionalFormatting>
  <conditionalFormatting sqref="GV177">
    <cfRule type="cellIs" dxfId="2593" priority="3978" stopIfTrue="1" operator="equal">
      <formula>"STOP"</formula>
    </cfRule>
  </conditionalFormatting>
  <conditionalFormatting sqref="Q178">
    <cfRule type="cellIs" dxfId="2592" priority="3972" stopIfTrue="1" operator="equal">
      <formula>"SIM"</formula>
    </cfRule>
    <cfRule type="cellIs" dxfId="2591" priority="3973" stopIfTrue="1" operator="equal">
      <formula>"NÃO"</formula>
    </cfRule>
  </conditionalFormatting>
  <conditionalFormatting sqref="BF178 CJ178 DO178">
    <cfRule type="cellIs" dxfId="2590" priority="3968" stopIfTrue="1" operator="equal">
      <formula>0</formula>
    </cfRule>
    <cfRule type="cellIs" dxfId="2589" priority="3974" stopIfTrue="1" operator="notEqual">
      <formula>0</formula>
    </cfRule>
  </conditionalFormatting>
  <conditionalFormatting sqref="C178:D178">
    <cfRule type="expression" dxfId="2588" priority="3971" stopIfTrue="1">
      <formula>IF(AND($C178&lt;&gt;"",$H178+$L178=0),TRUE)</formula>
    </cfRule>
  </conditionalFormatting>
  <conditionalFormatting sqref="P178">
    <cfRule type="cellIs" dxfId="2587" priority="3960" stopIfTrue="1" operator="equal">
      <formula>1</formula>
    </cfRule>
    <cfRule type="cellIs" dxfId="2586" priority="3969" stopIfTrue="1" operator="equal">
      <formula>2</formula>
    </cfRule>
    <cfRule type="cellIs" dxfId="2585" priority="3970" stopIfTrue="1" operator="equal">
      <formula>"X"</formula>
    </cfRule>
  </conditionalFormatting>
  <conditionalFormatting sqref="GU178">
    <cfRule type="cellIs" dxfId="2584" priority="3962" stopIfTrue="1" operator="equal">
      <formula>0</formula>
    </cfRule>
    <cfRule type="cellIs" dxfId="2583" priority="3963" stopIfTrue="1" operator="notEqual">
      <formula>0</formula>
    </cfRule>
  </conditionalFormatting>
  <conditionalFormatting sqref="GV178">
    <cfRule type="cellIs" dxfId="2582" priority="3961" stopIfTrue="1" operator="equal">
      <formula>"STOP"</formula>
    </cfRule>
  </conditionalFormatting>
  <conditionalFormatting sqref="Q177">
    <cfRule type="cellIs" dxfId="2581" priority="3955" stopIfTrue="1" operator="equal">
      <formula>"SIM"</formula>
    </cfRule>
    <cfRule type="cellIs" dxfId="2580" priority="3956" stopIfTrue="1" operator="equal">
      <formula>"NÃO"</formula>
    </cfRule>
  </conditionalFormatting>
  <conditionalFormatting sqref="BF177 CJ177 DO177">
    <cfRule type="cellIs" dxfId="2579" priority="3951" stopIfTrue="1" operator="equal">
      <formula>0</formula>
    </cfRule>
    <cfRule type="cellIs" dxfId="2578" priority="3957" stopIfTrue="1" operator="notEqual">
      <formula>0</formula>
    </cfRule>
  </conditionalFormatting>
  <conditionalFormatting sqref="C177:D177">
    <cfRule type="expression" dxfId="2577" priority="3954" stopIfTrue="1">
      <formula>IF(AND($C177&lt;&gt;"",$H177+$L177=0),TRUE)</formula>
    </cfRule>
  </conditionalFormatting>
  <conditionalFormatting sqref="P177">
    <cfRule type="cellIs" dxfId="2576" priority="3943" stopIfTrue="1" operator="equal">
      <formula>1</formula>
    </cfRule>
    <cfRule type="cellIs" dxfId="2575" priority="3952" stopIfTrue="1" operator="equal">
      <formula>2</formula>
    </cfRule>
    <cfRule type="cellIs" dxfId="2574" priority="3953" stopIfTrue="1" operator="equal">
      <formula>"X"</formula>
    </cfRule>
  </conditionalFormatting>
  <conditionalFormatting sqref="GU177">
    <cfRule type="cellIs" dxfId="2573" priority="3945" stopIfTrue="1" operator="equal">
      <formula>0</formula>
    </cfRule>
    <cfRule type="cellIs" dxfId="2572" priority="3946" stopIfTrue="1" operator="notEqual">
      <formula>0</formula>
    </cfRule>
  </conditionalFormatting>
  <conditionalFormatting sqref="GV177">
    <cfRule type="cellIs" dxfId="2571" priority="3944" stopIfTrue="1" operator="equal">
      <formula>"STOP"</formula>
    </cfRule>
  </conditionalFormatting>
  <conditionalFormatting sqref="Q178">
    <cfRule type="cellIs" dxfId="2570" priority="3938" stopIfTrue="1" operator="equal">
      <formula>"SIM"</formula>
    </cfRule>
    <cfRule type="cellIs" dxfId="2569" priority="3939" stopIfTrue="1" operator="equal">
      <formula>"NÃO"</formula>
    </cfRule>
  </conditionalFormatting>
  <conditionalFormatting sqref="BF178 CJ178 DO178">
    <cfRule type="cellIs" dxfId="2568" priority="3934" stopIfTrue="1" operator="equal">
      <formula>0</formula>
    </cfRule>
    <cfRule type="cellIs" dxfId="2567" priority="3940" stopIfTrue="1" operator="notEqual">
      <formula>0</formula>
    </cfRule>
  </conditionalFormatting>
  <conditionalFormatting sqref="C178:D178">
    <cfRule type="expression" dxfId="2566" priority="3937" stopIfTrue="1">
      <formula>IF(AND($C178&lt;&gt;"",$H178+$L178=0),TRUE)</formula>
    </cfRule>
  </conditionalFormatting>
  <conditionalFormatting sqref="P178">
    <cfRule type="cellIs" dxfId="2565" priority="3926" stopIfTrue="1" operator="equal">
      <formula>1</formula>
    </cfRule>
    <cfRule type="cellIs" dxfId="2564" priority="3935" stopIfTrue="1" operator="equal">
      <formula>2</formula>
    </cfRule>
    <cfRule type="cellIs" dxfId="2563" priority="3936" stopIfTrue="1" operator="equal">
      <formula>"X"</formula>
    </cfRule>
  </conditionalFormatting>
  <conditionalFormatting sqref="GU178">
    <cfRule type="cellIs" dxfId="2562" priority="3928" stopIfTrue="1" operator="equal">
      <formula>0</formula>
    </cfRule>
    <cfRule type="cellIs" dxfId="2561" priority="3929" stopIfTrue="1" operator="notEqual">
      <formula>0</formula>
    </cfRule>
  </conditionalFormatting>
  <conditionalFormatting sqref="GV178">
    <cfRule type="cellIs" dxfId="2560" priority="3927" stopIfTrue="1" operator="equal">
      <formula>"STOP"</formula>
    </cfRule>
  </conditionalFormatting>
  <conditionalFormatting sqref="Q177">
    <cfRule type="cellIs" dxfId="2559" priority="3921" stopIfTrue="1" operator="equal">
      <formula>"SIM"</formula>
    </cfRule>
    <cfRule type="cellIs" dxfId="2558" priority="3922" stopIfTrue="1" operator="equal">
      <formula>"NÃO"</formula>
    </cfRule>
  </conditionalFormatting>
  <conditionalFormatting sqref="BF177 CJ177 DO177">
    <cfRule type="cellIs" dxfId="2557" priority="3917" stopIfTrue="1" operator="equal">
      <formula>0</formula>
    </cfRule>
    <cfRule type="cellIs" dxfId="2556" priority="3923" stopIfTrue="1" operator="notEqual">
      <formula>0</formula>
    </cfRule>
  </conditionalFormatting>
  <conditionalFormatting sqref="C177:D177">
    <cfRule type="expression" dxfId="2555" priority="3920" stopIfTrue="1">
      <formula>IF(AND($C177&lt;&gt;"",$H177+$L177=0),TRUE)</formula>
    </cfRule>
  </conditionalFormatting>
  <conditionalFormatting sqref="P177">
    <cfRule type="cellIs" dxfId="2554" priority="3909" stopIfTrue="1" operator="equal">
      <formula>1</formula>
    </cfRule>
    <cfRule type="cellIs" dxfId="2553" priority="3918" stopIfTrue="1" operator="equal">
      <formula>2</formula>
    </cfRule>
    <cfRule type="cellIs" dxfId="2552" priority="3919" stopIfTrue="1" operator="equal">
      <formula>"X"</formula>
    </cfRule>
  </conditionalFormatting>
  <conditionalFormatting sqref="GU177">
    <cfRule type="cellIs" dxfId="2551" priority="3911" stopIfTrue="1" operator="equal">
      <formula>0</formula>
    </cfRule>
    <cfRule type="cellIs" dxfId="2550" priority="3912" stopIfTrue="1" operator="notEqual">
      <formula>0</formula>
    </cfRule>
  </conditionalFormatting>
  <conditionalFormatting sqref="GV177">
    <cfRule type="cellIs" dxfId="2549" priority="3910" stopIfTrue="1" operator="equal">
      <formula>"STOP"</formula>
    </cfRule>
  </conditionalFormatting>
  <conditionalFormatting sqref="Q178">
    <cfRule type="cellIs" dxfId="2548" priority="3904" stopIfTrue="1" operator="equal">
      <formula>"SIM"</formula>
    </cfRule>
    <cfRule type="cellIs" dxfId="2547" priority="3905" stopIfTrue="1" operator="equal">
      <formula>"NÃO"</formula>
    </cfRule>
  </conditionalFormatting>
  <conditionalFormatting sqref="BF178 CJ178 DO178">
    <cfRule type="cellIs" dxfId="2546" priority="3900" stopIfTrue="1" operator="equal">
      <formula>0</formula>
    </cfRule>
    <cfRule type="cellIs" dxfId="2545" priority="3906" stopIfTrue="1" operator="notEqual">
      <formula>0</formula>
    </cfRule>
  </conditionalFormatting>
  <conditionalFormatting sqref="C178:D178">
    <cfRule type="expression" dxfId="2544" priority="3903" stopIfTrue="1">
      <formula>IF(AND($C178&lt;&gt;"",$H178+$L178=0),TRUE)</formula>
    </cfRule>
  </conditionalFormatting>
  <conditionalFormatting sqref="P178">
    <cfRule type="cellIs" dxfId="2543" priority="3892" stopIfTrue="1" operator="equal">
      <formula>1</formula>
    </cfRule>
    <cfRule type="cellIs" dxfId="2542" priority="3901" stopIfTrue="1" operator="equal">
      <formula>2</formula>
    </cfRule>
    <cfRule type="cellIs" dxfId="2541" priority="3902" stopIfTrue="1" operator="equal">
      <formula>"X"</formula>
    </cfRule>
  </conditionalFormatting>
  <conditionalFormatting sqref="GU178">
    <cfRule type="cellIs" dxfId="2540" priority="3894" stopIfTrue="1" operator="equal">
      <formula>0</formula>
    </cfRule>
    <cfRule type="cellIs" dxfId="2539" priority="3895" stopIfTrue="1" operator="notEqual">
      <formula>0</formula>
    </cfRule>
  </conditionalFormatting>
  <conditionalFormatting sqref="GV178">
    <cfRule type="cellIs" dxfId="2538" priority="3893" stopIfTrue="1" operator="equal">
      <formula>"STOP"</formula>
    </cfRule>
  </conditionalFormatting>
  <conditionalFormatting sqref="Q177">
    <cfRule type="cellIs" dxfId="2537" priority="3887" stopIfTrue="1" operator="equal">
      <formula>"SIM"</formula>
    </cfRule>
    <cfRule type="cellIs" dxfId="2536" priority="3888" stopIfTrue="1" operator="equal">
      <formula>"NÃO"</formula>
    </cfRule>
  </conditionalFormatting>
  <conditionalFormatting sqref="BF177 CJ177 DO177">
    <cfRule type="cellIs" dxfId="2535" priority="3883" stopIfTrue="1" operator="equal">
      <formula>0</formula>
    </cfRule>
    <cfRule type="cellIs" dxfId="2534" priority="3889" stopIfTrue="1" operator="notEqual">
      <formula>0</formula>
    </cfRule>
  </conditionalFormatting>
  <conditionalFormatting sqref="C177:D177">
    <cfRule type="expression" dxfId="2533" priority="3886" stopIfTrue="1">
      <formula>IF(AND($C177&lt;&gt;"",$H177+$L177=0),TRUE)</formula>
    </cfRule>
  </conditionalFormatting>
  <conditionalFormatting sqref="P177">
    <cfRule type="cellIs" dxfId="2532" priority="3875" stopIfTrue="1" operator="equal">
      <formula>1</formula>
    </cfRule>
    <cfRule type="cellIs" dxfId="2531" priority="3884" stopIfTrue="1" operator="equal">
      <formula>2</formula>
    </cfRule>
    <cfRule type="cellIs" dxfId="2530" priority="3885" stopIfTrue="1" operator="equal">
      <formula>"X"</formula>
    </cfRule>
  </conditionalFormatting>
  <conditionalFormatting sqref="GU177">
    <cfRule type="cellIs" dxfId="2529" priority="3877" stopIfTrue="1" operator="equal">
      <formula>0</formula>
    </cfRule>
    <cfRule type="cellIs" dxfId="2528" priority="3878" stopIfTrue="1" operator="notEqual">
      <formula>0</formula>
    </cfRule>
  </conditionalFormatting>
  <conditionalFormatting sqref="GV177">
    <cfRule type="cellIs" dxfId="2527" priority="3876" stopIfTrue="1" operator="equal">
      <formula>"STOP"</formula>
    </cfRule>
  </conditionalFormatting>
  <conditionalFormatting sqref="Q178">
    <cfRule type="cellIs" dxfId="2526" priority="3870" stopIfTrue="1" operator="equal">
      <formula>"SIM"</formula>
    </cfRule>
    <cfRule type="cellIs" dxfId="2525" priority="3871" stopIfTrue="1" operator="equal">
      <formula>"NÃO"</formula>
    </cfRule>
  </conditionalFormatting>
  <conditionalFormatting sqref="BF178 CJ178 DO178">
    <cfRule type="cellIs" dxfId="2524" priority="3866" stopIfTrue="1" operator="equal">
      <formula>0</formula>
    </cfRule>
    <cfRule type="cellIs" dxfId="2523" priority="3872" stopIfTrue="1" operator="notEqual">
      <formula>0</formula>
    </cfRule>
  </conditionalFormatting>
  <conditionalFormatting sqref="C178:D178">
    <cfRule type="expression" dxfId="2522" priority="3869" stopIfTrue="1">
      <formula>IF(AND($C178&lt;&gt;"",$H178+$L178=0),TRUE)</formula>
    </cfRule>
  </conditionalFormatting>
  <conditionalFormatting sqref="P178">
    <cfRule type="cellIs" dxfId="2521" priority="3858" stopIfTrue="1" operator="equal">
      <formula>1</formula>
    </cfRule>
    <cfRule type="cellIs" dxfId="2520" priority="3867" stopIfTrue="1" operator="equal">
      <formula>2</formula>
    </cfRule>
    <cfRule type="cellIs" dxfId="2519" priority="3868" stopIfTrue="1" operator="equal">
      <formula>"X"</formula>
    </cfRule>
  </conditionalFormatting>
  <conditionalFormatting sqref="GU178">
    <cfRule type="cellIs" dxfId="2518" priority="3860" stopIfTrue="1" operator="equal">
      <formula>0</formula>
    </cfRule>
    <cfRule type="cellIs" dxfId="2517" priority="3861" stopIfTrue="1" operator="notEqual">
      <formula>0</formula>
    </cfRule>
  </conditionalFormatting>
  <conditionalFormatting sqref="GV178">
    <cfRule type="cellIs" dxfId="2516" priority="3859" stopIfTrue="1" operator="equal">
      <formula>"STOP"</formula>
    </cfRule>
  </conditionalFormatting>
  <conditionalFormatting sqref="Q177">
    <cfRule type="cellIs" dxfId="2515" priority="3853" stopIfTrue="1" operator="equal">
      <formula>"SIM"</formula>
    </cfRule>
    <cfRule type="cellIs" dxfId="2514" priority="3854" stopIfTrue="1" operator="equal">
      <formula>"NÃO"</formula>
    </cfRule>
  </conditionalFormatting>
  <conditionalFormatting sqref="BF177 CJ177 DO177">
    <cfRule type="cellIs" dxfId="2513" priority="3849" stopIfTrue="1" operator="equal">
      <formula>0</formula>
    </cfRule>
    <cfRule type="cellIs" dxfId="2512" priority="3855" stopIfTrue="1" operator="notEqual">
      <formula>0</formula>
    </cfRule>
  </conditionalFormatting>
  <conditionalFormatting sqref="C177:D177">
    <cfRule type="expression" dxfId="2511" priority="3852" stopIfTrue="1">
      <formula>IF(AND($C177&lt;&gt;"",$H177+$L177=0),TRUE)</formula>
    </cfRule>
  </conditionalFormatting>
  <conditionalFormatting sqref="P177">
    <cfRule type="cellIs" dxfId="2510" priority="3841" stopIfTrue="1" operator="equal">
      <formula>1</formula>
    </cfRule>
    <cfRule type="cellIs" dxfId="2509" priority="3850" stopIfTrue="1" operator="equal">
      <formula>2</formula>
    </cfRule>
    <cfRule type="cellIs" dxfId="2508" priority="3851" stopIfTrue="1" operator="equal">
      <formula>"X"</formula>
    </cfRule>
  </conditionalFormatting>
  <conditionalFormatting sqref="GU177">
    <cfRule type="cellIs" dxfId="2507" priority="3843" stopIfTrue="1" operator="equal">
      <formula>0</formula>
    </cfRule>
    <cfRule type="cellIs" dxfId="2506" priority="3844" stopIfTrue="1" operator="notEqual">
      <formula>0</formula>
    </cfRule>
  </conditionalFormatting>
  <conditionalFormatting sqref="GV177">
    <cfRule type="cellIs" dxfId="2505" priority="3842" stopIfTrue="1" operator="equal">
      <formula>"STOP"</formula>
    </cfRule>
  </conditionalFormatting>
  <conditionalFormatting sqref="Q178">
    <cfRule type="cellIs" dxfId="2504" priority="3836" stopIfTrue="1" operator="equal">
      <formula>"SIM"</formula>
    </cfRule>
    <cfRule type="cellIs" dxfId="2503" priority="3837" stopIfTrue="1" operator="equal">
      <formula>"NÃO"</formula>
    </cfRule>
  </conditionalFormatting>
  <conditionalFormatting sqref="BF178 CJ178 DO178">
    <cfRule type="cellIs" dxfId="2502" priority="3832" stopIfTrue="1" operator="equal">
      <formula>0</formula>
    </cfRule>
    <cfRule type="cellIs" dxfId="2501" priority="3838" stopIfTrue="1" operator="notEqual">
      <formula>0</formula>
    </cfRule>
  </conditionalFormatting>
  <conditionalFormatting sqref="C178:D178">
    <cfRule type="expression" dxfId="2500" priority="3835" stopIfTrue="1">
      <formula>IF(AND($C178&lt;&gt;"",$H178+$L178=0),TRUE)</formula>
    </cfRule>
  </conditionalFormatting>
  <conditionalFormatting sqref="P178">
    <cfRule type="cellIs" dxfId="2499" priority="3824" stopIfTrue="1" operator="equal">
      <formula>1</formula>
    </cfRule>
    <cfRule type="cellIs" dxfId="2498" priority="3833" stopIfTrue="1" operator="equal">
      <formula>2</formula>
    </cfRule>
    <cfRule type="cellIs" dxfId="2497" priority="3834" stopIfTrue="1" operator="equal">
      <formula>"X"</formula>
    </cfRule>
  </conditionalFormatting>
  <conditionalFormatting sqref="GU178">
    <cfRule type="cellIs" dxfId="2496" priority="3826" stopIfTrue="1" operator="equal">
      <formula>0</formula>
    </cfRule>
    <cfRule type="cellIs" dxfId="2495" priority="3827" stopIfTrue="1" operator="notEqual">
      <formula>0</formula>
    </cfRule>
  </conditionalFormatting>
  <conditionalFormatting sqref="GV178">
    <cfRule type="cellIs" dxfId="2494" priority="3825" stopIfTrue="1" operator="equal">
      <formula>"STOP"</formula>
    </cfRule>
  </conditionalFormatting>
  <conditionalFormatting sqref="Q177">
    <cfRule type="cellIs" dxfId="2493" priority="3819" stopIfTrue="1" operator="equal">
      <formula>"SIM"</formula>
    </cfRule>
    <cfRule type="cellIs" dxfId="2492" priority="3820" stopIfTrue="1" operator="equal">
      <formula>"NÃO"</formula>
    </cfRule>
  </conditionalFormatting>
  <conditionalFormatting sqref="BF177 CJ177 DO177">
    <cfRule type="cellIs" dxfId="2491" priority="3815" stopIfTrue="1" operator="equal">
      <formula>0</formula>
    </cfRule>
    <cfRule type="cellIs" dxfId="2490" priority="3821" stopIfTrue="1" operator="notEqual">
      <formula>0</formula>
    </cfRule>
  </conditionalFormatting>
  <conditionalFormatting sqref="C177:D177">
    <cfRule type="expression" dxfId="2489" priority="3818" stopIfTrue="1">
      <formula>IF(AND($C177&lt;&gt;"",$H177+$L177=0),TRUE)</formula>
    </cfRule>
  </conditionalFormatting>
  <conditionalFormatting sqref="P177">
    <cfRule type="cellIs" dxfId="2488" priority="3807" stopIfTrue="1" operator="equal">
      <formula>1</formula>
    </cfRule>
    <cfRule type="cellIs" dxfId="2487" priority="3816" stopIfTrue="1" operator="equal">
      <formula>2</formula>
    </cfRule>
    <cfRule type="cellIs" dxfId="2486" priority="3817" stopIfTrue="1" operator="equal">
      <formula>"X"</formula>
    </cfRule>
  </conditionalFormatting>
  <conditionalFormatting sqref="GU177">
    <cfRule type="cellIs" dxfId="2485" priority="3809" stopIfTrue="1" operator="equal">
      <formula>0</formula>
    </cfRule>
    <cfRule type="cellIs" dxfId="2484" priority="3810" stopIfTrue="1" operator="notEqual">
      <formula>0</formula>
    </cfRule>
  </conditionalFormatting>
  <conditionalFormatting sqref="GV177">
    <cfRule type="cellIs" dxfId="2483" priority="3808" stopIfTrue="1" operator="equal">
      <formula>"STOP"</formula>
    </cfRule>
  </conditionalFormatting>
  <conditionalFormatting sqref="Q178">
    <cfRule type="cellIs" dxfId="2482" priority="3802" stopIfTrue="1" operator="equal">
      <formula>"SIM"</formula>
    </cfRule>
    <cfRule type="cellIs" dxfId="2481" priority="3803" stopIfTrue="1" operator="equal">
      <formula>"NÃO"</formula>
    </cfRule>
  </conditionalFormatting>
  <conditionalFormatting sqref="BF178 CJ178 DO178">
    <cfRule type="cellIs" dxfId="2480" priority="3798" stopIfTrue="1" operator="equal">
      <formula>0</formula>
    </cfRule>
    <cfRule type="cellIs" dxfId="2479" priority="3804" stopIfTrue="1" operator="notEqual">
      <formula>0</formula>
    </cfRule>
  </conditionalFormatting>
  <conditionalFormatting sqref="C178:D178">
    <cfRule type="expression" dxfId="2478" priority="3801" stopIfTrue="1">
      <formula>IF(AND($C178&lt;&gt;"",$H178+$L178=0),TRUE)</formula>
    </cfRule>
  </conditionalFormatting>
  <conditionalFormatting sqref="P178">
    <cfRule type="cellIs" dxfId="2477" priority="3790" stopIfTrue="1" operator="equal">
      <formula>1</formula>
    </cfRule>
    <cfRule type="cellIs" dxfId="2476" priority="3799" stopIfTrue="1" operator="equal">
      <formula>2</formula>
    </cfRule>
    <cfRule type="cellIs" dxfId="2475" priority="3800" stopIfTrue="1" operator="equal">
      <formula>"X"</formula>
    </cfRule>
  </conditionalFormatting>
  <conditionalFormatting sqref="GU178">
    <cfRule type="cellIs" dxfId="2474" priority="3792" stopIfTrue="1" operator="equal">
      <formula>0</formula>
    </cfRule>
    <cfRule type="cellIs" dxfId="2473" priority="3793" stopIfTrue="1" operator="notEqual">
      <formula>0</formula>
    </cfRule>
  </conditionalFormatting>
  <conditionalFormatting sqref="GV178">
    <cfRule type="cellIs" dxfId="2472" priority="3791" stopIfTrue="1" operator="equal">
      <formula>"STOP"</formula>
    </cfRule>
  </conditionalFormatting>
  <conditionalFormatting sqref="Q177">
    <cfRule type="cellIs" dxfId="2471" priority="3785" stopIfTrue="1" operator="equal">
      <formula>"SIM"</formula>
    </cfRule>
    <cfRule type="cellIs" dxfId="2470" priority="3786" stopIfTrue="1" operator="equal">
      <formula>"NÃO"</formula>
    </cfRule>
  </conditionalFormatting>
  <conditionalFormatting sqref="BF177 CJ177 DO177">
    <cfRule type="cellIs" dxfId="2469" priority="3781" stopIfTrue="1" operator="equal">
      <formula>0</formula>
    </cfRule>
    <cfRule type="cellIs" dxfId="2468" priority="3787" stopIfTrue="1" operator="notEqual">
      <formula>0</formula>
    </cfRule>
  </conditionalFormatting>
  <conditionalFormatting sqref="C177:D177">
    <cfRule type="expression" dxfId="2467" priority="3784" stopIfTrue="1">
      <formula>IF(AND($C177&lt;&gt;"",$H177+$L177=0),TRUE)</formula>
    </cfRule>
  </conditionalFormatting>
  <conditionalFormatting sqref="P177">
    <cfRule type="cellIs" dxfId="2466" priority="3773" stopIfTrue="1" operator="equal">
      <formula>1</formula>
    </cfRule>
    <cfRule type="cellIs" dxfId="2465" priority="3782" stopIfTrue="1" operator="equal">
      <formula>2</formula>
    </cfRule>
    <cfRule type="cellIs" dxfId="2464" priority="3783" stopIfTrue="1" operator="equal">
      <formula>"X"</formula>
    </cfRule>
  </conditionalFormatting>
  <conditionalFormatting sqref="GU177">
    <cfRule type="cellIs" dxfId="2463" priority="3775" stopIfTrue="1" operator="equal">
      <formula>0</formula>
    </cfRule>
    <cfRule type="cellIs" dxfId="2462" priority="3776" stopIfTrue="1" operator="notEqual">
      <formula>0</formula>
    </cfRule>
  </conditionalFormatting>
  <conditionalFormatting sqref="GV177">
    <cfRule type="cellIs" dxfId="2461" priority="3774" stopIfTrue="1" operator="equal">
      <formula>"STOP"</formula>
    </cfRule>
  </conditionalFormatting>
  <conditionalFormatting sqref="Q178">
    <cfRule type="cellIs" dxfId="2460" priority="3768" stopIfTrue="1" operator="equal">
      <formula>"SIM"</formula>
    </cfRule>
    <cfRule type="cellIs" dxfId="2459" priority="3769" stopIfTrue="1" operator="equal">
      <formula>"NÃO"</formula>
    </cfRule>
  </conditionalFormatting>
  <conditionalFormatting sqref="BF178 CJ178 DO178">
    <cfRule type="cellIs" dxfId="2458" priority="3764" stopIfTrue="1" operator="equal">
      <formula>0</formula>
    </cfRule>
    <cfRule type="cellIs" dxfId="2457" priority="3770" stopIfTrue="1" operator="notEqual">
      <formula>0</formula>
    </cfRule>
  </conditionalFormatting>
  <conditionalFormatting sqref="C178:D178">
    <cfRule type="expression" dxfId="2456" priority="3767" stopIfTrue="1">
      <formula>IF(AND($C178&lt;&gt;"",$H178+$L178=0),TRUE)</formula>
    </cfRule>
  </conditionalFormatting>
  <conditionalFormatting sqref="P178">
    <cfRule type="cellIs" dxfId="2455" priority="3756" stopIfTrue="1" operator="equal">
      <formula>1</formula>
    </cfRule>
    <cfRule type="cellIs" dxfId="2454" priority="3765" stopIfTrue="1" operator="equal">
      <formula>2</formula>
    </cfRule>
    <cfRule type="cellIs" dxfId="2453" priority="3766" stopIfTrue="1" operator="equal">
      <formula>"X"</formula>
    </cfRule>
  </conditionalFormatting>
  <conditionalFormatting sqref="GU178">
    <cfRule type="cellIs" dxfId="2452" priority="3758" stopIfTrue="1" operator="equal">
      <formula>0</formula>
    </cfRule>
    <cfRule type="cellIs" dxfId="2451" priority="3759" stopIfTrue="1" operator="notEqual">
      <formula>0</formula>
    </cfRule>
  </conditionalFormatting>
  <conditionalFormatting sqref="GV178">
    <cfRule type="cellIs" dxfId="2450" priority="3757" stopIfTrue="1" operator="equal">
      <formula>"STOP"</formula>
    </cfRule>
  </conditionalFormatting>
  <conditionalFormatting sqref="Q177">
    <cfRule type="cellIs" dxfId="2449" priority="3751" stopIfTrue="1" operator="equal">
      <formula>"SIM"</formula>
    </cfRule>
    <cfRule type="cellIs" dxfId="2448" priority="3752" stopIfTrue="1" operator="equal">
      <formula>"NÃO"</formula>
    </cfRule>
  </conditionalFormatting>
  <conditionalFormatting sqref="BF177 CJ177 DO177">
    <cfRule type="cellIs" dxfId="2447" priority="3747" stopIfTrue="1" operator="equal">
      <formula>0</formula>
    </cfRule>
    <cfRule type="cellIs" dxfId="2446" priority="3753" stopIfTrue="1" operator="notEqual">
      <formula>0</formula>
    </cfRule>
  </conditionalFormatting>
  <conditionalFormatting sqref="C177:D177">
    <cfRule type="expression" dxfId="2445" priority="3750" stopIfTrue="1">
      <formula>IF(AND($C177&lt;&gt;"",$H177+$L177=0),TRUE)</formula>
    </cfRule>
  </conditionalFormatting>
  <conditionalFormatting sqref="P177">
    <cfRule type="cellIs" dxfId="2444" priority="3739" stopIfTrue="1" operator="equal">
      <formula>1</formula>
    </cfRule>
    <cfRule type="cellIs" dxfId="2443" priority="3748" stopIfTrue="1" operator="equal">
      <formula>2</formula>
    </cfRule>
    <cfRule type="cellIs" dxfId="2442" priority="3749" stopIfTrue="1" operator="equal">
      <formula>"X"</formula>
    </cfRule>
  </conditionalFormatting>
  <conditionalFormatting sqref="GU177">
    <cfRule type="cellIs" dxfId="2441" priority="3741" stopIfTrue="1" operator="equal">
      <formula>0</formula>
    </cfRule>
    <cfRule type="cellIs" dxfId="2440" priority="3742" stopIfTrue="1" operator="notEqual">
      <formula>0</formula>
    </cfRule>
  </conditionalFormatting>
  <conditionalFormatting sqref="GV177">
    <cfRule type="cellIs" dxfId="2439" priority="3740" stopIfTrue="1" operator="equal">
      <formula>"STOP"</formula>
    </cfRule>
  </conditionalFormatting>
  <conditionalFormatting sqref="Q178">
    <cfRule type="cellIs" dxfId="2438" priority="3734" stopIfTrue="1" operator="equal">
      <formula>"SIM"</formula>
    </cfRule>
    <cfRule type="cellIs" dxfId="2437" priority="3735" stopIfTrue="1" operator="equal">
      <formula>"NÃO"</formula>
    </cfRule>
  </conditionalFormatting>
  <conditionalFormatting sqref="BF178 CJ178 DO178">
    <cfRule type="cellIs" dxfId="2436" priority="3730" stopIfTrue="1" operator="equal">
      <formula>0</formula>
    </cfRule>
    <cfRule type="cellIs" dxfId="2435" priority="3736" stopIfTrue="1" operator="notEqual">
      <formula>0</formula>
    </cfRule>
  </conditionalFormatting>
  <conditionalFormatting sqref="C178:D178">
    <cfRule type="expression" dxfId="2434" priority="3733" stopIfTrue="1">
      <formula>IF(AND($C178&lt;&gt;"",$H178+$L178=0),TRUE)</formula>
    </cfRule>
  </conditionalFormatting>
  <conditionalFormatting sqref="P178">
    <cfRule type="cellIs" dxfId="2433" priority="3722" stopIfTrue="1" operator="equal">
      <formula>1</formula>
    </cfRule>
    <cfRule type="cellIs" dxfId="2432" priority="3731" stopIfTrue="1" operator="equal">
      <formula>2</formula>
    </cfRule>
    <cfRule type="cellIs" dxfId="2431" priority="3732" stopIfTrue="1" operator="equal">
      <formula>"X"</formula>
    </cfRule>
  </conditionalFormatting>
  <conditionalFormatting sqref="GU178">
    <cfRule type="cellIs" dxfId="2430" priority="3724" stopIfTrue="1" operator="equal">
      <formula>0</formula>
    </cfRule>
    <cfRule type="cellIs" dxfId="2429" priority="3725" stopIfTrue="1" operator="notEqual">
      <formula>0</formula>
    </cfRule>
  </conditionalFormatting>
  <conditionalFormatting sqref="GV178">
    <cfRule type="cellIs" dxfId="2428" priority="3723" stopIfTrue="1" operator="equal">
      <formula>"STOP"</formula>
    </cfRule>
  </conditionalFormatting>
  <conditionalFormatting sqref="Q178">
    <cfRule type="cellIs" dxfId="2427" priority="3717" stopIfTrue="1" operator="equal">
      <formula>"SIM"</formula>
    </cfRule>
    <cfRule type="cellIs" dxfId="2426" priority="3718" stopIfTrue="1" operator="equal">
      <formula>"NÃO"</formula>
    </cfRule>
  </conditionalFormatting>
  <conditionalFormatting sqref="BF178 CJ178 DO178">
    <cfRule type="cellIs" dxfId="2425" priority="3713" stopIfTrue="1" operator="equal">
      <formula>0</formula>
    </cfRule>
    <cfRule type="cellIs" dxfId="2424" priority="3719" stopIfTrue="1" operator="notEqual">
      <formula>0</formula>
    </cfRule>
  </conditionalFormatting>
  <conditionalFormatting sqref="C178:D178">
    <cfRule type="expression" dxfId="2423" priority="3716" stopIfTrue="1">
      <formula>IF(AND($C178&lt;&gt;"",$H178+$L178=0),TRUE)</formula>
    </cfRule>
  </conditionalFormatting>
  <conditionalFormatting sqref="P178">
    <cfRule type="cellIs" dxfId="2422" priority="3705" stopIfTrue="1" operator="equal">
      <formula>1</formula>
    </cfRule>
    <cfRule type="cellIs" dxfId="2421" priority="3714" stopIfTrue="1" operator="equal">
      <formula>2</formula>
    </cfRule>
    <cfRule type="cellIs" dxfId="2420" priority="3715" stopIfTrue="1" operator="equal">
      <formula>"X"</formula>
    </cfRule>
  </conditionalFormatting>
  <conditionalFormatting sqref="GU178">
    <cfRule type="cellIs" dxfId="2419" priority="3707" stopIfTrue="1" operator="equal">
      <formula>0</formula>
    </cfRule>
    <cfRule type="cellIs" dxfId="2418" priority="3708" stopIfTrue="1" operator="notEqual">
      <formula>0</formula>
    </cfRule>
  </conditionalFormatting>
  <conditionalFormatting sqref="GV178">
    <cfRule type="cellIs" dxfId="2417" priority="3706" stopIfTrue="1" operator="equal">
      <formula>"STOP"</formula>
    </cfRule>
  </conditionalFormatting>
  <conditionalFormatting sqref="Q177">
    <cfRule type="cellIs" dxfId="2416" priority="3700" stopIfTrue="1" operator="equal">
      <formula>"SIM"</formula>
    </cfRule>
    <cfRule type="cellIs" dxfId="2415" priority="3701" stopIfTrue="1" operator="equal">
      <formula>"NÃO"</formula>
    </cfRule>
  </conditionalFormatting>
  <conditionalFormatting sqref="BF177 CJ177 DO177">
    <cfRule type="cellIs" dxfId="2414" priority="3696" stopIfTrue="1" operator="equal">
      <formula>0</formula>
    </cfRule>
    <cfRule type="cellIs" dxfId="2413" priority="3702" stopIfTrue="1" operator="notEqual">
      <formula>0</formula>
    </cfRule>
  </conditionalFormatting>
  <conditionalFormatting sqref="C177:D177">
    <cfRule type="expression" dxfId="2412" priority="3699" stopIfTrue="1">
      <formula>IF(AND($C177&lt;&gt;"",$H177+$L177=0),TRUE)</formula>
    </cfRule>
  </conditionalFormatting>
  <conditionalFormatting sqref="P177">
    <cfRule type="cellIs" dxfId="2411" priority="3688" stopIfTrue="1" operator="equal">
      <formula>1</formula>
    </cfRule>
    <cfRule type="cellIs" dxfId="2410" priority="3697" stopIfTrue="1" operator="equal">
      <formula>2</formula>
    </cfRule>
    <cfRule type="cellIs" dxfId="2409" priority="3698" stopIfTrue="1" operator="equal">
      <formula>"X"</formula>
    </cfRule>
  </conditionalFormatting>
  <conditionalFormatting sqref="GU177">
    <cfRule type="cellIs" dxfId="2408" priority="3690" stopIfTrue="1" operator="equal">
      <formula>0</formula>
    </cfRule>
    <cfRule type="cellIs" dxfId="2407" priority="3691" stopIfTrue="1" operator="notEqual">
      <formula>0</formula>
    </cfRule>
  </conditionalFormatting>
  <conditionalFormatting sqref="GV177">
    <cfRule type="cellIs" dxfId="2406" priority="3689" stopIfTrue="1" operator="equal">
      <formula>"STOP"</formula>
    </cfRule>
  </conditionalFormatting>
  <conditionalFormatting sqref="Q178">
    <cfRule type="cellIs" dxfId="2405" priority="3683" stopIfTrue="1" operator="equal">
      <formula>"SIM"</formula>
    </cfRule>
    <cfRule type="cellIs" dxfId="2404" priority="3684" stopIfTrue="1" operator="equal">
      <formula>"NÃO"</formula>
    </cfRule>
  </conditionalFormatting>
  <conditionalFormatting sqref="BF178 CJ178 DO178">
    <cfRule type="cellIs" dxfId="2403" priority="3679" stopIfTrue="1" operator="equal">
      <formula>0</formula>
    </cfRule>
    <cfRule type="cellIs" dxfId="2402" priority="3685" stopIfTrue="1" operator="notEqual">
      <formula>0</formula>
    </cfRule>
  </conditionalFormatting>
  <conditionalFormatting sqref="C178:D178">
    <cfRule type="expression" dxfId="2401" priority="3682" stopIfTrue="1">
      <formula>IF(AND($C178&lt;&gt;"",$H178+$L178=0),TRUE)</formula>
    </cfRule>
  </conditionalFormatting>
  <conditionalFormatting sqref="P178">
    <cfRule type="cellIs" dxfId="2400" priority="3671" stopIfTrue="1" operator="equal">
      <formula>1</formula>
    </cfRule>
    <cfRule type="cellIs" dxfId="2399" priority="3680" stopIfTrue="1" operator="equal">
      <formula>2</formula>
    </cfRule>
    <cfRule type="cellIs" dxfId="2398" priority="3681" stopIfTrue="1" operator="equal">
      <formula>"X"</formula>
    </cfRule>
  </conditionalFormatting>
  <conditionalFormatting sqref="GU178">
    <cfRule type="cellIs" dxfId="2397" priority="3673" stopIfTrue="1" operator="equal">
      <formula>0</formula>
    </cfRule>
    <cfRule type="cellIs" dxfId="2396" priority="3674" stopIfTrue="1" operator="notEqual">
      <formula>0</formula>
    </cfRule>
  </conditionalFormatting>
  <conditionalFormatting sqref="GV178">
    <cfRule type="cellIs" dxfId="2395" priority="3672" stopIfTrue="1" operator="equal">
      <formula>"STOP"</formula>
    </cfRule>
  </conditionalFormatting>
  <conditionalFormatting sqref="Q178">
    <cfRule type="cellIs" dxfId="2394" priority="3666" stopIfTrue="1" operator="equal">
      <formula>"SIM"</formula>
    </cfRule>
    <cfRule type="cellIs" dxfId="2393" priority="3667" stopIfTrue="1" operator="equal">
      <formula>"NÃO"</formula>
    </cfRule>
  </conditionalFormatting>
  <conditionalFormatting sqref="BF178 CJ178 DO178">
    <cfRule type="cellIs" dxfId="2392" priority="3662" stopIfTrue="1" operator="equal">
      <formula>0</formula>
    </cfRule>
    <cfRule type="cellIs" dxfId="2391" priority="3668" stopIfTrue="1" operator="notEqual">
      <formula>0</formula>
    </cfRule>
  </conditionalFormatting>
  <conditionalFormatting sqref="C178:D178">
    <cfRule type="expression" dxfId="2390" priority="3665" stopIfTrue="1">
      <formula>IF(AND($C178&lt;&gt;"",$H178+$L178=0),TRUE)</formula>
    </cfRule>
  </conditionalFormatting>
  <conditionalFormatting sqref="P178">
    <cfRule type="cellIs" dxfId="2389" priority="3654" stopIfTrue="1" operator="equal">
      <formula>1</formula>
    </cfRule>
    <cfRule type="cellIs" dxfId="2388" priority="3663" stopIfTrue="1" operator="equal">
      <formula>2</formula>
    </cfRule>
    <cfRule type="cellIs" dxfId="2387" priority="3664" stopIfTrue="1" operator="equal">
      <formula>"X"</formula>
    </cfRule>
  </conditionalFormatting>
  <conditionalFormatting sqref="GU178">
    <cfRule type="cellIs" dxfId="2386" priority="3656" stopIfTrue="1" operator="equal">
      <formula>0</formula>
    </cfRule>
    <cfRule type="cellIs" dxfId="2385" priority="3657" stopIfTrue="1" operator="notEqual">
      <formula>0</formula>
    </cfRule>
  </conditionalFormatting>
  <conditionalFormatting sqref="GV178">
    <cfRule type="cellIs" dxfId="2384" priority="3655" stopIfTrue="1" operator="equal">
      <formula>"STOP"</formula>
    </cfRule>
  </conditionalFormatting>
  <conditionalFormatting sqref="Q178">
    <cfRule type="cellIs" dxfId="2383" priority="3649" stopIfTrue="1" operator="equal">
      <formula>"SIM"</formula>
    </cfRule>
    <cfRule type="cellIs" dxfId="2382" priority="3650" stopIfTrue="1" operator="equal">
      <formula>"NÃO"</formula>
    </cfRule>
  </conditionalFormatting>
  <conditionalFormatting sqref="BF178 CJ178 DO178">
    <cfRule type="cellIs" dxfId="2381" priority="3645" stopIfTrue="1" operator="equal">
      <formula>0</formula>
    </cfRule>
    <cfRule type="cellIs" dxfId="2380" priority="3651" stopIfTrue="1" operator="notEqual">
      <formula>0</formula>
    </cfRule>
  </conditionalFormatting>
  <conditionalFormatting sqref="C178:D178">
    <cfRule type="expression" dxfId="2379" priority="3648" stopIfTrue="1">
      <formula>IF(AND($C178&lt;&gt;"",$H178+$L178=0),TRUE)</formula>
    </cfRule>
  </conditionalFormatting>
  <conditionalFormatting sqref="P178">
    <cfRule type="cellIs" dxfId="2378" priority="3637" stopIfTrue="1" operator="equal">
      <formula>1</formula>
    </cfRule>
    <cfRule type="cellIs" dxfId="2377" priority="3646" stopIfTrue="1" operator="equal">
      <formula>2</formula>
    </cfRule>
    <cfRule type="cellIs" dxfId="2376" priority="3647" stopIfTrue="1" operator="equal">
      <formula>"X"</formula>
    </cfRule>
  </conditionalFormatting>
  <conditionalFormatting sqref="GU178">
    <cfRule type="cellIs" dxfId="2375" priority="3639" stopIfTrue="1" operator="equal">
      <formula>0</formula>
    </cfRule>
    <cfRule type="cellIs" dxfId="2374" priority="3640" stopIfTrue="1" operator="notEqual">
      <formula>0</formula>
    </cfRule>
  </conditionalFormatting>
  <conditionalFormatting sqref="GV178">
    <cfRule type="cellIs" dxfId="2373" priority="3638" stopIfTrue="1" operator="equal">
      <formula>"STOP"</formula>
    </cfRule>
  </conditionalFormatting>
  <conditionalFormatting sqref="Q177">
    <cfRule type="cellIs" dxfId="2372" priority="3632" stopIfTrue="1" operator="equal">
      <formula>"SIM"</formula>
    </cfRule>
    <cfRule type="cellIs" dxfId="2371" priority="3633" stopIfTrue="1" operator="equal">
      <formula>"NÃO"</formula>
    </cfRule>
  </conditionalFormatting>
  <conditionalFormatting sqref="BF177 CJ177 DO177">
    <cfRule type="cellIs" dxfId="2370" priority="3628" stopIfTrue="1" operator="equal">
      <formula>0</formula>
    </cfRule>
    <cfRule type="cellIs" dxfId="2369" priority="3634" stopIfTrue="1" operator="notEqual">
      <formula>0</formula>
    </cfRule>
  </conditionalFormatting>
  <conditionalFormatting sqref="C177:D177">
    <cfRule type="expression" dxfId="2368" priority="3631" stopIfTrue="1">
      <formula>IF(AND($C177&lt;&gt;"",$H177+$L177=0),TRUE)</formula>
    </cfRule>
  </conditionalFormatting>
  <conditionalFormatting sqref="P177">
    <cfRule type="cellIs" dxfId="2367" priority="3620" stopIfTrue="1" operator="equal">
      <formula>1</formula>
    </cfRule>
    <cfRule type="cellIs" dxfId="2366" priority="3629" stopIfTrue="1" operator="equal">
      <formula>2</formula>
    </cfRule>
    <cfRule type="cellIs" dxfId="2365" priority="3630" stopIfTrue="1" operator="equal">
      <formula>"X"</formula>
    </cfRule>
  </conditionalFormatting>
  <conditionalFormatting sqref="GU177">
    <cfRule type="cellIs" dxfId="2364" priority="3622" stopIfTrue="1" operator="equal">
      <formula>0</formula>
    </cfRule>
    <cfRule type="cellIs" dxfId="2363" priority="3623" stopIfTrue="1" operator="notEqual">
      <formula>0</formula>
    </cfRule>
  </conditionalFormatting>
  <conditionalFormatting sqref="GV177">
    <cfRule type="cellIs" dxfId="2362" priority="3621" stopIfTrue="1" operator="equal">
      <formula>"STOP"</formula>
    </cfRule>
  </conditionalFormatting>
  <conditionalFormatting sqref="Q178">
    <cfRule type="cellIs" dxfId="2361" priority="3615" stopIfTrue="1" operator="equal">
      <formula>"SIM"</formula>
    </cfRule>
    <cfRule type="cellIs" dxfId="2360" priority="3616" stopIfTrue="1" operator="equal">
      <formula>"NÃO"</formula>
    </cfRule>
  </conditionalFormatting>
  <conditionalFormatting sqref="BF178 CJ178 DO178">
    <cfRule type="cellIs" dxfId="2359" priority="3611" stopIfTrue="1" operator="equal">
      <formula>0</formula>
    </cfRule>
    <cfRule type="cellIs" dxfId="2358" priority="3617" stopIfTrue="1" operator="notEqual">
      <formula>0</formula>
    </cfRule>
  </conditionalFormatting>
  <conditionalFormatting sqref="C178:D178">
    <cfRule type="expression" dxfId="2357" priority="3614" stopIfTrue="1">
      <formula>IF(AND($C178&lt;&gt;"",$H178+$L178=0),TRUE)</formula>
    </cfRule>
  </conditionalFormatting>
  <conditionalFormatting sqref="P178">
    <cfRule type="cellIs" dxfId="2356" priority="3603" stopIfTrue="1" operator="equal">
      <formula>1</formula>
    </cfRule>
    <cfRule type="cellIs" dxfId="2355" priority="3612" stopIfTrue="1" operator="equal">
      <formula>2</formula>
    </cfRule>
    <cfRule type="cellIs" dxfId="2354" priority="3613" stopIfTrue="1" operator="equal">
      <formula>"X"</formula>
    </cfRule>
  </conditionalFormatting>
  <conditionalFormatting sqref="GU178">
    <cfRule type="cellIs" dxfId="2353" priority="3605" stopIfTrue="1" operator="equal">
      <formula>0</formula>
    </cfRule>
    <cfRule type="cellIs" dxfId="2352" priority="3606" stopIfTrue="1" operator="notEqual">
      <formula>0</formula>
    </cfRule>
  </conditionalFormatting>
  <conditionalFormatting sqref="GV178">
    <cfRule type="cellIs" dxfId="2351" priority="3604" stopIfTrue="1" operator="equal">
      <formula>"STOP"</formula>
    </cfRule>
  </conditionalFormatting>
  <conditionalFormatting sqref="Q178">
    <cfRule type="cellIs" dxfId="2350" priority="3598" stopIfTrue="1" operator="equal">
      <formula>"SIM"</formula>
    </cfRule>
    <cfRule type="cellIs" dxfId="2349" priority="3599" stopIfTrue="1" operator="equal">
      <formula>"NÃO"</formula>
    </cfRule>
  </conditionalFormatting>
  <conditionalFormatting sqref="BF178 CJ178 DO178">
    <cfRule type="cellIs" dxfId="2348" priority="3594" stopIfTrue="1" operator="equal">
      <formula>0</formula>
    </cfRule>
    <cfRule type="cellIs" dxfId="2347" priority="3600" stopIfTrue="1" operator="notEqual">
      <formula>0</formula>
    </cfRule>
  </conditionalFormatting>
  <conditionalFormatting sqref="C178:D178">
    <cfRule type="expression" dxfId="2346" priority="3597" stopIfTrue="1">
      <formula>IF(AND($C178&lt;&gt;"",$H178+$L178=0),TRUE)</formula>
    </cfRule>
  </conditionalFormatting>
  <conditionalFormatting sqref="P178">
    <cfRule type="cellIs" dxfId="2345" priority="3586" stopIfTrue="1" operator="equal">
      <formula>1</formula>
    </cfRule>
    <cfRule type="cellIs" dxfId="2344" priority="3595" stopIfTrue="1" operator="equal">
      <formula>2</formula>
    </cfRule>
    <cfRule type="cellIs" dxfId="2343" priority="3596" stopIfTrue="1" operator="equal">
      <formula>"X"</formula>
    </cfRule>
  </conditionalFormatting>
  <conditionalFormatting sqref="GU178">
    <cfRule type="cellIs" dxfId="2342" priority="3588" stopIfTrue="1" operator="equal">
      <formula>0</formula>
    </cfRule>
    <cfRule type="cellIs" dxfId="2341" priority="3589" stopIfTrue="1" operator="notEqual">
      <formula>0</formula>
    </cfRule>
  </conditionalFormatting>
  <conditionalFormatting sqref="GV178">
    <cfRule type="cellIs" dxfId="2340" priority="3587" stopIfTrue="1" operator="equal">
      <formula>"STOP"</formula>
    </cfRule>
  </conditionalFormatting>
  <conditionalFormatting sqref="Q178">
    <cfRule type="cellIs" dxfId="2339" priority="3581" stopIfTrue="1" operator="equal">
      <formula>"SIM"</formula>
    </cfRule>
    <cfRule type="cellIs" dxfId="2338" priority="3582" stopIfTrue="1" operator="equal">
      <formula>"NÃO"</formula>
    </cfRule>
  </conditionalFormatting>
  <conditionalFormatting sqref="BF178 CJ178 DO178">
    <cfRule type="cellIs" dxfId="2337" priority="3577" stopIfTrue="1" operator="equal">
      <formula>0</formula>
    </cfRule>
    <cfRule type="cellIs" dxfId="2336" priority="3583" stopIfTrue="1" operator="notEqual">
      <formula>0</formula>
    </cfRule>
  </conditionalFormatting>
  <conditionalFormatting sqref="C178:D178">
    <cfRule type="expression" dxfId="2335" priority="3580" stopIfTrue="1">
      <formula>IF(AND($C178&lt;&gt;"",$H178+$L178=0),TRUE)</formula>
    </cfRule>
  </conditionalFormatting>
  <conditionalFormatting sqref="P178">
    <cfRule type="cellIs" dxfId="2334" priority="3569" stopIfTrue="1" operator="equal">
      <formula>1</formula>
    </cfRule>
    <cfRule type="cellIs" dxfId="2333" priority="3578" stopIfTrue="1" operator="equal">
      <formula>2</formula>
    </cfRule>
    <cfRule type="cellIs" dxfId="2332" priority="3579" stopIfTrue="1" operator="equal">
      <formula>"X"</formula>
    </cfRule>
  </conditionalFormatting>
  <conditionalFormatting sqref="GU178">
    <cfRule type="cellIs" dxfId="2331" priority="3571" stopIfTrue="1" operator="equal">
      <formula>0</formula>
    </cfRule>
    <cfRule type="cellIs" dxfId="2330" priority="3572" stopIfTrue="1" operator="notEqual">
      <formula>0</formula>
    </cfRule>
  </conditionalFormatting>
  <conditionalFormatting sqref="GV178">
    <cfRule type="cellIs" dxfId="2329" priority="3570" stopIfTrue="1" operator="equal">
      <formula>"STOP"</formula>
    </cfRule>
  </conditionalFormatting>
  <conditionalFormatting sqref="Q178">
    <cfRule type="cellIs" dxfId="2328" priority="3564" stopIfTrue="1" operator="equal">
      <formula>"SIM"</formula>
    </cfRule>
    <cfRule type="cellIs" dxfId="2327" priority="3565" stopIfTrue="1" operator="equal">
      <formula>"NÃO"</formula>
    </cfRule>
  </conditionalFormatting>
  <conditionalFormatting sqref="BF178 CJ178 DO178">
    <cfRule type="cellIs" dxfId="2326" priority="3560" stopIfTrue="1" operator="equal">
      <formula>0</formula>
    </cfRule>
    <cfRule type="cellIs" dxfId="2325" priority="3566" stopIfTrue="1" operator="notEqual">
      <formula>0</formula>
    </cfRule>
  </conditionalFormatting>
  <conditionalFormatting sqref="C178:D178">
    <cfRule type="expression" dxfId="2324" priority="3563" stopIfTrue="1">
      <formula>IF(AND($C178&lt;&gt;"",$H178+$L178=0),TRUE)</formula>
    </cfRule>
  </conditionalFormatting>
  <conditionalFormatting sqref="P178">
    <cfRule type="cellIs" dxfId="2323" priority="3552" stopIfTrue="1" operator="equal">
      <formula>1</formula>
    </cfRule>
    <cfRule type="cellIs" dxfId="2322" priority="3561" stopIfTrue="1" operator="equal">
      <formula>2</formula>
    </cfRule>
    <cfRule type="cellIs" dxfId="2321" priority="3562" stopIfTrue="1" operator="equal">
      <formula>"X"</formula>
    </cfRule>
  </conditionalFormatting>
  <conditionalFormatting sqref="GU178">
    <cfRule type="cellIs" dxfId="2320" priority="3554" stopIfTrue="1" operator="equal">
      <formula>0</formula>
    </cfRule>
    <cfRule type="cellIs" dxfId="2319" priority="3555" stopIfTrue="1" operator="notEqual">
      <formula>0</formula>
    </cfRule>
  </conditionalFormatting>
  <conditionalFormatting sqref="GV178">
    <cfRule type="cellIs" dxfId="2318" priority="3553" stopIfTrue="1" operator="equal">
      <formula>"STOP"</formula>
    </cfRule>
  </conditionalFormatting>
  <conditionalFormatting sqref="Q177">
    <cfRule type="cellIs" dxfId="2317" priority="3547" stopIfTrue="1" operator="equal">
      <formula>"SIM"</formula>
    </cfRule>
    <cfRule type="cellIs" dxfId="2316" priority="3548" stopIfTrue="1" operator="equal">
      <formula>"NÃO"</formula>
    </cfRule>
  </conditionalFormatting>
  <conditionalFormatting sqref="BF177 CJ177 DO177">
    <cfRule type="cellIs" dxfId="2315" priority="3543" stopIfTrue="1" operator="equal">
      <formula>0</formula>
    </cfRule>
    <cfRule type="cellIs" dxfId="2314" priority="3549" stopIfTrue="1" operator="notEqual">
      <formula>0</formula>
    </cfRule>
  </conditionalFormatting>
  <conditionalFormatting sqref="C177:D177">
    <cfRule type="expression" dxfId="2313" priority="3546" stopIfTrue="1">
      <formula>IF(AND($C177&lt;&gt;"",$H177+$L177=0),TRUE)</formula>
    </cfRule>
  </conditionalFormatting>
  <conditionalFormatting sqref="P177">
    <cfRule type="cellIs" dxfId="2312" priority="3535" stopIfTrue="1" operator="equal">
      <formula>1</formula>
    </cfRule>
    <cfRule type="cellIs" dxfId="2311" priority="3544" stopIfTrue="1" operator="equal">
      <formula>2</formula>
    </cfRule>
    <cfRule type="cellIs" dxfId="2310" priority="3545" stopIfTrue="1" operator="equal">
      <formula>"X"</formula>
    </cfRule>
  </conditionalFormatting>
  <conditionalFormatting sqref="GU177">
    <cfRule type="cellIs" dxfId="2309" priority="3537" stopIfTrue="1" operator="equal">
      <formula>0</formula>
    </cfRule>
    <cfRule type="cellIs" dxfId="2308" priority="3538" stopIfTrue="1" operator="notEqual">
      <formula>0</formula>
    </cfRule>
  </conditionalFormatting>
  <conditionalFormatting sqref="GV177">
    <cfRule type="cellIs" dxfId="2307" priority="3536" stopIfTrue="1" operator="equal">
      <formula>"STOP"</formula>
    </cfRule>
  </conditionalFormatting>
  <conditionalFormatting sqref="Q178">
    <cfRule type="cellIs" dxfId="2306" priority="3530" stopIfTrue="1" operator="equal">
      <formula>"SIM"</formula>
    </cfRule>
    <cfRule type="cellIs" dxfId="2305" priority="3531" stopIfTrue="1" operator="equal">
      <formula>"NÃO"</formula>
    </cfRule>
  </conditionalFormatting>
  <conditionalFormatting sqref="BF178 CJ178 DO178">
    <cfRule type="cellIs" dxfId="2304" priority="3526" stopIfTrue="1" operator="equal">
      <formula>0</formula>
    </cfRule>
    <cfRule type="cellIs" dxfId="2303" priority="3532" stopIfTrue="1" operator="notEqual">
      <formula>0</formula>
    </cfRule>
  </conditionalFormatting>
  <conditionalFormatting sqref="C178:D178">
    <cfRule type="expression" dxfId="2302" priority="3529" stopIfTrue="1">
      <formula>IF(AND($C178&lt;&gt;"",$H178+$L178=0),TRUE)</formula>
    </cfRule>
  </conditionalFormatting>
  <conditionalFormatting sqref="P178">
    <cfRule type="cellIs" dxfId="2301" priority="3518" stopIfTrue="1" operator="equal">
      <formula>1</formula>
    </cfRule>
    <cfRule type="cellIs" dxfId="2300" priority="3527" stopIfTrue="1" operator="equal">
      <formula>2</formula>
    </cfRule>
    <cfRule type="cellIs" dxfId="2299" priority="3528" stopIfTrue="1" operator="equal">
      <formula>"X"</formula>
    </cfRule>
  </conditionalFormatting>
  <conditionalFormatting sqref="GU178">
    <cfRule type="cellIs" dxfId="2298" priority="3520" stopIfTrue="1" operator="equal">
      <formula>0</formula>
    </cfRule>
    <cfRule type="cellIs" dxfId="2297" priority="3521" stopIfTrue="1" operator="notEqual">
      <formula>0</formula>
    </cfRule>
  </conditionalFormatting>
  <conditionalFormatting sqref="GV178">
    <cfRule type="cellIs" dxfId="2296" priority="3519" stopIfTrue="1" operator="equal">
      <formula>"STOP"</formula>
    </cfRule>
  </conditionalFormatting>
  <conditionalFormatting sqref="Q178">
    <cfRule type="cellIs" dxfId="2295" priority="3513" stopIfTrue="1" operator="equal">
      <formula>"SIM"</formula>
    </cfRule>
    <cfRule type="cellIs" dxfId="2294" priority="3514" stopIfTrue="1" operator="equal">
      <formula>"NÃO"</formula>
    </cfRule>
  </conditionalFormatting>
  <conditionalFormatting sqref="BF178 CJ178 DO178">
    <cfRule type="cellIs" dxfId="2293" priority="3509" stopIfTrue="1" operator="equal">
      <formula>0</formula>
    </cfRule>
    <cfRule type="cellIs" dxfId="2292" priority="3515" stopIfTrue="1" operator="notEqual">
      <formula>0</formula>
    </cfRule>
  </conditionalFormatting>
  <conditionalFormatting sqref="C178:D178">
    <cfRule type="expression" dxfId="2291" priority="3512" stopIfTrue="1">
      <formula>IF(AND($C178&lt;&gt;"",$H178+$L178=0),TRUE)</formula>
    </cfRule>
  </conditionalFormatting>
  <conditionalFormatting sqref="P178">
    <cfRule type="cellIs" dxfId="2290" priority="3501" stopIfTrue="1" operator="equal">
      <formula>1</formula>
    </cfRule>
    <cfRule type="cellIs" dxfId="2289" priority="3510" stopIfTrue="1" operator="equal">
      <formula>2</formula>
    </cfRule>
    <cfRule type="cellIs" dxfId="2288" priority="3511" stopIfTrue="1" operator="equal">
      <formula>"X"</formula>
    </cfRule>
  </conditionalFormatting>
  <conditionalFormatting sqref="GU178">
    <cfRule type="cellIs" dxfId="2287" priority="3503" stopIfTrue="1" operator="equal">
      <formula>0</formula>
    </cfRule>
    <cfRule type="cellIs" dxfId="2286" priority="3504" stopIfTrue="1" operator="notEqual">
      <formula>0</formula>
    </cfRule>
  </conditionalFormatting>
  <conditionalFormatting sqref="GV178">
    <cfRule type="cellIs" dxfId="2285" priority="3502" stopIfTrue="1" operator="equal">
      <formula>"STOP"</formula>
    </cfRule>
  </conditionalFormatting>
  <conditionalFormatting sqref="Q178">
    <cfRule type="cellIs" dxfId="2284" priority="3496" stopIfTrue="1" operator="equal">
      <formula>"SIM"</formula>
    </cfRule>
    <cfRule type="cellIs" dxfId="2283" priority="3497" stopIfTrue="1" operator="equal">
      <formula>"NÃO"</formula>
    </cfRule>
  </conditionalFormatting>
  <conditionalFormatting sqref="BF178 CJ178 DO178">
    <cfRule type="cellIs" dxfId="2282" priority="3492" stopIfTrue="1" operator="equal">
      <formula>0</formula>
    </cfRule>
    <cfRule type="cellIs" dxfId="2281" priority="3498" stopIfTrue="1" operator="notEqual">
      <formula>0</formula>
    </cfRule>
  </conditionalFormatting>
  <conditionalFormatting sqref="C178:D178">
    <cfRule type="expression" dxfId="2280" priority="3495" stopIfTrue="1">
      <formula>IF(AND($C178&lt;&gt;"",$H178+$L178=0),TRUE)</formula>
    </cfRule>
  </conditionalFormatting>
  <conditionalFormatting sqref="P178">
    <cfRule type="cellIs" dxfId="2279" priority="3484" stopIfTrue="1" operator="equal">
      <formula>1</formula>
    </cfRule>
    <cfRule type="cellIs" dxfId="2278" priority="3493" stopIfTrue="1" operator="equal">
      <formula>2</formula>
    </cfRule>
    <cfRule type="cellIs" dxfId="2277" priority="3494" stopIfTrue="1" operator="equal">
      <formula>"X"</formula>
    </cfRule>
  </conditionalFormatting>
  <conditionalFormatting sqref="GU178">
    <cfRule type="cellIs" dxfId="2276" priority="3486" stopIfTrue="1" operator="equal">
      <formula>0</formula>
    </cfRule>
    <cfRule type="cellIs" dxfId="2275" priority="3487" stopIfTrue="1" operator="notEqual">
      <formula>0</formula>
    </cfRule>
  </conditionalFormatting>
  <conditionalFormatting sqref="GV178">
    <cfRule type="cellIs" dxfId="2274" priority="3485" stopIfTrue="1" operator="equal">
      <formula>"STOP"</formula>
    </cfRule>
  </conditionalFormatting>
  <conditionalFormatting sqref="Q178">
    <cfRule type="cellIs" dxfId="2273" priority="3479" stopIfTrue="1" operator="equal">
      <formula>"SIM"</formula>
    </cfRule>
    <cfRule type="cellIs" dxfId="2272" priority="3480" stopIfTrue="1" operator="equal">
      <formula>"NÃO"</formula>
    </cfRule>
  </conditionalFormatting>
  <conditionalFormatting sqref="BF178 CJ178 DO178">
    <cfRule type="cellIs" dxfId="2271" priority="3475" stopIfTrue="1" operator="equal">
      <formula>0</formula>
    </cfRule>
    <cfRule type="cellIs" dxfId="2270" priority="3481" stopIfTrue="1" operator="notEqual">
      <formula>0</formula>
    </cfRule>
  </conditionalFormatting>
  <conditionalFormatting sqref="C178:D178">
    <cfRule type="expression" dxfId="2269" priority="3478" stopIfTrue="1">
      <formula>IF(AND($C178&lt;&gt;"",$H178+$L178=0),TRUE)</formula>
    </cfRule>
  </conditionalFormatting>
  <conditionalFormatting sqref="P178">
    <cfRule type="cellIs" dxfId="2268" priority="3467" stopIfTrue="1" operator="equal">
      <formula>1</formula>
    </cfRule>
    <cfRule type="cellIs" dxfId="2267" priority="3476" stopIfTrue="1" operator="equal">
      <formula>2</formula>
    </cfRule>
    <cfRule type="cellIs" dxfId="2266" priority="3477" stopIfTrue="1" operator="equal">
      <formula>"X"</formula>
    </cfRule>
  </conditionalFormatting>
  <conditionalFormatting sqref="GU178">
    <cfRule type="cellIs" dxfId="2265" priority="3469" stopIfTrue="1" operator="equal">
      <formula>0</formula>
    </cfRule>
    <cfRule type="cellIs" dxfId="2264" priority="3470" stopIfTrue="1" operator="notEqual">
      <formula>0</formula>
    </cfRule>
  </conditionalFormatting>
  <conditionalFormatting sqref="GV178">
    <cfRule type="cellIs" dxfId="2263" priority="3468" stopIfTrue="1" operator="equal">
      <formula>"STOP"</formula>
    </cfRule>
  </conditionalFormatting>
  <conditionalFormatting sqref="Q178">
    <cfRule type="cellIs" dxfId="2262" priority="3462" stopIfTrue="1" operator="equal">
      <formula>"SIM"</formula>
    </cfRule>
    <cfRule type="cellIs" dxfId="2261" priority="3463" stopIfTrue="1" operator="equal">
      <formula>"NÃO"</formula>
    </cfRule>
  </conditionalFormatting>
  <conditionalFormatting sqref="BF178 CJ178 DO178">
    <cfRule type="cellIs" dxfId="2260" priority="3458" stopIfTrue="1" operator="equal">
      <formula>0</formula>
    </cfRule>
    <cfRule type="cellIs" dxfId="2259" priority="3464" stopIfTrue="1" operator="notEqual">
      <formula>0</formula>
    </cfRule>
  </conditionalFormatting>
  <conditionalFormatting sqref="C178:D178">
    <cfRule type="expression" dxfId="2258" priority="3461" stopIfTrue="1">
      <formula>IF(AND($C178&lt;&gt;"",$H178+$L178=0),TRUE)</formula>
    </cfRule>
  </conditionalFormatting>
  <conditionalFormatting sqref="P178">
    <cfRule type="cellIs" dxfId="2257" priority="3450" stopIfTrue="1" operator="equal">
      <formula>1</formula>
    </cfRule>
    <cfRule type="cellIs" dxfId="2256" priority="3459" stopIfTrue="1" operator="equal">
      <formula>2</formula>
    </cfRule>
    <cfRule type="cellIs" dxfId="2255" priority="3460" stopIfTrue="1" operator="equal">
      <formula>"X"</formula>
    </cfRule>
  </conditionalFormatting>
  <conditionalFormatting sqref="GU178">
    <cfRule type="cellIs" dxfId="2254" priority="3452" stopIfTrue="1" operator="equal">
      <formula>0</formula>
    </cfRule>
    <cfRule type="cellIs" dxfId="2253" priority="3453" stopIfTrue="1" operator="notEqual">
      <formula>0</formula>
    </cfRule>
  </conditionalFormatting>
  <conditionalFormatting sqref="GV178">
    <cfRule type="cellIs" dxfId="2252" priority="3451" stopIfTrue="1" operator="equal">
      <formula>"STOP"</formula>
    </cfRule>
  </conditionalFormatting>
  <conditionalFormatting sqref="Q177">
    <cfRule type="cellIs" dxfId="2251" priority="3445" stopIfTrue="1" operator="equal">
      <formula>"SIM"</formula>
    </cfRule>
    <cfRule type="cellIs" dxfId="2250" priority="3446" stopIfTrue="1" operator="equal">
      <formula>"NÃO"</formula>
    </cfRule>
  </conditionalFormatting>
  <conditionalFormatting sqref="BF177 CJ177 DO177">
    <cfRule type="cellIs" dxfId="2249" priority="3441" stopIfTrue="1" operator="equal">
      <formula>0</formula>
    </cfRule>
    <cfRule type="cellIs" dxfId="2248" priority="3447" stopIfTrue="1" operator="notEqual">
      <formula>0</formula>
    </cfRule>
  </conditionalFormatting>
  <conditionalFormatting sqref="C177:D177">
    <cfRule type="expression" dxfId="2247" priority="3444" stopIfTrue="1">
      <formula>IF(AND($C177&lt;&gt;"",$H177+$L177=0),TRUE)</formula>
    </cfRule>
  </conditionalFormatting>
  <conditionalFormatting sqref="P177">
    <cfRule type="cellIs" dxfId="2246" priority="3433" stopIfTrue="1" operator="equal">
      <formula>1</formula>
    </cfRule>
    <cfRule type="cellIs" dxfId="2245" priority="3442" stopIfTrue="1" operator="equal">
      <formula>2</formula>
    </cfRule>
    <cfRule type="cellIs" dxfId="2244" priority="3443" stopIfTrue="1" operator="equal">
      <formula>"X"</formula>
    </cfRule>
  </conditionalFormatting>
  <conditionalFormatting sqref="GU177">
    <cfRule type="cellIs" dxfId="2243" priority="3435" stopIfTrue="1" operator="equal">
      <formula>0</formula>
    </cfRule>
    <cfRule type="cellIs" dxfId="2242" priority="3436" stopIfTrue="1" operator="notEqual">
      <formula>0</formula>
    </cfRule>
  </conditionalFormatting>
  <conditionalFormatting sqref="GV177">
    <cfRule type="cellIs" dxfId="2241" priority="3434" stopIfTrue="1" operator="equal">
      <formula>"STOP"</formula>
    </cfRule>
  </conditionalFormatting>
  <conditionalFormatting sqref="Q178">
    <cfRule type="cellIs" dxfId="2240" priority="3428" stopIfTrue="1" operator="equal">
      <formula>"SIM"</formula>
    </cfRule>
    <cfRule type="cellIs" dxfId="2239" priority="3429" stopIfTrue="1" operator="equal">
      <formula>"NÃO"</formula>
    </cfRule>
  </conditionalFormatting>
  <conditionalFormatting sqref="BF178 CJ178 DO178">
    <cfRule type="cellIs" dxfId="2238" priority="3424" stopIfTrue="1" operator="equal">
      <formula>0</formula>
    </cfRule>
    <cfRule type="cellIs" dxfId="2237" priority="3430" stopIfTrue="1" operator="notEqual">
      <formula>0</formula>
    </cfRule>
  </conditionalFormatting>
  <conditionalFormatting sqref="C178:D178">
    <cfRule type="expression" dxfId="2236" priority="3427" stopIfTrue="1">
      <formula>IF(AND($C178&lt;&gt;"",$H178+$L178=0),TRUE)</formula>
    </cfRule>
  </conditionalFormatting>
  <conditionalFormatting sqref="P178">
    <cfRule type="cellIs" dxfId="2235" priority="3416" stopIfTrue="1" operator="equal">
      <formula>1</formula>
    </cfRule>
    <cfRule type="cellIs" dxfId="2234" priority="3425" stopIfTrue="1" operator="equal">
      <formula>2</formula>
    </cfRule>
    <cfRule type="cellIs" dxfId="2233" priority="3426" stopIfTrue="1" operator="equal">
      <formula>"X"</formula>
    </cfRule>
  </conditionalFormatting>
  <conditionalFormatting sqref="GU178">
    <cfRule type="cellIs" dxfId="2232" priority="3418" stopIfTrue="1" operator="equal">
      <formula>0</formula>
    </cfRule>
    <cfRule type="cellIs" dxfId="2231" priority="3419" stopIfTrue="1" operator="notEqual">
      <formula>0</formula>
    </cfRule>
  </conditionalFormatting>
  <conditionalFormatting sqref="GV178">
    <cfRule type="cellIs" dxfId="2230" priority="3417" stopIfTrue="1" operator="equal">
      <formula>"STOP"</formula>
    </cfRule>
  </conditionalFormatting>
  <conditionalFormatting sqref="Q178">
    <cfRule type="cellIs" dxfId="2229" priority="3411" stopIfTrue="1" operator="equal">
      <formula>"SIM"</formula>
    </cfRule>
    <cfRule type="cellIs" dxfId="2228" priority="3412" stopIfTrue="1" operator="equal">
      <formula>"NÃO"</formula>
    </cfRule>
  </conditionalFormatting>
  <conditionalFormatting sqref="BF178 CJ178 DO178">
    <cfRule type="cellIs" dxfId="2227" priority="3407" stopIfTrue="1" operator="equal">
      <formula>0</formula>
    </cfRule>
    <cfRule type="cellIs" dxfId="2226" priority="3413" stopIfTrue="1" operator="notEqual">
      <formula>0</formula>
    </cfRule>
  </conditionalFormatting>
  <conditionalFormatting sqref="C178:D178">
    <cfRule type="expression" dxfId="2225" priority="3410" stopIfTrue="1">
      <formula>IF(AND($C178&lt;&gt;"",$H178+$L178=0),TRUE)</formula>
    </cfRule>
  </conditionalFormatting>
  <conditionalFormatting sqref="P178">
    <cfRule type="cellIs" dxfId="2224" priority="3399" stopIfTrue="1" operator="equal">
      <formula>1</formula>
    </cfRule>
    <cfRule type="cellIs" dxfId="2223" priority="3408" stopIfTrue="1" operator="equal">
      <formula>2</formula>
    </cfRule>
    <cfRule type="cellIs" dxfId="2222" priority="3409" stopIfTrue="1" operator="equal">
      <formula>"X"</formula>
    </cfRule>
  </conditionalFormatting>
  <conditionalFormatting sqref="GU178">
    <cfRule type="cellIs" dxfId="2221" priority="3401" stopIfTrue="1" operator="equal">
      <formula>0</formula>
    </cfRule>
    <cfRule type="cellIs" dxfId="2220" priority="3402" stopIfTrue="1" operator="notEqual">
      <formula>0</formula>
    </cfRule>
  </conditionalFormatting>
  <conditionalFormatting sqref="GV178">
    <cfRule type="cellIs" dxfId="2219" priority="3400" stopIfTrue="1" operator="equal">
      <formula>"STOP"</formula>
    </cfRule>
  </conditionalFormatting>
  <conditionalFormatting sqref="Q178">
    <cfRule type="cellIs" dxfId="2218" priority="3394" stopIfTrue="1" operator="equal">
      <formula>"SIM"</formula>
    </cfRule>
    <cfRule type="cellIs" dxfId="2217" priority="3395" stopIfTrue="1" operator="equal">
      <formula>"NÃO"</formula>
    </cfRule>
  </conditionalFormatting>
  <conditionalFormatting sqref="BF178 CJ178 DO178">
    <cfRule type="cellIs" dxfId="2216" priority="3390" stopIfTrue="1" operator="equal">
      <formula>0</formula>
    </cfRule>
    <cfRule type="cellIs" dxfId="2215" priority="3396" stopIfTrue="1" operator="notEqual">
      <formula>0</formula>
    </cfRule>
  </conditionalFormatting>
  <conditionalFormatting sqref="C178:D178">
    <cfRule type="expression" dxfId="2214" priority="3393" stopIfTrue="1">
      <formula>IF(AND($C178&lt;&gt;"",$H178+$L178=0),TRUE)</formula>
    </cfRule>
  </conditionalFormatting>
  <conditionalFormatting sqref="P178">
    <cfRule type="cellIs" dxfId="2213" priority="3382" stopIfTrue="1" operator="equal">
      <formula>1</formula>
    </cfRule>
    <cfRule type="cellIs" dxfId="2212" priority="3391" stopIfTrue="1" operator="equal">
      <formula>2</formula>
    </cfRule>
    <cfRule type="cellIs" dxfId="2211" priority="3392" stopIfTrue="1" operator="equal">
      <formula>"X"</formula>
    </cfRule>
  </conditionalFormatting>
  <conditionalFormatting sqref="GU178">
    <cfRule type="cellIs" dxfId="2210" priority="3384" stopIfTrue="1" operator="equal">
      <formula>0</formula>
    </cfRule>
    <cfRule type="cellIs" dxfId="2209" priority="3385" stopIfTrue="1" operator="notEqual">
      <formula>0</formula>
    </cfRule>
  </conditionalFormatting>
  <conditionalFormatting sqref="GV178">
    <cfRule type="cellIs" dxfId="2208" priority="3383" stopIfTrue="1" operator="equal">
      <formula>"STOP"</formula>
    </cfRule>
  </conditionalFormatting>
  <conditionalFormatting sqref="Q178">
    <cfRule type="cellIs" dxfId="2207" priority="3377" stopIfTrue="1" operator="equal">
      <formula>"SIM"</formula>
    </cfRule>
    <cfRule type="cellIs" dxfId="2206" priority="3378" stopIfTrue="1" operator="equal">
      <formula>"NÃO"</formula>
    </cfRule>
  </conditionalFormatting>
  <conditionalFormatting sqref="BF178 CJ178 DO178">
    <cfRule type="cellIs" dxfId="2205" priority="3373" stopIfTrue="1" operator="equal">
      <formula>0</formula>
    </cfRule>
    <cfRule type="cellIs" dxfId="2204" priority="3379" stopIfTrue="1" operator="notEqual">
      <formula>0</formula>
    </cfRule>
  </conditionalFormatting>
  <conditionalFormatting sqref="C178:D178">
    <cfRule type="expression" dxfId="2203" priority="3376" stopIfTrue="1">
      <formula>IF(AND($C178&lt;&gt;"",$H178+$L178=0),TRUE)</formula>
    </cfRule>
  </conditionalFormatting>
  <conditionalFormatting sqref="P178">
    <cfRule type="cellIs" dxfId="2202" priority="3365" stopIfTrue="1" operator="equal">
      <formula>1</formula>
    </cfRule>
    <cfRule type="cellIs" dxfId="2201" priority="3374" stopIfTrue="1" operator="equal">
      <formula>2</formula>
    </cfRule>
    <cfRule type="cellIs" dxfId="2200" priority="3375" stopIfTrue="1" operator="equal">
      <formula>"X"</formula>
    </cfRule>
  </conditionalFormatting>
  <conditionalFormatting sqref="GU178">
    <cfRule type="cellIs" dxfId="2199" priority="3367" stopIfTrue="1" operator="equal">
      <formula>0</formula>
    </cfRule>
    <cfRule type="cellIs" dxfId="2198" priority="3368" stopIfTrue="1" operator="notEqual">
      <formula>0</formula>
    </cfRule>
  </conditionalFormatting>
  <conditionalFormatting sqref="GV178">
    <cfRule type="cellIs" dxfId="2197" priority="3366" stopIfTrue="1" operator="equal">
      <formula>"STOP"</formula>
    </cfRule>
  </conditionalFormatting>
  <conditionalFormatting sqref="Q178">
    <cfRule type="cellIs" dxfId="2196" priority="3360" stopIfTrue="1" operator="equal">
      <formula>"SIM"</formula>
    </cfRule>
    <cfRule type="cellIs" dxfId="2195" priority="3361" stopIfTrue="1" operator="equal">
      <formula>"NÃO"</formula>
    </cfRule>
  </conditionalFormatting>
  <conditionalFormatting sqref="BF178 CJ178 DO178">
    <cfRule type="cellIs" dxfId="2194" priority="3356" stopIfTrue="1" operator="equal">
      <formula>0</formula>
    </cfRule>
    <cfRule type="cellIs" dxfId="2193" priority="3362" stopIfTrue="1" operator="notEqual">
      <formula>0</formula>
    </cfRule>
  </conditionalFormatting>
  <conditionalFormatting sqref="C178:D178">
    <cfRule type="expression" dxfId="2192" priority="3359" stopIfTrue="1">
      <formula>IF(AND($C178&lt;&gt;"",$H178+$L178=0),TRUE)</formula>
    </cfRule>
  </conditionalFormatting>
  <conditionalFormatting sqref="P178">
    <cfRule type="cellIs" dxfId="2191" priority="3348" stopIfTrue="1" operator="equal">
      <formula>1</formula>
    </cfRule>
    <cfRule type="cellIs" dxfId="2190" priority="3357" stopIfTrue="1" operator="equal">
      <formula>2</formula>
    </cfRule>
    <cfRule type="cellIs" dxfId="2189" priority="3358" stopIfTrue="1" operator="equal">
      <formula>"X"</formula>
    </cfRule>
  </conditionalFormatting>
  <conditionalFormatting sqref="GU178">
    <cfRule type="cellIs" dxfId="2188" priority="3350" stopIfTrue="1" operator="equal">
      <formula>0</formula>
    </cfRule>
    <cfRule type="cellIs" dxfId="2187" priority="3351" stopIfTrue="1" operator="notEqual">
      <formula>0</formula>
    </cfRule>
  </conditionalFormatting>
  <conditionalFormatting sqref="GV178">
    <cfRule type="cellIs" dxfId="2186" priority="3349" stopIfTrue="1" operator="equal">
      <formula>"STOP"</formula>
    </cfRule>
  </conditionalFormatting>
  <conditionalFormatting sqref="Q178">
    <cfRule type="cellIs" dxfId="2185" priority="3343" stopIfTrue="1" operator="equal">
      <formula>"SIM"</formula>
    </cfRule>
    <cfRule type="cellIs" dxfId="2184" priority="3344" stopIfTrue="1" operator="equal">
      <formula>"NÃO"</formula>
    </cfRule>
  </conditionalFormatting>
  <conditionalFormatting sqref="BF178 CJ178 DO178">
    <cfRule type="cellIs" dxfId="2183" priority="3339" stopIfTrue="1" operator="equal">
      <formula>0</formula>
    </cfRule>
    <cfRule type="cellIs" dxfId="2182" priority="3345" stopIfTrue="1" operator="notEqual">
      <formula>0</formula>
    </cfRule>
  </conditionalFormatting>
  <conditionalFormatting sqref="C178:D178">
    <cfRule type="expression" dxfId="2181" priority="3342" stopIfTrue="1">
      <formula>IF(AND($C178&lt;&gt;"",$H178+$L178=0),TRUE)</formula>
    </cfRule>
  </conditionalFormatting>
  <conditionalFormatting sqref="P178">
    <cfRule type="cellIs" dxfId="2180" priority="3331" stopIfTrue="1" operator="equal">
      <formula>1</formula>
    </cfRule>
    <cfRule type="cellIs" dxfId="2179" priority="3340" stopIfTrue="1" operator="equal">
      <formula>2</formula>
    </cfRule>
    <cfRule type="cellIs" dxfId="2178" priority="3341" stopIfTrue="1" operator="equal">
      <formula>"X"</formula>
    </cfRule>
  </conditionalFormatting>
  <conditionalFormatting sqref="GU178">
    <cfRule type="cellIs" dxfId="2177" priority="3333" stopIfTrue="1" operator="equal">
      <formula>0</formula>
    </cfRule>
    <cfRule type="cellIs" dxfId="2176" priority="3334" stopIfTrue="1" operator="notEqual">
      <formula>0</formula>
    </cfRule>
  </conditionalFormatting>
  <conditionalFormatting sqref="GV178">
    <cfRule type="cellIs" dxfId="2175" priority="3332" stopIfTrue="1" operator="equal">
      <formula>"STOP"</formula>
    </cfRule>
  </conditionalFormatting>
  <conditionalFormatting sqref="Q180">
    <cfRule type="cellIs" dxfId="2174" priority="3326" stopIfTrue="1" operator="equal">
      <formula>"SIM"</formula>
    </cfRule>
    <cfRule type="cellIs" dxfId="2173" priority="3327" stopIfTrue="1" operator="equal">
      <formula>"NÃO"</formula>
    </cfRule>
  </conditionalFormatting>
  <conditionalFormatting sqref="BF180 CJ180 DO180">
    <cfRule type="cellIs" dxfId="2172" priority="3322" stopIfTrue="1" operator="equal">
      <formula>0</formula>
    </cfRule>
    <cfRule type="cellIs" dxfId="2171" priority="3328" stopIfTrue="1" operator="notEqual">
      <formula>0</formula>
    </cfRule>
  </conditionalFormatting>
  <conditionalFormatting sqref="C180:D180">
    <cfRule type="expression" dxfId="2170" priority="3325" stopIfTrue="1">
      <formula>IF(AND($C180&lt;&gt;"",$H180+$L180=0),TRUE)</formula>
    </cfRule>
  </conditionalFormatting>
  <conditionalFormatting sqref="P180">
    <cfRule type="cellIs" dxfId="2169" priority="3314" stopIfTrue="1" operator="equal">
      <formula>1</formula>
    </cfRule>
    <cfRule type="cellIs" dxfId="2168" priority="3323" stopIfTrue="1" operator="equal">
      <formula>2</formula>
    </cfRule>
    <cfRule type="cellIs" dxfId="2167" priority="3324" stopIfTrue="1" operator="equal">
      <formula>"X"</formula>
    </cfRule>
  </conditionalFormatting>
  <conditionalFormatting sqref="GU180">
    <cfRule type="cellIs" dxfId="2166" priority="3316" stopIfTrue="1" operator="equal">
      <formula>0</formula>
    </cfRule>
    <cfRule type="cellIs" dxfId="2165" priority="3317" stopIfTrue="1" operator="notEqual">
      <formula>0</formula>
    </cfRule>
  </conditionalFormatting>
  <conditionalFormatting sqref="GV180">
    <cfRule type="cellIs" dxfId="2164" priority="3315" stopIfTrue="1" operator="equal">
      <formula>"STOP"</formula>
    </cfRule>
  </conditionalFormatting>
  <conditionalFormatting sqref="Q181">
    <cfRule type="cellIs" dxfId="2163" priority="3309" stopIfTrue="1" operator="equal">
      <formula>"SIM"</formula>
    </cfRule>
    <cfRule type="cellIs" dxfId="2162" priority="3310" stopIfTrue="1" operator="equal">
      <formula>"NÃO"</formula>
    </cfRule>
  </conditionalFormatting>
  <conditionalFormatting sqref="BF181 CJ181 DO181">
    <cfRule type="cellIs" dxfId="2161" priority="3305" stopIfTrue="1" operator="equal">
      <formula>0</formula>
    </cfRule>
    <cfRule type="cellIs" dxfId="2160" priority="3311" stopIfTrue="1" operator="notEqual">
      <formula>0</formula>
    </cfRule>
  </conditionalFormatting>
  <conditionalFormatting sqref="C181:D181">
    <cfRule type="expression" dxfId="2159" priority="3308" stopIfTrue="1">
      <formula>IF(AND($C181&lt;&gt;"",$H181+$L181=0),TRUE)</formula>
    </cfRule>
  </conditionalFormatting>
  <conditionalFormatting sqref="P181">
    <cfRule type="cellIs" dxfId="2158" priority="3297" stopIfTrue="1" operator="equal">
      <formula>1</formula>
    </cfRule>
    <cfRule type="cellIs" dxfId="2157" priority="3306" stopIfTrue="1" operator="equal">
      <formula>2</formula>
    </cfRule>
    <cfRule type="cellIs" dxfId="2156" priority="3307" stopIfTrue="1" operator="equal">
      <formula>"X"</formula>
    </cfRule>
  </conditionalFormatting>
  <conditionalFormatting sqref="GU181">
    <cfRule type="cellIs" dxfId="2155" priority="3299" stopIfTrue="1" operator="equal">
      <formula>0</formula>
    </cfRule>
    <cfRule type="cellIs" dxfId="2154" priority="3300" stopIfTrue="1" operator="notEqual">
      <formula>0</formula>
    </cfRule>
  </conditionalFormatting>
  <conditionalFormatting sqref="GV181">
    <cfRule type="cellIs" dxfId="2153" priority="3298" stopIfTrue="1" operator="equal">
      <formula>"STOP"</formula>
    </cfRule>
  </conditionalFormatting>
  <conditionalFormatting sqref="Q182">
    <cfRule type="cellIs" dxfId="2152" priority="3292" stopIfTrue="1" operator="equal">
      <formula>"SIM"</formula>
    </cfRule>
    <cfRule type="cellIs" dxfId="2151" priority="3293" stopIfTrue="1" operator="equal">
      <formula>"NÃO"</formula>
    </cfRule>
  </conditionalFormatting>
  <conditionalFormatting sqref="BF182 CJ182 DO182">
    <cfRule type="cellIs" dxfId="2150" priority="3288" stopIfTrue="1" operator="equal">
      <formula>0</formula>
    </cfRule>
    <cfRule type="cellIs" dxfId="2149" priority="3294" stopIfTrue="1" operator="notEqual">
      <formula>0</formula>
    </cfRule>
  </conditionalFormatting>
  <conditionalFormatting sqref="C182:D182">
    <cfRule type="expression" dxfId="2148" priority="3291" stopIfTrue="1">
      <formula>IF(AND($C182&lt;&gt;"",$H182+$L182=0),TRUE)</formula>
    </cfRule>
  </conditionalFormatting>
  <conditionalFormatting sqref="P182">
    <cfRule type="cellIs" dxfId="2147" priority="3280" stopIfTrue="1" operator="equal">
      <formula>1</formula>
    </cfRule>
    <cfRule type="cellIs" dxfId="2146" priority="3289" stopIfTrue="1" operator="equal">
      <formula>2</formula>
    </cfRule>
    <cfRule type="cellIs" dxfId="2145" priority="3290" stopIfTrue="1" operator="equal">
      <formula>"X"</formula>
    </cfRule>
  </conditionalFormatting>
  <conditionalFormatting sqref="GU182">
    <cfRule type="cellIs" dxfId="2144" priority="3282" stopIfTrue="1" operator="equal">
      <formula>0</formula>
    </cfRule>
    <cfRule type="cellIs" dxfId="2143" priority="3283" stopIfTrue="1" operator="notEqual">
      <formula>0</formula>
    </cfRule>
  </conditionalFormatting>
  <conditionalFormatting sqref="GV182">
    <cfRule type="cellIs" dxfId="2142" priority="3281" stopIfTrue="1" operator="equal">
      <formula>"STOP"</formula>
    </cfRule>
  </conditionalFormatting>
  <conditionalFormatting sqref="Q180">
    <cfRule type="cellIs" dxfId="2141" priority="3275" stopIfTrue="1" operator="equal">
      <formula>"SIM"</formula>
    </cfRule>
    <cfRule type="cellIs" dxfId="2140" priority="3276" stopIfTrue="1" operator="equal">
      <formula>"NÃO"</formula>
    </cfRule>
  </conditionalFormatting>
  <conditionalFormatting sqref="BF180 CJ180 DO180">
    <cfRule type="cellIs" dxfId="2139" priority="3271" stopIfTrue="1" operator="equal">
      <formula>0</formula>
    </cfRule>
    <cfRule type="cellIs" dxfId="2138" priority="3277" stopIfTrue="1" operator="notEqual">
      <formula>0</formula>
    </cfRule>
  </conditionalFormatting>
  <conditionalFormatting sqref="C180:D180">
    <cfRule type="expression" dxfId="2137" priority="3274" stopIfTrue="1">
      <formula>IF(AND($C180&lt;&gt;"",$H180+$L180=0),TRUE)</formula>
    </cfRule>
  </conditionalFormatting>
  <conditionalFormatting sqref="P180">
    <cfRule type="cellIs" dxfId="2136" priority="3263" stopIfTrue="1" operator="equal">
      <formula>1</formula>
    </cfRule>
    <cfRule type="cellIs" dxfId="2135" priority="3272" stopIfTrue="1" operator="equal">
      <formula>2</formula>
    </cfRule>
    <cfRule type="cellIs" dxfId="2134" priority="3273" stopIfTrue="1" operator="equal">
      <formula>"X"</formula>
    </cfRule>
  </conditionalFormatting>
  <conditionalFormatting sqref="GU180">
    <cfRule type="cellIs" dxfId="2133" priority="3265" stopIfTrue="1" operator="equal">
      <formula>0</formula>
    </cfRule>
    <cfRule type="cellIs" dxfId="2132" priority="3266" stopIfTrue="1" operator="notEqual">
      <formula>0</formula>
    </cfRule>
  </conditionalFormatting>
  <conditionalFormatting sqref="GV180">
    <cfRule type="cellIs" dxfId="2131" priority="3264" stopIfTrue="1" operator="equal">
      <formula>"STOP"</formula>
    </cfRule>
  </conditionalFormatting>
  <conditionalFormatting sqref="Q181">
    <cfRule type="cellIs" dxfId="2130" priority="3258" stopIfTrue="1" operator="equal">
      <formula>"SIM"</formula>
    </cfRule>
    <cfRule type="cellIs" dxfId="2129" priority="3259" stopIfTrue="1" operator="equal">
      <formula>"NÃO"</formula>
    </cfRule>
  </conditionalFormatting>
  <conditionalFormatting sqref="BF181 CJ181 DO181">
    <cfRule type="cellIs" dxfId="2128" priority="3254" stopIfTrue="1" operator="equal">
      <formula>0</formula>
    </cfRule>
    <cfRule type="cellIs" dxfId="2127" priority="3260" stopIfTrue="1" operator="notEqual">
      <formula>0</formula>
    </cfRule>
  </conditionalFormatting>
  <conditionalFormatting sqref="C181:D181">
    <cfRule type="expression" dxfId="2126" priority="3257" stopIfTrue="1">
      <formula>IF(AND($C181&lt;&gt;"",$H181+$L181=0),TRUE)</formula>
    </cfRule>
  </conditionalFormatting>
  <conditionalFormatting sqref="P181">
    <cfRule type="cellIs" dxfId="2125" priority="3246" stopIfTrue="1" operator="equal">
      <formula>1</formula>
    </cfRule>
    <cfRule type="cellIs" dxfId="2124" priority="3255" stopIfTrue="1" operator="equal">
      <formula>2</formula>
    </cfRule>
    <cfRule type="cellIs" dxfId="2123" priority="3256" stopIfTrue="1" operator="equal">
      <formula>"X"</formula>
    </cfRule>
  </conditionalFormatting>
  <conditionalFormatting sqref="GU181">
    <cfRule type="cellIs" dxfId="2122" priority="3248" stopIfTrue="1" operator="equal">
      <formula>0</formula>
    </cfRule>
    <cfRule type="cellIs" dxfId="2121" priority="3249" stopIfTrue="1" operator="notEqual">
      <formula>0</formula>
    </cfRule>
  </conditionalFormatting>
  <conditionalFormatting sqref="GV181">
    <cfRule type="cellIs" dxfId="2120" priority="3247" stopIfTrue="1" operator="equal">
      <formula>"STOP"</formula>
    </cfRule>
  </conditionalFormatting>
  <conditionalFormatting sqref="Q182">
    <cfRule type="cellIs" dxfId="2119" priority="3241" stopIfTrue="1" operator="equal">
      <formula>"SIM"</formula>
    </cfRule>
    <cfRule type="cellIs" dxfId="2118" priority="3242" stopIfTrue="1" operator="equal">
      <formula>"NÃO"</formula>
    </cfRule>
  </conditionalFormatting>
  <conditionalFormatting sqref="BF182 CJ182 DO182">
    <cfRule type="cellIs" dxfId="2117" priority="3237" stopIfTrue="1" operator="equal">
      <formula>0</formula>
    </cfRule>
    <cfRule type="cellIs" dxfId="2116" priority="3243" stopIfTrue="1" operator="notEqual">
      <formula>0</formula>
    </cfRule>
  </conditionalFormatting>
  <conditionalFormatting sqref="C182:D182">
    <cfRule type="expression" dxfId="2115" priority="3240" stopIfTrue="1">
      <formula>IF(AND($C182&lt;&gt;"",$H182+$L182=0),TRUE)</formula>
    </cfRule>
  </conditionalFormatting>
  <conditionalFormatting sqref="P182">
    <cfRule type="cellIs" dxfId="2114" priority="3229" stopIfTrue="1" operator="equal">
      <formula>1</formula>
    </cfRule>
    <cfRule type="cellIs" dxfId="2113" priority="3238" stopIfTrue="1" operator="equal">
      <formula>2</formula>
    </cfRule>
    <cfRule type="cellIs" dxfId="2112" priority="3239" stopIfTrue="1" operator="equal">
      <formula>"X"</formula>
    </cfRule>
  </conditionalFormatting>
  <conditionalFormatting sqref="GU182">
    <cfRule type="cellIs" dxfId="2111" priority="3231" stopIfTrue="1" operator="equal">
      <formula>0</formula>
    </cfRule>
    <cfRule type="cellIs" dxfId="2110" priority="3232" stopIfTrue="1" operator="notEqual">
      <formula>0</formula>
    </cfRule>
  </conditionalFormatting>
  <conditionalFormatting sqref="GV182">
    <cfRule type="cellIs" dxfId="2109" priority="3230" stopIfTrue="1" operator="equal">
      <formula>"STOP"</formula>
    </cfRule>
  </conditionalFormatting>
  <conditionalFormatting sqref="Q180">
    <cfRule type="cellIs" dxfId="2108" priority="3224" stopIfTrue="1" operator="equal">
      <formula>"SIM"</formula>
    </cfRule>
    <cfRule type="cellIs" dxfId="2107" priority="3225" stopIfTrue="1" operator="equal">
      <formula>"NÃO"</formula>
    </cfRule>
  </conditionalFormatting>
  <conditionalFormatting sqref="BF180 CJ180 DO180">
    <cfRule type="cellIs" dxfId="2106" priority="3220" stopIfTrue="1" operator="equal">
      <formula>0</formula>
    </cfRule>
    <cfRule type="cellIs" dxfId="2105" priority="3226" stopIfTrue="1" operator="notEqual">
      <formula>0</formula>
    </cfRule>
  </conditionalFormatting>
  <conditionalFormatting sqref="C180:D180">
    <cfRule type="expression" dxfId="2104" priority="3223" stopIfTrue="1">
      <formula>IF(AND($C180&lt;&gt;"",$H180+$L180=0),TRUE)</formula>
    </cfRule>
  </conditionalFormatting>
  <conditionalFormatting sqref="P180">
    <cfRule type="cellIs" dxfId="2103" priority="3212" stopIfTrue="1" operator="equal">
      <formula>1</formula>
    </cfRule>
    <cfRule type="cellIs" dxfId="2102" priority="3221" stopIfTrue="1" operator="equal">
      <formula>2</formula>
    </cfRule>
    <cfRule type="cellIs" dxfId="2101" priority="3222" stopIfTrue="1" operator="equal">
      <formula>"X"</formula>
    </cfRule>
  </conditionalFormatting>
  <conditionalFormatting sqref="GU180">
    <cfRule type="cellIs" dxfId="2100" priority="3214" stopIfTrue="1" operator="equal">
      <formula>0</formula>
    </cfRule>
    <cfRule type="cellIs" dxfId="2099" priority="3215" stopIfTrue="1" operator="notEqual">
      <formula>0</formula>
    </cfRule>
  </conditionalFormatting>
  <conditionalFormatting sqref="GV180">
    <cfRule type="cellIs" dxfId="2098" priority="3213" stopIfTrue="1" operator="equal">
      <formula>"STOP"</formula>
    </cfRule>
  </conditionalFormatting>
  <conditionalFormatting sqref="Q180">
    <cfRule type="cellIs" dxfId="2097" priority="3207" stopIfTrue="1" operator="equal">
      <formula>"SIM"</formula>
    </cfRule>
    <cfRule type="cellIs" dxfId="2096" priority="3208" stopIfTrue="1" operator="equal">
      <formula>"NÃO"</formula>
    </cfRule>
  </conditionalFormatting>
  <conditionalFormatting sqref="BF180 CJ180 DO180">
    <cfRule type="cellIs" dxfId="2095" priority="3203" stopIfTrue="1" operator="equal">
      <formula>0</formula>
    </cfRule>
    <cfRule type="cellIs" dxfId="2094" priority="3209" stopIfTrue="1" operator="notEqual">
      <formula>0</formula>
    </cfRule>
  </conditionalFormatting>
  <conditionalFormatting sqref="C180:D180">
    <cfRule type="expression" dxfId="2093" priority="3206" stopIfTrue="1">
      <formula>IF(AND($C180&lt;&gt;"",$H180+$L180=0),TRUE)</formula>
    </cfRule>
  </conditionalFormatting>
  <conditionalFormatting sqref="P180">
    <cfRule type="cellIs" dxfId="2092" priority="3195" stopIfTrue="1" operator="equal">
      <formula>1</formula>
    </cfRule>
    <cfRule type="cellIs" dxfId="2091" priority="3204" stopIfTrue="1" operator="equal">
      <formula>2</formula>
    </cfRule>
    <cfRule type="cellIs" dxfId="2090" priority="3205" stopIfTrue="1" operator="equal">
      <formula>"X"</formula>
    </cfRule>
  </conditionalFormatting>
  <conditionalFormatting sqref="GU180">
    <cfRule type="cellIs" dxfId="2089" priority="3197" stopIfTrue="1" operator="equal">
      <formula>0</formula>
    </cfRule>
    <cfRule type="cellIs" dxfId="2088" priority="3198" stopIfTrue="1" operator="notEqual">
      <formula>0</formula>
    </cfRule>
  </conditionalFormatting>
  <conditionalFormatting sqref="GV180">
    <cfRule type="cellIs" dxfId="2087" priority="3196" stopIfTrue="1" operator="equal">
      <formula>"STOP"</formula>
    </cfRule>
  </conditionalFormatting>
  <conditionalFormatting sqref="Q180">
    <cfRule type="cellIs" dxfId="2086" priority="3190" stopIfTrue="1" operator="equal">
      <formula>"SIM"</formula>
    </cfRule>
    <cfRule type="cellIs" dxfId="2085" priority="3191" stopIfTrue="1" operator="equal">
      <formula>"NÃO"</formula>
    </cfRule>
  </conditionalFormatting>
  <conditionalFormatting sqref="BF180 CJ180 DO180">
    <cfRule type="cellIs" dxfId="2084" priority="3186" stopIfTrue="1" operator="equal">
      <formula>0</formula>
    </cfRule>
    <cfRule type="cellIs" dxfId="2083" priority="3192" stopIfTrue="1" operator="notEqual">
      <formula>0</formula>
    </cfRule>
  </conditionalFormatting>
  <conditionalFormatting sqref="C180:D180">
    <cfRule type="expression" dxfId="2082" priority="3189" stopIfTrue="1">
      <formula>IF(AND($C180&lt;&gt;"",$H180+$L180=0),TRUE)</formula>
    </cfRule>
  </conditionalFormatting>
  <conditionalFormatting sqref="P180">
    <cfRule type="cellIs" dxfId="2081" priority="3178" stopIfTrue="1" operator="equal">
      <formula>1</formula>
    </cfRule>
    <cfRule type="cellIs" dxfId="2080" priority="3187" stopIfTrue="1" operator="equal">
      <formula>2</formula>
    </cfRule>
    <cfRule type="cellIs" dxfId="2079" priority="3188" stopIfTrue="1" operator="equal">
      <formula>"X"</formula>
    </cfRule>
  </conditionalFormatting>
  <conditionalFormatting sqref="GU180">
    <cfRule type="cellIs" dxfId="2078" priority="3180" stopIfTrue="1" operator="equal">
      <formula>0</formula>
    </cfRule>
    <cfRule type="cellIs" dxfId="2077" priority="3181" stopIfTrue="1" operator="notEqual">
      <formula>0</formula>
    </cfRule>
  </conditionalFormatting>
  <conditionalFormatting sqref="GV180">
    <cfRule type="cellIs" dxfId="2076" priority="3179" stopIfTrue="1" operator="equal">
      <formula>"STOP"</formula>
    </cfRule>
  </conditionalFormatting>
  <conditionalFormatting sqref="Q181">
    <cfRule type="cellIs" dxfId="2075" priority="3173" stopIfTrue="1" operator="equal">
      <formula>"SIM"</formula>
    </cfRule>
    <cfRule type="cellIs" dxfId="2074" priority="3174" stopIfTrue="1" operator="equal">
      <formula>"NÃO"</formula>
    </cfRule>
  </conditionalFormatting>
  <conditionalFormatting sqref="BF181 CJ181 DO181">
    <cfRule type="cellIs" dxfId="2073" priority="3169" stopIfTrue="1" operator="equal">
      <formula>0</formula>
    </cfRule>
    <cfRule type="cellIs" dxfId="2072" priority="3175" stopIfTrue="1" operator="notEqual">
      <formula>0</formula>
    </cfRule>
  </conditionalFormatting>
  <conditionalFormatting sqref="C181:D181">
    <cfRule type="expression" dxfId="2071" priority="3172" stopIfTrue="1">
      <formula>IF(AND($C181&lt;&gt;"",$H181+$L181=0),TRUE)</formula>
    </cfRule>
  </conditionalFormatting>
  <conditionalFormatting sqref="P181">
    <cfRule type="cellIs" dxfId="2070" priority="3161" stopIfTrue="1" operator="equal">
      <formula>1</formula>
    </cfRule>
    <cfRule type="cellIs" dxfId="2069" priority="3170" stopIfTrue="1" operator="equal">
      <formula>2</formula>
    </cfRule>
    <cfRule type="cellIs" dxfId="2068" priority="3171" stopIfTrue="1" operator="equal">
      <formula>"X"</formula>
    </cfRule>
  </conditionalFormatting>
  <conditionalFormatting sqref="GU181">
    <cfRule type="cellIs" dxfId="2067" priority="3163" stopIfTrue="1" operator="equal">
      <formula>0</formula>
    </cfRule>
    <cfRule type="cellIs" dxfId="2066" priority="3164" stopIfTrue="1" operator="notEqual">
      <formula>0</formula>
    </cfRule>
  </conditionalFormatting>
  <conditionalFormatting sqref="GV181">
    <cfRule type="cellIs" dxfId="2065" priority="3162" stopIfTrue="1" operator="equal">
      <formula>"STOP"</formula>
    </cfRule>
  </conditionalFormatting>
  <conditionalFormatting sqref="Q180">
    <cfRule type="cellIs" dxfId="2064" priority="3156" stopIfTrue="1" operator="equal">
      <formula>"SIM"</formula>
    </cfRule>
    <cfRule type="cellIs" dxfId="2063" priority="3157" stopIfTrue="1" operator="equal">
      <formula>"NÃO"</formula>
    </cfRule>
  </conditionalFormatting>
  <conditionalFormatting sqref="BF180 CJ180 DO180">
    <cfRule type="cellIs" dxfId="2062" priority="3152" stopIfTrue="1" operator="equal">
      <formula>0</formula>
    </cfRule>
    <cfRule type="cellIs" dxfId="2061" priority="3158" stopIfTrue="1" operator="notEqual">
      <formula>0</formula>
    </cfRule>
  </conditionalFormatting>
  <conditionalFormatting sqref="C180:D180">
    <cfRule type="expression" dxfId="2060" priority="3155" stopIfTrue="1">
      <formula>IF(AND($C180&lt;&gt;"",$H180+$L180=0),TRUE)</formula>
    </cfRule>
  </conditionalFormatting>
  <conditionalFormatting sqref="P180">
    <cfRule type="cellIs" dxfId="2059" priority="3144" stopIfTrue="1" operator="equal">
      <formula>1</formula>
    </cfRule>
    <cfRule type="cellIs" dxfId="2058" priority="3153" stopIfTrue="1" operator="equal">
      <formula>2</formula>
    </cfRule>
    <cfRule type="cellIs" dxfId="2057" priority="3154" stopIfTrue="1" operator="equal">
      <formula>"X"</formula>
    </cfRule>
  </conditionalFormatting>
  <conditionalFormatting sqref="GU180">
    <cfRule type="cellIs" dxfId="2056" priority="3146" stopIfTrue="1" operator="equal">
      <formula>0</formula>
    </cfRule>
    <cfRule type="cellIs" dxfId="2055" priority="3147" stopIfTrue="1" operator="notEqual">
      <formula>0</formula>
    </cfRule>
  </conditionalFormatting>
  <conditionalFormatting sqref="GV180">
    <cfRule type="cellIs" dxfId="2054" priority="3145" stopIfTrue="1" operator="equal">
      <formula>"STOP"</formula>
    </cfRule>
  </conditionalFormatting>
  <conditionalFormatting sqref="Q180">
    <cfRule type="cellIs" dxfId="2053" priority="3139" stopIfTrue="1" operator="equal">
      <formula>"SIM"</formula>
    </cfRule>
    <cfRule type="cellIs" dxfId="2052" priority="3140" stopIfTrue="1" operator="equal">
      <formula>"NÃO"</formula>
    </cfRule>
  </conditionalFormatting>
  <conditionalFormatting sqref="BF180 CJ180 DO180">
    <cfRule type="cellIs" dxfId="2051" priority="3135" stopIfTrue="1" operator="equal">
      <formula>0</formula>
    </cfRule>
    <cfRule type="cellIs" dxfId="2050" priority="3141" stopIfTrue="1" operator="notEqual">
      <formula>0</formula>
    </cfRule>
  </conditionalFormatting>
  <conditionalFormatting sqref="C180:D180">
    <cfRule type="expression" dxfId="2049" priority="3138" stopIfTrue="1">
      <formula>IF(AND($C180&lt;&gt;"",$H180+$L180=0),TRUE)</formula>
    </cfRule>
  </conditionalFormatting>
  <conditionalFormatting sqref="P180">
    <cfRule type="cellIs" dxfId="2048" priority="3127" stopIfTrue="1" operator="equal">
      <formula>1</formula>
    </cfRule>
    <cfRule type="cellIs" dxfId="2047" priority="3136" stopIfTrue="1" operator="equal">
      <formula>2</formula>
    </cfRule>
    <cfRule type="cellIs" dxfId="2046" priority="3137" stopIfTrue="1" operator="equal">
      <formula>"X"</formula>
    </cfRule>
  </conditionalFormatting>
  <conditionalFormatting sqref="GU180">
    <cfRule type="cellIs" dxfId="2045" priority="3129" stopIfTrue="1" operator="equal">
      <formula>0</formula>
    </cfRule>
    <cfRule type="cellIs" dxfId="2044" priority="3130" stopIfTrue="1" operator="notEqual">
      <formula>0</formula>
    </cfRule>
  </conditionalFormatting>
  <conditionalFormatting sqref="GV180">
    <cfRule type="cellIs" dxfId="2043" priority="3128" stopIfTrue="1" operator="equal">
      <formula>"STOP"</formula>
    </cfRule>
  </conditionalFormatting>
  <conditionalFormatting sqref="Q180">
    <cfRule type="cellIs" dxfId="2042" priority="3122" stopIfTrue="1" operator="equal">
      <formula>"SIM"</formula>
    </cfRule>
    <cfRule type="cellIs" dxfId="2041" priority="3123" stopIfTrue="1" operator="equal">
      <formula>"NÃO"</formula>
    </cfRule>
  </conditionalFormatting>
  <conditionalFormatting sqref="BF180 CJ180 DO180">
    <cfRule type="cellIs" dxfId="2040" priority="3118" stopIfTrue="1" operator="equal">
      <formula>0</formula>
    </cfRule>
    <cfRule type="cellIs" dxfId="2039" priority="3124" stopIfTrue="1" operator="notEqual">
      <formula>0</formula>
    </cfRule>
  </conditionalFormatting>
  <conditionalFormatting sqref="C180:D180">
    <cfRule type="expression" dxfId="2038" priority="3121" stopIfTrue="1">
      <formula>IF(AND($C180&lt;&gt;"",$H180+$L180=0),TRUE)</formula>
    </cfRule>
  </conditionalFormatting>
  <conditionalFormatting sqref="P180">
    <cfRule type="cellIs" dxfId="2037" priority="3110" stopIfTrue="1" operator="equal">
      <formula>1</formula>
    </cfRule>
    <cfRule type="cellIs" dxfId="2036" priority="3119" stopIfTrue="1" operator="equal">
      <formula>2</formula>
    </cfRule>
    <cfRule type="cellIs" dxfId="2035" priority="3120" stopIfTrue="1" operator="equal">
      <formula>"X"</formula>
    </cfRule>
  </conditionalFormatting>
  <conditionalFormatting sqref="GU180">
    <cfRule type="cellIs" dxfId="2034" priority="3112" stopIfTrue="1" operator="equal">
      <formula>0</formula>
    </cfRule>
    <cfRule type="cellIs" dxfId="2033" priority="3113" stopIfTrue="1" operator="notEqual">
      <formula>0</formula>
    </cfRule>
  </conditionalFormatting>
  <conditionalFormatting sqref="GV180">
    <cfRule type="cellIs" dxfId="2032" priority="3111" stopIfTrue="1" operator="equal">
      <formula>"STOP"</formula>
    </cfRule>
  </conditionalFormatting>
  <conditionalFormatting sqref="Q181">
    <cfRule type="cellIs" dxfId="2031" priority="3105" stopIfTrue="1" operator="equal">
      <formula>"SIM"</formula>
    </cfRule>
    <cfRule type="cellIs" dxfId="2030" priority="3106" stopIfTrue="1" operator="equal">
      <formula>"NÃO"</formula>
    </cfRule>
  </conditionalFormatting>
  <conditionalFormatting sqref="BF181 CJ181 DO181">
    <cfRule type="cellIs" dxfId="2029" priority="3101" stopIfTrue="1" operator="equal">
      <formula>0</formula>
    </cfRule>
    <cfRule type="cellIs" dxfId="2028" priority="3107" stopIfTrue="1" operator="notEqual">
      <formula>0</formula>
    </cfRule>
  </conditionalFormatting>
  <conditionalFormatting sqref="C181:D181">
    <cfRule type="expression" dxfId="2027" priority="3104" stopIfTrue="1">
      <formula>IF(AND($C181&lt;&gt;"",$H181+$L181=0),TRUE)</formula>
    </cfRule>
  </conditionalFormatting>
  <conditionalFormatting sqref="P181">
    <cfRule type="cellIs" dxfId="2026" priority="3093" stopIfTrue="1" operator="equal">
      <formula>1</formula>
    </cfRule>
    <cfRule type="cellIs" dxfId="2025" priority="3102" stopIfTrue="1" operator="equal">
      <formula>2</formula>
    </cfRule>
    <cfRule type="cellIs" dxfId="2024" priority="3103" stopIfTrue="1" operator="equal">
      <formula>"X"</formula>
    </cfRule>
  </conditionalFormatting>
  <conditionalFormatting sqref="GU181">
    <cfRule type="cellIs" dxfId="2023" priority="3095" stopIfTrue="1" operator="equal">
      <formula>0</formula>
    </cfRule>
    <cfRule type="cellIs" dxfId="2022" priority="3096" stopIfTrue="1" operator="notEqual">
      <formula>0</formula>
    </cfRule>
  </conditionalFormatting>
  <conditionalFormatting sqref="GV181">
    <cfRule type="cellIs" dxfId="2021" priority="3094" stopIfTrue="1" operator="equal">
      <formula>"STOP"</formula>
    </cfRule>
  </conditionalFormatting>
  <conditionalFormatting sqref="Q180">
    <cfRule type="cellIs" dxfId="2020" priority="3088" stopIfTrue="1" operator="equal">
      <formula>"SIM"</formula>
    </cfRule>
    <cfRule type="cellIs" dxfId="2019" priority="3089" stopIfTrue="1" operator="equal">
      <formula>"NÃO"</formula>
    </cfRule>
  </conditionalFormatting>
  <conditionalFormatting sqref="BF180 CJ180 DO180">
    <cfRule type="cellIs" dxfId="2018" priority="3084" stopIfTrue="1" operator="equal">
      <formula>0</formula>
    </cfRule>
    <cfRule type="cellIs" dxfId="2017" priority="3090" stopIfTrue="1" operator="notEqual">
      <formula>0</formula>
    </cfRule>
  </conditionalFormatting>
  <conditionalFormatting sqref="C180:D180">
    <cfRule type="expression" dxfId="2016" priority="3087" stopIfTrue="1">
      <formula>IF(AND($C180&lt;&gt;"",$H180+$L180=0),TRUE)</formula>
    </cfRule>
  </conditionalFormatting>
  <conditionalFormatting sqref="P180">
    <cfRule type="cellIs" dxfId="2015" priority="3076" stopIfTrue="1" operator="equal">
      <formula>1</formula>
    </cfRule>
    <cfRule type="cellIs" dxfId="2014" priority="3085" stopIfTrue="1" operator="equal">
      <formula>2</formula>
    </cfRule>
    <cfRule type="cellIs" dxfId="2013" priority="3086" stopIfTrue="1" operator="equal">
      <formula>"X"</formula>
    </cfRule>
  </conditionalFormatting>
  <conditionalFormatting sqref="GU180">
    <cfRule type="cellIs" dxfId="2012" priority="3078" stopIfTrue="1" operator="equal">
      <formula>0</formula>
    </cfRule>
    <cfRule type="cellIs" dxfId="2011" priority="3079" stopIfTrue="1" operator="notEqual">
      <formula>0</formula>
    </cfRule>
  </conditionalFormatting>
  <conditionalFormatting sqref="GV180">
    <cfRule type="cellIs" dxfId="2010" priority="3077" stopIfTrue="1" operator="equal">
      <formula>"STOP"</formula>
    </cfRule>
  </conditionalFormatting>
  <conditionalFormatting sqref="Q180">
    <cfRule type="cellIs" dxfId="2009" priority="3071" stopIfTrue="1" operator="equal">
      <formula>"SIM"</formula>
    </cfRule>
    <cfRule type="cellIs" dxfId="2008" priority="3072" stopIfTrue="1" operator="equal">
      <formula>"NÃO"</formula>
    </cfRule>
  </conditionalFormatting>
  <conditionalFormatting sqref="BF180 CJ180 DO180">
    <cfRule type="cellIs" dxfId="2007" priority="3067" stopIfTrue="1" operator="equal">
      <formula>0</formula>
    </cfRule>
    <cfRule type="cellIs" dxfId="2006" priority="3073" stopIfTrue="1" operator="notEqual">
      <formula>0</formula>
    </cfRule>
  </conditionalFormatting>
  <conditionalFormatting sqref="C180:D180">
    <cfRule type="expression" dxfId="2005" priority="3070" stopIfTrue="1">
      <formula>IF(AND($C180&lt;&gt;"",$H180+$L180=0),TRUE)</formula>
    </cfRule>
  </conditionalFormatting>
  <conditionalFormatting sqref="P180">
    <cfRule type="cellIs" dxfId="2004" priority="3059" stopIfTrue="1" operator="equal">
      <formula>1</formula>
    </cfRule>
    <cfRule type="cellIs" dxfId="2003" priority="3068" stopIfTrue="1" operator="equal">
      <formula>2</formula>
    </cfRule>
    <cfRule type="cellIs" dxfId="2002" priority="3069" stopIfTrue="1" operator="equal">
      <formula>"X"</formula>
    </cfRule>
  </conditionalFormatting>
  <conditionalFormatting sqref="GU180">
    <cfRule type="cellIs" dxfId="2001" priority="3061" stopIfTrue="1" operator="equal">
      <formula>0</formula>
    </cfRule>
    <cfRule type="cellIs" dxfId="2000" priority="3062" stopIfTrue="1" operator="notEqual">
      <formula>0</formula>
    </cfRule>
  </conditionalFormatting>
  <conditionalFormatting sqref="GV180">
    <cfRule type="cellIs" dxfId="1999" priority="3060" stopIfTrue="1" operator="equal">
      <formula>"STOP"</formula>
    </cfRule>
  </conditionalFormatting>
  <conditionalFormatting sqref="Q181">
    <cfRule type="cellIs" dxfId="1998" priority="3054" stopIfTrue="1" operator="equal">
      <formula>"SIM"</formula>
    </cfRule>
    <cfRule type="cellIs" dxfId="1997" priority="3055" stopIfTrue="1" operator="equal">
      <formula>"NÃO"</formula>
    </cfRule>
  </conditionalFormatting>
  <conditionalFormatting sqref="BF181 CJ181 DO181">
    <cfRule type="cellIs" dxfId="1996" priority="3050" stopIfTrue="1" operator="equal">
      <formula>0</formula>
    </cfRule>
    <cfRule type="cellIs" dxfId="1995" priority="3056" stopIfTrue="1" operator="notEqual">
      <formula>0</formula>
    </cfRule>
  </conditionalFormatting>
  <conditionalFormatting sqref="C181:D181">
    <cfRule type="expression" dxfId="1994" priority="3053" stopIfTrue="1">
      <formula>IF(AND($C181&lt;&gt;"",$H181+$L181=0),TRUE)</formula>
    </cfRule>
  </conditionalFormatting>
  <conditionalFormatting sqref="P181">
    <cfRule type="cellIs" dxfId="1993" priority="3042" stopIfTrue="1" operator="equal">
      <formula>1</formula>
    </cfRule>
    <cfRule type="cellIs" dxfId="1992" priority="3051" stopIfTrue="1" operator="equal">
      <formula>2</formula>
    </cfRule>
    <cfRule type="cellIs" dxfId="1991" priority="3052" stopIfTrue="1" operator="equal">
      <formula>"X"</formula>
    </cfRule>
  </conditionalFormatting>
  <conditionalFormatting sqref="GU181">
    <cfRule type="cellIs" dxfId="1990" priority="3044" stopIfTrue="1" operator="equal">
      <formula>0</formula>
    </cfRule>
    <cfRule type="cellIs" dxfId="1989" priority="3045" stopIfTrue="1" operator="notEqual">
      <formula>0</formula>
    </cfRule>
  </conditionalFormatting>
  <conditionalFormatting sqref="GV181">
    <cfRule type="cellIs" dxfId="1988" priority="3043" stopIfTrue="1" operator="equal">
      <formula>"STOP"</formula>
    </cfRule>
  </conditionalFormatting>
  <conditionalFormatting sqref="Q180">
    <cfRule type="cellIs" dxfId="1987" priority="3037" stopIfTrue="1" operator="equal">
      <formula>"SIM"</formula>
    </cfRule>
    <cfRule type="cellIs" dxfId="1986" priority="3038" stopIfTrue="1" operator="equal">
      <formula>"NÃO"</formula>
    </cfRule>
  </conditionalFormatting>
  <conditionalFormatting sqref="BF180 CJ180 DO180">
    <cfRule type="cellIs" dxfId="1985" priority="3033" stopIfTrue="1" operator="equal">
      <formula>0</formula>
    </cfRule>
    <cfRule type="cellIs" dxfId="1984" priority="3039" stopIfTrue="1" operator="notEqual">
      <formula>0</formula>
    </cfRule>
  </conditionalFormatting>
  <conditionalFormatting sqref="C180:D180">
    <cfRule type="expression" dxfId="1983" priority="3036" stopIfTrue="1">
      <formula>IF(AND($C180&lt;&gt;"",$H180+$L180=0),TRUE)</formula>
    </cfRule>
  </conditionalFormatting>
  <conditionalFormatting sqref="P180">
    <cfRule type="cellIs" dxfId="1982" priority="3025" stopIfTrue="1" operator="equal">
      <formula>1</formula>
    </cfRule>
    <cfRule type="cellIs" dxfId="1981" priority="3034" stopIfTrue="1" operator="equal">
      <formula>2</formula>
    </cfRule>
    <cfRule type="cellIs" dxfId="1980" priority="3035" stopIfTrue="1" operator="equal">
      <formula>"X"</formula>
    </cfRule>
  </conditionalFormatting>
  <conditionalFormatting sqref="GU180">
    <cfRule type="cellIs" dxfId="1979" priority="3027" stopIfTrue="1" operator="equal">
      <formula>0</formula>
    </cfRule>
    <cfRule type="cellIs" dxfId="1978" priority="3028" stopIfTrue="1" operator="notEqual">
      <formula>0</formula>
    </cfRule>
  </conditionalFormatting>
  <conditionalFormatting sqref="GV180">
    <cfRule type="cellIs" dxfId="1977" priority="3026" stopIfTrue="1" operator="equal">
      <formula>"STOP"</formula>
    </cfRule>
  </conditionalFormatting>
  <conditionalFormatting sqref="Q181">
    <cfRule type="cellIs" dxfId="1976" priority="3020" stopIfTrue="1" operator="equal">
      <formula>"SIM"</formula>
    </cfRule>
    <cfRule type="cellIs" dxfId="1975" priority="3021" stopIfTrue="1" operator="equal">
      <formula>"NÃO"</formula>
    </cfRule>
  </conditionalFormatting>
  <conditionalFormatting sqref="BF181 CJ181 DO181">
    <cfRule type="cellIs" dxfId="1974" priority="3016" stopIfTrue="1" operator="equal">
      <formula>0</formula>
    </cfRule>
    <cfRule type="cellIs" dxfId="1973" priority="3022" stopIfTrue="1" operator="notEqual">
      <formula>0</formula>
    </cfRule>
  </conditionalFormatting>
  <conditionalFormatting sqref="C181:D181">
    <cfRule type="expression" dxfId="1972" priority="3019" stopIfTrue="1">
      <formula>IF(AND($C181&lt;&gt;"",$H181+$L181=0),TRUE)</formula>
    </cfRule>
  </conditionalFormatting>
  <conditionalFormatting sqref="P181">
    <cfRule type="cellIs" dxfId="1971" priority="3008" stopIfTrue="1" operator="equal">
      <formula>1</formula>
    </cfRule>
    <cfRule type="cellIs" dxfId="1970" priority="3017" stopIfTrue="1" operator="equal">
      <formula>2</formula>
    </cfRule>
    <cfRule type="cellIs" dxfId="1969" priority="3018" stopIfTrue="1" operator="equal">
      <formula>"X"</formula>
    </cfRule>
  </conditionalFormatting>
  <conditionalFormatting sqref="GU181">
    <cfRule type="cellIs" dxfId="1968" priority="3010" stopIfTrue="1" operator="equal">
      <formula>0</formula>
    </cfRule>
    <cfRule type="cellIs" dxfId="1967" priority="3011" stopIfTrue="1" operator="notEqual">
      <formula>0</formula>
    </cfRule>
  </conditionalFormatting>
  <conditionalFormatting sqref="GV181">
    <cfRule type="cellIs" dxfId="1966" priority="3009" stopIfTrue="1" operator="equal">
      <formula>"STOP"</formula>
    </cfRule>
  </conditionalFormatting>
  <conditionalFormatting sqref="Q180">
    <cfRule type="cellIs" dxfId="1965" priority="3003" stopIfTrue="1" operator="equal">
      <formula>"SIM"</formula>
    </cfRule>
    <cfRule type="cellIs" dxfId="1964" priority="3004" stopIfTrue="1" operator="equal">
      <formula>"NÃO"</formula>
    </cfRule>
  </conditionalFormatting>
  <conditionalFormatting sqref="BF180 CJ180 DO180">
    <cfRule type="cellIs" dxfId="1963" priority="2999" stopIfTrue="1" operator="equal">
      <formula>0</formula>
    </cfRule>
    <cfRule type="cellIs" dxfId="1962" priority="3005" stopIfTrue="1" operator="notEqual">
      <formula>0</formula>
    </cfRule>
  </conditionalFormatting>
  <conditionalFormatting sqref="C180:D180">
    <cfRule type="expression" dxfId="1961" priority="3002" stopIfTrue="1">
      <formula>IF(AND($C180&lt;&gt;"",$H180+$L180=0),TRUE)</formula>
    </cfRule>
  </conditionalFormatting>
  <conditionalFormatting sqref="P180">
    <cfRule type="cellIs" dxfId="1960" priority="2991" stopIfTrue="1" operator="equal">
      <formula>1</formula>
    </cfRule>
    <cfRule type="cellIs" dxfId="1959" priority="3000" stopIfTrue="1" operator="equal">
      <formula>2</formula>
    </cfRule>
    <cfRule type="cellIs" dxfId="1958" priority="3001" stopIfTrue="1" operator="equal">
      <formula>"X"</formula>
    </cfRule>
  </conditionalFormatting>
  <conditionalFormatting sqref="GU180">
    <cfRule type="cellIs" dxfId="1957" priority="2993" stopIfTrue="1" operator="equal">
      <formula>0</formula>
    </cfRule>
    <cfRule type="cellIs" dxfId="1956" priority="2994" stopIfTrue="1" operator="notEqual">
      <formula>0</formula>
    </cfRule>
  </conditionalFormatting>
  <conditionalFormatting sqref="GV180">
    <cfRule type="cellIs" dxfId="1955" priority="2992" stopIfTrue="1" operator="equal">
      <formula>"STOP"</formula>
    </cfRule>
  </conditionalFormatting>
  <conditionalFormatting sqref="Q180">
    <cfRule type="cellIs" dxfId="1954" priority="2986" stopIfTrue="1" operator="equal">
      <formula>"SIM"</formula>
    </cfRule>
    <cfRule type="cellIs" dxfId="1953" priority="2987" stopIfTrue="1" operator="equal">
      <formula>"NÃO"</formula>
    </cfRule>
  </conditionalFormatting>
  <conditionalFormatting sqref="BF180 CJ180 DO180">
    <cfRule type="cellIs" dxfId="1952" priority="2982" stopIfTrue="1" operator="equal">
      <formula>0</formula>
    </cfRule>
    <cfRule type="cellIs" dxfId="1951" priority="2988" stopIfTrue="1" operator="notEqual">
      <formula>0</formula>
    </cfRule>
  </conditionalFormatting>
  <conditionalFormatting sqref="C180:D180">
    <cfRule type="expression" dxfId="1950" priority="2985" stopIfTrue="1">
      <formula>IF(AND($C180&lt;&gt;"",$H180+$L180=0),TRUE)</formula>
    </cfRule>
  </conditionalFormatting>
  <conditionalFormatting sqref="P180">
    <cfRule type="cellIs" dxfId="1949" priority="2974" stopIfTrue="1" operator="equal">
      <formula>1</formula>
    </cfRule>
    <cfRule type="cellIs" dxfId="1948" priority="2983" stopIfTrue="1" operator="equal">
      <formula>2</formula>
    </cfRule>
    <cfRule type="cellIs" dxfId="1947" priority="2984" stopIfTrue="1" operator="equal">
      <formula>"X"</formula>
    </cfRule>
  </conditionalFormatting>
  <conditionalFormatting sqref="GU180">
    <cfRule type="cellIs" dxfId="1946" priority="2976" stopIfTrue="1" operator="equal">
      <formula>0</formula>
    </cfRule>
    <cfRule type="cellIs" dxfId="1945" priority="2977" stopIfTrue="1" operator="notEqual">
      <formula>0</formula>
    </cfRule>
  </conditionalFormatting>
  <conditionalFormatting sqref="GV180">
    <cfRule type="cellIs" dxfId="1944" priority="2975" stopIfTrue="1" operator="equal">
      <formula>"STOP"</formula>
    </cfRule>
  </conditionalFormatting>
  <conditionalFormatting sqref="Q180">
    <cfRule type="cellIs" dxfId="1943" priority="2969" stopIfTrue="1" operator="equal">
      <formula>"SIM"</formula>
    </cfRule>
    <cfRule type="cellIs" dxfId="1942" priority="2970" stopIfTrue="1" operator="equal">
      <formula>"NÃO"</formula>
    </cfRule>
  </conditionalFormatting>
  <conditionalFormatting sqref="BF180 CJ180 DO180">
    <cfRule type="cellIs" dxfId="1941" priority="2965" stopIfTrue="1" operator="equal">
      <formula>0</formula>
    </cfRule>
    <cfRule type="cellIs" dxfId="1940" priority="2971" stopIfTrue="1" operator="notEqual">
      <formula>0</formula>
    </cfRule>
  </conditionalFormatting>
  <conditionalFormatting sqref="C180:D180">
    <cfRule type="expression" dxfId="1939" priority="2968" stopIfTrue="1">
      <formula>IF(AND($C180&lt;&gt;"",$H180+$L180=0),TRUE)</formula>
    </cfRule>
  </conditionalFormatting>
  <conditionalFormatting sqref="P180">
    <cfRule type="cellIs" dxfId="1938" priority="2957" stopIfTrue="1" operator="equal">
      <formula>1</formula>
    </cfRule>
    <cfRule type="cellIs" dxfId="1937" priority="2966" stopIfTrue="1" operator="equal">
      <formula>2</formula>
    </cfRule>
    <cfRule type="cellIs" dxfId="1936" priority="2967" stopIfTrue="1" operator="equal">
      <formula>"X"</formula>
    </cfRule>
  </conditionalFormatting>
  <conditionalFormatting sqref="GU180">
    <cfRule type="cellIs" dxfId="1935" priority="2959" stopIfTrue="1" operator="equal">
      <formula>0</formula>
    </cfRule>
    <cfRule type="cellIs" dxfId="1934" priority="2960" stopIfTrue="1" operator="notEqual">
      <formula>0</formula>
    </cfRule>
  </conditionalFormatting>
  <conditionalFormatting sqref="GV180">
    <cfRule type="cellIs" dxfId="1933" priority="2958" stopIfTrue="1" operator="equal">
      <formula>"STOP"</formula>
    </cfRule>
  </conditionalFormatting>
  <conditionalFormatting sqref="Q181">
    <cfRule type="cellIs" dxfId="1932" priority="2952" stopIfTrue="1" operator="equal">
      <formula>"SIM"</formula>
    </cfRule>
    <cfRule type="cellIs" dxfId="1931" priority="2953" stopIfTrue="1" operator="equal">
      <formula>"NÃO"</formula>
    </cfRule>
  </conditionalFormatting>
  <conditionalFormatting sqref="BF181 CJ181 DO181">
    <cfRule type="cellIs" dxfId="1930" priority="2948" stopIfTrue="1" operator="equal">
      <formula>0</formula>
    </cfRule>
    <cfRule type="cellIs" dxfId="1929" priority="2954" stopIfTrue="1" operator="notEqual">
      <formula>0</formula>
    </cfRule>
  </conditionalFormatting>
  <conditionalFormatting sqref="C181:D181">
    <cfRule type="expression" dxfId="1928" priority="2951" stopIfTrue="1">
      <formula>IF(AND($C181&lt;&gt;"",$H181+$L181=0),TRUE)</formula>
    </cfRule>
  </conditionalFormatting>
  <conditionalFormatting sqref="P181">
    <cfRule type="cellIs" dxfId="1927" priority="2940" stopIfTrue="1" operator="equal">
      <formula>1</formula>
    </cfRule>
    <cfRule type="cellIs" dxfId="1926" priority="2949" stopIfTrue="1" operator="equal">
      <formula>2</formula>
    </cfRule>
    <cfRule type="cellIs" dxfId="1925" priority="2950" stopIfTrue="1" operator="equal">
      <formula>"X"</formula>
    </cfRule>
  </conditionalFormatting>
  <conditionalFormatting sqref="GU181">
    <cfRule type="cellIs" dxfId="1924" priority="2942" stopIfTrue="1" operator="equal">
      <formula>0</formula>
    </cfRule>
    <cfRule type="cellIs" dxfId="1923" priority="2943" stopIfTrue="1" operator="notEqual">
      <formula>0</formula>
    </cfRule>
  </conditionalFormatting>
  <conditionalFormatting sqref="GV181">
    <cfRule type="cellIs" dxfId="1922" priority="2941" stopIfTrue="1" operator="equal">
      <formula>"STOP"</formula>
    </cfRule>
  </conditionalFormatting>
  <conditionalFormatting sqref="Q182">
    <cfRule type="cellIs" dxfId="1921" priority="2935" stopIfTrue="1" operator="equal">
      <formula>"SIM"</formula>
    </cfRule>
    <cfRule type="cellIs" dxfId="1920" priority="2936" stopIfTrue="1" operator="equal">
      <formula>"NÃO"</formula>
    </cfRule>
  </conditionalFormatting>
  <conditionalFormatting sqref="BF182 CJ182 DO182">
    <cfRule type="cellIs" dxfId="1919" priority="2931" stopIfTrue="1" operator="equal">
      <formula>0</formula>
    </cfRule>
    <cfRule type="cellIs" dxfId="1918" priority="2937" stopIfTrue="1" operator="notEqual">
      <formula>0</formula>
    </cfRule>
  </conditionalFormatting>
  <conditionalFormatting sqref="C182:D182">
    <cfRule type="expression" dxfId="1917" priority="2934" stopIfTrue="1">
      <formula>IF(AND($C182&lt;&gt;"",$H182+$L182=0),TRUE)</formula>
    </cfRule>
  </conditionalFormatting>
  <conditionalFormatting sqref="P182">
    <cfRule type="cellIs" dxfId="1916" priority="2923" stopIfTrue="1" operator="equal">
      <formula>1</formula>
    </cfRule>
    <cfRule type="cellIs" dxfId="1915" priority="2932" stopIfTrue="1" operator="equal">
      <formula>2</formula>
    </cfRule>
    <cfRule type="cellIs" dxfId="1914" priority="2933" stopIfTrue="1" operator="equal">
      <formula>"X"</formula>
    </cfRule>
  </conditionalFormatting>
  <conditionalFormatting sqref="GU182">
    <cfRule type="cellIs" dxfId="1913" priority="2925" stopIfTrue="1" operator="equal">
      <formula>0</formula>
    </cfRule>
    <cfRule type="cellIs" dxfId="1912" priority="2926" stopIfTrue="1" operator="notEqual">
      <formula>0</formula>
    </cfRule>
  </conditionalFormatting>
  <conditionalFormatting sqref="GV182">
    <cfRule type="cellIs" dxfId="1911" priority="2924" stopIfTrue="1" operator="equal">
      <formula>"STOP"</formula>
    </cfRule>
  </conditionalFormatting>
  <conditionalFormatting sqref="Q180">
    <cfRule type="cellIs" dxfId="1910" priority="2918" stopIfTrue="1" operator="equal">
      <formula>"SIM"</formula>
    </cfRule>
    <cfRule type="cellIs" dxfId="1909" priority="2919" stopIfTrue="1" operator="equal">
      <formula>"NÃO"</formula>
    </cfRule>
  </conditionalFormatting>
  <conditionalFormatting sqref="BF180 CJ180 DO180">
    <cfRule type="cellIs" dxfId="1908" priority="2914" stopIfTrue="1" operator="equal">
      <formula>0</formula>
    </cfRule>
    <cfRule type="cellIs" dxfId="1907" priority="2920" stopIfTrue="1" operator="notEqual">
      <formula>0</formula>
    </cfRule>
  </conditionalFormatting>
  <conditionalFormatting sqref="C180:D180">
    <cfRule type="expression" dxfId="1906" priority="2917" stopIfTrue="1">
      <formula>IF(AND($C180&lt;&gt;"",$H180+$L180=0),TRUE)</formula>
    </cfRule>
  </conditionalFormatting>
  <conditionalFormatting sqref="P180">
    <cfRule type="cellIs" dxfId="1905" priority="2906" stopIfTrue="1" operator="equal">
      <formula>1</formula>
    </cfRule>
    <cfRule type="cellIs" dxfId="1904" priority="2915" stopIfTrue="1" operator="equal">
      <formula>2</formula>
    </cfRule>
    <cfRule type="cellIs" dxfId="1903" priority="2916" stopIfTrue="1" operator="equal">
      <formula>"X"</formula>
    </cfRule>
  </conditionalFormatting>
  <conditionalFormatting sqref="GU180">
    <cfRule type="cellIs" dxfId="1902" priority="2908" stopIfTrue="1" operator="equal">
      <formula>0</formula>
    </cfRule>
    <cfRule type="cellIs" dxfId="1901" priority="2909" stopIfTrue="1" operator="notEqual">
      <formula>0</formula>
    </cfRule>
  </conditionalFormatting>
  <conditionalFormatting sqref="GV180">
    <cfRule type="cellIs" dxfId="1900" priority="2907" stopIfTrue="1" operator="equal">
      <formula>"STOP"</formula>
    </cfRule>
  </conditionalFormatting>
  <conditionalFormatting sqref="Q180">
    <cfRule type="cellIs" dxfId="1899" priority="2901" stopIfTrue="1" operator="equal">
      <formula>"SIM"</formula>
    </cfRule>
    <cfRule type="cellIs" dxfId="1898" priority="2902" stopIfTrue="1" operator="equal">
      <formula>"NÃO"</formula>
    </cfRule>
  </conditionalFormatting>
  <conditionalFormatting sqref="BF180 CJ180 DO180">
    <cfRule type="cellIs" dxfId="1897" priority="2897" stopIfTrue="1" operator="equal">
      <formula>0</formula>
    </cfRule>
    <cfRule type="cellIs" dxfId="1896" priority="2903" stopIfTrue="1" operator="notEqual">
      <formula>0</formula>
    </cfRule>
  </conditionalFormatting>
  <conditionalFormatting sqref="C180:D180">
    <cfRule type="expression" dxfId="1895" priority="2900" stopIfTrue="1">
      <formula>IF(AND($C180&lt;&gt;"",$H180+$L180=0),TRUE)</formula>
    </cfRule>
  </conditionalFormatting>
  <conditionalFormatting sqref="P180">
    <cfRule type="cellIs" dxfId="1894" priority="2889" stopIfTrue="1" operator="equal">
      <formula>1</formula>
    </cfRule>
    <cfRule type="cellIs" dxfId="1893" priority="2898" stopIfTrue="1" operator="equal">
      <formula>2</formula>
    </cfRule>
    <cfRule type="cellIs" dxfId="1892" priority="2899" stopIfTrue="1" operator="equal">
      <formula>"X"</formula>
    </cfRule>
  </conditionalFormatting>
  <conditionalFormatting sqref="GU180">
    <cfRule type="cellIs" dxfId="1891" priority="2891" stopIfTrue="1" operator="equal">
      <formula>0</formula>
    </cfRule>
    <cfRule type="cellIs" dxfId="1890" priority="2892" stopIfTrue="1" operator="notEqual">
      <formula>0</formula>
    </cfRule>
  </conditionalFormatting>
  <conditionalFormatting sqref="GV180">
    <cfRule type="cellIs" dxfId="1889" priority="2890" stopIfTrue="1" operator="equal">
      <formula>"STOP"</formula>
    </cfRule>
  </conditionalFormatting>
  <conditionalFormatting sqref="Q181">
    <cfRule type="cellIs" dxfId="1888" priority="2884" stopIfTrue="1" operator="equal">
      <formula>"SIM"</formula>
    </cfRule>
    <cfRule type="cellIs" dxfId="1887" priority="2885" stopIfTrue="1" operator="equal">
      <formula>"NÃO"</formula>
    </cfRule>
  </conditionalFormatting>
  <conditionalFormatting sqref="BF181 CJ181 DO181">
    <cfRule type="cellIs" dxfId="1886" priority="2880" stopIfTrue="1" operator="equal">
      <formula>0</formula>
    </cfRule>
    <cfRule type="cellIs" dxfId="1885" priority="2886" stopIfTrue="1" operator="notEqual">
      <formula>0</formula>
    </cfRule>
  </conditionalFormatting>
  <conditionalFormatting sqref="C181:D181">
    <cfRule type="expression" dxfId="1884" priority="2883" stopIfTrue="1">
      <formula>IF(AND($C181&lt;&gt;"",$H181+$L181=0),TRUE)</formula>
    </cfRule>
  </conditionalFormatting>
  <conditionalFormatting sqref="P181">
    <cfRule type="cellIs" dxfId="1883" priority="2872" stopIfTrue="1" operator="equal">
      <formula>1</formula>
    </cfRule>
    <cfRule type="cellIs" dxfId="1882" priority="2881" stopIfTrue="1" operator="equal">
      <formula>2</formula>
    </cfRule>
    <cfRule type="cellIs" dxfId="1881" priority="2882" stopIfTrue="1" operator="equal">
      <formula>"X"</formula>
    </cfRule>
  </conditionalFormatting>
  <conditionalFormatting sqref="GU181">
    <cfRule type="cellIs" dxfId="1880" priority="2874" stopIfTrue="1" operator="equal">
      <formula>0</formula>
    </cfRule>
    <cfRule type="cellIs" dxfId="1879" priority="2875" stopIfTrue="1" operator="notEqual">
      <formula>0</formula>
    </cfRule>
  </conditionalFormatting>
  <conditionalFormatting sqref="GV181">
    <cfRule type="cellIs" dxfId="1878" priority="2873" stopIfTrue="1" operator="equal">
      <formula>"STOP"</formula>
    </cfRule>
  </conditionalFormatting>
  <conditionalFormatting sqref="Q180">
    <cfRule type="cellIs" dxfId="1877" priority="2867" stopIfTrue="1" operator="equal">
      <formula>"SIM"</formula>
    </cfRule>
    <cfRule type="cellIs" dxfId="1876" priority="2868" stopIfTrue="1" operator="equal">
      <formula>"NÃO"</formula>
    </cfRule>
  </conditionalFormatting>
  <conditionalFormatting sqref="BF180 CJ180 DO180">
    <cfRule type="cellIs" dxfId="1875" priority="2863" stopIfTrue="1" operator="equal">
      <formula>0</formula>
    </cfRule>
    <cfRule type="cellIs" dxfId="1874" priority="2869" stopIfTrue="1" operator="notEqual">
      <formula>0</formula>
    </cfRule>
  </conditionalFormatting>
  <conditionalFormatting sqref="C180:D180">
    <cfRule type="expression" dxfId="1873" priority="2866" stopIfTrue="1">
      <formula>IF(AND($C180&lt;&gt;"",$H180+$L180=0),TRUE)</formula>
    </cfRule>
  </conditionalFormatting>
  <conditionalFormatting sqref="P180">
    <cfRule type="cellIs" dxfId="1872" priority="2855" stopIfTrue="1" operator="equal">
      <formula>1</formula>
    </cfRule>
    <cfRule type="cellIs" dxfId="1871" priority="2864" stopIfTrue="1" operator="equal">
      <formula>2</formula>
    </cfRule>
    <cfRule type="cellIs" dxfId="1870" priority="2865" stopIfTrue="1" operator="equal">
      <formula>"X"</formula>
    </cfRule>
  </conditionalFormatting>
  <conditionalFormatting sqref="GU180">
    <cfRule type="cellIs" dxfId="1869" priority="2857" stopIfTrue="1" operator="equal">
      <formula>0</formula>
    </cfRule>
    <cfRule type="cellIs" dxfId="1868" priority="2858" stopIfTrue="1" operator="notEqual">
      <formula>0</formula>
    </cfRule>
  </conditionalFormatting>
  <conditionalFormatting sqref="GV180">
    <cfRule type="cellIs" dxfId="1867" priority="2856" stopIfTrue="1" operator="equal">
      <formula>"STOP"</formula>
    </cfRule>
  </conditionalFormatting>
  <conditionalFormatting sqref="Q181">
    <cfRule type="cellIs" dxfId="1866" priority="2850" stopIfTrue="1" operator="equal">
      <formula>"SIM"</formula>
    </cfRule>
    <cfRule type="cellIs" dxfId="1865" priority="2851" stopIfTrue="1" operator="equal">
      <formula>"NÃO"</formula>
    </cfRule>
  </conditionalFormatting>
  <conditionalFormatting sqref="BF181 CJ181 DO181">
    <cfRule type="cellIs" dxfId="1864" priority="2846" stopIfTrue="1" operator="equal">
      <formula>0</formula>
    </cfRule>
    <cfRule type="cellIs" dxfId="1863" priority="2852" stopIfTrue="1" operator="notEqual">
      <formula>0</formula>
    </cfRule>
  </conditionalFormatting>
  <conditionalFormatting sqref="C181:D181">
    <cfRule type="expression" dxfId="1862" priority="2849" stopIfTrue="1">
      <formula>IF(AND($C181&lt;&gt;"",$H181+$L181=0),TRUE)</formula>
    </cfRule>
  </conditionalFormatting>
  <conditionalFormatting sqref="P181">
    <cfRule type="cellIs" dxfId="1861" priority="2838" stopIfTrue="1" operator="equal">
      <formula>1</formula>
    </cfRule>
    <cfRule type="cellIs" dxfId="1860" priority="2847" stopIfTrue="1" operator="equal">
      <formula>2</formula>
    </cfRule>
    <cfRule type="cellIs" dxfId="1859" priority="2848" stopIfTrue="1" operator="equal">
      <formula>"X"</formula>
    </cfRule>
  </conditionalFormatting>
  <conditionalFormatting sqref="GU181">
    <cfRule type="cellIs" dxfId="1858" priority="2840" stopIfTrue="1" operator="equal">
      <formula>0</formula>
    </cfRule>
    <cfRule type="cellIs" dxfId="1857" priority="2841" stopIfTrue="1" operator="notEqual">
      <formula>0</formula>
    </cfRule>
  </conditionalFormatting>
  <conditionalFormatting sqref="GV181">
    <cfRule type="cellIs" dxfId="1856" priority="2839" stopIfTrue="1" operator="equal">
      <formula>"STOP"</formula>
    </cfRule>
  </conditionalFormatting>
  <conditionalFormatting sqref="Q180">
    <cfRule type="cellIs" dxfId="1855" priority="2833" stopIfTrue="1" operator="equal">
      <formula>"SIM"</formula>
    </cfRule>
    <cfRule type="cellIs" dxfId="1854" priority="2834" stopIfTrue="1" operator="equal">
      <formula>"NÃO"</formula>
    </cfRule>
  </conditionalFormatting>
  <conditionalFormatting sqref="BF180 CJ180 DO180">
    <cfRule type="cellIs" dxfId="1853" priority="2829" stopIfTrue="1" operator="equal">
      <formula>0</formula>
    </cfRule>
    <cfRule type="cellIs" dxfId="1852" priority="2835" stopIfTrue="1" operator="notEqual">
      <formula>0</formula>
    </cfRule>
  </conditionalFormatting>
  <conditionalFormatting sqref="C180:D180">
    <cfRule type="expression" dxfId="1851" priority="2832" stopIfTrue="1">
      <formula>IF(AND($C180&lt;&gt;"",$H180+$L180=0),TRUE)</formula>
    </cfRule>
  </conditionalFormatting>
  <conditionalFormatting sqref="P180">
    <cfRule type="cellIs" dxfId="1850" priority="2821" stopIfTrue="1" operator="equal">
      <formula>1</formula>
    </cfRule>
    <cfRule type="cellIs" dxfId="1849" priority="2830" stopIfTrue="1" operator="equal">
      <formula>2</formula>
    </cfRule>
    <cfRule type="cellIs" dxfId="1848" priority="2831" stopIfTrue="1" operator="equal">
      <formula>"X"</formula>
    </cfRule>
  </conditionalFormatting>
  <conditionalFormatting sqref="GU180">
    <cfRule type="cellIs" dxfId="1847" priority="2823" stopIfTrue="1" operator="equal">
      <formula>0</formula>
    </cfRule>
    <cfRule type="cellIs" dxfId="1846" priority="2824" stopIfTrue="1" operator="notEqual">
      <formula>0</formula>
    </cfRule>
  </conditionalFormatting>
  <conditionalFormatting sqref="GV180">
    <cfRule type="cellIs" dxfId="1845" priority="2822" stopIfTrue="1" operator="equal">
      <formula>"STOP"</formula>
    </cfRule>
  </conditionalFormatting>
  <conditionalFormatting sqref="Q181">
    <cfRule type="cellIs" dxfId="1844" priority="2816" stopIfTrue="1" operator="equal">
      <formula>"SIM"</formula>
    </cfRule>
    <cfRule type="cellIs" dxfId="1843" priority="2817" stopIfTrue="1" operator="equal">
      <formula>"NÃO"</formula>
    </cfRule>
  </conditionalFormatting>
  <conditionalFormatting sqref="BF181 CJ181 DO181">
    <cfRule type="cellIs" dxfId="1842" priority="2812" stopIfTrue="1" operator="equal">
      <formula>0</formula>
    </cfRule>
    <cfRule type="cellIs" dxfId="1841" priority="2818" stopIfTrue="1" operator="notEqual">
      <formula>0</formula>
    </cfRule>
  </conditionalFormatting>
  <conditionalFormatting sqref="C181:D181">
    <cfRule type="expression" dxfId="1840" priority="2815" stopIfTrue="1">
      <formula>IF(AND($C181&lt;&gt;"",$H181+$L181=0),TRUE)</formula>
    </cfRule>
  </conditionalFormatting>
  <conditionalFormatting sqref="P181">
    <cfRule type="cellIs" dxfId="1839" priority="2804" stopIfTrue="1" operator="equal">
      <formula>1</formula>
    </cfRule>
    <cfRule type="cellIs" dxfId="1838" priority="2813" stopIfTrue="1" operator="equal">
      <formula>2</formula>
    </cfRule>
    <cfRule type="cellIs" dxfId="1837" priority="2814" stopIfTrue="1" operator="equal">
      <formula>"X"</formula>
    </cfRule>
  </conditionalFormatting>
  <conditionalFormatting sqref="GU181">
    <cfRule type="cellIs" dxfId="1836" priority="2806" stopIfTrue="1" operator="equal">
      <formula>0</formula>
    </cfRule>
    <cfRule type="cellIs" dxfId="1835" priority="2807" stopIfTrue="1" operator="notEqual">
      <formula>0</formula>
    </cfRule>
  </conditionalFormatting>
  <conditionalFormatting sqref="GV181">
    <cfRule type="cellIs" dxfId="1834" priority="2805" stopIfTrue="1" operator="equal">
      <formula>"STOP"</formula>
    </cfRule>
  </conditionalFormatting>
  <conditionalFormatting sqref="Q182">
    <cfRule type="cellIs" dxfId="1833" priority="2799" stopIfTrue="1" operator="equal">
      <formula>"SIM"</formula>
    </cfRule>
    <cfRule type="cellIs" dxfId="1832" priority="2800" stopIfTrue="1" operator="equal">
      <formula>"NÃO"</formula>
    </cfRule>
  </conditionalFormatting>
  <conditionalFormatting sqref="BF182 CJ182 DO182">
    <cfRule type="cellIs" dxfId="1831" priority="2795" stopIfTrue="1" operator="equal">
      <formula>0</formula>
    </cfRule>
    <cfRule type="cellIs" dxfId="1830" priority="2801" stopIfTrue="1" operator="notEqual">
      <formula>0</formula>
    </cfRule>
  </conditionalFormatting>
  <conditionalFormatting sqref="C182:D182">
    <cfRule type="expression" dxfId="1829" priority="2798" stopIfTrue="1">
      <formula>IF(AND($C182&lt;&gt;"",$H182+$L182=0),TRUE)</formula>
    </cfRule>
  </conditionalFormatting>
  <conditionalFormatting sqref="P182">
    <cfRule type="cellIs" dxfId="1828" priority="2787" stopIfTrue="1" operator="equal">
      <formula>1</formula>
    </cfRule>
    <cfRule type="cellIs" dxfId="1827" priority="2796" stopIfTrue="1" operator="equal">
      <formula>2</formula>
    </cfRule>
    <cfRule type="cellIs" dxfId="1826" priority="2797" stopIfTrue="1" operator="equal">
      <formula>"X"</formula>
    </cfRule>
  </conditionalFormatting>
  <conditionalFormatting sqref="GU182">
    <cfRule type="cellIs" dxfId="1825" priority="2789" stopIfTrue="1" operator="equal">
      <formula>0</formula>
    </cfRule>
    <cfRule type="cellIs" dxfId="1824" priority="2790" stopIfTrue="1" operator="notEqual">
      <formula>0</formula>
    </cfRule>
  </conditionalFormatting>
  <conditionalFormatting sqref="GV182">
    <cfRule type="cellIs" dxfId="1823" priority="2788" stopIfTrue="1" operator="equal">
      <formula>"STOP"</formula>
    </cfRule>
  </conditionalFormatting>
  <conditionalFormatting sqref="Q180">
    <cfRule type="cellIs" dxfId="1822" priority="2782" stopIfTrue="1" operator="equal">
      <formula>"SIM"</formula>
    </cfRule>
    <cfRule type="cellIs" dxfId="1821" priority="2783" stopIfTrue="1" operator="equal">
      <formula>"NÃO"</formula>
    </cfRule>
  </conditionalFormatting>
  <conditionalFormatting sqref="BF180 CJ180 DO180">
    <cfRule type="cellIs" dxfId="1820" priority="2778" stopIfTrue="1" operator="equal">
      <formula>0</formula>
    </cfRule>
    <cfRule type="cellIs" dxfId="1819" priority="2784" stopIfTrue="1" operator="notEqual">
      <formula>0</formula>
    </cfRule>
  </conditionalFormatting>
  <conditionalFormatting sqref="C180:D180">
    <cfRule type="expression" dxfId="1818" priority="2781" stopIfTrue="1">
      <formula>IF(AND($C180&lt;&gt;"",$H180+$L180=0),TRUE)</formula>
    </cfRule>
  </conditionalFormatting>
  <conditionalFormatting sqref="P180">
    <cfRule type="cellIs" dxfId="1817" priority="2770" stopIfTrue="1" operator="equal">
      <formula>1</formula>
    </cfRule>
    <cfRule type="cellIs" dxfId="1816" priority="2779" stopIfTrue="1" operator="equal">
      <formula>2</formula>
    </cfRule>
    <cfRule type="cellIs" dxfId="1815" priority="2780" stopIfTrue="1" operator="equal">
      <formula>"X"</formula>
    </cfRule>
  </conditionalFormatting>
  <conditionalFormatting sqref="GU180">
    <cfRule type="cellIs" dxfId="1814" priority="2772" stopIfTrue="1" operator="equal">
      <formula>0</formula>
    </cfRule>
    <cfRule type="cellIs" dxfId="1813" priority="2773" stopIfTrue="1" operator="notEqual">
      <formula>0</formula>
    </cfRule>
  </conditionalFormatting>
  <conditionalFormatting sqref="GV180">
    <cfRule type="cellIs" dxfId="1812" priority="2771" stopIfTrue="1" operator="equal">
      <formula>"STOP"</formula>
    </cfRule>
  </conditionalFormatting>
  <conditionalFormatting sqref="Q181">
    <cfRule type="cellIs" dxfId="1811" priority="2765" stopIfTrue="1" operator="equal">
      <formula>"SIM"</formula>
    </cfRule>
    <cfRule type="cellIs" dxfId="1810" priority="2766" stopIfTrue="1" operator="equal">
      <formula>"NÃO"</formula>
    </cfRule>
  </conditionalFormatting>
  <conditionalFormatting sqref="BF181 CJ181 DO181">
    <cfRule type="cellIs" dxfId="1809" priority="2761" stopIfTrue="1" operator="equal">
      <formula>0</formula>
    </cfRule>
    <cfRule type="cellIs" dxfId="1808" priority="2767" stopIfTrue="1" operator="notEqual">
      <formula>0</formula>
    </cfRule>
  </conditionalFormatting>
  <conditionalFormatting sqref="C181:D181">
    <cfRule type="expression" dxfId="1807" priority="2764" stopIfTrue="1">
      <formula>IF(AND($C181&lt;&gt;"",$H181+$L181=0),TRUE)</formula>
    </cfRule>
  </conditionalFormatting>
  <conditionalFormatting sqref="P181">
    <cfRule type="cellIs" dxfId="1806" priority="2753" stopIfTrue="1" operator="equal">
      <formula>1</formula>
    </cfRule>
    <cfRule type="cellIs" dxfId="1805" priority="2762" stopIfTrue="1" operator="equal">
      <formula>2</formula>
    </cfRule>
    <cfRule type="cellIs" dxfId="1804" priority="2763" stopIfTrue="1" operator="equal">
      <formula>"X"</formula>
    </cfRule>
  </conditionalFormatting>
  <conditionalFormatting sqref="GU181">
    <cfRule type="cellIs" dxfId="1803" priority="2755" stopIfTrue="1" operator="equal">
      <formula>0</formula>
    </cfRule>
    <cfRule type="cellIs" dxfId="1802" priority="2756" stopIfTrue="1" operator="notEqual">
      <formula>0</formula>
    </cfRule>
  </conditionalFormatting>
  <conditionalFormatting sqref="GV181">
    <cfRule type="cellIs" dxfId="1801" priority="2754" stopIfTrue="1" operator="equal">
      <formula>"STOP"</formula>
    </cfRule>
  </conditionalFormatting>
  <conditionalFormatting sqref="Q180">
    <cfRule type="cellIs" dxfId="1800" priority="2748" stopIfTrue="1" operator="equal">
      <formula>"SIM"</formula>
    </cfRule>
    <cfRule type="cellIs" dxfId="1799" priority="2749" stopIfTrue="1" operator="equal">
      <formula>"NÃO"</formula>
    </cfRule>
  </conditionalFormatting>
  <conditionalFormatting sqref="BF180 CJ180 DO180">
    <cfRule type="cellIs" dxfId="1798" priority="2744" stopIfTrue="1" operator="equal">
      <formula>0</formula>
    </cfRule>
    <cfRule type="cellIs" dxfId="1797" priority="2750" stopIfTrue="1" operator="notEqual">
      <formula>0</formula>
    </cfRule>
  </conditionalFormatting>
  <conditionalFormatting sqref="C180:D180">
    <cfRule type="expression" dxfId="1796" priority="2747" stopIfTrue="1">
      <formula>IF(AND($C180&lt;&gt;"",$H180+$L180=0),TRUE)</formula>
    </cfRule>
  </conditionalFormatting>
  <conditionalFormatting sqref="P180">
    <cfRule type="cellIs" dxfId="1795" priority="2736" stopIfTrue="1" operator="equal">
      <formula>1</formula>
    </cfRule>
    <cfRule type="cellIs" dxfId="1794" priority="2745" stopIfTrue="1" operator="equal">
      <formula>2</formula>
    </cfRule>
    <cfRule type="cellIs" dxfId="1793" priority="2746" stopIfTrue="1" operator="equal">
      <formula>"X"</formula>
    </cfRule>
  </conditionalFormatting>
  <conditionalFormatting sqref="GU180">
    <cfRule type="cellIs" dxfId="1792" priority="2738" stopIfTrue="1" operator="equal">
      <formula>0</formula>
    </cfRule>
    <cfRule type="cellIs" dxfId="1791" priority="2739" stopIfTrue="1" operator="notEqual">
      <formula>0</formula>
    </cfRule>
  </conditionalFormatting>
  <conditionalFormatting sqref="GV180">
    <cfRule type="cellIs" dxfId="1790" priority="2737" stopIfTrue="1" operator="equal">
      <formula>"STOP"</formula>
    </cfRule>
  </conditionalFormatting>
  <conditionalFormatting sqref="Q181">
    <cfRule type="cellIs" dxfId="1789" priority="2731" stopIfTrue="1" operator="equal">
      <formula>"SIM"</formula>
    </cfRule>
    <cfRule type="cellIs" dxfId="1788" priority="2732" stopIfTrue="1" operator="equal">
      <formula>"NÃO"</formula>
    </cfRule>
  </conditionalFormatting>
  <conditionalFormatting sqref="BF181 CJ181 DO181">
    <cfRule type="cellIs" dxfId="1787" priority="2727" stopIfTrue="1" operator="equal">
      <formula>0</formula>
    </cfRule>
    <cfRule type="cellIs" dxfId="1786" priority="2733" stopIfTrue="1" operator="notEqual">
      <formula>0</formula>
    </cfRule>
  </conditionalFormatting>
  <conditionalFormatting sqref="C181:D181">
    <cfRule type="expression" dxfId="1785" priority="2730" stopIfTrue="1">
      <formula>IF(AND($C181&lt;&gt;"",$H181+$L181=0),TRUE)</formula>
    </cfRule>
  </conditionalFormatting>
  <conditionalFormatting sqref="P181">
    <cfRule type="cellIs" dxfId="1784" priority="2719" stopIfTrue="1" operator="equal">
      <formula>1</formula>
    </cfRule>
    <cfRule type="cellIs" dxfId="1783" priority="2728" stopIfTrue="1" operator="equal">
      <formula>2</formula>
    </cfRule>
    <cfRule type="cellIs" dxfId="1782" priority="2729" stopIfTrue="1" operator="equal">
      <formula>"X"</formula>
    </cfRule>
  </conditionalFormatting>
  <conditionalFormatting sqref="GU181">
    <cfRule type="cellIs" dxfId="1781" priority="2721" stopIfTrue="1" operator="equal">
      <formula>0</formula>
    </cfRule>
    <cfRule type="cellIs" dxfId="1780" priority="2722" stopIfTrue="1" operator="notEqual">
      <formula>0</formula>
    </cfRule>
  </conditionalFormatting>
  <conditionalFormatting sqref="GV181">
    <cfRule type="cellIs" dxfId="1779" priority="2720" stopIfTrue="1" operator="equal">
      <formula>"STOP"</formula>
    </cfRule>
  </conditionalFormatting>
  <conditionalFormatting sqref="Q182">
    <cfRule type="cellIs" dxfId="1778" priority="2714" stopIfTrue="1" operator="equal">
      <formula>"SIM"</formula>
    </cfRule>
    <cfRule type="cellIs" dxfId="1777" priority="2715" stopIfTrue="1" operator="equal">
      <formula>"NÃO"</formula>
    </cfRule>
  </conditionalFormatting>
  <conditionalFormatting sqref="BF182 CJ182 DO182">
    <cfRule type="cellIs" dxfId="1776" priority="2710" stopIfTrue="1" operator="equal">
      <formula>0</formula>
    </cfRule>
    <cfRule type="cellIs" dxfId="1775" priority="2716" stopIfTrue="1" operator="notEqual">
      <formula>0</formula>
    </cfRule>
  </conditionalFormatting>
  <conditionalFormatting sqref="C182:D182">
    <cfRule type="expression" dxfId="1774" priority="2713" stopIfTrue="1">
      <formula>IF(AND($C182&lt;&gt;"",$H182+$L182=0),TRUE)</formula>
    </cfRule>
  </conditionalFormatting>
  <conditionalFormatting sqref="P182">
    <cfRule type="cellIs" dxfId="1773" priority="2702" stopIfTrue="1" operator="equal">
      <formula>1</formula>
    </cfRule>
    <cfRule type="cellIs" dxfId="1772" priority="2711" stopIfTrue="1" operator="equal">
      <formula>2</formula>
    </cfRule>
    <cfRule type="cellIs" dxfId="1771" priority="2712" stopIfTrue="1" operator="equal">
      <formula>"X"</formula>
    </cfRule>
  </conditionalFormatting>
  <conditionalFormatting sqref="GU182">
    <cfRule type="cellIs" dxfId="1770" priority="2704" stopIfTrue="1" operator="equal">
      <formula>0</formula>
    </cfRule>
    <cfRule type="cellIs" dxfId="1769" priority="2705" stopIfTrue="1" operator="notEqual">
      <formula>0</formula>
    </cfRule>
  </conditionalFormatting>
  <conditionalFormatting sqref="GV182">
    <cfRule type="cellIs" dxfId="1768" priority="2703" stopIfTrue="1" operator="equal">
      <formula>"STOP"</formula>
    </cfRule>
  </conditionalFormatting>
  <conditionalFormatting sqref="Q180">
    <cfRule type="cellIs" dxfId="1767" priority="2697" stopIfTrue="1" operator="equal">
      <formula>"SIM"</formula>
    </cfRule>
    <cfRule type="cellIs" dxfId="1766" priority="2698" stopIfTrue="1" operator="equal">
      <formula>"NÃO"</formula>
    </cfRule>
  </conditionalFormatting>
  <conditionalFormatting sqref="BF180 CJ180 DO180">
    <cfRule type="cellIs" dxfId="1765" priority="2693" stopIfTrue="1" operator="equal">
      <formula>0</formula>
    </cfRule>
    <cfRule type="cellIs" dxfId="1764" priority="2699" stopIfTrue="1" operator="notEqual">
      <formula>0</formula>
    </cfRule>
  </conditionalFormatting>
  <conditionalFormatting sqref="C180:D180">
    <cfRule type="expression" dxfId="1763" priority="2696" stopIfTrue="1">
      <formula>IF(AND($C180&lt;&gt;"",$H180+$L180=0),TRUE)</formula>
    </cfRule>
  </conditionalFormatting>
  <conditionalFormatting sqref="P180">
    <cfRule type="cellIs" dxfId="1762" priority="2685" stopIfTrue="1" operator="equal">
      <formula>1</formula>
    </cfRule>
    <cfRule type="cellIs" dxfId="1761" priority="2694" stopIfTrue="1" operator="equal">
      <formula>2</formula>
    </cfRule>
    <cfRule type="cellIs" dxfId="1760" priority="2695" stopIfTrue="1" operator="equal">
      <formula>"X"</formula>
    </cfRule>
  </conditionalFormatting>
  <conditionalFormatting sqref="GU180">
    <cfRule type="cellIs" dxfId="1759" priority="2687" stopIfTrue="1" operator="equal">
      <formula>0</formula>
    </cfRule>
    <cfRule type="cellIs" dxfId="1758" priority="2688" stopIfTrue="1" operator="notEqual">
      <formula>0</formula>
    </cfRule>
  </conditionalFormatting>
  <conditionalFormatting sqref="GV180">
    <cfRule type="cellIs" dxfId="1757" priority="2686" stopIfTrue="1" operator="equal">
      <formula>"STOP"</formula>
    </cfRule>
  </conditionalFormatting>
  <conditionalFormatting sqref="Q181">
    <cfRule type="cellIs" dxfId="1756" priority="2680" stopIfTrue="1" operator="equal">
      <formula>"SIM"</formula>
    </cfRule>
    <cfRule type="cellIs" dxfId="1755" priority="2681" stopIfTrue="1" operator="equal">
      <formula>"NÃO"</formula>
    </cfRule>
  </conditionalFormatting>
  <conditionalFormatting sqref="BF181 CJ181 DO181">
    <cfRule type="cellIs" dxfId="1754" priority="2676" stopIfTrue="1" operator="equal">
      <formula>0</formula>
    </cfRule>
    <cfRule type="cellIs" dxfId="1753" priority="2682" stopIfTrue="1" operator="notEqual">
      <formula>0</formula>
    </cfRule>
  </conditionalFormatting>
  <conditionalFormatting sqref="C181:D181">
    <cfRule type="expression" dxfId="1752" priority="2679" stopIfTrue="1">
      <formula>IF(AND($C181&lt;&gt;"",$H181+$L181=0),TRUE)</formula>
    </cfRule>
  </conditionalFormatting>
  <conditionalFormatting sqref="P181">
    <cfRule type="cellIs" dxfId="1751" priority="2668" stopIfTrue="1" operator="equal">
      <formula>1</formula>
    </cfRule>
    <cfRule type="cellIs" dxfId="1750" priority="2677" stopIfTrue="1" operator="equal">
      <formula>2</formula>
    </cfRule>
    <cfRule type="cellIs" dxfId="1749" priority="2678" stopIfTrue="1" operator="equal">
      <formula>"X"</formula>
    </cfRule>
  </conditionalFormatting>
  <conditionalFormatting sqref="GU181">
    <cfRule type="cellIs" dxfId="1748" priority="2670" stopIfTrue="1" operator="equal">
      <formula>0</formula>
    </cfRule>
    <cfRule type="cellIs" dxfId="1747" priority="2671" stopIfTrue="1" operator="notEqual">
      <formula>0</formula>
    </cfRule>
  </conditionalFormatting>
  <conditionalFormatting sqref="GV181">
    <cfRule type="cellIs" dxfId="1746" priority="2669" stopIfTrue="1" operator="equal">
      <formula>"STOP"</formula>
    </cfRule>
  </conditionalFormatting>
  <conditionalFormatting sqref="Q182">
    <cfRule type="cellIs" dxfId="1745" priority="2663" stopIfTrue="1" operator="equal">
      <formula>"SIM"</formula>
    </cfRule>
    <cfRule type="cellIs" dxfId="1744" priority="2664" stopIfTrue="1" operator="equal">
      <formula>"NÃO"</formula>
    </cfRule>
  </conditionalFormatting>
  <conditionalFormatting sqref="BF182 CJ182 DO182">
    <cfRule type="cellIs" dxfId="1743" priority="2659" stopIfTrue="1" operator="equal">
      <formula>0</formula>
    </cfRule>
    <cfRule type="cellIs" dxfId="1742" priority="2665" stopIfTrue="1" operator="notEqual">
      <formula>0</formula>
    </cfRule>
  </conditionalFormatting>
  <conditionalFormatting sqref="C182:D182">
    <cfRule type="expression" dxfId="1741" priority="2662" stopIfTrue="1">
      <formula>IF(AND($C182&lt;&gt;"",$H182+$L182=0),TRUE)</formula>
    </cfRule>
  </conditionalFormatting>
  <conditionalFormatting sqref="P182">
    <cfRule type="cellIs" dxfId="1740" priority="2651" stopIfTrue="1" operator="equal">
      <formula>1</formula>
    </cfRule>
    <cfRule type="cellIs" dxfId="1739" priority="2660" stopIfTrue="1" operator="equal">
      <formula>2</formula>
    </cfRule>
    <cfRule type="cellIs" dxfId="1738" priority="2661" stopIfTrue="1" operator="equal">
      <formula>"X"</formula>
    </cfRule>
  </conditionalFormatting>
  <conditionalFormatting sqref="GU182">
    <cfRule type="cellIs" dxfId="1737" priority="2653" stopIfTrue="1" operator="equal">
      <formula>0</formula>
    </cfRule>
    <cfRule type="cellIs" dxfId="1736" priority="2654" stopIfTrue="1" operator="notEqual">
      <formula>0</formula>
    </cfRule>
  </conditionalFormatting>
  <conditionalFormatting sqref="GV182">
    <cfRule type="cellIs" dxfId="1735" priority="2652" stopIfTrue="1" operator="equal">
      <formula>"STOP"</formula>
    </cfRule>
  </conditionalFormatting>
  <conditionalFormatting sqref="Q180">
    <cfRule type="cellIs" dxfId="1734" priority="2646" stopIfTrue="1" operator="equal">
      <formula>"SIM"</formula>
    </cfRule>
    <cfRule type="cellIs" dxfId="1733" priority="2647" stopIfTrue="1" operator="equal">
      <formula>"NÃO"</formula>
    </cfRule>
  </conditionalFormatting>
  <conditionalFormatting sqref="BF180 CJ180 DO180">
    <cfRule type="cellIs" dxfId="1732" priority="2642" stopIfTrue="1" operator="equal">
      <formula>0</formula>
    </cfRule>
    <cfRule type="cellIs" dxfId="1731" priority="2648" stopIfTrue="1" operator="notEqual">
      <formula>0</formula>
    </cfRule>
  </conditionalFormatting>
  <conditionalFormatting sqref="C180:D180">
    <cfRule type="expression" dxfId="1730" priority="2645" stopIfTrue="1">
      <formula>IF(AND($C180&lt;&gt;"",$H180+$L180=0),TRUE)</formula>
    </cfRule>
  </conditionalFormatting>
  <conditionalFormatting sqref="P180">
    <cfRule type="cellIs" dxfId="1729" priority="2634" stopIfTrue="1" operator="equal">
      <formula>1</formula>
    </cfRule>
    <cfRule type="cellIs" dxfId="1728" priority="2643" stopIfTrue="1" operator="equal">
      <formula>2</formula>
    </cfRule>
    <cfRule type="cellIs" dxfId="1727" priority="2644" stopIfTrue="1" operator="equal">
      <formula>"X"</formula>
    </cfRule>
  </conditionalFormatting>
  <conditionalFormatting sqref="GU180">
    <cfRule type="cellIs" dxfId="1726" priority="2636" stopIfTrue="1" operator="equal">
      <formula>0</formula>
    </cfRule>
    <cfRule type="cellIs" dxfId="1725" priority="2637" stopIfTrue="1" operator="notEqual">
      <formula>0</formula>
    </cfRule>
  </conditionalFormatting>
  <conditionalFormatting sqref="GV180">
    <cfRule type="cellIs" dxfId="1724" priority="2635" stopIfTrue="1" operator="equal">
      <formula>"STOP"</formula>
    </cfRule>
  </conditionalFormatting>
  <conditionalFormatting sqref="Q181">
    <cfRule type="cellIs" dxfId="1723" priority="2629" stopIfTrue="1" operator="equal">
      <formula>"SIM"</formula>
    </cfRule>
    <cfRule type="cellIs" dxfId="1722" priority="2630" stopIfTrue="1" operator="equal">
      <formula>"NÃO"</formula>
    </cfRule>
  </conditionalFormatting>
  <conditionalFormatting sqref="BF181 CJ181 DO181">
    <cfRule type="cellIs" dxfId="1721" priority="2625" stopIfTrue="1" operator="equal">
      <formula>0</formula>
    </cfRule>
    <cfRule type="cellIs" dxfId="1720" priority="2631" stopIfTrue="1" operator="notEqual">
      <formula>0</formula>
    </cfRule>
  </conditionalFormatting>
  <conditionalFormatting sqref="C181:D181">
    <cfRule type="expression" dxfId="1719" priority="2628" stopIfTrue="1">
      <formula>IF(AND($C181&lt;&gt;"",$H181+$L181=0),TRUE)</formula>
    </cfRule>
  </conditionalFormatting>
  <conditionalFormatting sqref="P181">
    <cfRule type="cellIs" dxfId="1718" priority="2617" stopIfTrue="1" operator="equal">
      <formula>1</formula>
    </cfRule>
    <cfRule type="cellIs" dxfId="1717" priority="2626" stopIfTrue="1" operator="equal">
      <formula>2</formula>
    </cfRule>
    <cfRule type="cellIs" dxfId="1716" priority="2627" stopIfTrue="1" operator="equal">
      <formula>"X"</formula>
    </cfRule>
  </conditionalFormatting>
  <conditionalFormatting sqref="GU181">
    <cfRule type="cellIs" dxfId="1715" priority="2619" stopIfTrue="1" operator="equal">
      <formula>0</formula>
    </cfRule>
    <cfRule type="cellIs" dxfId="1714" priority="2620" stopIfTrue="1" operator="notEqual">
      <formula>0</formula>
    </cfRule>
  </conditionalFormatting>
  <conditionalFormatting sqref="GV181">
    <cfRule type="cellIs" dxfId="1713" priority="2618" stopIfTrue="1" operator="equal">
      <formula>"STOP"</formula>
    </cfRule>
  </conditionalFormatting>
  <conditionalFormatting sqref="Q182">
    <cfRule type="cellIs" dxfId="1712" priority="2612" stopIfTrue="1" operator="equal">
      <formula>"SIM"</formula>
    </cfRule>
    <cfRule type="cellIs" dxfId="1711" priority="2613" stopIfTrue="1" operator="equal">
      <formula>"NÃO"</formula>
    </cfRule>
  </conditionalFormatting>
  <conditionalFormatting sqref="BF182 CJ182 DO182">
    <cfRule type="cellIs" dxfId="1710" priority="2608" stopIfTrue="1" operator="equal">
      <formula>0</formula>
    </cfRule>
    <cfRule type="cellIs" dxfId="1709" priority="2614" stopIfTrue="1" operator="notEqual">
      <formula>0</formula>
    </cfRule>
  </conditionalFormatting>
  <conditionalFormatting sqref="C182:D182">
    <cfRule type="expression" dxfId="1708" priority="2611" stopIfTrue="1">
      <formula>IF(AND($C182&lt;&gt;"",$H182+$L182=0),TRUE)</formula>
    </cfRule>
  </conditionalFormatting>
  <conditionalFormatting sqref="P182">
    <cfRule type="cellIs" dxfId="1707" priority="2600" stopIfTrue="1" operator="equal">
      <formula>1</formula>
    </cfRule>
    <cfRule type="cellIs" dxfId="1706" priority="2609" stopIfTrue="1" operator="equal">
      <formula>2</formula>
    </cfRule>
    <cfRule type="cellIs" dxfId="1705" priority="2610" stopIfTrue="1" operator="equal">
      <formula>"X"</formula>
    </cfRule>
  </conditionalFormatting>
  <conditionalFormatting sqref="GU182">
    <cfRule type="cellIs" dxfId="1704" priority="2602" stopIfTrue="1" operator="equal">
      <formula>0</formula>
    </cfRule>
    <cfRule type="cellIs" dxfId="1703" priority="2603" stopIfTrue="1" operator="notEqual">
      <formula>0</formula>
    </cfRule>
  </conditionalFormatting>
  <conditionalFormatting sqref="GV182">
    <cfRule type="cellIs" dxfId="1702" priority="2601" stopIfTrue="1" operator="equal">
      <formula>"STOP"</formula>
    </cfRule>
  </conditionalFormatting>
  <conditionalFormatting sqref="Q180">
    <cfRule type="cellIs" dxfId="1701" priority="2595" stopIfTrue="1" operator="equal">
      <formula>"SIM"</formula>
    </cfRule>
    <cfRule type="cellIs" dxfId="1700" priority="2596" stopIfTrue="1" operator="equal">
      <formula>"NÃO"</formula>
    </cfRule>
  </conditionalFormatting>
  <conditionalFormatting sqref="BF180 CJ180 DO180">
    <cfRule type="cellIs" dxfId="1699" priority="2591" stopIfTrue="1" operator="equal">
      <formula>0</formula>
    </cfRule>
    <cfRule type="cellIs" dxfId="1698" priority="2597" stopIfTrue="1" operator="notEqual">
      <formula>0</formula>
    </cfRule>
  </conditionalFormatting>
  <conditionalFormatting sqref="C180:D180">
    <cfRule type="expression" dxfId="1697" priority="2594" stopIfTrue="1">
      <formula>IF(AND($C180&lt;&gt;"",$H180+$L180=0),TRUE)</formula>
    </cfRule>
  </conditionalFormatting>
  <conditionalFormatting sqref="P180">
    <cfRule type="cellIs" dxfId="1696" priority="2583" stopIfTrue="1" operator="equal">
      <formula>1</formula>
    </cfRule>
    <cfRule type="cellIs" dxfId="1695" priority="2592" stopIfTrue="1" operator="equal">
      <formula>2</formula>
    </cfRule>
    <cfRule type="cellIs" dxfId="1694" priority="2593" stopIfTrue="1" operator="equal">
      <formula>"X"</formula>
    </cfRule>
  </conditionalFormatting>
  <conditionalFormatting sqref="GU180">
    <cfRule type="cellIs" dxfId="1693" priority="2585" stopIfTrue="1" operator="equal">
      <formula>0</formula>
    </cfRule>
    <cfRule type="cellIs" dxfId="1692" priority="2586" stopIfTrue="1" operator="notEqual">
      <formula>0</formula>
    </cfRule>
  </conditionalFormatting>
  <conditionalFormatting sqref="GV180">
    <cfRule type="cellIs" dxfId="1691" priority="2584" stopIfTrue="1" operator="equal">
      <formula>"STOP"</formula>
    </cfRule>
  </conditionalFormatting>
  <conditionalFormatting sqref="Q181">
    <cfRule type="cellIs" dxfId="1690" priority="2578" stopIfTrue="1" operator="equal">
      <formula>"SIM"</formula>
    </cfRule>
    <cfRule type="cellIs" dxfId="1689" priority="2579" stopIfTrue="1" operator="equal">
      <formula>"NÃO"</formula>
    </cfRule>
  </conditionalFormatting>
  <conditionalFormatting sqref="BF181 CJ181 DO181">
    <cfRule type="cellIs" dxfId="1688" priority="2574" stopIfTrue="1" operator="equal">
      <formula>0</formula>
    </cfRule>
    <cfRule type="cellIs" dxfId="1687" priority="2580" stopIfTrue="1" operator="notEqual">
      <formula>0</formula>
    </cfRule>
  </conditionalFormatting>
  <conditionalFormatting sqref="C181:D181">
    <cfRule type="expression" dxfId="1686" priority="2577" stopIfTrue="1">
      <formula>IF(AND($C181&lt;&gt;"",$H181+$L181=0),TRUE)</formula>
    </cfRule>
  </conditionalFormatting>
  <conditionalFormatting sqref="P181">
    <cfRule type="cellIs" dxfId="1685" priority="2566" stopIfTrue="1" operator="equal">
      <formula>1</formula>
    </cfRule>
    <cfRule type="cellIs" dxfId="1684" priority="2575" stopIfTrue="1" operator="equal">
      <formula>2</formula>
    </cfRule>
    <cfRule type="cellIs" dxfId="1683" priority="2576" stopIfTrue="1" operator="equal">
      <formula>"X"</formula>
    </cfRule>
  </conditionalFormatting>
  <conditionalFormatting sqref="GU181">
    <cfRule type="cellIs" dxfId="1682" priority="2568" stopIfTrue="1" operator="equal">
      <formula>0</formula>
    </cfRule>
    <cfRule type="cellIs" dxfId="1681" priority="2569" stopIfTrue="1" operator="notEqual">
      <formula>0</formula>
    </cfRule>
  </conditionalFormatting>
  <conditionalFormatting sqref="GV181">
    <cfRule type="cellIs" dxfId="1680" priority="2567" stopIfTrue="1" operator="equal">
      <formula>"STOP"</formula>
    </cfRule>
  </conditionalFormatting>
  <conditionalFormatting sqref="Q180">
    <cfRule type="cellIs" dxfId="1679" priority="2561" stopIfTrue="1" operator="equal">
      <formula>"SIM"</formula>
    </cfRule>
    <cfRule type="cellIs" dxfId="1678" priority="2562" stopIfTrue="1" operator="equal">
      <formula>"NÃO"</formula>
    </cfRule>
  </conditionalFormatting>
  <conditionalFormatting sqref="BF180 CJ180 DO180">
    <cfRule type="cellIs" dxfId="1677" priority="2557" stopIfTrue="1" operator="equal">
      <formula>0</formula>
    </cfRule>
    <cfRule type="cellIs" dxfId="1676" priority="2563" stopIfTrue="1" operator="notEqual">
      <formula>0</formula>
    </cfRule>
  </conditionalFormatting>
  <conditionalFormatting sqref="C180:D180">
    <cfRule type="expression" dxfId="1675" priority="2560" stopIfTrue="1">
      <formula>IF(AND($C180&lt;&gt;"",$H180+$L180=0),TRUE)</formula>
    </cfRule>
  </conditionalFormatting>
  <conditionalFormatting sqref="P180">
    <cfRule type="cellIs" dxfId="1674" priority="2549" stopIfTrue="1" operator="equal">
      <formula>1</formula>
    </cfRule>
    <cfRule type="cellIs" dxfId="1673" priority="2558" stopIfTrue="1" operator="equal">
      <formula>2</formula>
    </cfRule>
    <cfRule type="cellIs" dxfId="1672" priority="2559" stopIfTrue="1" operator="equal">
      <formula>"X"</formula>
    </cfRule>
  </conditionalFormatting>
  <conditionalFormatting sqref="GU180">
    <cfRule type="cellIs" dxfId="1671" priority="2551" stopIfTrue="1" operator="equal">
      <formula>0</formula>
    </cfRule>
    <cfRule type="cellIs" dxfId="1670" priority="2552" stopIfTrue="1" operator="notEqual">
      <formula>0</formula>
    </cfRule>
  </conditionalFormatting>
  <conditionalFormatting sqref="GV180">
    <cfRule type="cellIs" dxfId="1669" priority="2550" stopIfTrue="1" operator="equal">
      <formula>"STOP"</formula>
    </cfRule>
  </conditionalFormatting>
  <conditionalFormatting sqref="Q181">
    <cfRule type="cellIs" dxfId="1668" priority="2544" stopIfTrue="1" operator="equal">
      <formula>"SIM"</formula>
    </cfRule>
    <cfRule type="cellIs" dxfId="1667" priority="2545" stopIfTrue="1" operator="equal">
      <formula>"NÃO"</formula>
    </cfRule>
  </conditionalFormatting>
  <conditionalFormatting sqref="BF181 CJ181 DO181">
    <cfRule type="cellIs" dxfId="1666" priority="2540" stopIfTrue="1" operator="equal">
      <formula>0</formula>
    </cfRule>
    <cfRule type="cellIs" dxfId="1665" priority="2546" stopIfTrue="1" operator="notEqual">
      <formula>0</formula>
    </cfRule>
  </conditionalFormatting>
  <conditionalFormatting sqref="C181:D181">
    <cfRule type="expression" dxfId="1664" priority="2543" stopIfTrue="1">
      <formula>IF(AND($C181&lt;&gt;"",$H181+$L181=0),TRUE)</formula>
    </cfRule>
  </conditionalFormatting>
  <conditionalFormatting sqref="P181">
    <cfRule type="cellIs" dxfId="1663" priority="2532" stopIfTrue="1" operator="equal">
      <formula>1</formula>
    </cfRule>
    <cfRule type="cellIs" dxfId="1662" priority="2541" stopIfTrue="1" operator="equal">
      <formula>2</formula>
    </cfRule>
    <cfRule type="cellIs" dxfId="1661" priority="2542" stopIfTrue="1" operator="equal">
      <formula>"X"</formula>
    </cfRule>
  </conditionalFormatting>
  <conditionalFormatting sqref="GU181">
    <cfRule type="cellIs" dxfId="1660" priority="2534" stopIfTrue="1" operator="equal">
      <formula>0</formula>
    </cfRule>
    <cfRule type="cellIs" dxfId="1659" priority="2535" stopIfTrue="1" operator="notEqual">
      <formula>0</formula>
    </cfRule>
  </conditionalFormatting>
  <conditionalFormatting sqref="GV181">
    <cfRule type="cellIs" dxfId="1658" priority="2533" stopIfTrue="1" operator="equal">
      <formula>"STOP"</formula>
    </cfRule>
  </conditionalFormatting>
  <conditionalFormatting sqref="Q182">
    <cfRule type="cellIs" dxfId="1657" priority="2527" stopIfTrue="1" operator="equal">
      <formula>"SIM"</formula>
    </cfRule>
    <cfRule type="cellIs" dxfId="1656" priority="2528" stopIfTrue="1" operator="equal">
      <formula>"NÃO"</formula>
    </cfRule>
  </conditionalFormatting>
  <conditionalFormatting sqref="BF182 CJ182 DO182">
    <cfRule type="cellIs" dxfId="1655" priority="2523" stopIfTrue="1" operator="equal">
      <formula>0</formula>
    </cfRule>
    <cfRule type="cellIs" dxfId="1654" priority="2529" stopIfTrue="1" operator="notEqual">
      <formula>0</formula>
    </cfRule>
  </conditionalFormatting>
  <conditionalFormatting sqref="C182:D182">
    <cfRule type="expression" dxfId="1653" priority="2526" stopIfTrue="1">
      <formula>IF(AND($C182&lt;&gt;"",$H182+$L182=0),TRUE)</formula>
    </cfRule>
  </conditionalFormatting>
  <conditionalFormatting sqref="P182">
    <cfRule type="cellIs" dxfId="1652" priority="2515" stopIfTrue="1" operator="equal">
      <formula>1</formula>
    </cfRule>
    <cfRule type="cellIs" dxfId="1651" priority="2524" stopIfTrue="1" operator="equal">
      <formula>2</formula>
    </cfRule>
    <cfRule type="cellIs" dxfId="1650" priority="2525" stopIfTrue="1" operator="equal">
      <formula>"X"</formula>
    </cfRule>
  </conditionalFormatting>
  <conditionalFormatting sqref="GU182">
    <cfRule type="cellIs" dxfId="1649" priority="2517" stopIfTrue="1" operator="equal">
      <formula>0</formula>
    </cfRule>
    <cfRule type="cellIs" dxfId="1648" priority="2518" stopIfTrue="1" operator="notEqual">
      <formula>0</formula>
    </cfRule>
  </conditionalFormatting>
  <conditionalFormatting sqref="GV182">
    <cfRule type="cellIs" dxfId="1647" priority="2516" stopIfTrue="1" operator="equal">
      <formula>"STOP"</formula>
    </cfRule>
  </conditionalFormatting>
  <conditionalFormatting sqref="Q180">
    <cfRule type="cellIs" dxfId="1646" priority="2510" stopIfTrue="1" operator="equal">
      <formula>"SIM"</formula>
    </cfRule>
    <cfRule type="cellIs" dxfId="1645" priority="2511" stopIfTrue="1" operator="equal">
      <formula>"NÃO"</formula>
    </cfRule>
  </conditionalFormatting>
  <conditionalFormatting sqref="BF180 CJ180 DO180">
    <cfRule type="cellIs" dxfId="1644" priority="2506" stopIfTrue="1" operator="equal">
      <formula>0</formula>
    </cfRule>
    <cfRule type="cellIs" dxfId="1643" priority="2512" stopIfTrue="1" operator="notEqual">
      <formula>0</formula>
    </cfRule>
  </conditionalFormatting>
  <conditionalFormatting sqref="C180:D180">
    <cfRule type="expression" dxfId="1642" priority="2509" stopIfTrue="1">
      <formula>IF(AND($C180&lt;&gt;"",$H180+$L180=0),TRUE)</formula>
    </cfRule>
  </conditionalFormatting>
  <conditionalFormatting sqref="P180">
    <cfRule type="cellIs" dxfId="1641" priority="2498" stopIfTrue="1" operator="equal">
      <formula>1</formula>
    </cfRule>
    <cfRule type="cellIs" dxfId="1640" priority="2507" stopIfTrue="1" operator="equal">
      <formula>2</formula>
    </cfRule>
    <cfRule type="cellIs" dxfId="1639" priority="2508" stopIfTrue="1" operator="equal">
      <formula>"X"</formula>
    </cfRule>
  </conditionalFormatting>
  <conditionalFormatting sqref="GU180">
    <cfRule type="cellIs" dxfId="1638" priority="2500" stopIfTrue="1" operator="equal">
      <formula>0</formula>
    </cfRule>
    <cfRule type="cellIs" dxfId="1637" priority="2501" stopIfTrue="1" operator="notEqual">
      <formula>0</formula>
    </cfRule>
  </conditionalFormatting>
  <conditionalFormatting sqref="GV180">
    <cfRule type="cellIs" dxfId="1636" priority="2499" stopIfTrue="1" operator="equal">
      <formula>"STOP"</formula>
    </cfRule>
  </conditionalFormatting>
  <conditionalFormatting sqref="Q181">
    <cfRule type="cellIs" dxfId="1635" priority="2493" stopIfTrue="1" operator="equal">
      <formula>"SIM"</formula>
    </cfRule>
    <cfRule type="cellIs" dxfId="1634" priority="2494" stopIfTrue="1" operator="equal">
      <formula>"NÃO"</formula>
    </cfRule>
  </conditionalFormatting>
  <conditionalFormatting sqref="BF181 CJ181 DO181">
    <cfRule type="cellIs" dxfId="1633" priority="2489" stopIfTrue="1" operator="equal">
      <formula>0</formula>
    </cfRule>
    <cfRule type="cellIs" dxfId="1632" priority="2495" stopIfTrue="1" operator="notEqual">
      <formula>0</formula>
    </cfRule>
  </conditionalFormatting>
  <conditionalFormatting sqref="C181:D181">
    <cfRule type="expression" dxfId="1631" priority="2492" stopIfTrue="1">
      <formula>IF(AND($C181&lt;&gt;"",$H181+$L181=0),TRUE)</formula>
    </cfRule>
  </conditionalFormatting>
  <conditionalFormatting sqref="P181">
    <cfRule type="cellIs" dxfId="1630" priority="2481" stopIfTrue="1" operator="equal">
      <formula>1</formula>
    </cfRule>
    <cfRule type="cellIs" dxfId="1629" priority="2490" stopIfTrue="1" operator="equal">
      <formula>2</formula>
    </cfRule>
    <cfRule type="cellIs" dxfId="1628" priority="2491" stopIfTrue="1" operator="equal">
      <formula>"X"</formula>
    </cfRule>
  </conditionalFormatting>
  <conditionalFormatting sqref="GU181">
    <cfRule type="cellIs" dxfId="1627" priority="2483" stopIfTrue="1" operator="equal">
      <formula>0</formula>
    </cfRule>
    <cfRule type="cellIs" dxfId="1626" priority="2484" stopIfTrue="1" operator="notEqual">
      <formula>0</formula>
    </cfRule>
  </conditionalFormatting>
  <conditionalFormatting sqref="GV181">
    <cfRule type="cellIs" dxfId="1625" priority="2482" stopIfTrue="1" operator="equal">
      <formula>"STOP"</formula>
    </cfRule>
  </conditionalFormatting>
  <conditionalFormatting sqref="Q182">
    <cfRule type="cellIs" dxfId="1624" priority="2476" stopIfTrue="1" operator="equal">
      <formula>"SIM"</formula>
    </cfRule>
    <cfRule type="cellIs" dxfId="1623" priority="2477" stopIfTrue="1" operator="equal">
      <formula>"NÃO"</formula>
    </cfRule>
  </conditionalFormatting>
  <conditionalFormatting sqref="BF182 CJ182 DO182">
    <cfRule type="cellIs" dxfId="1622" priority="2472" stopIfTrue="1" operator="equal">
      <formula>0</formula>
    </cfRule>
    <cfRule type="cellIs" dxfId="1621" priority="2478" stopIfTrue="1" operator="notEqual">
      <formula>0</formula>
    </cfRule>
  </conditionalFormatting>
  <conditionalFormatting sqref="C182:D182">
    <cfRule type="expression" dxfId="1620" priority="2475" stopIfTrue="1">
      <formula>IF(AND($C182&lt;&gt;"",$H182+$L182=0),TRUE)</formula>
    </cfRule>
  </conditionalFormatting>
  <conditionalFormatting sqref="P182">
    <cfRule type="cellIs" dxfId="1619" priority="2464" stopIfTrue="1" operator="equal">
      <formula>1</formula>
    </cfRule>
    <cfRule type="cellIs" dxfId="1618" priority="2473" stopIfTrue="1" operator="equal">
      <formula>2</formula>
    </cfRule>
    <cfRule type="cellIs" dxfId="1617" priority="2474" stopIfTrue="1" operator="equal">
      <formula>"X"</formula>
    </cfRule>
  </conditionalFormatting>
  <conditionalFormatting sqref="GU182">
    <cfRule type="cellIs" dxfId="1616" priority="2466" stopIfTrue="1" operator="equal">
      <formula>0</formula>
    </cfRule>
    <cfRule type="cellIs" dxfId="1615" priority="2467" stopIfTrue="1" operator="notEqual">
      <formula>0</formula>
    </cfRule>
  </conditionalFormatting>
  <conditionalFormatting sqref="GV182">
    <cfRule type="cellIs" dxfId="1614" priority="2465" stopIfTrue="1" operator="equal">
      <formula>"STOP"</formula>
    </cfRule>
  </conditionalFormatting>
  <conditionalFormatting sqref="Q180">
    <cfRule type="cellIs" dxfId="1613" priority="2459" stopIfTrue="1" operator="equal">
      <formula>"SIM"</formula>
    </cfRule>
    <cfRule type="cellIs" dxfId="1612" priority="2460" stopIfTrue="1" operator="equal">
      <formula>"NÃO"</formula>
    </cfRule>
  </conditionalFormatting>
  <conditionalFormatting sqref="BF180 CJ180 DO180">
    <cfRule type="cellIs" dxfId="1611" priority="2455" stopIfTrue="1" operator="equal">
      <formula>0</formula>
    </cfRule>
    <cfRule type="cellIs" dxfId="1610" priority="2461" stopIfTrue="1" operator="notEqual">
      <formula>0</formula>
    </cfRule>
  </conditionalFormatting>
  <conditionalFormatting sqref="C180:D180">
    <cfRule type="expression" dxfId="1609" priority="2458" stopIfTrue="1">
      <formula>IF(AND($C180&lt;&gt;"",$H180+$L180=0),TRUE)</formula>
    </cfRule>
  </conditionalFormatting>
  <conditionalFormatting sqref="P180">
    <cfRule type="cellIs" dxfId="1608" priority="2447" stopIfTrue="1" operator="equal">
      <formula>1</formula>
    </cfRule>
    <cfRule type="cellIs" dxfId="1607" priority="2456" stopIfTrue="1" operator="equal">
      <formula>2</formula>
    </cfRule>
    <cfRule type="cellIs" dxfId="1606" priority="2457" stopIfTrue="1" operator="equal">
      <formula>"X"</formula>
    </cfRule>
  </conditionalFormatting>
  <conditionalFormatting sqref="GU180">
    <cfRule type="cellIs" dxfId="1605" priority="2449" stopIfTrue="1" operator="equal">
      <formula>0</formula>
    </cfRule>
    <cfRule type="cellIs" dxfId="1604" priority="2450" stopIfTrue="1" operator="notEqual">
      <formula>0</formula>
    </cfRule>
  </conditionalFormatting>
  <conditionalFormatting sqref="GV180">
    <cfRule type="cellIs" dxfId="1603" priority="2448" stopIfTrue="1" operator="equal">
      <formula>"STOP"</formula>
    </cfRule>
  </conditionalFormatting>
  <conditionalFormatting sqref="Q181">
    <cfRule type="cellIs" dxfId="1602" priority="2442" stopIfTrue="1" operator="equal">
      <formula>"SIM"</formula>
    </cfRule>
    <cfRule type="cellIs" dxfId="1601" priority="2443" stopIfTrue="1" operator="equal">
      <formula>"NÃO"</formula>
    </cfRule>
  </conditionalFormatting>
  <conditionalFormatting sqref="BF181 CJ181 DO181">
    <cfRule type="cellIs" dxfId="1600" priority="2438" stopIfTrue="1" operator="equal">
      <formula>0</formula>
    </cfRule>
    <cfRule type="cellIs" dxfId="1599" priority="2444" stopIfTrue="1" operator="notEqual">
      <formula>0</formula>
    </cfRule>
  </conditionalFormatting>
  <conditionalFormatting sqref="C181:D181">
    <cfRule type="expression" dxfId="1598" priority="2441" stopIfTrue="1">
      <formula>IF(AND($C181&lt;&gt;"",$H181+$L181=0),TRUE)</formula>
    </cfRule>
  </conditionalFormatting>
  <conditionalFormatting sqref="P181">
    <cfRule type="cellIs" dxfId="1597" priority="2430" stopIfTrue="1" operator="equal">
      <formula>1</formula>
    </cfRule>
    <cfRule type="cellIs" dxfId="1596" priority="2439" stopIfTrue="1" operator="equal">
      <formula>2</formula>
    </cfRule>
    <cfRule type="cellIs" dxfId="1595" priority="2440" stopIfTrue="1" operator="equal">
      <formula>"X"</formula>
    </cfRule>
  </conditionalFormatting>
  <conditionalFormatting sqref="GU181">
    <cfRule type="cellIs" dxfId="1594" priority="2432" stopIfTrue="1" operator="equal">
      <formula>0</formula>
    </cfRule>
    <cfRule type="cellIs" dxfId="1593" priority="2433" stopIfTrue="1" operator="notEqual">
      <formula>0</formula>
    </cfRule>
  </conditionalFormatting>
  <conditionalFormatting sqref="GV181">
    <cfRule type="cellIs" dxfId="1592" priority="2431" stopIfTrue="1" operator="equal">
      <formula>"STOP"</formula>
    </cfRule>
  </conditionalFormatting>
  <conditionalFormatting sqref="Q182">
    <cfRule type="cellIs" dxfId="1591" priority="2425" stopIfTrue="1" operator="equal">
      <formula>"SIM"</formula>
    </cfRule>
    <cfRule type="cellIs" dxfId="1590" priority="2426" stopIfTrue="1" operator="equal">
      <formula>"NÃO"</formula>
    </cfRule>
  </conditionalFormatting>
  <conditionalFormatting sqref="BF182 CJ182 DO182">
    <cfRule type="cellIs" dxfId="1589" priority="2421" stopIfTrue="1" operator="equal">
      <formula>0</formula>
    </cfRule>
    <cfRule type="cellIs" dxfId="1588" priority="2427" stopIfTrue="1" operator="notEqual">
      <formula>0</formula>
    </cfRule>
  </conditionalFormatting>
  <conditionalFormatting sqref="C182:D182">
    <cfRule type="expression" dxfId="1587" priority="2424" stopIfTrue="1">
      <formula>IF(AND($C182&lt;&gt;"",$H182+$L182=0),TRUE)</formula>
    </cfRule>
  </conditionalFormatting>
  <conditionalFormatting sqref="P182">
    <cfRule type="cellIs" dxfId="1586" priority="2413" stopIfTrue="1" operator="equal">
      <formula>1</formula>
    </cfRule>
    <cfRule type="cellIs" dxfId="1585" priority="2422" stopIfTrue="1" operator="equal">
      <formula>2</formula>
    </cfRule>
    <cfRule type="cellIs" dxfId="1584" priority="2423" stopIfTrue="1" operator="equal">
      <formula>"X"</formula>
    </cfRule>
  </conditionalFormatting>
  <conditionalFormatting sqref="GU182">
    <cfRule type="cellIs" dxfId="1583" priority="2415" stopIfTrue="1" operator="equal">
      <formula>0</formula>
    </cfRule>
    <cfRule type="cellIs" dxfId="1582" priority="2416" stopIfTrue="1" operator="notEqual">
      <formula>0</formula>
    </cfRule>
  </conditionalFormatting>
  <conditionalFormatting sqref="GV182">
    <cfRule type="cellIs" dxfId="1581" priority="2414" stopIfTrue="1" operator="equal">
      <formula>"STOP"</formula>
    </cfRule>
  </conditionalFormatting>
  <conditionalFormatting sqref="Q180">
    <cfRule type="cellIs" dxfId="1580" priority="2408" stopIfTrue="1" operator="equal">
      <formula>"SIM"</formula>
    </cfRule>
    <cfRule type="cellIs" dxfId="1579" priority="2409" stopIfTrue="1" operator="equal">
      <formula>"NÃO"</formula>
    </cfRule>
  </conditionalFormatting>
  <conditionalFormatting sqref="BF180 CJ180 DO180">
    <cfRule type="cellIs" dxfId="1578" priority="2404" stopIfTrue="1" operator="equal">
      <formula>0</formula>
    </cfRule>
    <cfRule type="cellIs" dxfId="1577" priority="2410" stopIfTrue="1" operator="notEqual">
      <formula>0</formula>
    </cfRule>
  </conditionalFormatting>
  <conditionalFormatting sqref="C180:D180">
    <cfRule type="expression" dxfId="1576" priority="2407" stopIfTrue="1">
      <formula>IF(AND($C180&lt;&gt;"",$H180+$L180=0),TRUE)</formula>
    </cfRule>
  </conditionalFormatting>
  <conditionalFormatting sqref="P180">
    <cfRule type="cellIs" dxfId="1575" priority="2396" stopIfTrue="1" operator="equal">
      <formula>1</formula>
    </cfRule>
    <cfRule type="cellIs" dxfId="1574" priority="2405" stopIfTrue="1" operator="equal">
      <formula>2</formula>
    </cfRule>
    <cfRule type="cellIs" dxfId="1573" priority="2406" stopIfTrue="1" operator="equal">
      <formula>"X"</formula>
    </cfRule>
  </conditionalFormatting>
  <conditionalFormatting sqref="GU180">
    <cfRule type="cellIs" dxfId="1572" priority="2398" stopIfTrue="1" operator="equal">
      <formula>0</formula>
    </cfRule>
    <cfRule type="cellIs" dxfId="1571" priority="2399" stopIfTrue="1" operator="notEqual">
      <formula>0</formula>
    </cfRule>
  </conditionalFormatting>
  <conditionalFormatting sqref="GV180">
    <cfRule type="cellIs" dxfId="1570" priority="2397" stopIfTrue="1" operator="equal">
      <formula>"STOP"</formula>
    </cfRule>
  </conditionalFormatting>
  <conditionalFormatting sqref="Q181">
    <cfRule type="cellIs" dxfId="1569" priority="2391" stopIfTrue="1" operator="equal">
      <formula>"SIM"</formula>
    </cfRule>
    <cfRule type="cellIs" dxfId="1568" priority="2392" stopIfTrue="1" operator="equal">
      <formula>"NÃO"</formula>
    </cfRule>
  </conditionalFormatting>
  <conditionalFormatting sqref="BF181 CJ181 DO181">
    <cfRule type="cellIs" dxfId="1567" priority="2387" stopIfTrue="1" operator="equal">
      <formula>0</formula>
    </cfRule>
    <cfRule type="cellIs" dxfId="1566" priority="2393" stopIfTrue="1" operator="notEqual">
      <formula>0</formula>
    </cfRule>
  </conditionalFormatting>
  <conditionalFormatting sqref="C181:D181">
    <cfRule type="expression" dxfId="1565" priority="2390" stopIfTrue="1">
      <formula>IF(AND($C181&lt;&gt;"",$H181+$L181=0),TRUE)</formula>
    </cfRule>
  </conditionalFormatting>
  <conditionalFormatting sqref="P181">
    <cfRule type="cellIs" dxfId="1564" priority="2379" stopIfTrue="1" operator="equal">
      <formula>1</formula>
    </cfRule>
    <cfRule type="cellIs" dxfId="1563" priority="2388" stopIfTrue="1" operator="equal">
      <formula>2</formula>
    </cfRule>
    <cfRule type="cellIs" dxfId="1562" priority="2389" stopIfTrue="1" operator="equal">
      <formula>"X"</formula>
    </cfRule>
  </conditionalFormatting>
  <conditionalFormatting sqref="GU181">
    <cfRule type="cellIs" dxfId="1561" priority="2381" stopIfTrue="1" operator="equal">
      <formula>0</formula>
    </cfRule>
    <cfRule type="cellIs" dxfId="1560" priority="2382" stopIfTrue="1" operator="notEqual">
      <formula>0</formula>
    </cfRule>
  </conditionalFormatting>
  <conditionalFormatting sqref="GV181">
    <cfRule type="cellIs" dxfId="1559" priority="2380" stopIfTrue="1" operator="equal">
      <formula>"STOP"</formula>
    </cfRule>
  </conditionalFormatting>
  <conditionalFormatting sqref="Q182">
    <cfRule type="cellIs" dxfId="1558" priority="2374" stopIfTrue="1" operator="equal">
      <formula>"SIM"</formula>
    </cfRule>
    <cfRule type="cellIs" dxfId="1557" priority="2375" stopIfTrue="1" operator="equal">
      <formula>"NÃO"</formula>
    </cfRule>
  </conditionalFormatting>
  <conditionalFormatting sqref="BF182 CJ182 DO182">
    <cfRule type="cellIs" dxfId="1556" priority="2370" stopIfTrue="1" operator="equal">
      <formula>0</formula>
    </cfRule>
    <cfRule type="cellIs" dxfId="1555" priority="2376" stopIfTrue="1" operator="notEqual">
      <formula>0</formula>
    </cfRule>
  </conditionalFormatting>
  <conditionalFormatting sqref="C182:D182">
    <cfRule type="expression" dxfId="1554" priority="2373" stopIfTrue="1">
      <formula>IF(AND($C182&lt;&gt;"",$H182+$L182=0),TRUE)</formula>
    </cfRule>
  </conditionalFormatting>
  <conditionalFormatting sqref="P182">
    <cfRule type="cellIs" dxfId="1553" priority="2362" stopIfTrue="1" operator="equal">
      <formula>1</formula>
    </cfRule>
    <cfRule type="cellIs" dxfId="1552" priority="2371" stopIfTrue="1" operator="equal">
      <formula>2</formula>
    </cfRule>
    <cfRule type="cellIs" dxfId="1551" priority="2372" stopIfTrue="1" operator="equal">
      <formula>"X"</formula>
    </cfRule>
  </conditionalFormatting>
  <conditionalFormatting sqref="GU182">
    <cfRule type="cellIs" dxfId="1550" priority="2364" stopIfTrue="1" operator="equal">
      <formula>0</formula>
    </cfRule>
    <cfRule type="cellIs" dxfId="1549" priority="2365" stopIfTrue="1" operator="notEqual">
      <formula>0</formula>
    </cfRule>
  </conditionalFormatting>
  <conditionalFormatting sqref="GV182">
    <cfRule type="cellIs" dxfId="1548" priority="2363" stopIfTrue="1" operator="equal">
      <formula>"STOP"</formula>
    </cfRule>
  </conditionalFormatting>
  <conditionalFormatting sqref="Q180">
    <cfRule type="cellIs" dxfId="1547" priority="2357" stopIfTrue="1" operator="equal">
      <formula>"SIM"</formula>
    </cfRule>
    <cfRule type="cellIs" dxfId="1546" priority="2358" stopIfTrue="1" operator="equal">
      <formula>"NÃO"</formula>
    </cfRule>
  </conditionalFormatting>
  <conditionalFormatting sqref="BF180 CJ180 DO180">
    <cfRule type="cellIs" dxfId="1545" priority="2353" stopIfTrue="1" operator="equal">
      <formula>0</formula>
    </cfRule>
    <cfRule type="cellIs" dxfId="1544" priority="2359" stopIfTrue="1" operator="notEqual">
      <formula>0</formula>
    </cfRule>
  </conditionalFormatting>
  <conditionalFormatting sqref="C180:D180">
    <cfRule type="expression" dxfId="1543" priority="2356" stopIfTrue="1">
      <formula>IF(AND($C180&lt;&gt;"",$H180+$L180=0),TRUE)</formula>
    </cfRule>
  </conditionalFormatting>
  <conditionalFormatting sqref="P180">
    <cfRule type="cellIs" dxfId="1542" priority="2345" stopIfTrue="1" operator="equal">
      <formula>1</formula>
    </cfRule>
    <cfRule type="cellIs" dxfId="1541" priority="2354" stopIfTrue="1" operator="equal">
      <formula>2</formula>
    </cfRule>
    <cfRule type="cellIs" dxfId="1540" priority="2355" stopIfTrue="1" operator="equal">
      <formula>"X"</formula>
    </cfRule>
  </conditionalFormatting>
  <conditionalFormatting sqref="GU180">
    <cfRule type="cellIs" dxfId="1539" priority="2347" stopIfTrue="1" operator="equal">
      <formula>0</formula>
    </cfRule>
    <cfRule type="cellIs" dxfId="1538" priority="2348" stopIfTrue="1" operator="notEqual">
      <formula>0</formula>
    </cfRule>
  </conditionalFormatting>
  <conditionalFormatting sqref="GV180">
    <cfRule type="cellIs" dxfId="1537" priority="2346" stopIfTrue="1" operator="equal">
      <formula>"STOP"</formula>
    </cfRule>
  </conditionalFormatting>
  <conditionalFormatting sqref="Q181">
    <cfRule type="cellIs" dxfId="1536" priority="2340" stopIfTrue="1" operator="equal">
      <formula>"SIM"</formula>
    </cfRule>
    <cfRule type="cellIs" dxfId="1535" priority="2341" stopIfTrue="1" operator="equal">
      <formula>"NÃO"</formula>
    </cfRule>
  </conditionalFormatting>
  <conditionalFormatting sqref="BF181 CJ181 DO181">
    <cfRule type="cellIs" dxfId="1534" priority="2336" stopIfTrue="1" operator="equal">
      <formula>0</formula>
    </cfRule>
    <cfRule type="cellIs" dxfId="1533" priority="2342" stopIfTrue="1" operator="notEqual">
      <formula>0</formula>
    </cfRule>
  </conditionalFormatting>
  <conditionalFormatting sqref="C181:D181">
    <cfRule type="expression" dxfId="1532" priority="2339" stopIfTrue="1">
      <formula>IF(AND($C181&lt;&gt;"",$H181+$L181=0),TRUE)</formula>
    </cfRule>
  </conditionalFormatting>
  <conditionalFormatting sqref="P181">
    <cfRule type="cellIs" dxfId="1531" priority="2328" stopIfTrue="1" operator="equal">
      <formula>1</formula>
    </cfRule>
    <cfRule type="cellIs" dxfId="1530" priority="2337" stopIfTrue="1" operator="equal">
      <formula>2</formula>
    </cfRule>
    <cfRule type="cellIs" dxfId="1529" priority="2338" stopIfTrue="1" operator="equal">
      <formula>"X"</formula>
    </cfRule>
  </conditionalFormatting>
  <conditionalFormatting sqref="GU181">
    <cfRule type="cellIs" dxfId="1528" priority="2330" stopIfTrue="1" operator="equal">
      <formula>0</formula>
    </cfRule>
    <cfRule type="cellIs" dxfId="1527" priority="2331" stopIfTrue="1" operator="notEqual">
      <formula>0</formula>
    </cfRule>
  </conditionalFormatting>
  <conditionalFormatting sqref="GV181">
    <cfRule type="cellIs" dxfId="1526" priority="2329" stopIfTrue="1" operator="equal">
      <formula>"STOP"</formula>
    </cfRule>
  </conditionalFormatting>
  <conditionalFormatting sqref="Q182">
    <cfRule type="cellIs" dxfId="1525" priority="2323" stopIfTrue="1" operator="equal">
      <formula>"SIM"</formula>
    </cfRule>
    <cfRule type="cellIs" dxfId="1524" priority="2324" stopIfTrue="1" operator="equal">
      <formula>"NÃO"</formula>
    </cfRule>
  </conditionalFormatting>
  <conditionalFormatting sqref="BF182 CJ182 DO182">
    <cfRule type="cellIs" dxfId="1523" priority="2319" stopIfTrue="1" operator="equal">
      <formula>0</formula>
    </cfRule>
    <cfRule type="cellIs" dxfId="1522" priority="2325" stopIfTrue="1" operator="notEqual">
      <formula>0</formula>
    </cfRule>
  </conditionalFormatting>
  <conditionalFormatting sqref="C182:D182">
    <cfRule type="expression" dxfId="1521" priority="2322" stopIfTrue="1">
      <formula>IF(AND($C182&lt;&gt;"",$H182+$L182=0),TRUE)</formula>
    </cfRule>
  </conditionalFormatting>
  <conditionalFormatting sqref="P182">
    <cfRule type="cellIs" dxfId="1520" priority="2311" stopIfTrue="1" operator="equal">
      <formula>1</formula>
    </cfRule>
    <cfRule type="cellIs" dxfId="1519" priority="2320" stopIfTrue="1" operator="equal">
      <formula>2</formula>
    </cfRule>
    <cfRule type="cellIs" dxfId="1518" priority="2321" stopIfTrue="1" operator="equal">
      <formula>"X"</formula>
    </cfRule>
  </conditionalFormatting>
  <conditionalFormatting sqref="GU182">
    <cfRule type="cellIs" dxfId="1517" priority="2313" stopIfTrue="1" operator="equal">
      <formula>0</formula>
    </cfRule>
    <cfRule type="cellIs" dxfId="1516" priority="2314" stopIfTrue="1" operator="notEqual">
      <formula>0</formula>
    </cfRule>
  </conditionalFormatting>
  <conditionalFormatting sqref="GV182">
    <cfRule type="cellIs" dxfId="1515" priority="2312" stopIfTrue="1" operator="equal">
      <formula>"STOP"</formula>
    </cfRule>
  </conditionalFormatting>
  <conditionalFormatting sqref="Q181">
    <cfRule type="cellIs" dxfId="1514" priority="2306" stopIfTrue="1" operator="equal">
      <formula>"SIM"</formula>
    </cfRule>
    <cfRule type="cellIs" dxfId="1513" priority="2307" stopIfTrue="1" operator="equal">
      <formula>"NÃO"</formula>
    </cfRule>
  </conditionalFormatting>
  <conditionalFormatting sqref="BF181 CJ181 DO181">
    <cfRule type="cellIs" dxfId="1512" priority="2302" stopIfTrue="1" operator="equal">
      <formula>0</formula>
    </cfRule>
    <cfRule type="cellIs" dxfId="1511" priority="2308" stopIfTrue="1" operator="notEqual">
      <formula>0</formula>
    </cfRule>
  </conditionalFormatting>
  <conditionalFormatting sqref="C181:D181">
    <cfRule type="expression" dxfId="1510" priority="2305" stopIfTrue="1">
      <formula>IF(AND($C181&lt;&gt;"",$H181+$L181=0),TRUE)</formula>
    </cfRule>
  </conditionalFormatting>
  <conditionalFormatting sqref="P181">
    <cfRule type="cellIs" dxfId="1509" priority="2294" stopIfTrue="1" operator="equal">
      <formula>1</formula>
    </cfRule>
    <cfRule type="cellIs" dxfId="1508" priority="2303" stopIfTrue="1" operator="equal">
      <formula>2</formula>
    </cfRule>
    <cfRule type="cellIs" dxfId="1507" priority="2304" stopIfTrue="1" operator="equal">
      <formula>"X"</formula>
    </cfRule>
  </conditionalFormatting>
  <conditionalFormatting sqref="GU181">
    <cfRule type="cellIs" dxfId="1506" priority="2296" stopIfTrue="1" operator="equal">
      <formula>0</formula>
    </cfRule>
    <cfRule type="cellIs" dxfId="1505" priority="2297" stopIfTrue="1" operator="notEqual">
      <formula>0</formula>
    </cfRule>
  </conditionalFormatting>
  <conditionalFormatting sqref="GV181">
    <cfRule type="cellIs" dxfId="1504" priority="2295" stopIfTrue="1" operator="equal">
      <formula>"STOP"</formula>
    </cfRule>
  </conditionalFormatting>
  <conditionalFormatting sqref="Q182">
    <cfRule type="cellIs" dxfId="1503" priority="2289" stopIfTrue="1" operator="equal">
      <formula>"SIM"</formula>
    </cfRule>
    <cfRule type="cellIs" dxfId="1502" priority="2290" stopIfTrue="1" operator="equal">
      <formula>"NÃO"</formula>
    </cfRule>
  </conditionalFormatting>
  <conditionalFormatting sqref="BF182 CJ182 DO182">
    <cfRule type="cellIs" dxfId="1501" priority="2285" stopIfTrue="1" operator="equal">
      <formula>0</formula>
    </cfRule>
    <cfRule type="cellIs" dxfId="1500" priority="2291" stopIfTrue="1" operator="notEqual">
      <formula>0</formula>
    </cfRule>
  </conditionalFormatting>
  <conditionalFormatting sqref="C182:D182">
    <cfRule type="expression" dxfId="1499" priority="2288" stopIfTrue="1">
      <formula>IF(AND($C182&lt;&gt;"",$H182+$L182=0),TRUE)</formula>
    </cfRule>
  </conditionalFormatting>
  <conditionalFormatting sqref="P182">
    <cfRule type="cellIs" dxfId="1498" priority="2277" stopIfTrue="1" operator="equal">
      <formula>1</formula>
    </cfRule>
    <cfRule type="cellIs" dxfId="1497" priority="2286" stopIfTrue="1" operator="equal">
      <formula>2</formula>
    </cfRule>
    <cfRule type="cellIs" dxfId="1496" priority="2287" stopIfTrue="1" operator="equal">
      <formula>"X"</formula>
    </cfRule>
  </conditionalFormatting>
  <conditionalFormatting sqref="GU182">
    <cfRule type="cellIs" dxfId="1495" priority="2279" stopIfTrue="1" operator="equal">
      <formula>0</formula>
    </cfRule>
    <cfRule type="cellIs" dxfId="1494" priority="2280" stopIfTrue="1" operator="notEqual">
      <formula>0</formula>
    </cfRule>
  </conditionalFormatting>
  <conditionalFormatting sqref="GV182">
    <cfRule type="cellIs" dxfId="1493" priority="2278" stopIfTrue="1" operator="equal">
      <formula>"STOP"</formula>
    </cfRule>
  </conditionalFormatting>
  <conditionalFormatting sqref="Q180">
    <cfRule type="cellIs" dxfId="1492" priority="2272" stopIfTrue="1" operator="equal">
      <formula>"SIM"</formula>
    </cfRule>
    <cfRule type="cellIs" dxfId="1491" priority="2273" stopIfTrue="1" operator="equal">
      <formula>"NÃO"</formula>
    </cfRule>
  </conditionalFormatting>
  <conditionalFormatting sqref="BF180 CJ180 DO180">
    <cfRule type="cellIs" dxfId="1490" priority="2268" stopIfTrue="1" operator="equal">
      <formula>0</formula>
    </cfRule>
    <cfRule type="cellIs" dxfId="1489" priority="2274" stopIfTrue="1" operator="notEqual">
      <formula>0</formula>
    </cfRule>
  </conditionalFormatting>
  <conditionalFormatting sqref="C180:D180">
    <cfRule type="expression" dxfId="1488" priority="2271" stopIfTrue="1">
      <formula>IF(AND($C180&lt;&gt;"",$H180+$L180=0),TRUE)</formula>
    </cfRule>
  </conditionalFormatting>
  <conditionalFormatting sqref="P180">
    <cfRule type="cellIs" dxfId="1487" priority="2260" stopIfTrue="1" operator="equal">
      <formula>1</formula>
    </cfRule>
    <cfRule type="cellIs" dxfId="1486" priority="2269" stopIfTrue="1" operator="equal">
      <formula>2</formula>
    </cfRule>
    <cfRule type="cellIs" dxfId="1485" priority="2270" stopIfTrue="1" operator="equal">
      <formula>"X"</formula>
    </cfRule>
  </conditionalFormatting>
  <conditionalFormatting sqref="GU180">
    <cfRule type="cellIs" dxfId="1484" priority="2262" stopIfTrue="1" operator="equal">
      <formula>0</formula>
    </cfRule>
    <cfRule type="cellIs" dxfId="1483" priority="2263" stopIfTrue="1" operator="notEqual">
      <formula>0</formula>
    </cfRule>
  </conditionalFormatting>
  <conditionalFormatting sqref="GV180">
    <cfRule type="cellIs" dxfId="1482" priority="2261" stopIfTrue="1" operator="equal">
      <formula>"STOP"</formula>
    </cfRule>
  </conditionalFormatting>
  <conditionalFormatting sqref="Q181">
    <cfRule type="cellIs" dxfId="1481" priority="2255" stopIfTrue="1" operator="equal">
      <formula>"SIM"</formula>
    </cfRule>
    <cfRule type="cellIs" dxfId="1480" priority="2256" stopIfTrue="1" operator="equal">
      <formula>"NÃO"</formula>
    </cfRule>
  </conditionalFormatting>
  <conditionalFormatting sqref="BF181 CJ181 DO181">
    <cfRule type="cellIs" dxfId="1479" priority="2251" stopIfTrue="1" operator="equal">
      <formula>0</formula>
    </cfRule>
    <cfRule type="cellIs" dxfId="1478" priority="2257" stopIfTrue="1" operator="notEqual">
      <formula>0</formula>
    </cfRule>
  </conditionalFormatting>
  <conditionalFormatting sqref="C181:D181">
    <cfRule type="expression" dxfId="1477" priority="2254" stopIfTrue="1">
      <formula>IF(AND($C181&lt;&gt;"",$H181+$L181=0),TRUE)</formula>
    </cfRule>
  </conditionalFormatting>
  <conditionalFormatting sqref="P181">
    <cfRule type="cellIs" dxfId="1476" priority="2243" stopIfTrue="1" operator="equal">
      <formula>1</formula>
    </cfRule>
    <cfRule type="cellIs" dxfId="1475" priority="2252" stopIfTrue="1" operator="equal">
      <formula>2</formula>
    </cfRule>
    <cfRule type="cellIs" dxfId="1474" priority="2253" stopIfTrue="1" operator="equal">
      <formula>"X"</formula>
    </cfRule>
  </conditionalFormatting>
  <conditionalFormatting sqref="GU181">
    <cfRule type="cellIs" dxfId="1473" priority="2245" stopIfTrue="1" operator="equal">
      <formula>0</formula>
    </cfRule>
    <cfRule type="cellIs" dxfId="1472" priority="2246" stopIfTrue="1" operator="notEqual">
      <formula>0</formula>
    </cfRule>
  </conditionalFormatting>
  <conditionalFormatting sqref="GV181">
    <cfRule type="cellIs" dxfId="1471" priority="2244" stopIfTrue="1" operator="equal">
      <formula>"STOP"</formula>
    </cfRule>
  </conditionalFormatting>
  <conditionalFormatting sqref="Q182">
    <cfRule type="cellIs" dxfId="1470" priority="2238" stopIfTrue="1" operator="equal">
      <formula>"SIM"</formula>
    </cfRule>
    <cfRule type="cellIs" dxfId="1469" priority="2239" stopIfTrue="1" operator="equal">
      <formula>"NÃO"</formula>
    </cfRule>
  </conditionalFormatting>
  <conditionalFormatting sqref="BF182 CJ182 DO182">
    <cfRule type="cellIs" dxfId="1468" priority="2234" stopIfTrue="1" operator="equal">
      <formula>0</formula>
    </cfRule>
    <cfRule type="cellIs" dxfId="1467" priority="2240" stopIfTrue="1" operator="notEqual">
      <formula>0</formula>
    </cfRule>
  </conditionalFormatting>
  <conditionalFormatting sqref="C182:D182">
    <cfRule type="expression" dxfId="1466" priority="2237" stopIfTrue="1">
      <formula>IF(AND($C182&lt;&gt;"",$H182+$L182=0),TRUE)</formula>
    </cfRule>
  </conditionalFormatting>
  <conditionalFormatting sqref="P182">
    <cfRule type="cellIs" dxfId="1465" priority="2226" stopIfTrue="1" operator="equal">
      <formula>1</formula>
    </cfRule>
    <cfRule type="cellIs" dxfId="1464" priority="2235" stopIfTrue="1" operator="equal">
      <formula>2</formula>
    </cfRule>
    <cfRule type="cellIs" dxfId="1463" priority="2236" stopIfTrue="1" operator="equal">
      <formula>"X"</formula>
    </cfRule>
  </conditionalFormatting>
  <conditionalFormatting sqref="GU182">
    <cfRule type="cellIs" dxfId="1462" priority="2228" stopIfTrue="1" operator="equal">
      <formula>0</formula>
    </cfRule>
    <cfRule type="cellIs" dxfId="1461" priority="2229" stopIfTrue="1" operator="notEqual">
      <formula>0</formula>
    </cfRule>
  </conditionalFormatting>
  <conditionalFormatting sqref="GV182">
    <cfRule type="cellIs" dxfId="1460" priority="2227" stopIfTrue="1" operator="equal">
      <formula>"STOP"</formula>
    </cfRule>
  </conditionalFormatting>
  <conditionalFormatting sqref="Q180">
    <cfRule type="cellIs" dxfId="1459" priority="2221" stopIfTrue="1" operator="equal">
      <formula>"SIM"</formula>
    </cfRule>
    <cfRule type="cellIs" dxfId="1458" priority="2222" stopIfTrue="1" operator="equal">
      <formula>"NÃO"</formula>
    </cfRule>
  </conditionalFormatting>
  <conditionalFormatting sqref="BF180 CJ180 DO180">
    <cfRule type="cellIs" dxfId="1457" priority="2217" stopIfTrue="1" operator="equal">
      <formula>0</formula>
    </cfRule>
    <cfRule type="cellIs" dxfId="1456" priority="2223" stopIfTrue="1" operator="notEqual">
      <formula>0</formula>
    </cfRule>
  </conditionalFormatting>
  <conditionalFormatting sqref="C180:D180">
    <cfRule type="expression" dxfId="1455" priority="2220" stopIfTrue="1">
      <formula>IF(AND($C180&lt;&gt;"",$H180+$L180=0),TRUE)</formula>
    </cfRule>
  </conditionalFormatting>
  <conditionalFormatting sqref="P180">
    <cfRule type="cellIs" dxfId="1454" priority="2209" stopIfTrue="1" operator="equal">
      <formula>1</formula>
    </cfRule>
    <cfRule type="cellIs" dxfId="1453" priority="2218" stopIfTrue="1" operator="equal">
      <formula>2</formula>
    </cfRule>
    <cfRule type="cellIs" dxfId="1452" priority="2219" stopIfTrue="1" operator="equal">
      <formula>"X"</formula>
    </cfRule>
  </conditionalFormatting>
  <conditionalFormatting sqref="GU180">
    <cfRule type="cellIs" dxfId="1451" priority="2211" stopIfTrue="1" operator="equal">
      <formula>0</formula>
    </cfRule>
    <cfRule type="cellIs" dxfId="1450" priority="2212" stopIfTrue="1" operator="notEqual">
      <formula>0</formula>
    </cfRule>
  </conditionalFormatting>
  <conditionalFormatting sqref="GV180">
    <cfRule type="cellIs" dxfId="1449" priority="2210" stopIfTrue="1" operator="equal">
      <formula>"STOP"</formula>
    </cfRule>
  </conditionalFormatting>
  <conditionalFormatting sqref="Q181">
    <cfRule type="cellIs" dxfId="1448" priority="2204" stopIfTrue="1" operator="equal">
      <formula>"SIM"</formula>
    </cfRule>
    <cfRule type="cellIs" dxfId="1447" priority="2205" stopIfTrue="1" operator="equal">
      <formula>"NÃO"</formula>
    </cfRule>
  </conditionalFormatting>
  <conditionalFormatting sqref="BF181 CJ181 DO181">
    <cfRule type="cellIs" dxfId="1446" priority="2200" stopIfTrue="1" operator="equal">
      <formula>0</formula>
    </cfRule>
    <cfRule type="cellIs" dxfId="1445" priority="2206" stopIfTrue="1" operator="notEqual">
      <formula>0</formula>
    </cfRule>
  </conditionalFormatting>
  <conditionalFormatting sqref="C181:D181">
    <cfRule type="expression" dxfId="1444" priority="2203" stopIfTrue="1">
      <formula>IF(AND($C181&lt;&gt;"",$H181+$L181=0),TRUE)</formula>
    </cfRule>
  </conditionalFormatting>
  <conditionalFormatting sqref="P181">
    <cfRule type="cellIs" dxfId="1443" priority="2192" stopIfTrue="1" operator="equal">
      <formula>1</formula>
    </cfRule>
    <cfRule type="cellIs" dxfId="1442" priority="2201" stopIfTrue="1" operator="equal">
      <formula>2</formula>
    </cfRule>
    <cfRule type="cellIs" dxfId="1441" priority="2202" stopIfTrue="1" operator="equal">
      <formula>"X"</formula>
    </cfRule>
  </conditionalFormatting>
  <conditionalFormatting sqref="GU181">
    <cfRule type="cellIs" dxfId="1440" priority="2194" stopIfTrue="1" operator="equal">
      <formula>0</formula>
    </cfRule>
    <cfRule type="cellIs" dxfId="1439" priority="2195" stopIfTrue="1" operator="notEqual">
      <formula>0</formula>
    </cfRule>
  </conditionalFormatting>
  <conditionalFormatting sqref="GV181">
    <cfRule type="cellIs" dxfId="1438" priority="2193" stopIfTrue="1" operator="equal">
      <formula>"STOP"</formula>
    </cfRule>
  </conditionalFormatting>
  <conditionalFormatting sqref="Q180">
    <cfRule type="cellIs" dxfId="1437" priority="2187" stopIfTrue="1" operator="equal">
      <formula>"SIM"</formula>
    </cfRule>
    <cfRule type="cellIs" dxfId="1436" priority="2188" stopIfTrue="1" operator="equal">
      <formula>"NÃO"</formula>
    </cfRule>
  </conditionalFormatting>
  <conditionalFormatting sqref="BF180 CJ180 DO180">
    <cfRule type="cellIs" dxfId="1435" priority="2183" stopIfTrue="1" operator="equal">
      <formula>0</formula>
    </cfRule>
    <cfRule type="cellIs" dxfId="1434" priority="2189" stopIfTrue="1" operator="notEqual">
      <formula>0</formula>
    </cfRule>
  </conditionalFormatting>
  <conditionalFormatting sqref="C180:D180">
    <cfRule type="expression" dxfId="1433" priority="2186" stopIfTrue="1">
      <formula>IF(AND($C180&lt;&gt;"",$H180+$L180=0),TRUE)</formula>
    </cfRule>
  </conditionalFormatting>
  <conditionalFormatting sqref="P180">
    <cfRule type="cellIs" dxfId="1432" priority="2175" stopIfTrue="1" operator="equal">
      <formula>1</formula>
    </cfRule>
    <cfRule type="cellIs" dxfId="1431" priority="2184" stopIfTrue="1" operator="equal">
      <formula>2</formula>
    </cfRule>
    <cfRule type="cellIs" dxfId="1430" priority="2185" stopIfTrue="1" operator="equal">
      <formula>"X"</formula>
    </cfRule>
  </conditionalFormatting>
  <conditionalFormatting sqref="GU180">
    <cfRule type="cellIs" dxfId="1429" priority="2177" stopIfTrue="1" operator="equal">
      <formula>0</formula>
    </cfRule>
    <cfRule type="cellIs" dxfId="1428" priority="2178" stopIfTrue="1" operator="notEqual">
      <formula>0</formula>
    </cfRule>
  </conditionalFormatting>
  <conditionalFormatting sqref="GV180">
    <cfRule type="cellIs" dxfId="1427" priority="2176" stopIfTrue="1" operator="equal">
      <formula>"STOP"</formula>
    </cfRule>
  </conditionalFormatting>
  <conditionalFormatting sqref="Q181">
    <cfRule type="cellIs" dxfId="1426" priority="2170" stopIfTrue="1" operator="equal">
      <formula>"SIM"</formula>
    </cfRule>
    <cfRule type="cellIs" dxfId="1425" priority="2171" stopIfTrue="1" operator="equal">
      <formula>"NÃO"</formula>
    </cfRule>
  </conditionalFormatting>
  <conditionalFormatting sqref="BF181 CJ181 DO181">
    <cfRule type="cellIs" dxfId="1424" priority="2166" stopIfTrue="1" operator="equal">
      <formula>0</formula>
    </cfRule>
    <cfRule type="cellIs" dxfId="1423" priority="2172" stopIfTrue="1" operator="notEqual">
      <formula>0</formula>
    </cfRule>
  </conditionalFormatting>
  <conditionalFormatting sqref="C181:D181">
    <cfRule type="expression" dxfId="1422" priority="2169" stopIfTrue="1">
      <formula>IF(AND($C181&lt;&gt;"",$H181+$L181=0),TRUE)</formula>
    </cfRule>
  </conditionalFormatting>
  <conditionalFormatting sqref="P181">
    <cfRule type="cellIs" dxfId="1421" priority="2158" stopIfTrue="1" operator="equal">
      <formula>1</formula>
    </cfRule>
    <cfRule type="cellIs" dxfId="1420" priority="2167" stopIfTrue="1" operator="equal">
      <formula>2</formula>
    </cfRule>
    <cfRule type="cellIs" dxfId="1419" priority="2168" stopIfTrue="1" operator="equal">
      <formula>"X"</formula>
    </cfRule>
  </conditionalFormatting>
  <conditionalFormatting sqref="GU181">
    <cfRule type="cellIs" dxfId="1418" priority="2160" stopIfTrue="1" operator="equal">
      <formula>0</formula>
    </cfRule>
    <cfRule type="cellIs" dxfId="1417" priority="2161" stopIfTrue="1" operator="notEqual">
      <formula>0</formula>
    </cfRule>
  </conditionalFormatting>
  <conditionalFormatting sqref="GV181">
    <cfRule type="cellIs" dxfId="1416" priority="2159" stopIfTrue="1" operator="equal">
      <formula>"STOP"</formula>
    </cfRule>
  </conditionalFormatting>
  <conditionalFormatting sqref="Q182">
    <cfRule type="cellIs" dxfId="1415" priority="2153" stopIfTrue="1" operator="equal">
      <formula>"SIM"</formula>
    </cfRule>
    <cfRule type="cellIs" dxfId="1414" priority="2154" stopIfTrue="1" operator="equal">
      <formula>"NÃO"</formula>
    </cfRule>
  </conditionalFormatting>
  <conditionalFormatting sqref="BF182 CJ182 DO182">
    <cfRule type="cellIs" dxfId="1413" priority="2149" stopIfTrue="1" operator="equal">
      <formula>0</formula>
    </cfRule>
    <cfRule type="cellIs" dxfId="1412" priority="2155" stopIfTrue="1" operator="notEqual">
      <formula>0</formula>
    </cfRule>
  </conditionalFormatting>
  <conditionalFormatting sqref="C182:D182">
    <cfRule type="expression" dxfId="1411" priority="2152" stopIfTrue="1">
      <formula>IF(AND($C182&lt;&gt;"",$H182+$L182=0),TRUE)</formula>
    </cfRule>
  </conditionalFormatting>
  <conditionalFormatting sqref="P182">
    <cfRule type="cellIs" dxfId="1410" priority="2141" stopIfTrue="1" operator="equal">
      <formula>1</formula>
    </cfRule>
    <cfRule type="cellIs" dxfId="1409" priority="2150" stopIfTrue="1" operator="equal">
      <formula>2</formula>
    </cfRule>
    <cfRule type="cellIs" dxfId="1408" priority="2151" stopIfTrue="1" operator="equal">
      <formula>"X"</formula>
    </cfRule>
  </conditionalFormatting>
  <conditionalFormatting sqref="GU182">
    <cfRule type="cellIs" dxfId="1407" priority="2143" stopIfTrue="1" operator="equal">
      <formula>0</formula>
    </cfRule>
    <cfRule type="cellIs" dxfId="1406" priority="2144" stopIfTrue="1" operator="notEqual">
      <formula>0</formula>
    </cfRule>
  </conditionalFormatting>
  <conditionalFormatting sqref="GV182">
    <cfRule type="cellIs" dxfId="1405" priority="2142" stopIfTrue="1" operator="equal">
      <formula>"STOP"</formula>
    </cfRule>
  </conditionalFormatting>
  <conditionalFormatting sqref="Q180">
    <cfRule type="cellIs" dxfId="1404" priority="2136" stopIfTrue="1" operator="equal">
      <formula>"SIM"</formula>
    </cfRule>
    <cfRule type="cellIs" dxfId="1403" priority="2137" stopIfTrue="1" operator="equal">
      <formula>"NÃO"</formula>
    </cfRule>
  </conditionalFormatting>
  <conditionalFormatting sqref="BF180 CJ180 DO180">
    <cfRule type="cellIs" dxfId="1402" priority="2132" stopIfTrue="1" operator="equal">
      <formula>0</formula>
    </cfRule>
    <cfRule type="cellIs" dxfId="1401" priority="2138" stopIfTrue="1" operator="notEqual">
      <formula>0</formula>
    </cfRule>
  </conditionalFormatting>
  <conditionalFormatting sqref="C180:D180">
    <cfRule type="expression" dxfId="1400" priority="2135" stopIfTrue="1">
      <formula>IF(AND($C180&lt;&gt;"",$H180+$L180=0),TRUE)</formula>
    </cfRule>
  </conditionalFormatting>
  <conditionalFormatting sqref="P180">
    <cfRule type="cellIs" dxfId="1399" priority="2124" stopIfTrue="1" operator="equal">
      <formula>1</formula>
    </cfRule>
    <cfRule type="cellIs" dxfId="1398" priority="2133" stopIfTrue="1" operator="equal">
      <formula>2</formula>
    </cfRule>
    <cfRule type="cellIs" dxfId="1397" priority="2134" stopIfTrue="1" operator="equal">
      <formula>"X"</formula>
    </cfRule>
  </conditionalFormatting>
  <conditionalFormatting sqref="GU180">
    <cfRule type="cellIs" dxfId="1396" priority="2126" stopIfTrue="1" operator="equal">
      <formula>0</formula>
    </cfRule>
    <cfRule type="cellIs" dxfId="1395" priority="2127" stopIfTrue="1" operator="notEqual">
      <formula>0</formula>
    </cfRule>
  </conditionalFormatting>
  <conditionalFormatting sqref="GV180">
    <cfRule type="cellIs" dxfId="1394" priority="2125" stopIfTrue="1" operator="equal">
      <formula>"STOP"</formula>
    </cfRule>
  </conditionalFormatting>
  <conditionalFormatting sqref="Q181">
    <cfRule type="cellIs" dxfId="1393" priority="2119" stopIfTrue="1" operator="equal">
      <formula>"SIM"</formula>
    </cfRule>
    <cfRule type="cellIs" dxfId="1392" priority="2120" stopIfTrue="1" operator="equal">
      <formula>"NÃO"</formula>
    </cfRule>
  </conditionalFormatting>
  <conditionalFormatting sqref="BF181 CJ181 DO181">
    <cfRule type="cellIs" dxfId="1391" priority="2115" stopIfTrue="1" operator="equal">
      <formula>0</formula>
    </cfRule>
    <cfRule type="cellIs" dxfId="1390" priority="2121" stopIfTrue="1" operator="notEqual">
      <formula>0</formula>
    </cfRule>
  </conditionalFormatting>
  <conditionalFormatting sqref="C181:D181">
    <cfRule type="expression" dxfId="1389" priority="2118" stopIfTrue="1">
      <formula>IF(AND($C181&lt;&gt;"",$H181+$L181=0),TRUE)</formula>
    </cfRule>
  </conditionalFormatting>
  <conditionalFormatting sqref="P181">
    <cfRule type="cellIs" dxfId="1388" priority="2107" stopIfTrue="1" operator="equal">
      <formula>1</formula>
    </cfRule>
    <cfRule type="cellIs" dxfId="1387" priority="2116" stopIfTrue="1" operator="equal">
      <formula>2</formula>
    </cfRule>
    <cfRule type="cellIs" dxfId="1386" priority="2117" stopIfTrue="1" operator="equal">
      <formula>"X"</formula>
    </cfRule>
  </conditionalFormatting>
  <conditionalFormatting sqref="GU181">
    <cfRule type="cellIs" dxfId="1385" priority="2109" stopIfTrue="1" operator="equal">
      <formula>0</formula>
    </cfRule>
    <cfRule type="cellIs" dxfId="1384" priority="2110" stopIfTrue="1" operator="notEqual">
      <formula>0</formula>
    </cfRule>
  </conditionalFormatting>
  <conditionalFormatting sqref="GV181">
    <cfRule type="cellIs" dxfId="1383" priority="2108" stopIfTrue="1" operator="equal">
      <formula>"STOP"</formula>
    </cfRule>
  </conditionalFormatting>
  <conditionalFormatting sqref="Q182">
    <cfRule type="cellIs" dxfId="1382" priority="2102" stopIfTrue="1" operator="equal">
      <formula>"SIM"</formula>
    </cfRule>
    <cfRule type="cellIs" dxfId="1381" priority="2103" stopIfTrue="1" operator="equal">
      <formula>"NÃO"</formula>
    </cfRule>
  </conditionalFormatting>
  <conditionalFormatting sqref="BF182 CJ182 DO182">
    <cfRule type="cellIs" dxfId="1380" priority="2098" stopIfTrue="1" operator="equal">
      <formula>0</formula>
    </cfRule>
    <cfRule type="cellIs" dxfId="1379" priority="2104" stopIfTrue="1" operator="notEqual">
      <formula>0</formula>
    </cfRule>
  </conditionalFormatting>
  <conditionalFormatting sqref="C182:D182">
    <cfRule type="expression" dxfId="1378" priority="2101" stopIfTrue="1">
      <formula>IF(AND($C182&lt;&gt;"",$H182+$L182=0),TRUE)</formula>
    </cfRule>
  </conditionalFormatting>
  <conditionalFormatting sqref="P182">
    <cfRule type="cellIs" dxfId="1377" priority="2090" stopIfTrue="1" operator="equal">
      <formula>1</formula>
    </cfRule>
    <cfRule type="cellIs" dxfId="1376" priority="2099" stopIfTrue="1" operator="equal">
      <formula>2</formula>
    </cfRule>
    <cfRule type="cellIs" dxfId="1375" priority="2100" stopIfTrue="1" operator="equal">
      <formula>"X"</formula>
    </cfRule>
  </conditionalFormatting>
  <conditionalFormatting sqref="GU182">
    <cfRule type="cellIs" dxfId="1374" priority="2092" stopIfTrue="1" operator="equal">
      <formula>0</formula>
    </cfRule>
    <cfRule type="cellIs" dxfId="1373" priority="2093" stopIfTrue="1" operator="notEqual">
      <formula>0</formula>
    </cfRule>
  </conditionalFormatting>
  <conditionalFormatting sqref="GV182">
    <cfRule type="cellIs" dxfId="1372" priority="2091" stopIfTrue="1" operator="equal">
      <formula>"STOP"</formula>
    </cfRule>
  </conditionalFormatting>
  <conditionalFormatting sqref="Q180">
    <cfRule type="cellIs" dxfId="1371" priority="2085" stopIfTrue="1" operator="equal">
      <formula>"SIM"</formula>
    </cfRule>
    <cfRule type="cellIs" dxfId="1370" priority="2086" stopIfTrue="1" operator="equal">
      <formula>"NÃO"</formula>
    </cfRule>
  </conditionalFormatting>
  <conditionalFormatting sqref="BF180 CJ180 DO180">
    <cfRule type="cellIs" dxfId="1369" priority="2081" stopIfTrue="1" operator="equal">
      <formula>0</formula>
    </cfRule>
    <cfRule type="cellIs" dxfId="1368" priority="2087" stopIfTrue="1" operator="notEqual">
      <formula>0</formula>
    </cfRule>
  </conditionalFormatting>
  <conditionalFormatting sqref="C180:D180">
    <cfRule type="expression" dxfId="1367" priority="2084" stopIfTrue="1">
      <formula>IF(AND($C180&lt;&gt;"",$H180+$L180=0),TRUE)</formula>
    </cfRule>
  </conditionalFormatting>
  <conditionalFormatting sqref="P180">
    <cfRule type="cellIs" dxfId="1366" priority="2073" stopIfTrue="1" operator="equal">
      <formula>1</formula>
    </cfRule>
    <cfRule type="cellIs" dxfId="1365" priority="2082" stopIfTrue="1" operator="equal">
      <formula>2</formula>
    </cfRule>
    <cfRule type="cellIs" dxfId="1364" priority="2083" stopIfTrue="1" operator="equal">
      <formula>"X"</formula>
    </cfRule>
  </conditionalFormatting>
  <conditionalFormatting sqref="GU180">
    <cfRule type="cellIs" dxfId="1363" priority="2075" stopIfTrue="1" operator="equal">
      <formula>0</formula>
    </cfRule>
    <cfRule type="cellIs" dxfId="1362" priority="2076" stopIfTrue="1" operator="notEqual">
      <formula>0</formula>
    </cfRule>
  </conditionalFormatting>
  <conditionalFormatting sqref="GV180">
    <cfRule type="cellIs" dxfId="1361" priority="2074" stopIfTrue="1" operator="equal">
      <formula>"STOP"</formula>
    </cfRule>
  </conditionalFormatting>
  <conditionalFormatting sqref="Q181">
    <cfRule type="cellIs" dxfId="1360" priority="2068" stopIfTrue="1" operator="equal">
      <formula>"SIM"</formula>
    </cfRule>
    <cfRule type="cellIs" dxfId="1359" priority="2069" stopIfTrue="1" operator="equal">
      <formula>"NÃO"</formula>
    </cfRule>
  </conditionalFormatting>
  <conditionalFormatting sqref="BF181 CJ181 DO181">
    <cfRule type="cellIs" dxfId="1358" priority="2064" stopIfTrue="1" operator="equal">
      <formula>0</formula>
    </cfRule>
    <cfRule type="cellIs" dxfId="1357" priority="2070" stopIfTrue="1" operator="notEqual">
      <formula>0</formula>
    </cfRule>
  </conditionalFormatting>
  <conditionalFormatting sqref="C181:D181">
    <cfRule type="expression" dxfId="1356" priority="2067" stopIfTrue="1">
      <formula>IF(AND($C181&lt;&gt;"",$H181+$L181=0),TRUE)</formula>
    </cfRule>
  </conditionalFormatting>
  <conditionalFormatting sqref="P181">
    <cfRule type="cellIs" dxfId="1355" priority="2056" stopIfTrue="1" operator="equal">
      <formula>1</formula>
    </cfRule>
    <cfRule type="cellIs" dxfId="1354" priority="2065" stopIfTrue="1" operator="equal">
      <formula>2</formula>
    </cfRule>
    <cfRule type="cellIs" dxfId="1353" priority="2066" stopIfTrue="1" operator="equal">
      <formula>"X"</formula>
    </cfRule>
  </conditionalFormatting>
  <conditionalFormatting sqref="GU181">
    <cfRule type="cellIs" dxfId="1352" priority="2058" stopIfTrue="1" operator="equal">
      <formula>0</formula>
    </cfRule>
    <cfRule type="cellIs" dxfId="1351" priority="2059" stopIfTrue="1" operator="notEqual">
      <formula>0</formula>
    </cfRule>
  </conditionalFormatting>
  <conditionalFormatting sqref="GV181">
    <cfRule type="cellIs" dxfId="1350" priority="2057" stopIfTrue="1" operator="equal">
      <formula>"STOP"</formula>
    </cfRule>
  </conditionalFormatting>
  <conditionalFormatting sqref="Q182">
    <cfRule type="cellIs" dxfId="1349" priority="2051" stopIfTrue="1" operator="equal">
      <formula>"SIM"</formula>
    </cfRule>
    <cfRule type="cellIs" dxfId="1348" priority="2052" stopIfTrue="1" operator="equal">
      <formula>"NÃO"</formula>
    </cfRule>
  </conditionalFormatting>
  <conditionalFormatting sqref="BF182 CJ182 DO182">
    <cfRule type="cellIs" dxfId="1347" priority="2047" stopIfTrue="1" operator="equal">
      <formula>0</formula>
    </cfRule>
    <cfRule type="cellIs" dxfId="1346" priority="2053" stopIfTrue="1" operator="notEqual">
      <formula>0</formula>
    </cfRule>
  </conditionalFormatting>
  <conditionalFormatting sqref="C182:D182">
    <cfRule type="expression" dxfId="1345" priority="2050" stopIfTrue="1">
      <formula>IF(AND($C182&lt;&gt;"",$H182+$L182=0),TRUE)</formula>
    </cfRule>
  </conditionalFormatting>
  <conditionalFormatting sqref="P182">
    <cfRule type="cellIs" dxfId="1344" priority="2039" stopIfTrue="1" operator="equal">
      <formula>1</formula>
    </cfRule>
    <cfRule type="cellIs" dxfId="1343" priority="2048" stopIfTrue="1" operator="equal">
      <formula>2</formula>
    </cfRule>
    <cfRule type="cellIs" dxfId="1342" priority="2049" stopIfTrue="1" operator="equal">
      <formula>"X"</formula>
    </cfRule>
  </conditionalFormatting>
  <conditionalFormatting sqref="GU182">
    <cfRule type="cellIs" dxfId="1341" priority="2041" stopIfTrue="1" operator="equal">
      <formula>0</formula>
    </cfRule>
    <cfRule type="cellIs" dxfId="1340" priority="2042" stopIfTrue="1" operator="notEqual">
      <formula>0</formula>
    </cfRule>
  </conditionalFormatting>
  <conditionalFormatting sqref="GV182">
    <cfRule type="cellIs" dxfId="1339" priority="2040" stopIfTrue="1" operator="equal">
      <formula>"STOP"</formula>
    </cfRule>
  </conditionalFormatting>
  <conditionalFormatting sqref="Q180">
    <cfRule type="cellIs" dxfId="1338" priority="2034" stopIfTrue="1" operator="equal">
      <formula>"SIM"</formula>
    </cfRule>
    <cfRule type="cellIs" dxfId="1337" priority="2035" stopIfTrue="1" operator="equal">
      <formula>"NÃO"</formula>
    </cfRule>
  </conditionalFormatting>
  <conditionalFormatting sqref="BF180 CJ180 DO180">
    <cfRule type="cellIs" dxfId="1336" priority="2030" stopIfTrue="1" operator="equal">
      <formula>0</formula>
    </cfRule>
    <cfRule type="cellIs" dxfId="1335" priority="2036" stopIfTrue="1" operator="notEqual">
      <formula>0</formula>
    </cfRule>
  </conditionalFormatting>
  <conditionalFormatting sqref="C180:D180">
    <cfRule type="expression" dxfId="1334" priority="2033" stopIfTrue="1">
      <formula>IF(AND($C180&lt;&gt;"",$H180+$L180=0),TRUE)</formula>
    </cfRule>
  </conditionalFormatting>
  <conditionalFormatting sqref="P180">
    <cfRule type="cellIs" dxfId="1333" priority="2022" stopIfTrue="1" operator="equal">
      <formula>1</formula>
    </cfRule>
    <cfRule type="cellIs" dxfId="1332" priority="2031" stopIfTrue="1" operator="equal">
      <formula>2</formula>
    </cfRule>
    <cfRule type="cellIs" dxfId="1331" priority="2032" stopIfTrue="1" operator="equal">
      <formula>"X"</formula>
    </cfRule>
  </conditionalFormatting>
  <conditionalFormatting sqref="GU180">
    <cfRule type="cellIs" dxfId="1330" priority="2024" stopIfTrue="1" operator="equal">
      <formula>0</formula>
    </cfRule>
    <cfRule type="cellIs" dxfId="1329" priority="2025" stopIfTrue="1" operator="notEqual">
      <formula>0</formula>
    </cfRule>
  </conditionalFormatting>
  <conditionalFormatting sqref="GV180">
    <cfRule type="cellIs" dxfId="1328" priority="2023" stopIfTrue="1" operator="equal">
      <formula>"STOP"</formula>
    </cfRule>
  </conditionalFormatting>
  <conditionalFormatting sqref="Q181">
    <cfRule type="cellIs" dxfId="1327" priority="2017" stopIfTrue="1" operator="equal">
      <formula>"SIM"</formula>
    </cfRule>
    <cfRule type="cellIs" dxfId="1326" priority="2018" stopIfTrue="1" operator="equal">
      <formula>"NÃO"</formula>
    </cfRule>
  </conditionalFormatting>
  <conditionalFormatting sqref="BF181 CJ181 DO181">
    <cfRule type="cellIs" dxfId="1325" priority="2013" stopIfTrue="1" operator="equal">
      <formula>0</formula>
    </cfRule>
    <cfRule type="cellIs" dxfId="1324" priority="2019" stopIfTrue="1" operator="notEqual">
      <formula>0</formula>
    </cfRule>
  </conditionalFormatting>
  <conditionalFormatting sqref="C181:D181">
    <cfRule type="expression" dxfId="1323" priority="2016" stopIfTrue="1">
      <formula>IF(AND($C181&lt;&gt;"",$H181+$L181=0),TRUE)</formula>
    </cfRule>
  </conditionalFormatting>
  <conditionalFormatting sqref="P181">
    <cfRule type="cellIs" dxfId="1322" priority="2005" stopIfTrue="1" operator="equal">
      <formula>1</formula>
    </cfRule>
    <cfRule type="cellIs" dxfId="1321" priority="2014" stopIfTrue="1" operator="equal">
      <formula>2</formula>
    </cfRule>
    <cfRule type="cellIs" dxfId="1320" priority="2015" stopIfTrue="1" operator="equal">
      <formula>"X"</formula>
    </cfRule>
  </conditionalFormatting>
  <conditionalFormatting sqref="GU181">
    <cfRule type="cellIs" dxfId="1319" priority="2007" stopIfTrue="1" operator="equal">
      <formula>0</formula>
    </cfRule>
    <cfRule type="cellIs" dxfId="1318" priority="2008" stopIfTrue="1" operator="notEqual">
      <formula>0</formula>
    </cfRule>
  </conditionalFormatting>
  <conditionalFormatting sqref="GV181">
    <cfRule type="cellIs" dxfId="1317" priority="2006" stopIfTrue="1" operator="equal">
      <formula>"STOP"</formula>
    </cfRule>
  </conditionalFormatting>
  <conditionalFormatting sqref="Q182">
    <cfRule type="cellIs" dxfId="1316" priority="2000" stopIfTrue="1" operator="equal">
      <formula>"SIM"</formula>
    </cfRule>
    <cfRule type="cellIs" dxfId="1315" priority="2001" stopIfTrue="1" operator="equal">
      <formula>"NÃO"</formula>
    </cfRule>
  </conditionalFormatting>
  <conditionalFormatting sqref="BF182 CJ182 DO182">
    <cfRule type="cellIs" dxfId="1314" priority="1996" stopIfTrue="1" operator="equal">
      <formula>0</formula>
    </cfRule>
    <cfRule type="cellIs" dxfId="1313" priority="2002" stopIfTrue="1" operator="notEqual">
      <formula>0</formula>
    </cfRule>
  </conditionalFormatting>
  <conditionalFormatting sqref="C182:D182">
    <cfRule type="expression" dxfId="1312" priority="1999" stopIfTrue="1">
      <formula>IF(AND($C182&lt;&gt;"",$H182+$L182=0),TRUE)</formula>
    </cfRule>
  </conditionalFormatting>
  <conditionalFormatting sqref="P182">
    <cfRule type="cellIs" dxfId="1311" priority="1988" stopIfTrue="1" operator="equal">
      <formula>1</formula>
    </cfRule>
    <cfRule type="cellIs" dxfId="1310" priority="1997" stopIfTrue="1" operator="equal">
      <formula>2</formula>
    </cfRule>
    <cfRule type="cellIs" dxfId="1309" priority="1998" stopIfTrue="1" operator="equal">
      <formula>"X"</formula>
    </cfRule>
  </conditionalFormatting>
  <conditionalFormatting sqref="GU182">
    <cfRule type="cellIs" dxfId="1308" priority="1990" stopIfTrue="1" operator="equal">
      <formula>0</formula>
    </cfRule>
    <cfRule type="cellIs" dxfId="1307" priority="1991" stopIfTrue="1" operator="notEqual">
      <formula>0</formula>
    </cfRule>
  </conditionalFormatting>
  <conditionalFormatting sqref="GV182">
    <cfRule type="cellIs" dxfId="1306" priority="1989" stopIfTrue="1" operator="equal">
      <formula>"STOP"</formula>
    </cfRule>
  </conditionalFormatting>
  <conditionalFormatting sqref="Q180">
    <cfRule type="cellIs" dxfId="1305" priority="1983" stopIfTrue="1" operator="equal">
      <formula>"SIM"</formula>
    </cfRule>
    <cfRule type="cellIs" dxfId="1304" priority="1984" stopIfTrue="1" operator="equal">
      <formula>"NÃO"</formula>
    </cfRule>
  </conditionalFormatting>
  <conditionalFormatting sqref="BF180 CJ180 DO180">
    <cfRule type="cellIs" dxfId="1303" priority="1979" stopIfTrue="1" operator="equal">
      <formula>0</formula>
    </cfRule>
    <cfRule type="cellIs" dxfId="1302" priority="1985" stopIfTrue="1" operator="notEqual">
      <formula>0</formula>
    </cfRule>
  </conditionalFormatting>
  <conditionalFormatting sqref="C180:D180">
    <cfRule type="expression" dxfId="1301" priority="1982" stopIfTrue="1">
      <formula>IF(AND($C180&lt;&gt;"",$H180+$L180=0),TRUE)</formula>
    </cfRule>
  </conditionalFormatting>
  <conditionalFormatting sqref="P180">
    <cfRule type="cellIs" dxfId="1300" priority="1971" stopIfTrue="1" operator="equal">
      <formula>1</formula>
    </cfRule>
    <cfRule type="cellIs" dxfId="1299" priority="1980" stopIfTrue="1" operator="equal">
      <formula>2</formula>
    </cfRule>
    <cfRule type="cellIs" dxfId="1298" priority="1981" stopIfTrue="1" operator="equal">
      <formula>"X"</formula>
    </cfRule>
  </conditionalFormatting>
  <conditionalFormatting sqref="GU180">
    <cfRule type="cellIs" dxfId="1297" priority="1973" stopIfTrue="1" operator="equal">
      <formula>0</formula>
    </cfRule>
    <cfRule type="cellIs" dxfId="1296" priority="1974" stopIfTrue="1" operator="notEqual">
      <formula>0</formula>
    </cfRule>
  </conditionalFormatting>
  <conditionalFormatting sqref="GV180">
    <cfRule type="cellIs" dxfId="1295" priority="1972" stopIfTrue="1" operator="equal">
      <formula>"STOP"</formula>
    </cfRule>
  </conditionalFormatting>
  <conditionalFormatting sqref="Q181">
    <cfRule type="cellIs" dxfId="1294" priority="1966" stopIfTrue="1" operator="equal">
      <formula>"SIM"</formula>
    </cfRule>
    <cfRule type="cellIs" dxfId="1293" priority="1967" stopIfTrue="1" operator="equal">
      <formula>"NÃO"</formula>
    </cfRule>
  </conditionalFormatting>
  <conditionalFormatting sqref="BF181 CJ181 DO181">
    <cfRule type="cellIs" dxfId="1292" priority="1962" stopIfTrue="1" operator="equal">
      <formula>0</formula>
    </cfRule>
    <cfRule type="cellIs" dxfId="1291" priority="1968" stopIfTrue="1" operator="notEqual">
      <formula>0</formula>
    </cfRule>
  </conditionalFormatting>
  <conditionalFormatting sqref="C181:D181">
    <cfRule type="expression" dxfId="1290" priority="1965" stopIfTrue="1">
      <formula>IF(AND($C181&lt;&gt;"",$H181+$L181=0),TRUE)</formula>
    </cfRule>
  </conditionalFormatting>
  <conditionalFormatting sqref="P181">
    <cfRule type="cellIs" dxfId="1289" priority="1954" stopIfTrue="1" operator="equal">
      <formula>1</formula>
    </cfRule>
    <cfRule type="cellIs" dxfId="1288" priority="1963" stopIfTrue="1" operator="equal">
      <formula>2</formula>
    </cfRule>
    <cfRule type="cellIs" dxfId="1287" priority="1964" stopIfTrue="1" operator="equal">
      <formula>"X"</formula>
    </cfRule>
  </conditionalFormatting>
  <conditionalFormatting sqref="GU181">
    <cfRule type="cellIs" dxfId="1286" priority="1956" stopIfTrue="1" operator="equal">
      <formula>0</formula>
    </cfRule>
    <cfRule type="cellIs" dxfId="1285" priority="1957" stopIfTrue="1" operator="notEqual">
      <formula>0</formula>
    </cfRule>
  </conditionalFormatting>
  <conditionalFormatting sqref="GV181">
    <cfRule type="cellIs" dxfId="1284" priority="1955" stopIfTrue="1" operator="equal">
      <formula>"STOP"</formula>
    </cfRule>
  </conditionalFormatting>
  <conditionalFormatting sqref="Q182">
    <cfRule type="cellIs" dxfId="1283" priority="1949" stopIfTrue="1" operator="equal">
      <formula>"SIM"</formula>
    </cfRule>
    <cfRule type="cellIs" dxfId="1282" priority="1950" stopIfTrue="1" operator="equal">
      <formula>"NÃO"</formula>
    </cfRule>
  </conditionalFormatting>
  <conditionalFormatting sqref="BF182 CJ182 DO182">
    <cfRule type="cellIs" dxfId="1281" priority="1945" stopIfTrue="1" operator="equal">
      <formula>0</formula>
    </cfRule>
    <cfRule type="cellIs" dxfId="1280" priority="1951" stopIfTrue="1" operator="notEqual">
      <formula>0</formula>
    </cfRule>
  </conditionalFormatting>
  <conditionalFormatting sqref="C182:D182">
    <cfRule type="expression" dxfId="1279" priority="1948" stopIfTrue="1">
      <formula>IF(AND($C182&lt;&gt;"",$H182+$L182=0),TRUE)</formula>
    </cfRule>
  </conditionalFormatting>
  <conditionalFormatting sqref="P182">
    <cfRule type="cellIs" dxfId="1278" priority="1937" stopIfTrue="1" operator="equal">
      <formula>1</formula>
    </cfRule>
    <cfRule type="cellIs" dxfId="1277" priority="1946" stopIfTrue="1" operator="equal">
      <formula>2</formula>
    </cfRule>
    <cfRule type="cellIs" dxfId="1276" priority="1947" stopIfTrue="1" operator="equal">
      <formula>"X"</formula>
    </cfRule>
  </conditionalFormatting>
  <conditionalFormatting sqref="GU182">
    <cfRule type="cellIs" dxfId="1275" priority="1939" stopIfTrue="1" operator="equal">
      <formula>0</formula>
    </cfRule>
    <cfRule type="cellIs" dxfId="1274" priority="1940" stopIfTrue="1" operator="notEqual">
      <formula>0</formula>
    </cfRule>
  </conditionalFormatting>
  <conditionalFormatting sqref="GV182">
    <cfRule type="cellIs" dxfId="1273" priority="1938" stopIfTrue="1" operator="equal">
      <formula>"STOP"</formula>
    </cfRule>
  </conditionalFormatting>
  <conditionalFormatting sqref="Q181">
    <cfRule type="cellIs" dxfId="1272" priority="1932" stopIfTrue="1" operator="equal">
      <formula>"SIM"</formula>
    </cfRule>
    <cfRule type="cellIs" dxfId="1271" priority="1933" stopIfTrue="1" operator="equal">
      <formula>"NÃO"</formula>
    </cfRule>
  </conditionalFormatting>
  <conditionalFormatting sqref="BF181 CJ181 DO181">
    <cfRule type="cellIs" dxfId="1270" priority="1928" stopIfTrue="1" operator="equal">
      <formula>0</formula>
    </cfRule>
    <cfRule type="cellIs" dxfId="1269" priority="1934" stopIfTrue="1" operator="notEqual">
      <formula>0</formula>
    </cfRule>
  </conditionalFormatting>
  <conditionalFormatting sqref="C181:D181">
    <cfRule type="expression" dxfId="1268" priority="1931" stopIfTrue="1">
      <formula>IF(AND($C181&lt;&gt;"",$H181+$L181=0),TRUE)</formula>
    </cfRule>
  </conditionalFormatting>
  <conditionalFormatting sqref="P181">
    <cfRule type="cellIs" dxfId="1267" priority="1920" stopIfTrue="1" operator="equal">
      <formula>1</formula>
    </cfRule>
    <cfRule type="cellIs" dxfId="1266" priority="1929" stopIfTrue="1" operator="equal">
      <formula>2</formula>
    </cfRule>
    <cfRule type="cellIs" dxfId="1265" priority="1930" stopIfTrue="1" operator="equal">
      <formula>"X"</formula>
    </cfRule>
  </conditionalFormatting>
  <conditionalFormatting sqref="GU181">
    <cfRule type="cellIs" dxfId="1264" priority="1922" stopIfTrue="1" operator="equal">
      <formula>0</formula>
    </cfRule>
    <cfRule type="cellIs" dxfId="1263" priority="1923" stopIfTrue="1" operator="notEqual">
      <formula>0</formula>
    </cfRule>
  </conditionalFormatting>
  <conditionalFormatting sqref="GV181">
    <cfRule type="cellIs" dxfId="1262" priority="1921" stopIfTrue="1" operator="equal">
      <formula>"STOP"</formula>
    </cfRule>
  </conditionalFormatting>
  <conditionalFormatting sqref="Q182">
    <cfRule type="cellIs" dxfId="1261" priority="1915" stopIfTrue="1" operator="equal">
      <formula>"SIM"</formula>
    </cfRule>
    <cfRule type="cellIs" dxfId="1260" priority="1916" stopIfTrue="1" operator="equal">
      <formula>"NÃO"</formula>
    </cfRule>
  </conditionalFormatting>
  <conditionalFormatting sqref="BF182 CJ182 DO182">
    <cfRule type="cellIs" dxfId="1259" priority="1911" stopIfTrue="1" operator="equal">
      <formula>0</formula>
    </cfRule>
    <cfRule type="cellIs" dxfId="1258" priority="1917" stopIfTrue="1" operator="notEqual">
      <formula>0</formula>
    </cfRule>
  </conditionalFormatting>
  <conditionalFormatting sqref="C182:D182">
    <cfRule type="expression" dxfId="1257" priority="1914" stopIfTrue="1">
      <formula>IF(AND($C182&lt;&gt;"",$H182+$L182=0),TRUE)</formula>
    </cfRule>
  </conditionalFormatting>
  <conditionalFormatting sqref="P182">
    <cfRule type="cellIs" dxfId="1256" priority="1903" stopIfTrue="1" operator="equal">
      <formula>1</formula>
    </cfRule>
    <cfRule type="cellIs" dxfId="1255" priority="1912" stopIfTrue="1" operator="equal">
      <formula>2</formula>
    </cfRule>
    <cfRule type="cellIs" dxfId="1254" priority="1913" stopIfTrue="1" operator="equal">
      <formula>"X"</formula>
    </cfRule>
  </conditionalFormatting>
  <conditionalFormatting sqref="GU182">
    <cfRule type="cellIs" dxfId="1253" priority="1905" stopIfTrue="1" operator="equal">
      <formula>0</formula>
    </cfRule>
    <cfRule type="cellIs" dxfId="1252" priority="1906" stopIfTrue="1" operator="notEqual">
      <formula>0</formula>
    </cfRule>
  </conditionalFormatting>
  <conditionalFormatting sqref="GV182">
    <cfRule type="cellIs" dxfId="1251" priority="1904" stopIfTrue="1" operator="equal">
      <formula>"STOP"</formula>
    </cfRule>
  </conditionalFormatting>
  <conditionalFormatting sqref="Q180">
    <cfRule type="cellIs" dxfId="1250" priority="1898" stopIfTrue="1" operator="equal">
      <formula>"SIM"</formula>
    </cfRule>
    <cfRule type="cellIs" dxfId="1249" priority="1899" stopIfTrue="1" operator="equal">
      <formula>"NÃO"</formula>
    </cfRule>
  </conditionalFormatting>
  <conditionalFormatting sqref="BF180 CJ180 DO180">
    <cfRule type="cellIs" dxfId="1248" priority="1894" stopIfTrue="1" operator="equal">
      <formula>0</formula>
    </cfRule>
    <cfRule type="cellIs" dxfId="1247" priority="1900" stopIfTrue="1" operator="notEqual">
      <formula>0</formula>
    </cfRule>
  </conditionalFormatting>
  <conditionalFormatting sqref="C180:D180">
    <cfRule type="expression" dxfId="1246" priority="1897" stopIfTrue="1">
      <formula>IF(AND($C180&lt;&gt;"",$H180+$L180=0),TRUE)</formula>
    </cfRule>
  </conditionalFormatting>
  <conditionalFormatting sqref="P180">
    <cfRule type="cellIs" dxfId="1245" priority="1886" stopIfTrue="1" operator="equal">
      <formula>1</formula>
    </cfRule>
    <cfRule type="cellIs" dxfId="1244" priority="1895" stopIfTrue="1" operator="equal">
      <formula>2</formula>
    </cfRule>
    <cfRule type="cellIs" dxfId="1243" priority="1896" stopIfTrue="1" operator="equal">
      <formula>"X"</formula>
    </cfRule>
  </conditionalFormatting>
  <conditionalFormatting sqref="GU180">
    <cfRule type="cellIs" dxfId="1242" priority="1888" stopIfTrue="1" operator="equal">
      <formula>0</formula>
    </cfRule>
    <cfRule type="cellIs" dxfId="1241" priority="1889" stopIfTrue="1" operator="notEqual">
      <formula>0</formula>
    </cfRule>
  </conditionalFormatting>
  <conditionalFormatting sqref="GV180">
    <cfRule type="cellIs" dxfId="1240" priority="1887" stopIfTrue="1" operator="equal">
      <formula>"STOP"</formula>
    </cfRule>
  </conditionalFormatting>
  <conditionalFormatting sqref="Q181">
    <cfRule type="cellIs" dxfId="1239" priority="1881" stopIfTrue="1" operator="equal">
      <formula>"SIM"</formula>
    </cfRule>
    <cfRule type="cellIs" dxfId="1238" priority="1882" stopIfTrue="1" operator="equal">
      <formula>"NÃO"</formula>
    </cfRule>
  </conditionalFormatting>
  <conditionalFormatting sqref="BF181 CJ181 DO181">
    <cfRule type="cellIs" dxfId="1237" priority="1877" stopIfTrue="1" operator="equal">
      <formula>0</formula>
    </cfRule>
    <cfRule type="cellIs" dxfId="1236" priority="1883" stopIfTrue="1" operator="notEqual">
      <formula>0</formula>
    </cfRule>
  </conditionalFormatting>
  <conditionalFormatting sqref="C181:D181">
    <cfRule type="expression" dxfId="1235" priority="1880" stopIfTrue="1">
      <formula>IF(AND($C181&lt;&gt;"",$H181+$L181=0),TRUE)</formula>
    </cfRule>
  </conditionalFormatting>
  <conditionalFormatting sqref="P181">
    <cfRule type="cellIs" dxfId="1234" priority="1869" stopIfTrue="1" operator="equal">
      <formula>1</formula>
    </cfRule>
    <cfRule type="cellIs" dxfId="1233" priority="1878" stopIfTrue="1" operator="equal">
      <formula>2</formula>
    </cfRule>
    <cfRule type="cellIs" dxfId="1232" priority="1879" stopIfTrue="1" operator="equal">
      <formula>"X"</formula>
    </cfRule>
  </conditionalFormatting>
  <conditionalFormatting sqref="GU181">
    <cfRule type="cellIs" dxfId="1231" priority="1871" stopIfTrue="1" operator="equal">
      <formula>0</formula>
    </cfRule>
    <cfRule type="cellIs" dxfId="1230" priority="1872" stopIfTrue="1" operator="notEqual">
      <formula>0</formula>
    </cfRule>
  </conditionalFormatting>
  <conditionalFormatting sqref="GV181">
    <cfRule type="cellIs" dxfId="1229" priority="1870" stopIfTrue="1" operator="equal">
      <formula>"STOP"</formula>
    </cfRule>
  </conditionalFormatting>
  <conditionalFormatting sqref="Q182">
    <cfRule type="cellIs" dxfId="1228" priority="1864" stopIfTrue="1" operator="equal">
      <formula>"SIM"</formula>
    </cfRule>
    <cfRule type="cellIs" dxfId="1227" priority="1865" stopIfTrue="1" operator="equal">
      <formula>"NÃO"</formula>
    </cfRule>
  </conditionalFormatting>
  <conditionalFormatting sqref="BF182 CJ182 DO182">
    <cfRule type="cellIs" dxfId="1226" priority="1860" stopIfTrue="1" operator="equal">
      <formula>0</formula>
    </cfRule>
    <cfRule type="cellIs" dxfId="1225" priority="1866" stopIfTrue="1" operator="notEqual">
      <formula>0</formula>
    </cfRule>
  </conditionalFormatting>
  <conditionalFormatting sqref="C182:D182">
    <cfRule type="expression" dxfId="1224" priority="1863" stopIfTrue="1">
      <formula>IF(AND($C182&lt;&gt;"",$H182+$L182=0),TRUE)</formula>
    </cfRule>
  </conditionalFormatting>
  <conditionalFormatting sqref="P182">
    <cfRule type="cellIs" dxfId="1223" priority="1852" stopIfTrue="1" operator="equal">
      <formula>1</formula>
    </cfRule>
    <cfRule type="cellIs" dxfId="1222" priority="1861" stopIfTrue="1" operator="equal">
      <formula>2</formula>
    </cfRule>
    <cfRule type="cellIs" dxfId="1221" priority="1862" stopIfTrue="1" operator="equal">
      <formula>"X"</formula>
    </cfRule>
  </conditionalFormatting>
  <conditionalFormatting sqref="GU182">
    <cfRule type="cellIs" dxfId="1220" priority="1854" stopIfTrue="1" operator="equal">
      <formula>0</formula>
    </cfRule>
    <cfRule type="cellIs" dxfId="1219" priority="1855" stopIfTrue="1" operator="notEqual">
      <formula>0</formula>
    </cfRule>
  </conditionalFormatting>
  <conditionalFormatting sqref="GV182">
    <cfRule type="cellIs" dxfId="1218" priority="1853" stopIfTrue="1" operator="equal">
      <formula>"STOP"</formula>
    </cfRule>
  </conditionalFormatting>
  <conditionalFormatting sqref="Q180">
    <cfRule type="cellIs" dxfId="1217" priority="1847" stopIfTrue="1" operator="equal">
      <formula>"SIM"</formula>
    </cfRule>
    <cfRule type="cellIs" dxfId="1216" priority="1848" stopIfTrue="1" operator="equal">
      <formula>"NÃO"</formula>
    </cfRule>
  </conditionalFormatting>
  <conditionalFormatting sqref="BF180 CJ180 DO180">
    <cfRule type="cellIs" dxfId="1215" priority="1843" stopIfTrue="1" operator="equal">
      <formula>0</formula>
    </cfRule>
    <cfRule type="cellIs" dxfId="1214" priority="1849" stopIfTrue="1" operator="notEqual">
      <formula>0</formula>
    </cfRule>
  </conditionalFormatting>
  <conditionalFormatting sqref="C180:D180">
    <cfRule type="expression" dxfId="1213" priority="1846" stopIfTrue="1">
      <formula>IF(AND($C180&lt;&gt;"",$H180+$L180=0),TRUE)</formula>
    </cfRule>
  </conditionalFormatting>
  <conditionalFormatting sqref="P180">
    <cfRule type="cellIs" dxfId="1212" priority="1835" stopIfTrue="1" operator="equal">
      <formula>1</formula>
    </cfRule>
    <cfRule type="cellIs" dxfId="1211" priority="1844" stopIfTrue="1" operator="equal">
      <formula>2</formula>
    </cfRule>
    <cfRule type="cellIs" dxfId="1210" priority="1845" stopIfTrue="1" operator="equal">
      <formula>"X"</formula>
    </cfRule>
  </conditionalFormatting>
  <conditionalFormatting sqref="GU180">
    <cfRule type="cellIs" dxfId="1209" priority="1837" stopIfTrue="1" operator="equal">
      <formula>0</formula>
    </cfRule>
    <cfRule type="cellIs" dxfId="1208" priority="1838" stopIfTrue="1" operator="notEqual">
      <formula>0</formula>
    </cfRule>
  </conditionalFormatting>
  <conditionalFormatting sqref="GV180">
    <cfRule type="cellIs" dxfId="1207" priority="1836" stopIfTrue="1" operator="equal">
      <formula>"STOP"</formula>
    </cfRule>
  </conditionalFormatting>
  <conditionalFormatting sqref="Q181">
    <cfRule type="cellIs" dxfId="1206" priority="1830" stopIfTrue="1" operator="equal">
      <formula>"SIM"</formula>
    </cfRule>
    <cfRule type="cellIs" dxfId="1205" priority="1831" stopIfTrue="1" operator="equal">
      <formula>"NÃO"</formula>
    </cfRule>
  </conditionalFormatting>
  <conditionalFormatting sqref="BF181 CJ181 DO181">
    <cfRule type="cellIs" dxfId="1204" priority="1826" stopIfTrue="1" operator="equal">
      <formula>0</formula>
    </cfRule>
    <cfRule type="cellIs" dxfId="1203" priority="1832" stopIfTrue="1" operator="notEqual">
      <formula>0</formula>
    </cfRule>
  </conditionalFormatting>
  <conditionalFormatting sqref="C181:D181">
    <cfRule type="expression" dxfId="1202" priority="1829" stopIfTrue="1">
      <formula>IF(AND($C181&lt;&gt;"",$H181+$L181=0),TRUE)</formula>
    </cfRule>
  </conditionalFormatting>
  <conditionalFormatting sqref="P181">
    <cfRule type="cellIs" dxfId="1201" priority="1818" stopIfTrue="1" operator="equal">
      <formula>1</formula>
    </cfRule>
    <cfRule type="cellIs" dxfId="1200" priority="1827" stopIfTrue="1" operator="equal">
      <formula>2</formula>
    </cfRule>
    <cfRule type="cellIs" dxfId="1199" priority="1828" stopIfTrue="1" operator="equal">
      <formula>"X"</formula>
    </cfRule>
  </conditionalFormatting>
  <conditionalFormatting sqref="GU181">
    <cfRule type="cellIs" dxfId="1198" priority="1820" stopIfTrue="1" operator="equal">
      <formula>0</formula>
    </cfRule>
    <cfRule type="cellIs" dxfId="1197" priority="1821" stopIfTrue="1" operator="notEqual">
      <formula>0</formula>
    </cfRule>
  </conditionalFormatting>
  <conditionalFormatting sqref="GV181">
    <cfRule type="cellIs" dxfId="1196" priority="1819" stopIfTrue="1" operator="equal">
      <formula>"STOP"</formula>
    </cfRule>
  </conditionalFormatting>
  <conditionalFormatting sqref="Q182">
    <cfRule type="cellIs" dxfId="1195" priority="1813" stopIfTrue="1" operator="equal">
      <formula>"SIM"</formula>
    </cfRule>
    <cfRule type="cellIs" dxfId="1194" priority="1814" stopIfTrue="1" operator="equal">
      <formula>"NÃO"</formula>
    </cfRule>
  </conditionalFormatting>
  <conditionalFormatting sqref="BF182 CJ182 DO182">
    <cfRule type="cellIs" dxfId="1193" priority="1809" stopIfTrue="1" operator="equal">
      <formula>0</formula>
    </cfRule>
    <cfRule type="cellIs" dxfId="1192" priority="1815" stopIfTrue="1" operator="notEqual">
      <formula>0</formula>
    </cfRule>
  </conditionalFormatting>
  <conditionalFormatting sqref="C182:D182">
    <cfRule type="expression" dxfId="1191" priority="1812" stopIfTrue="1">
      <formula>IF(AND($C182&lt;&gt;"",$H182+$L182=0),TRUE)</formula>
    </cfRule>
  </conditionalFormatting>
  <conditionalFormatting sqref="P182">
    <cfRule type="cellIs" dxfId="1190" priority="1801" stopIfTrue="1" operator="equal">
      <formula>1</formula>
    </cfRule>
    <cfRule type="cellIs" dxfId="1189" priority="1810" stopIfTrue="1" operator="equal">
      <formula>2</formula>
    </cfRule>
    <cfRule type="cellIs" dxfId="1188" priority="1811" stopIfTrue="1" operator="equal">
      <formula>"X"</formula>
    </cfRule>
  </conditionalFormatting>
  <conditionalFormatting sqref="GU182">
    <cfRule type="cellIs" dxfId="1187" priority="1803" stopIfTrue="1" operator="equal">
      <formula>0</formula>
    </cfRule>
    <cfRule type="cellIs" dxfId="1186" priority="1804" stopIfTrue="1" operator="notEqual">
      <formula>0</formula>
    </cfRule>
  </conditionalFormatting>
  <conditionalFormatting sqref="GV182">
    <cfRule type="cellIs" dxfId="1185" priority="1802" stopIfTrue="1" operator="equal">
      <formula>"STOP"</formula>
    </cfRule>
  </conditionalFormatting>
  <conditionalFormatting sqref="Q180">
    <cfRule type="cellIs" dxfId="1184" priority="1796" stopIfTrue="1" operator="equal">
      <formula>"SIM"</formula>
    </cfRule>
    <cfRule type="cellIs" dxfId="1183" priority="1797" stopIfTrue="1" operator="equal">
      <formula>"NÃO"</formula>
    </cfRule>
  </conditionalFormatting>
  <conditionalFormatting sqref="BF180 CJ180 DO180">
    <cfRule type="cellIs" dxfId="1182" priority="1792" stopIfTrue="1" operator="equal">
      <formula>0</formula>
    </cfRule>
    <cfRule type="cellIs" dxfId="1181" priority="1798" stopIfTrue="1" operator="notEqual">
      <formula>0</formula>
    </cfRule>
  </conditionalFormatting>
  <conditionalFormatting sqref="C180:D180">
    <cfRule type="expression" dxfId="1180" priority="1795" stopIfTrue="1">
      <formula>IF(AND($C180&lt;&gt;"",$H180+$L180=0),TRUE)</formula>
    </cfRule>
  </conditionalFormatting>
  <conditionalFormatting sqref="P180">
    <cfRule type="cellIs" dxfId="1179" priority="1784" stopIfTrue="1" operator="equal">
      <formula>1</formula>
    </cfRule>
    <cfRule type="cellIs" dxfId="1178" priority="1793" stopIfTrue="1" operator="equal">
      <formula>2</formula>
    </cfRule>
    <cfRule type="cellIs" dxfId="1177" priority="1794" stopIfTrue="1" operator="equal">
      <formula>"X"</formula>
    </cfRule>
  </conditionalFormatting>
  <conditionalFormatting sqref="GU180">
    <cfRule type="cellIs" dxfId="1176" priority="1786" stopIfTrue="1" operator="equal">
      <formula>0</formula>
    </cfRule>
    <cfRule type="cellIs" dxfId="1175" priority="1787" stopIfTrue="1" operator="notEqual">
      <formula>0</formula>
    </cfRule>
  </conditionalFormatting>
  <conditionalFormatting sqref="GV180">
    <cfRule type="cellIs" dxfId="1174" priority="1785" stopIfTrue="1" operator="equal">
      <formula>"STOP"</formula>
    </cfRule>
  </conditionalFormatting>
  <conditionalFormatting sqref="Q181">
    <cfRule type="cellIs" dxfId="1173" priority="1779" stopIfTrue="1" operator="equal">
      <formula>"SIM"</formula>
    </cfRule>
    <cfRule type="cellIs" dxfId="1172" priority="1780" stopIfTrue="1" operator="equal">
      <formula>"NÃO"</formula>
    </cfRule>
  </conditionalFormatting>
  <conditionalFormatting sqref="BF181 CJ181 DO181">
    <cfRule type="cellIs" dxfId="1171" priority="1775" stopIfTrue="1" operator="equal">
      <formula>0</formula>
    </cfRule>
    <cfRule type="cellIs" dxfId="1170" priority="1781" stopIfTrue="1" operator="notEqual">
      <formula>0</formula>
    </cfRule>
  </conditionalFormatting>
  <conditionalFormatting sqref="C181:D181">
    <cfRule type="expression" dxfId="1169" priority="1778" stopIfTrue="1">
      <formula>IF(AND($C181&lt;&gt;"",$H181+$L181=0),TRUE)</formula>
    </cfRule>
  </conditionalFormatting>
  <conditionalFormatting sqref="P181">
    <cfRule type="cellIs" dxfId="1168" priority="1767" stopIfTrue="1" operator="equal">
      <formula>1</formula>
    </cfRule>
    <cfRule type="cellIs" dxfId="1167" priority="1776" stopIfTrue="1" operator="equal">
      <formula>2</formula>
    </cfRule>
    <cfRule type="cellIs" dxfId="1166" priority="1777" stopIfTrue="1" operator="equal">
      <formula>"X"</formula>
    </cfRule>
  </conditionalFormatting>
  <conditionalFormatting sqref="GU181">
    <cfRule type="cellIs" dxfId="1165" priority="1769" stopIfTrue="1" operator="equal">
      <formula>0</formula>
    </cfRule>
    <cfRule type="cellIs" dxfId="1164" priority="1770" stopIfTrue="1" operator="notEqual">
      <formula>0</formula>
    </cfRule>
  </conditionalFormatting>
  <conditionalFormatting sqref="GV181">
    <cfRule type="cellIs" dxfId="1163" priority="1768" stopIfTrue="1" operator="equal">
      <formula>"STOP"</formula>
    </cfRule>
  </conditionalFormatting>
  <conditionalFormatting sqref="Q182">
    <cfRule type="cellIs" dxfId="1162" priority="1762" stopIfTrue="1" operator="equal">
      <formula>"SIM"</formula>
    </cfRule>
    <cfRule type="cellIs" dxfId="1161" priority="1763" stopIfTrue="1" operator="equal">
      <formula>"NÃO"</formula>
    </cfRule>
  </conditionalFormatting>
  <conditionalFormatting sqref="BF182 CJ182 DO182">
    <cfRule type="cellIs" dxfId="1160" priority="1758" stopIfTrue="1" operator="equal">
      <formula>0</formula>
    </cfRule>
    <cfRule type="cellIs" dxfId="1159" priority="1764" stopIfTrue="1" operator="notEqual">
      <formula>0</formula>
    </cfRule>
  </conditionalFormatting>
  <conditionalFormatting sqref="C182:D182">
    <cfRule type="expression" dxfId="1158" priority="1761" stopIfTrue="1">
      <formula>IF(AND($C182&lt;&gt;"",$H182+$L182=0),TRUE)</formula>
    </cfRule>
  </conditionalFormatting>
  <conditionalFormatting sqref="P182">
    <cfRule type="cellIs" dxfId="1157" priority="1750" stopIfTrue="1" operator="equal">
      <formula>1</formula>
    </cfRule>
    <cfRule type="cellIs" dxfId="1156" priority="1759" stopIfTrue="1" operator="equal">
      <formula>2</formula>
    </cfRule>
    <cfRule type="cellIs" dxfId="1155" priority="1760" stopIfTrue="1" operator="equal">
      <formula>"X"</formula>
    </cfRule>
  </conditionalFormatting>
  <conditionalFormatting sqref="GU182">
    <cfRule type="cellIs" dxfId="1154" priority="1752" stopIfTrue="1" operator="equal">
      <formula>0</formula>
    </cfRule>
    <cfRule type="cellIs" dxfId="1153" priority="1753" stopIfTrue="1" operator="notEqual">
      <formula>0</formula>
    </cfRule>
  </conditionalFormatting>
  <conditionalFormatting sqref="GV182">
    <cfRule type="cellIs" dxfId="1152" priority="1751" stopIfTrue="1" operator="equal">
      <formula>"STOP"</formula>
    </cfRule>
  </conditionalFormatting>
  <conditionalFormatting sqref="Q181">
    <cfRule type="cellIs" dxfId="1151" priority="1745" stopIfTrue="1" operator="equal">
      <formula>"SIM"</formula>
    </cfRule>
    <cfRule type="cellIs" dxfId="1150" priority="1746" stopIfTrue="1" operator="equal">
      <formula>"NÃO"</formula>
    </cfRule>
  </conditionalFormatting>
  <conditionalFormatting sqref="BF181 CJ181 DO181">
    <cfRule type="cellIs" dxfId="1149" priority="1741" stopIfTrue="1" operator="equal">
      <formula>0</formula>
    </cfRule>
    <cfRule type="cellIs" dxfId="1148" priority="1747" stopIfTrue="1" operator="notEqual">
      <formula>0</formula>
    </cfRule>
  </conditionalFormatting>
  <conditionalFormatting sqref="C181:D181">
    <cfRule type="expression" dxfId="1147" priority="1744" stopIfTrue="1">
      <formula>IF(AND($C181&lt;&gt;"",$H181+$L181=0),TRUE)</formula>
    </cfRule>
  </conditionalFormatting>
  <conditionalFormatting sqref="P181">
    <cfRule type="cellIs" dxfId="1146" priority="1733" stopIfTrue="1" operator="equal">
      <formula>1</formula>
    </cfRule>
    <cfRule type="cellIs" dxfId="1145" priority="1742" stopIfTrue="1" operator="equal">
      <formula>2</formula>
    </cfRule>
    <cfRule type="cellIs" dxfId="1144" priority="1743" stopIfTrue="1" operator="equal">
      <formula>"X"</formula>
    </cfRule>
  </conditionalFormatting>
  <conditionalFormatting sqref="GU181">
    <cfRule type="cellIs" dxfId="1143" priority="1735" stopIfTrue="1" operator="equal">
      <formula>0</formula>
    </cfRule>
    <cfRule type="cellIs" dxfId="1142" priority="1736" stopIfTrue="1" operator="notEqual">
      <formula>0</formula>
    </cfRule>
  </conditionalFormatting>
  <conditionalFormatting sqref="GV181">
    <cfRule type="cellIs" dxfId="1141" priority="1734" stopIfTrue="1" operator="equal">
      <formula>"STOP"</formula>
    </cfRule>
  </conditionalFormatting>
  <conditionalFormatting sqref="Q182">
    <cfRule type="cellIs" dxfId="1140" priority="1728" stopIfTrue="1" operator="equal">
      <formula>"SIM"</formula>
    </cfRule>
    <cfRule type="cellIs" dxfId="1139" priority="1729" stopIfTrue="1" operator="equal">
      <formula>"NÃO"</formula>
    </cfRule>
  </conditionalFormatting>
  <conditionalFormatting sqref="BF182 CJ182 DO182">
    <cfRule type="cellIs" dxfId="1138" priority="1724" stopIfTrue="1" operator="equal">
      <formula>0</formula>
    </cfRule>
    <cfRule type="cellIs" dxfId="1137" priority="1730" stopIfTrue="1" operator="notEqual">
      <formula>0</formula>
    </cfRule>
  </conditionalFormatting>
  <conditionalFormatting sqref="C182:D182">
    <cfRule type="expression" dxfId="1136" priority="1727" stopIfTrue="1">
      <formula>IF(AND($C182&lt;&gt;"",$H182+$L182=0),TRUE)</formula>
    </cfRule>
  </conditionalFormatting>
  <conditionalFormatting sqref="P182">
    <cfRule type="cellIs" dxfId="1135" priority="1716" stopIfTrue="1" operator="equal">
      <formula>1</formula>
    </cfRule>
    <cfRule type="cellIs" dxfId="1134" priority="1725" stopIfTrue="1" operator="equal">
      <formula>2</formula>
    </cfRule>
    <cfRule type="cellIs" dxfId="1133" priority="1726" stopIfTrue="1" operator="equal">
      <formula>"X"</formula>
    </cfRule>
  </conditionalFormatting>
  <conditionalFormatting sqref="GU182">
    <cfRule type="cellIs" dxfId="1132" priority="1718" stopIfTrue="1" operator="equal">
      <formula>0</formula>
    </cfRule>
    <cfRule type="cellIs" dxfId="1131" priority="1719" stopIfTrue="1" operator="notEqual">
      <formula>0</formula>
    </cfRule>
  </conditionalFormatting>
  <conditionalFormatting sqref="GV182">
    <cfRule type="cellIs" dxfId="1130" priority="1717" stopIfTrue="1" operator="equal">
      <formula>"STOP"</formula>
    </cfRule>
  </conditionalFormatting>
  <conditionalFormatting sqref="Q180">
    <cfRule type="cellIs" dxfId="1129" priority="1711" stopIfTrue="1" operator="equal">
      <formula>"SIM"</formula>
    </cfRule>
    <cfRule type="cellIs" dxfId="1128" priority="1712" stopIfTrue="1" operator="equal">
      <formula>"NÃO"</formula>
    </cfRule>
  </conditionalFormatting>
  <conditionalFormatting sqref="BF180 CJ180 DO180">
    <cfRule type="cellIs" dxfId="1127" priority="1707" stopIfTrue="1" operator="equal">
      <formula>0</formula>
    </cfRule>
    <cfRule type="cellIs" dxfId="1126" priority="1713" stopIfTrue="1" operator="notEqual">
      <formula>0</formula>
    </cfRule>
  </conditionalFormatting>
  <conditionalFormatting sqref="C180:D180">
    <cfRule type="expression" dxfId="1125" priority="1710" stopIfTrue="1">
      <formula>IF(AND($C180&lt;&gt;"",$H180+$L180=0),TRUE)</formula>
    </cfRule>
  </conditionalFormatting>
  <conditionalFormatting sqref="P180">
    <cfRule type="cellIs" dxfId="1124" priority="1699" stopIfTrue="1" operator="equal">
      <formula>1</formula>
    </cfRule>
    <cfRule type="cellIs" dxfId="1123" priority="1708" stopIfTrue="1" operator="equal">
      <formula>2</formula>
    </cfRule>
    <cfRule type="cellIs" dxfId="1122" priority="1709" stopIfTrue="1" operator="equal">
      <formula>"X"</formula>
    </cfRule>
  </conditionalFormatting>
  <conditionalFormatting sqref="GU180">
    <cfRule type="cellIs" dxfId="1121" priority="1701" stopIfTrue="1" operator="equal">
      <formula>0</formula>
    </cfRule>
    <cfRule type="cellIs" dxfId="1120" priority="1702" stopIfTrue="1" operator="notEqual">
      <formula>0</formula>
    </cfRule>
  </conditionalFormatting>
  <conditionalFormatting sqref="GV180">
    <cfRule type="cellIs" dxfId="1119" priority="1700" stopIfTrue="1" operator="equal">
      <formula>"STOP"</formula>
    </cfRule>
  </conditionalFormatting>
  <conditionalFormatting sqref="Q181">
    <cfRule type="cellIs" dxfId="1118" priority="1694" stopIfTrue="1" operator="equal">
      <formula>"SIM"</formula>
    </cfRule>
    <cfRule type="cellIs" dxfId="1117" priority="1695" stopIfTrue="1" operator="equal">
      <formula>"NÃO"</formula>
    </cfRule>
  </conditionalFormatting>
  <conditionalFormatting sqref="BF181 CJ181 DO181">
    <cfRule type="cellIs" dxfId="1116" priority="1690" stopIfTrue="1" operator="equal">
      <formula>0</formula>
    </cfRule>
    <cfRule type="cellIs" dxfId="1115" priority="1696" stopIfTrue="1" operator="notEqual">
      <formula>0</formula>
    </cfRule>
  </conditionalFormatting>
  <conditionalFormatting sqref="C181:D181">
    <cfRule type="expression" dxfId="1114" priority="1693" stopIfTrue="1">
      <formula>IF(AND($C181&lt;&gt;"",$H181+$L181=0),TRUE)</formula>
    </cfRule>
  </conditionalFormatting>
  <conditionalFormatting sqref="P181">
    <cfRule type="cellIs" dxfId="1113" priority="1682" stopIfTrue="1" operator="equal">
      <formula>1</formula>
    </cfRule>
    <cfRule type="cellIs" dxfId="1112" priority="1691" stopIfTrue="1" operator="equal">
      <formula>2</formula>
    </cfRule>
    <cfRule type="cellIs" dxfId="1111" priority="1692" stopIfTrue="1" operator="equal">
      <formula>"X"</formula>
    </cfRule>
  </conditionalFormatting>
  <conditionalFormatting sqref="GU181">
    <cfRule type="cellIs" dxfId="1110" priority="1684" stopIfTrue="1" operator="equal">
      <formula>0</formula>
    </cfRule>
    <cfRule type="cellIs" dxfId="1109" priority="1685" stopIfTrue="1" operator="notEqual">
      <formula>0</formula>
    </cfRule>
  </conditionalFormatting>
  <conditionalFormatting sqref="GV181">
    <cfRule type="cellIs" dxfId="1108" priority="1683" stopIfTrue="1" operator="equal">
      <formula>"STOP"</formula>
    </cfRule>
  </conditionalFormatting>
  <conditionalFormatting sqref="Q182">
    <cfRule type="cellIs" dxfId="1107" priority="1677" stopIfTrue="1" operator="equal">
      <formula>"SIM"</formula>
    </cfRule>
    <cfRule type="cellIs" dxfId="1106" priority="1678" stopIfTrue="1" operator="equal">
      <formula>"NÃO"</formula>
    </cfRule>
  </conditionalFormatting>
  <conditionalFormatting sqref="BF182 CJ182 DO182">
    <cfRule type="cellIs" dxfId="1105" priority="1673" stopIfTrue="1" operator="equal">
      <formula>0</formula>
    </cfRule>
    <cfRule type="cellIs" dxfId="1104" priority="1679" stopIfTrue="1" operator="notEqual">
      <formula>0</formula>
    </cfRule>
  </conditionalFormatting>
  <conditionalFormatting sqref="C182:D182">
    <cfRule type="expression" dxfId="1103" priority="1676" stopIfTrue="1">
      <formula>IF(AND($C182&lt;&gt;"",$H182+$L182=0),TRUE)</formula>
    </cfRule>
  </conditionalFormatting>
  <conditionalFormatting sqref="P182">
    <cfRule type="cellIs" dxfId="1102" priority="1665" stopIfTrue="1" operator="equal">
      <formula>1</formula>
    </cfRule>
    <cfRule type="cellIs" dxfId="1101" priority="1674" stopIfTrue="1" operator="equal">
      <formula>2</formula>
    </cfRule>
    <cfRule type="cellIs" dxfId="1100" priority="1675" stopIfTrue="1" operator="equal">
      <formula>"X"</formula>
    </cfRule>
  </conditionalFormatting>
  <conditionalFormatting sqref="GU182">
    <cfRule type="cellIs" dxfId="1099" priority="1667" stopIfTrue="1" operator="equal">
      <formula>0</formula>
    </cfRule>
    <cfRule type="cellIs" dxfId="1098" priority="1668" stopIfTrue="1" operator="notEqual">
      <formula>0</formula>
    </cfRule>
  </conditionalFormatting>
  <conditionalFormatting sqref="GV182">
    <cfRule type="cellIs" dxfId="1097" priority="1666" stopIfTrue="1" operator="equal">
      <formula>"STOP"</formula>
    </cfRule>
  </conditionalFormatting>
  <conditionalFormatting sqref="Q181">
    <cfRule type="cellIs" dxfId="1096" priority="1660" stopIfTrue="1" operator="equal">
      <formula>"SIM"</formula>
    </cfRule>
    <cfRule type="cellIs" dxfId="1095" priority="1661" stopIfTrue="1" operator="equal">
      <formula>"NÃO"</formula>
    </cfRule>
  </conditionalFormatting>
  <conditionalFormatting sqref="BF181 CJ181 DO181">
    <cfRule type="cellIs" dxfId="1094" priority="1656" stopIfTrue="1" operator="equal">
      <formula>0</formula>
    </cfRule>
    <cfRule type="cellIs" dxfId="1093" priority="1662" stopIfTrue="1" operator="notEqual">
      <formula>0</formula>
    </cfRule>
  </conditionalFormatting>
  <conditionalFormatting sqref="C181:D181">
    <cfRule type="expression" dxfId="1092" priority="1659" stopIfTrue="1">
      <formula>IF(AND($C181&lt;&gt;"",$H181+$L181=0),TRUE)</formula>
    </cfRule>
  </conditionalFormatting>
  <conditionalFormatting sqref="P181">
    <cfRule type="cellIs" dxfId="1091" priority="1648" stopIfTrue="1" operator="equal">
      <formula>1</formula>
    </cfRule>
    <cfRule type="cellIs" dxfId="1090" priority="1657" stopIfTrue="1" operator="equal">
      <formula>2</formula>
    </cfRule>
    <cfRule type="cellIs" dxfId="1089" priority="1658" stopIfTrue="1" operator="equal">
      <formula>"X"</formula>
    </cfRule>
  </conditionalFormatting>
  <conditionalFormatting sqref="GU181">
    <cfRule type="cellIs" dxfId="1088" priority="1650" stopIfTrue="1" operator="equal">
      <formula>0</formula>
    </cfRule>
    <cfRule type="cellIs" dxfId="1087" priority="1651" stopIfTrue="1" operator="notEqual">
      <formula>0</formula>
    </cfRule>
  </conditionalFormatting>
  <conditionalFormatting sqref="GV181">
    <cfRule type="cellIs" dxfId="1086" priority="1649" stopIfTrue="1" operator="equal">
      <formula>"STOP"</formula>
    </cfRule>
  </conditionalFormatting>
  <conditionalFormatting sqref="Q182">
    <cfRule type="cellIs" dxfId="1085" priority="1643" stopIfTrue="1" operator="equal">
      <formula>"SIM"</formula>
    </cfRule>
    <cfRule type="cellIs" dxfId="1084" priority="1644" stopIfTrue="1" operator="equal">
      <formula>"NÃO"</formula>
    </cfRule>
  </conditionalFormatting>
  <conditionalFormatting sqref="BF182 CJ182 DO182">
    <cfRule type="cellIs" dxfId="1083" priority="1639" stopIfTrue="1" operator="equal">
      <formula>0</formula>
    </cfRule>
    <cfRule type="cellIs" dxfId="1082" priority="1645" stopIfTrue="1" operator="notEqual">
      <formula>0</formula>
    </cfRule>
  </conditionalFormatting>
  <conditionalFormatting sqref="C182:D182">
    <cfRule type="expression" dxfId="1081" priority="1642" stopIfTrue="1">
      <formula>IF(AND($C182&lt;&gt;"",$H182+$L182=0),TRUE)</formula>
    </cfRule>
  </conditionalFormatting>
  <conditionalFormatting sqref="P182">
    <cfRule type="cellIs" dxfId="1080" priority="1631" stopIfTrue="1" operator="equal">
      <formula>1</formula>
    </cfRule>
    <cfRule type="cellIs" dxfId="1079" priority="1640" stopIfTrue="1" operator="equal">
      <formula>2</formula>
    </cfRule>
    <cfRule type="cellIs" dxfId="1078" priority="1641" stopIfTrue="1" operator="equal">
      <formula>"X"</formula>
    </cfRule>
  </conditionalFormatting>
  <conditionalFormatting sqref="GU182">
    <cfRule type="cellIs" dxfId="1077" priority="1633" stopIfTrue="1" operator="equal">
      <formula>0</formula>
    </cfRule>
    <cfRule type="cellIs" dxfId="1076" priority="1634" stopIfTrue="1" operator="notEqual">
      <formula>0</formula>
    </cfRule>
  </conditionalFormatting>
  <conditionalFormatting sqref="GV182">
    <cfRule type="cellIs" dxfId="1075" priority="1632" stopIfTrue="1" operator="equal">
      <formula>"STOP"</formula>
    </cfRule>
  </conditionalFormatting>
  <conditionalFormatting sqref="Q181">
    <cfRule type="cellIs" dxfId="1074" priority="1626" stopIfTrue="1" operator="equal">
      <formula>"SIM"</formula>
    </cfRule>
    <cfRule type="cellIs" dxfId="1073" priority="1627" stopIfTrue="1" operator="equal">
      <formula>"NÃO"</formula>
    </cfRule>
  </conditionalFormatting>
  <conditionalFormatting sqref="BF181 CJ181 DO181">
    <cfRule type="cellIs" dxfId="1072" priority="1622" stopIfTrue="1" operator="equal">
      <formula>0</formula>
    </cfRule>
    <cfRule type="cellIs" dxfId="1071" priority="1628" stopIfTrue="1" operator="notEqual">
      <formula>0</formula>
    </cfRule>
  </conditionalFormatting>
  <conditionalFormatting sqref="C181:D181">
    <cfRule type="expression" dxfId="1070" priority="1625" stopIfTrue="1">
      <formula>IF(AND($C181&lt;&gt;"",$H181+$L181=0),TRUE)</formula>
    </cfRule>
  </conditionalFormatting>
  <conditionalFormatting sqref="P181">
    <cfRule type="cellIs" dxfId="1069" priority="1614" stopIfTrue="1" operator="equal">
      <formula>1</formula>
    </cfRule>
    <cfRule type="cellIs" dxfId="1068" priority="1623" stopIfTrue="1" operator="equal">
      <formula>2</formula>
    </cfRule>
    <cfRule type="cellIs" dxfId="1067" priority="1624" stopIfTrue="1" operator="equal">
      <formula>"X"</formula>
    </cfRule>
  </conditionalFormatting>
  <conditionalFormatting sqref="GU181">
    <cfRule type="cellIs" dxfId="1066" priority="1616" stopIfTrue="1" operator="equal">
      <formula>0</formula>
    </cfRule>
    <cfRule type="cellIs" dxfId="1065" priority="1617" stopIfTrue="1" operator="notEqual">
      <formula>0</formula>
    </cfRule>
  </conditionalFormatting>
  <conditionalFormatting sqref="GV181">
    <cfRule type="cellIs" dxfId="1064" priority="1615" stopIfTrue="1" operator="equal">
      <formula>"STOP"</formula>
    </cfRule>
  </conditionalFormatting>
  <conditionalFormatting sqref="Q182">
    <cfRule type="cellIs" dxfId="1063" priority="1609" stopIfTrue="1" operator="equal">
      <formula>"SIM"</formula>
    </cfRule>
    <cfRule type="cellIs" dxfId="1062" priority="1610" stopIfTrue="1" operator="equal">
      <formula>"NÃO"</formula>
    </cfRule>
  </conditionalFormatting>
  <conditionalFormatting sqref="BF182 CJ182 DO182">
    <cfRule type="cellIs" dxfId="1061" priority="1605" stopIfTrue="1" operator="equal">
      <formula>0</formula>
    </cfRule>
    <cfRule type="cellIs" dxfId="1060" priority="1611" stopIfTrue="1" operator="notEqual">
      <formula>0</formula>
    </cfRule>
  </conditionalFormatting>
  <conditionalFormatting sqref="C182:D182">
    <cfRule type="expression" dxfId="1059" priority="1608" stopIfTrue="1">
      <formula>IF(AND($C182&lt;&gt;"",$H182+$L182=0),TRUE)</formula>
    </cfRule>
  </conditionalFormatting>
  <conditionalFormatting sqref="P182">
    <cfRule type="cellIs" dxfId="1058" priority="1597" stopIfTrue="1" operator="equal">
      <formula>1</formula>
    </cfRule>
    <cfRule type="cellIs" dxfId="1057" priority="1606" stopIfTrue="1" operator="equal">
      <formula>2</formula>
    </cfRule>
    <cfRule type="cellIs" dxfId="1056" priority="1607" stopIfTrue="1" operator="equal">
      <formula>"X"</formula>
    </cfRule>
  </conditionalFormatting>
  <conditionalFormatting sqref="GU182">
    <cfRule type="cellIs" dxfId="1055" priority="1599" stopIfTrue="1" operator="equal">
      <formula>0</formula>
    </cfRule>
    <cfRule type="cellIs" dxfId="1054" priority="1600" stopIfTrue="1" operator="notEqual">
      <formula>0</formula>
    </cfRule>
  </conditionalFormatting>
  <conditionalFormatting sqref="GV182">
    <cfRule type="cellIs" dxfId="1053" priority="1598" stopIfTrue="1" operator="equal">
      <formula>"STOP"</formula>
    </cfRule>
  </conditionalFormatting>
  <conditionalFormatting sqref="Q182">
    <cfRule type="cellIs" dxfId="1052" priority="1592" stopIfTrue="1" operator="equal">
      <formula>"SIM"</formula>
    </cfRule>
    <cfRule type="cellIs" dxfId="1051" priority="1593" stopIfTrue="1" operator="equal">
      <formula>"NÃO"</formula>
    </cfRule>
  </conditionalFormatting>
  <conditionalFormatting sqref="BF182 CJ182 DO182">
    <cfRule type="cellIs" dxfId="1050" priority="1588" stopIfTrue="1" operator="equal">
      <formula>0</formula>
    </cfRule>
    <cfRule type="cellIs" dxfId="1049" priority="1594" stopIfTrue="1" operator="notEqual">
      <formula>0</formula>
    </cfRule>
  </conditionalFormatting>
  <conditionalFormatting sqref="C182:D182">
    <cfRule type="expression" dxfId="1048" priority="1591" stopIfTrue="1">
      <formula>IF(AND($C182&lt;&gt;"",$H182+$L182=0),TRUE)</formula>
    </cfRule>
  </conditionalFormatting>
  <conditionalFormatting sqref="P182">
    <cfRule type="cellIs" dxfId="1047" priority="1580" stopIfTrue="1" operator="equal">
      <formula>1</formula>
    </cfRule>
    <cfRule type="cellIs" dxfId="1046" priority="1589" stopIfTrue="1" operator="equal">
      <formula>2</formula>
    </cfRule>
    <cfRule type="cellIs" dxfId="1045" priority="1590" stopIfTrue="1" operator="equal">
      <formula>"X"</formula>
    </cfRule>
  </conditionalFormatting>
  <conditionalFormatting sqref="GU182">
    <cfRule type="cellIs" dxfId="1044" priority="1582" stopIfTrue="1" operator="equal">
      <formula>0</formula>
    </cfRule>
    <cfRule type="cellIs" dxfId="1043" priority="1583" stopIfTrue="1" operator="notEqual">
      <formula>0</formula>
    </cfRule>
  </conditionalFormatting>
  <conditionalFormatting sqref="GV182">
    <cfRule type="cellIs" dxfId="1042" priority="1581" stopIfTrue="1" operator="equal">
      <formula>"STOP"</formula>
    </cfRule>
  </conditionalFormatting>
  <conditionalFormatting sqref="Q180">
    <cfRule type="cellIs" dxfId="1041" priority="1575" stopIfTrue="1" operator="equal">
      <formula>"SIM"</formula>
    </cfRule>
    <cfRule type="cellIs" dxfId="1040" priority="1576" stopIfTrue="1" operator="equal">
      <formula>"NÃO"</formula>
    </cfRule>
  </conditionalFormatting>
  <conditionalFormatting sqref="BF180 CJ180 DO180">
    <cfRule type="cellIs" dxfId="1039" priority="1571" stopIfTrue="1" operator="equal">
      <formula>0</formula>
    </cfRule>
    <cfRule type="cellIs" dxfId="1038" priority="1577" stopIfTrue="1" operator="notEqual">
      <formula>0</formula>
    </cfRule>
  </conditionalFormatting>
  <conditionalFormatting sqref="C180:D180">
    <cfRule type="expression" dxfId="1037" priority="1574" stopIfTrue="1">
      <formula>IF(AND($C180&lt;&gt;"",$H180+$L180=0),TRUE)</formula>
    </cfRule>
  </conditionalFormatting>
  <conditionalFormatting sqref="P180">
    <cfRule type="cellIs" dxfId="1036" priority="1563" stopIfTrue="1" operator="equal">
      <formula>1</formula>
    </cfRule>
    <cfRule type="cellIs" dxfId="1035" priority="1572" stopIfTrue="1" operator="equal">
      <formula>2</formula>
    </cfRule>
    <cfRule type="cellIs" dxfId="1034" priority="1573" stopIfTrue="1" operator="equal">
      <formula>"X"</formula>
    </cfRule>
  </conditionalFormatting>
  <conditionalFormatting sqref="GU180">
    <cfRule type="cellIs" dxfId="1033" priority="1565" stopIfTrue="1" operator="equal">
      <formula>0</formula>
    </cfRule>
    <cfRule type="cellIs" dxfId="1032" priority="1566" stopIfTrue="1" operator="notEqual">
      <formula>0</formula>
    </cfRule>
  </conditionalFormatting>
  <conditionalFormatting sqref="GV180">
    <cfRule type="cellIs" dxfId="1031" priority="1564" stopIfTrue="1" operator="equal">
      <formula>"STOP"</formula>
    </cfRule>
  </conditionalFormatting>
  <conditionalFormatting sqref="Q181">
    <cfRule type="cellIs" dxfId="1030" priority="1558" stopIfTrue="1" operator="equal">
      <formula>"SIM"</formula>
    </cfRule>
    <cfRule type="cellIs" dxfId="1029" priority="1559" stopIfTrue="1" operator="equal">
      <formula>"NÃO"</formula>
    </cfRule>
  </conditionalFormatting>
  <conditionalFormatting sqref="BF181 CJ181 DO181">
    <cfRule type="cellIs" dxfId="1028" priority="1554" stopIfTrue="1" operator="equal">
      <formula>0</formula>
    </cfRule>
    <cfRule type="cellIs" dxfId="1027" priority="1560" stopIfTrue="1" operator="notEqual">
      <formula>0</formula>
    </cfRule>
  </conditionalFormatting>
  <conditionalFormatting sqref="C181:D181">
    <cfRule type="expression" dxfId="1026" priority="1557" stopIfTrue="1">
      <formula>IF(AND($C181&lt;&gt;"",$H181+$L181=0),TRUE)</formula>
    </cfRule>
  </conditionalFormatting>
  <conditionalFormatting sqref="P181">
    <cfRule type="cellIs" dxfId="1025" priority="1546" stopIfTrue="1" operator="equal">
      <formula>1</formula>
    </cfRule>
    <cfRule type="cellIs" dxfId="1024" priority="1555" stopIfTrue="1" operator="equal">
      <formula>2</formula>
    </cfRule>
    <cfRule type="cellIs" dxfId="1023" priority="1556" stopIfTrue="1" operator="equal">
      <formula>"X"</formula>
    </cfRule>
  </conditionalFormatting>
  <conditionalFormatting sqref="GU181">
    <cfRule type="cellIs" dxfId="1022" priority="1548" stopIfTrue="1" operator="equal">
      <formula>0</formula>
    </cfRule>
    <cfRule type="cellIs" dxfId="1021" priority="1549" stopIfTrue="1" operator="notEqual">
      <formula>0</formula>
    </cfRule>
  </conditionalFormatting>
  <conditionalFormatting sqref="GV181">
    <cfRule type="cellIs" dxfId="1020" priority="1547" stopIfTrue="1" operator="equal">
      <formula>"STOP"</formula>
    </cfRule>
  </conditionalFormatting>
  <conditionalFormatting sqref="Q182">
    <cfRule type="cellIs" dxfId="1019" priority="1541" stopIfTrue="1" operator="equal">
      <formula>"SIM"</formula>
    </cfRule>
    <cfRule type="cellIs" dxfId="1018" priority="1542" stopIfTrue="1" operator="equal">
      <formula>"NÃO"</formula>
    </cfRule>
  </conditionalFormatting>
  <conditionalFormatting sqref="BF182 CJ182 DO182">
    <cfRule type="cellIs" dxfId="1017" priority="1537" stopIfTrue="1" operator="equal">
      <formula>0</formula>
    </cfRule>
    <cfRule type="cellIs" dxfId="1016" priority="1543" stopIfTrue="1" operator="notEqual">
      <formula>0</formula>
    </cfRule>
  </conditionalFormatting>
  <conditionalFormatting sqref="C182:D182">
    <cfRule type="expression" dxfId="1015" priority="1540" stopIfTrue="1">
      <formula>IF(AND($C182&lt;&gt;"",$H182+$L182=0),TRUE)</formula>
    </cfRule>
  </conditionalFormatting>
  <conditionalFormatting sqref="P182">
    <cfRule type="cellIs" dxfId="1014" priority="1529" stopIfTrue="1" operator="equal">
      <formula>1</formula>
    </cfRule>
    <cfRule type="cellIs" dxfId="1013" priority="1538" stopIfTrue="1" operator="equal">
      <formula>2</formula>
    </cfRule>
    <cfRule type="cellIs" dxfId="1012" priority="1539" stopIfTrue="1" operator="equal">
      <formula>"X"</formula>
    </cfRule>
  </conditionalFormatting>
  <conditionalFormatting sqref="GU182">
    <cfRule type="cellIs" dxfId="1011" priority="1531" stopIfTrue="1" operator="equal">
      <formula>0</formula>
    </cfRule>
    <cfRule type="cellIs" dxfId="1010" priority="1532" stopIfTrue="1" operator="notEqual">
      <formula>0</formula>
    </cfRule>
  </conditionalFormatting>
  <conditionalFormatting sqref="GV182">
    <cfRule type="cellIs" dxfId="1009" priority="1530" stopIfTrue="1" operator="equal">
      <formula>"STOP"</formula>
    </cfRule>
  </conditionalFormatting>
  <conditionalFormatting sqref="Q180">
    <cfRule type="cellIs" dxfId="1008" priority="1524" stopIfTrue="1" operator="equal">
      <formula>"SIM"</formula>
    </cfRule>
    <cfRule type="cellIs" dxfId="1007" priority="1525" stopIfTrue="1" operator="equal">
      <formula>"NÃO"</formula>
    </cfRule>
  </conditionalFormatting>
  <conditionalFormatting sqref="BF180 CJ180 DO180">
    <cfRule type="cellIs" dxfId="1006" priority="1520" stopIfTrue="1" operator="equal">
      <formula>0</formula>
    </cfRule>
    <cfRule type="cellIs" dxfId="1005" priority="1526" stopIfTrue="1" operator="notEqual">
      <formula>0</formula>
    </cfRule>
  </conditionalFormatting>
  <conditionalFormatting sqref="C180:D180">
    <cfRule type="expression" dxfId="1004" priority="1523" stopIfTrue="1">
      <formula>IF(AND($C180&lt;&gt;"",$H180+$L180=0),TRUE)</formula>
    </cfRule>
  </conditionalFormatting>
  <conditionalFormatting sqref="P180">
    <cfRule type="cellIs" dxfId="1003" priority="1512" stopIfTrue="1" operator="equal">
      <formula>1</formula>
    </cfRule>
    <cfRule type="cellIs" dxfId="1002" priority="1521" stopIfTrue="1" operator="equal">
      <formula>2</formula>
    </cfRule>
    <cfRule type="cellIs" dxfId="1001" priority="1522" stopIfTrue="1" operator="equal">
      <formula>"X"</formula>
    </cfRule>
  </conditionalFormatting>
  <conditionalFormatting sqref="GU180">
    <cfRule type="cellIs" dxfId="1000" priority="1514" stopIfTrue="1" operator="equal">
      <formula>0</formula>
    </cfRule>
    <cfRule type="cellIs" dxfId="999" priority="1515" stopIfTrue="1" operator="notEqual">
      <formula>0</formula>
    </cfRule>
  </conditionalFormatting>
  <conditionalFormatting sqref="GV180">
    <cfRule type="cellIs" dxfId="998" priority="1513" stopIfTrue="1" operator="equal">
      <formula>"STOP"</formula>
    </cfRule>
  </conditionalFormatting>
  <conditionalFormatting sqref="Q181">
    <cfRule type="cellIs" dxfId="997" priority="1507" stopIfTrue="1" operator="equal">
      <formula>"SIM"</formula>
    </cfRule>
    <cfRule type="cellIs" dxfId="996" priority="1508" stopIfTrue="1" operator="equal">
      <formula>"NÃO"</formula>
    </cfRule>
  </conditionalFormatting>
  <conditionalFormatting sqref="BF181 CJ181 DO181">
    <cfRule type="cellIs" dxfId="995" priority="1503" stopIfTrue="1" operator="equal">
      <formula>0</formula>
    </cfRule>
    <cfRule type="cellIs" dxfId="994" priority="1509" stopIfTrue="1" operator="notEqual">
      <formula>0</formula>
    </cfRule>
  </conditionalFormatting>
  <conditionalFormatting sqref="C181:D181">
    <cfRule type="expression" dxfId="993" priority="1506" stopIfTrue="1">
      <formula>IF(AND($C181&lt;&gt;"",$H181+$L181=0),TRUE)</formula>
    </cfRule>
  </conditionalFormatting>
  <conditionalFormatting sqref="P181">
    <cfRule type="cellIs" dxfId="992" priority="1495" stopIfTrue="1" operator="equal">
      <formula>1</formula>
    </cfRule>
    <cfRule type="cellIs" dxfId="991" priority="1504" stopIfTrue="1" operator="equal">
      <formula>2</formula>
    </cfRule>
    <cfRule type="cellIs" dxfId="990" priority="1505" stopIfTrue="1" operator="equal">
      <formula>"X"</formula>
    </cfRule>
  </conditionalFormatting>
  <conditionalFormatting sqref="GU181">
    <cfRule type="cellIs" dxfId="989" priority="1497" stopIfTrue="1" operator="equal">
      <formula>0</formula>
    </cfRule>
    <cfRule type="cellIs" dxfId="988" priority="1498" stopIfTrue="1" operator="notEqual">
      <formula>0</formula>
    </cfRule>
  </conditionalFormatting>
  <conditionalFormatting sqref="GV181">
    <cfRule type="cellIs" dxfId="987" priority="1496" stopIfTrue="1" operator="equal">
      <formula>"STOP"</formula>
    </cfRule>
  </conditionalFormatting>
  <conditionalFormatting sqref="Q180">
    <cfRule type="cellIs" dxfId="986" priority="1490" stopIfTrue="1" operator="equal">
      <formula>"SIM"</formula>
    </cfRule>
    <cfRule type="cellIs" dxfId="985" priority="1491" stopIfTrue="1" operator="equal">
      <formula>"NÃO"</formula>
    </cfRule>
  </conditionalFormatting>
  <conditionalFormatting sqref="BF180 CJ180 DO180">
    <cfRule type="cellIs" dxfId="984" priority="1486" stopIfTrue="1" operator="equal">
      <formula>0</formula>
    </cfRule>
    <cfRule type="cellIs" dxfId="983" priority="1492" stopIfTrue="1" operator="notEqual">
      <formula>0</formula>
    </cfRule>
  </conditionalFormatting>
  <conditionalFormatting sqref="C180:D180">
    <cfRule type="expression" dxfId="982" priority="1489" stopIfTrue="1">
      <formula>IF(AND($C180&lt;&gt;"",$H180+$L180=0),TRUE)</formula>
    </cfRule>
  </conditionalFormatting>
  <conditionalFormatting sqref="P180">
    <cfRule type="cellIs" dxfId="981" priority="1478" stopIfTrue="1" operator="equal">
      <formula>1</formula>
    </cfRule>
    <cfRule type="cellIs" dxfId="980" priority="1487" stopIfTrue="1" operator="equal">
      <formula>2</formula>
    </cfRule>
    <cfRule type="cellIs" dxfId="979" priority="1488" stopIfTrue="1" operator="equal">
      <formula>"X"</formula>
    </cfRule>
  </conditionalFormatting>
  <conditionalFormatting sqref="GU180">
    <cfRule type="cellIs" dxfId="978" priority="1480" stopIfTrue="1" operator="equal">
      <formula>0</formula>
    </cfRule>
    <cfRule type="cellIs" dxfId="977" priority="1481" stopIfTrue="1" operator="notEqual">
      <formula>0</formula>
    </cfRule>
  </conditionalFormatting>
  <conditionalFormatting sqref="GV180">
    <cfRule type="cellIs" dxfId="976" priority="1479" stopIfTrue="1" operator="equal">
      <formula>"STOP"</formula>
    </cfRule>
  </conditionalFormatting>
  <conditionalFormatting sqref="Q181">
    <cfRule type="cellIs" dxfId="975" priority="1473" stopIfTrue="1" operator="equal">
      <formula>"SIM"</formula>
    </cfRule>
    <cfRule type="cellIs" dxfId="974" priority="1474" stopIfTrue="1" operator="equal">
      <formula>"NÃO"</formula>
    </cfRule>
  </conditionalFormatting>
  <conditionalFormatting sqref="BF181 CJ181 DO181">
    <cfRule type="cellIs" dxfId="973" priority="1469" stopIfTrue="1" operator="equal">
      <formula>0</formula>
    </cfRule>
    <cfRule type="cellIs" dxfId="972" priority="1475" stopIfTrue="1" operator="notEqual">
      <formula>0</formula>
    </cfRule>
  </conditionalFormatting>
  <conditionalFormatting sqref="C181:D181">
    <cfRule type="expression" dxfId="971" priority="1472" stopIfTrue="1">
      <formula>IF(AND($C181&lt;&gt;"",$H181+$L181=0),TRUE)</formula>
    </cfRule>
  </conditionalFormatting>
  <conditionalFormatting sqref="P181">
    <cfRule type="cellIs" dxfId="970" priority="1461" stopIfTrue="1" operator="equal">
      <formula>1</formula>
    </cfRule>
    <cfRule type="cellIs" dxfId="969" priority="1470" stopIfTrue="1" operator="equal">
      <formula>2</formula>
    </cfRule>
    <cfRule type="cellIs" dxfId="968" priority="1471" stopIfTrue="1" operator="equal">
      <formula>"X"</formula>
    </cfRule>
  </conditionalFormatting>
  <conditionalFormatting sqref="GU181">
    <cfRule type="cellIs" dxfId="967" priority="1463" stopIfTrue="1" operator="equal">
      <formula>0</formula>
    </cfRule>
    <cfRule type="cellIs" dxfId="966" priority="1464" stopIfTrue="1" operator="notEqual">
      <formula>0</formula>
    </cfRule>
  </conditionalFormatting>
  <conditionalFormatting sqref="GV181">
    <cfRule type="cellIs" dxfId="965" priority="1462" stopIfTrue="1" operator="equal">
      <formula>"STOP"</formula>
    </cfRule>
  </conditionalFormatting>
  <conditionalFormatting sqref="Q182">
    <cfRule type="cellIs" dxfId="964" priority="1456" stopIfTrue="1" operator="equal">
      <formula>"SIM"</formula>
    </cfRule>
    <cfRule type="cellIs" dxfId="963" priority="1457" stopIfTrue="1" operator="equal">
      <formula>"NÃO"</formula>
    </cfRule>
  </conditionalFormatting>
  <conditionalFormatting sqref="BF182 CJ182 DO182">
    <cfRule type="cellIs" dxfId="962" priority="1452" stopIfTrue="1" operator="equal">
      <formula>0</formula>
    </cfRule>
    <cfRule type="cellIs" dxfId="961" priority="1458" stopIfTrue="1" operator="notEqual">
      <formula>0</formula>
    </cfRule>
  </conditionalFormatting>
  <conditionalFormatting sqref="C182:D182">
    <cfRule type="expression" dxfId="960" priority="1455" stopIfTrue="1">
      <formula>IF(AND($C182&lt;&gt;"",$H182+$L182=0),TRUE)</formula>
    </cfRule>
  </conditionalFormatting>
  <conditionalFormatting sqref="P182">
    <cfRule type="cellIs" dxfId="959" priority="1444" stopIfTrue="1" operator="equal">
      <formula>1</formula>
    </cfRule>
    <cfRule type="cellIs" dxfId="958" priority="1453" stopIfTrue="1" operator="equal">
      <formula>2</formula>
    </cfRule>
    <cfRule type="cellIs" dxfId="957" priority="1454" stopIfTrue="1" operator="equal">
      <formula>"X"</formula>
    </cfRule>
  </conditionalFormatting>
  <conditionalFormatting sqref="GU182">
    <cfRule type="cellIs" dxfId="956" priority="1446" stopIfTrue="1" operator="equal">
      <formula>0</formula>
    </cfRule>
    <cfRule type="cellIs" dxfId="955" priority="1447" stopIfTrue="1" operator="notEqual">
      <formula>0</formula>
    </cfRule>
  </conditionalFormatting>
  <conditionalFormatting sqref="GV182">
    <cfRule type="cellIs" dxfId="954" priority="1445" stopIfTrue="1" operator="equal">
      <formula>"STOP"</formula>
    </cfRule>
  </conditionalFormatting>
  <conditionalFormatting sqref="Q180">
    <cfRule type="cellIs" dxfId="953" priority="1439" stopIfTrue="1" operator="equal">
      <formula>"SIM"</formula>
    </cfRule>
    <cfRule type="cellIs" dxfId="952" priority="1440" stopIfTrue="1" operator="equal">
      <formula>"NÃO"</formula>
    </cfRule>
  </conditionalFormatting>
  <conditionalFormatting sqref="BF180 CJ180 DO180">
    <cfRule type="cellIs" dxfId="951" priority="1435" stopIfTrue="1" operator="equal">
      <formula>0</formula>
    </cfRule>
    <cfRule type="cellIs" dxfId="950" priority="1441" stopIfTrue="1" operator="notEqual">
      <formula>0</formula>
    </cfRule>
  </conditionalFormatting>
  <conditionalFormatting sqref="C180:D180">
    <cfRule type="expression" dxfId="949" priority="1438" stopIfTrue="1">
      <formula>IF(AND($C180&lt;&gt;"",$H180+$L180=0),TRUE)</formula>
    </cfRule>
  </conditionalFormatting>
  <conditionalFormatting sqref="P180">
    <cfRule type="cellIs" dxfId="948" priority="1427" stopIfTrue="1" operator="equal">
      <formula>1</formula>
    </cfRule>
    <cfRule type="cellIs" dxfId="947" priority="1436" stopIfTrue="1" operator="equal">
      <formula>2</formula>
    </cfRule>
    <cfRule type="cellIs" dxfId="946" priority="1437" stopIfTrue="1" operator="equal">
      <formula>"X"</formula>
    </cfRule>
  </conditionalFormatting>
  <conditionalFormatting sqref="GU180">
    <cfRule type="cellIs" dxfId="945" priority="1429" stopIfTrue="1" operator="equal">
      <formula>0</formula>
    </cfRule>
    <cfRule type="cellIs" dxfId="944" priority="1430" stopIfTrue="1" operator="notEqual">
      <formula>0</formula>
    </cfRule>
  </conditionalFormatting>
  <conditionalFormatting sqref="GV180">
    <cfRule type="cellIs" dxfId="943" priority="1428" stopIfTrue="1" operator="equal">
      <formula>"STOP"</formula>
    </cfRule>
  </conditionalFormatting>
  <conditionalFormatting sqref="Q181">
    <cfRule type="cellIs" dxfId="942" priority="1422" stopIfTrue="1" operator="equal">
      <formula>"SIM"</formula>
    </cfRule>
    <cfRule type="cellIs" dxfId="941" priority="1423" stopIfTrue="1" operator="equal">
      <formula>"NÃO"</formula>
    </cfRule>
  </conditionalFormatting>
  <conditionalFormatting sqref="BF181 CJ181 DO181">
    <cfRule type="cellIs" dxfId="940" priority="1418" stopIfTrue="1" operator="equal">
      <formula>0</formula>
    </cfRule>
    <cfRule type="cellIs" dxfId="939" priority="1424" stopIfTrue="1" operator="notEqual">
      <formula>0</formula>
    </cfRule>
  </conditionalFormatting>
  <conditionalFormatting sqref="C181:D181">
    <cfRule type="expression" dxfId="938" priority="1421" stopIfTrue="1">
      <formula>IF(AND($C181&lt;&gt;"",$H181+$L181=0),TRUE)</formula>
    </cfRule>
  </conditionalFormatting>
  <conditionalFormatting sqref="P181">
    <cfRule type="cellIs" dxfId="937" priority="1410" stopIfTrue="1" operator="equal">
      <formula>1</formula>
    </cfRule>
    <cfRule type="cellIs" dxfId="936" priority="1419" stopIfTrue="1" operator="equal">
      <formula>2</formula>
    </cfRule>
    <cfRule type="cellIs" dxfId="935" priority="1420" stopIfTrue="1" operator="equal">
      <formula>"X"</formula>
    </cfRule>
  </conditionalFormatting>
  <conditionalFormatting sqref="GU181">
    <cfRule type="cellIs" dxfId="934" priority="1412" stopIfTrue="1" operator="equal">
      <formula>0</formula>
    </cfRule>
    <cfRule type="cellIs" dxfId="933" priority="1413" stopIfTrue="1" operator="notEqual">
      <formula>0</formula>
    </cfRule>
  </conditionalFormatting>
  <conditionalFormatting sqref="GV181">
    <cfRule type="cellIs" dxfId="932" priority="1411" stopIfTrue="1" operator="equal">
      <formula>"STOP"</formula>
    </cfRule>
  </conditionalFormatting>
  <conditionalFormatting sqref="Q182">
    <cfRule type="cellIs" dxfId="931" priority="1405" stopIfTrue="1" operator="equal">
      <formula>"SIM"</formula>
    </cfRule>
    <cfRule type="cellIs" dxfId="930" priority="1406" stopIfTrue="1" operator="equal">
      <formula>"NÃO"</formula>
    </cfRule>
  </conditionalFormatting>
  <conditionalFormatting sqref="BF182 CJ182 DO182">
    <cfRule type="cellIs" dxfId="929" priority="1401" stopIfTrue="1" operator="equal">
      <formula>0</formula>
    </cfRule>
    <cfRule type="cellIs" dxfId="928" priority="1407" stopIfTrue="1" operator="notEqual">
      <formula>0</formula>
    </cfRule>
  </conditionalFormatting>
  <conditionalFormatting sqref="C182:D182">
    <cfRule type="expression" dxfId="927" priority="1404" stopIfTrue="1">
      <formula>IF(AND($C182&lt;&gt;"",$H182+$L182=0),TRUE)</formula>
    </cfRule>
  </conditionalFormatting>
  <conditionalFormatting sqref="P182">
    <cfRule type="cellIs" dxfId="926" priority="1393" stopIfTrue="1" operator="equal">
      <formula>1</formula>
    </cfRule>
    <cfRule type="cellIs" dxfId="925" priority="1402" stopIfTrue="1" operator="equal">
      <formula>2</formula>
    </cfRule>
    <cfRule type="cellIs" dxfId="924" priority="1403" stopIfTrue="1" operator="equal">
      <formula>"X"</formula>
    </cfRule>
  </conditionalFormatting>
  <conditionalFormatting sqref="GU182">
    <cfRule type="cellIs" dxfId="923" priority="1395" stopIfTrue="1" operator="equal">
      <formula>0</formula>
    </cfRule>
    <cfRule type="cellIs" dxfId="922" priority="1396" stopIfTrue="1" operator="notEqual">
      <formula>0</formula>
    </cfRule>
  </conditionalFormatting>
  <conditionalFormatting sqref="GV182">
    <cfRule type="cellIs" dxfId="921" priority="1394" stopIfTrue="1" operator="equal">
      <formula>"STOP"</formula>
    </cfRule>
  </conditionalFormatting>
  <conditionalFormatting sqref="Q180">
    <cfRule type="cellIs" dxfId="920" priority="1388" stopIfTrue="1" operator="equal">
      <formula>"SIM"</formula>
    </cfRule>
    <cfRule type="cellIs" dxfId="919" priority="1389" stopIfTrue="1" operator="equal">
      <formula>"NÃO"</formula>
    </cfRule>
  </conditionalFormatting>
  <conditionalFormatting sqref="BF180 CJ180 DO180">
    <cfRule type="cellIs" dxfId="918" priority="1384" stopIfTrue="1" operator="equal">
      <formula>0</formula>
    </cfRule>
    <cfRule type="cellIs" dxfId="917" priority="1390" stopIfTrue="1" operator="notEqual">
      <formula>0</formula>
    </cfRule>
  </conditionalFormatting>
  <conditionalFormatting sqref="C180:D180">
    <cfRule type="expression" dxfId="916" priority="1387" stopIfTrue="1">
      <formula>IF(AND($C180&lt;&gt;"",$H180+$L180=0),TRUE)</formula>
    </cfRule>
  </conditionalFormatting>
  <conditionalFormatting sqref="P180">
    <cfRule type="cellIs" dxfId="915" priority="1376" stopIfTrue="1" operator="equal">
      <formula>1</formula>
    </cfRule>
    <cfRule type="cellIs" dxfId="914" priority="1385" stopIfTrue="1" operator="equal">
      <formula>2</formula>
    </cfRule>
    <cfRule type="cellIs" dxfId="913" priority="1386" stopIfTrue="1" operator="equal">
      <formula>"X"</formula>
    </cfRule>
  </conditionalFormatting>
  <conditionalFormatting sqref="GU180">
    <cfRule type="cellIs" dxfId="912" priority="1378" stopIfTrue="1" operator="equal">
      <formula>0</formula>
    </cfRule>
    <cfRule type="cellIs" dxfId="911" priority="1379" stopIfTrue="1" operator="notEqual">
      <formula>0</formula>
    </cfRule>
  </conditionalFormatting>
  <conditionalFormatting sqref="GV180">
    <cfRule type="cellIs" dxfId="910" priority="1377" stopIfTrue="1" operator="equal">
      <formula>"STOP"</formula>
    </cfRule>
  </conditionalFormatting>
  <conditionalFormatting sqref="Q181">
    <cfRule type="cellIs" dxfId="909" priority="1371" stopIfTrue="1" operator="equal">
      <formula>"SIM"</formula>
    </cfRule>
    <cfRule type="cellIs" dxfId="908" priority="1372" stopIfTrue="1" operator="equal">
      <formula>"NÃO"</formula>
    </cfRule>
  </conditionalFormatting>
  <conditionalFormatting sqref="BF181 CJ181 DO181">
    <cfRule type="cellIs" dxfId="907" priority="1367" stopIfTrue="1" operator="equal">
      <formula>0</formula>
    </cfRule>
    <cfRule type="cellIs" dxfId="906" priority="1373" stopIfTrue="1" operator="notEqual">
      <formula>0</formula>
    </cfRule>
  </conditionalFormatting>
  <conditionalFormatting sqref="C181:D181">
    <cfRule type="expression" dxfId="905" priority="1370" stopIfTrue="1">
      <formula>IF(AND($C181&lt;&gt;"",$H181+$L181=0),TRUE)</formula>
    </cfRule>
  </conditionalFormatting>
  <conditionalFormatting sqref="P181">
    <cfRule type="cellIs" dxfId="904" priority="1359" stopIfTrue="1" operator="equal">
      <formula>1</formula>
    </cfRule>
    <cfRule type="cellIs" dxfId="903" priority="1368" stopIfTrue="1" operator="equal">
      <formula>2</formula>
    </cfRule>
    <cfRule type="cellIs" dxfId="902" priority="1369" stopIfTrue="1" operator="equal">
      <formula>"X"</formula>
    </cfRule>
  </conditionalFormatting>
  <conditionalFormatting sqref="GU181">
    <cfRule type="cellIs" dxfId="901" priority="1361" stopIfTrue="1" operator="equal">
      <formula>0</formula>
    </cfRule>
    <cfRule type="cellIs" dxfId="900" priority="1362" stopIfTrue="1" operator="notEqual">
      <formula>0</formula>
    </cfRule>
  </conditionalFormatting>
  <conditionalFormatting sqref="GV181">
    <cfRule type="cellIs" dxfId="899" priority="1360" stopIfTrue="1" operator="equal">
      <formula>"STOP"</formula>
    </cfRule>
  </conditionalFormatting>
  <conditionalFormatting sqref="Q182">
    <cfRule type="cellIs" dxfId="898" priority="1354" stopIfTrue="1" operator="equal">
      <formula>"SIM"</formula>
    </cfRule>
    <cfRule type="cellIs" dxfId="897" priority="1355" stopIfTrue="1" operator="equal">
      <formula>"NÃO"</formula>
    </cfRule>
  </conditionalFormatting>
  <conditionalFormatting sqref="BF182 CJ182 DO182">
    <cfRule type="cellIs" dxfId="896" priority="1350" stopIfTrue="1" operator="equal">
      <formula>0</formula>
    </cfRule>
    <cfRule type="cellIs" dxfId="895" priority="1356" stopIfTrue="1" operator="notEqual">
      <formula>0</formula>
    </cfRule>
  </conditionalFormatting>
  <conditionalFormatting sqref="C182:D182">
    <cfRule type="expression" dxfId="894" priority="1353" stopIfTrue="1">
      <formula>IF(AND($C182&lt;&gt;"",$H182+$L182=0),TRUE)</formula>
    </cfRule>
  </conditionalFormatting>
  <conditionalFormatting sqref="P182">
    <cfRule type="cellIs" dxfId="893" priority="1342" stopIfTrue="1" operator="equal">
      <formula>1</formula>
    </cfRule>
    <cfRule type="cellIs" dxfId="892" priority="1351" stopIfTrue="1" operator="equal">
      <formula>2</formula>
    </cfRule>
    <cfRule type="cellIs" dxfId="891" priority="1352" stopIfTrue="1" operator="equal">
      <formula>"X"</formula>
    </cfRule>
  </conditionalFormatting>
  <conditionalFormatting sqref="GU182">
    <cfRule type="cellIs" dxfId="890" priority="1344" stopIfTrue="1" operator="equal">
      <formula>0</formula>
    </cfRule>
    <cfRule type="cellIs" dxfId="889" priority="1345" stopIfTrue="1" operator="notEqual">
      <formula>0</formula>
    </cfRule>
  </conditionalFormatting>
  <conditionalFormatting sqref="GV182">
    <cfRule type="cellIs" dxfId="888" priority="1343" stopIfTrue="1" operator="equal">
      <formula>"STOP"</formula>
    </cfRule>
  </conditionalFormatting>
  <conditionalFormatting sqref="Q180">
    <cfRule type="cellIs" dxfId="887" priority="1337" stopIfTrue="1" operator="equal">
      <formula>"SIM"</formula>
    </cfRule>
    <cfRule type="cellIs" dxfId="886" priority="1338" stopIfTrue="1" operator="equal">
      <formula>"NÃO"</formula>
    </cfRule>
  </conditionalFormatting>
  <conditionalFormatting sqref="BF180 CJ180 DO180">
    <cfRule type="cellIs" dxfId="885" priority="1333" stopIfTrue="1" operator="equal">
      <formula>0</formula>
    </cfRule>
    <cfRule type="cellIs" dxfId="884" priority="1339" stopIfTrue="1" operator="notEqual">
      <formula>0</formula>
    </cfRule>
  </conditionalFormatting>
  <conditionalFormatting sqref="C180:D180">
    <cfRule type="expression" dxfId="883" priority="1336" stopIfTrue="1">
      <formula>IF(AND($C180&lt;&gt;"",$H180+$L180=0),TRUE)</formula>
    </cfRule>
  </conditionalFormatting>
  <conditionalFormatting sqref="P180">
    <cfRule type="cellIs" dxfId="882" priority="1325" stopIfTrue="1" operator="equal">
      <formula>1</formula>
    </cfRule>
    <cfRule type="cellIs" dxfId="881" priority="1334" stopIfTrue="1" operator="equal">
      <formula>2</formula>
    </cfRule>
    <cfRule type="cellIs" dxfId="880" priority="1335" stopIfTrue="1" operator="equal">
      <formula>"X"</formula>
    </cfRule>
  </conditionalFormatting>
  <conditionalFormatting sqref="GU180">
    <cfRule type="cellIs" dxfId="879" priority="1327" stopIfTrue="1" operator="equal">
      <formula>0</formula>
    </cfRule>
    <cfRule type="cellIs" dxfId="878" priority="1328" stopIfTrue="1" operator="notEqual">
      <formula>0</formula>
    </cfRule>
  </conditionalFormatting>
  <conditionalFormatting sqref="GV180">
    <cfRule type="cellIs" dxfId="877" priority="1326" stopIfTrue="1" operator="equal">
      <formula>"STOP"</formula>
    </cfRule>
  </conditionalFormatting>
  <conditionalFormatting sqref="Q181">
    <cfRule type="cellIs" dxfId="876" priority="1320" stopIfTrue="1" operator="equal">
      <formula>"SIM"</formula>
    </cfRule>
    <cfRule type="cellIs" dxfId="875" priority="1321" stopIfTrue="1" operator="equal">
      <formula>"NÃO"</formula>
    </cfRule>
  </conditionalFormatting>
  <conditionalFormatting sqref="BF181 CJ181 DO181">
    <cfRule type="cellIs" dxfId="874" priority="1316" stopIfTrue="1" operator="equal">
      <formula>0</formula>
    </cfRule>
    <cfRule type="cellIs" dxfId="873" priority="1322" stopIfTrue="1" operator="notEqual">
      <formula>0</formula>
    </cfRule>
  </conditionalFormatting>
  <conditionalFormatting sqref="C181:D181">
    <cfRule type="expression" dxfId="872" priority="1319" stopIfTrue="1">
      <formula>IF(AND($C181&lt;&gt;"",$H181+$L181=0),TRUE)</formula>
    </cfRule>
  </conditionalFormatting>
  <conditionalFormatting sqref="P181">
    <cfRule type="cellIs" dxfId="871" priority="1308" stopIfTrue="1" operator="equal">
      <formula>1</formula>
    </cfRule>
    <cfRule type="cellIs" dxfId="870" priority="1317" stopIfTrue="1" operator="equal">
      <formula>2</formula>
    </cfRule>
    <cfRule type="cellIs" dxfId="869" priority="1318" stopIfTrue="1" operator="equal">
      <formula>"X"</formula>
    </cfRule>
  </conditionalFormatting>
  <conditionalFormatting sqref="GU181">
    <cfRule type="cellIs" dxfId="868" priority="1310" stopIfTrue="1" operator="equal">
      <formula>0</formula>
    </cfRule>
    <cfRule type="cellIs" dxfId="867" priority="1311" stopIfTrue="1" operator="notEqual">
      <formula>0</formula>
    </cfRule>
  </conditionalFormatting>
  <conditionalFormatting sqref="GV181">
    <cfRule type="cellIs" dxfId="866" priority="1309" stopIfTrue="1" operator="equal">
      <formula>"STOP"</formula>
    </cfRule>
  </conditionalFormatting>
  <conditionalFormatting sqref="Q182">
    <cfRule type="cellIs" dxfId="865" priority="1303" stopIfTrue="1" operator="equal">
      <formula>"SIM"</formula>
    </cfRule>
    <cfRule type="cellIs" dxfId="864" priority="1304" stopIfTrue="1" operator="equal">
      <formula>"NÃO"</formula>
    </cfRule>
  </conditionalFormatting>
  <conditionalFormatting sqref="BF182 CJ182 DO182">
    <cfRule type="cellIs" dxfId="863" priority="1299" stopIfTrue="1" operator="equal">
      <formula>0</formula>
    </cfRule>
    <cfRule type="cellIs" dxfId="862" priority="1305" stopIfTrue="1" operator="notEqual">
      <formula>0</formula>
    </cfRule>
  </conditionalFormatting>
  <conditionalFormatting sqref="C182:D182">
    <cfRule type="expression" dxfId="861" priority="1302" stopIfTrue="1">
      <formula>IF(AND($C182&lt;&gt;"",$H182+$L182=0),TRUE)</formula>
    </cfRule>
  </conditionalFormatting>
  <conditionalFormatting sqref="P182">
    <cfRule type="cellIs" dxfId="860" priority="1291" stopIfTrue="1" operator="equal">
      <formula>1</formula>
    </cfRule>
    <cfRule type="cellIs" dxfId="859" priority="1300" stopIfTrue="1" operator="equal">
      <formula>2</formula>
    </cfRule>
    <cfRule type="cellIs" dxfId="858" priority="1301" stopIfTrue="1" operator="equal">
      <formula>"X"</formula>
    </cfRule>
  </conditionalFormatting>
  <conditionalFormatting sqref="GU182">
    <cfRule type="cellIs" dxfId="857" priority="1293" stopIfTrue="1" operator="equal">
      <formula>0</formula>
    </cfRule>
    <cfRule type="cellIs" dxfId="856" priority="1294" stopIfTrue="1" operator="notEqual">
      <formula>0</formula>
    </cfRule>
  </conditionalFormatting>
  <conditionalFormatting sqref="GV182">
    <cfRule type="cellIs" dxfId="855" priority="1292" stopIfTrue="1" operator="equal">
      <formula>"STOP"</formula>
    </cfRule>
  </conditionalFormatting>
  <conditionalFormatting sqref="Q180">
    <cfRule type="cellIs" dxfId="854" priority="1286" stopIfTrue="1" operator="equal">
      <formula>"SIM"</formula>
    </cfRule>
    <cfRule type="cellIs" dxfId="853" priority="1287" stopIfTrue="1" operator="equal">
      <formula>"NÃO"</formula>
    </cfRule>
  </conditionalFormatting>
  <conditionalFormatting sqref="BF180 CJ180 DO180">
    <cfRule type="cellIs" dxfId="852" priority="1282" stopIfTrue="1" operator="equal">
      <formula>0</formula>
    </cfRule>
    <cfRule type="cellIs" dxfId="851" priority="1288" stopIfTrue="1" operator="notEqual">
      <formula>0</formula>
    </cfRule>
  </conditionalFormatting>
  <conditionalFormatting sqref="C180:D180">
    <cfRule type="expression" dxfId="850" priority="1285" stopIfTrue="1">
      <formula>IF(AND($C180&lt;&gt;"",$H180+$L180=0),TRUE)</formula>
    </cfRule>
  </conditionalFormatting>
  <conditionalFormatting sqref="P180">
    <cfRule type="cellIs" dxfId="849" priority="1274" stopIfTrue="1" operator="equal">
      <formula>1</formula>
    </cfRule>
    <cfRule type="cellIs" dxfId="848" priority="1283" stopIfTrue="1" operator="equal">
      <formula>2</formula>
    </cfRule>
    <cfRule type="cellIs" dxfId="847" priority="1284" stopIfTrue="1" operator="equal">
      <formula>"X"</formula>
    </cfRule>
  </conditionalFormatting>
  <conditionalFormatting sqref="GU180">
    <cfRule type="cellIs" dxfId="846" priority="1276" stopIfTrue="1" operator="equal">
      <formula>0</formula>
    </cfRule>
    <cfRule type="cellIs" dxfId="845" priority="1277" stopIfTrue="1" operator="notEqual">
      <formula>0</formula>
    </cfRule>
  </conditionalFormatting>
  <conditionalFormatting sqref="GV180">
    <cfRule type="cellIs" dxfId="844" priority="1275" stopIfTrue="1" operator="equal">
      <formula>"STOP"</formula>
    </cfRule>
  </conditionalFormatting>
  <conditionalFormatting sqref="Q181">
    <cfRule type="cellIs" dxfId="843" priority="1269" stopIfTrue="1" operator="equal">
      <formula>"SIM"</formula>
    </cfRule>
    <cfRule type="cellIs" dxfId="842" priority="1270" stopIfTrue="1" operator="equal">
      <formula>"NÃO"</formula>
    </cfRule>
  </conditionalFormatting>
  <conditionalFormatting sqref="BF181 CJ181 DO181">
    <cfRule type="cellIs" dxfId="841" priority="1265" stopIfTrue="1" operator="equal">
      <formula>0</formula>
    </cfRule>
    <cfRule type="cellIs" dxfId="840" priority="1271" stopIfTrue="1" operator="notEqual">
      <formula>0</formula>
    </cfRule>
  </conditionalFormatting>
  <conditionalFormatting sqref="C181:D181">
    <cfRule type="expression" dxfId="839" priority="1268" stopIfTrue="1">
      <formula>IF(AND($C181&lt;&gt;"",$H181+$L181=0),TRUE)</formula>
    </cfRule>
  </conditionalFormatting>
  <conditionalFormatting sqref="P181">
    <cfRule type="cellIs" dxfId="838" priority="1257" stopIfTrue="1" operator="equal">
      <formula>1</formula>
    </cfRule>
    <cfRule type="cellIs" dxfId="837" priority="1266" stopIfTrue="1" operator="equal">
      <formula>2</formula>
    </cfRule>
    <cfRule type="cellIs" dxfId="836" priority="1267" stopIfTrue="1" operator="equal">
      <formula>"X"</formula>
    </cfRule>
  </conditionalFormatting>
  <conditionalFormatting sqref="GU181">
    <cfRule type="cellIs" dxfId="835" priority="1259" stopIfTrue="1" operator="equal">
      <formula>0</formula>
    </cfRule>
    <cfRule type="cellIs" dxfId="834" priority="1260" stopIfTrue="1" operator="notEqual">
      <formula>0</formula>
    </cfRule>
  </conditionalFormatting>
  <conditionalFormatting sqref="GV181">
    <cfRule type="cellIs" dxfId="833" priority="1258" stopIfTrue="1" operator="equal">
      <formula>"STOP"</formula>
    </cfRule>
  </conditionalFormatting>
  <conditionalFormatting sqref="Q182">
    <cfRule type="cellIs" dxfId="832" priority="1252" stopIfTrue="1" operator="equal">
      <formula>"SIM"</formula>
    </cfRule>
    <cfRule type="cellIs" dxfId="831" priority="1253" stopIfTrue="1" operator="equal">
      <formula>"NÃO"</formula>
    </cfRule>
  </conditionalFormatting>
  <conditionalFormatting sqref="BF182 CJ182 DO182">
    <cfRule type="cellIs" dxfId="830" priority="1248" stopIfTrue="1" operator="equal">
      <formula>0</formula>
    </cfRule>
    <cfRule type="cellIs" dxfId="829" priority="1254" stopIfTrue="1" operator="notEqual">
      <formula>0</formula>
    </cfRule>
  </conditionalFormatting>
  <conditionalFormatting sqref="C182:D182">
    <cfRule type="expression" dxfId="828" priority="1251" stopIfTrue="1">
      <formula>IF(AND($C182&lt;&gt;"",$H182+$L182=0),TRUE)</formula>
    </cfRule>
  </conditionalFormatting>
  <conditionalFormatting sqref="P182">
    <cfRule type="cellIs" dxfId="827" priority="1240" stopIfTrue="1" operator="equal">
      <formula>1</formula>
    </cfRule>
    <cfRule type="cellIs" dxfId="826" priority="1249" stopIfTrue="1" operator="equal">
      <formula>2</formula>
    </cfRule>
    <cfRule type="cellIs" dxfId="825" priority="1250" stopIfTrue="1" operator="equal">
      <formula>"X"</formula>
    </cfRule>
  </conditionalFormatting>
  <conditionalFormatting sqref="GU182">
    <cfRule type="cellIs" dxfId="824" priority="1242" stopIfTrue="1" operator="equal">
      <formula>0</formula>
    </cfRule>
    <cfRule type="cellIs" dxfId="823" priority="1243" stopIfTrue="1" operator="notEqual">
      <formula>0</formula>
    </cfRule>
  </conditionalFormatting>
  <conditionalFormatting sqref="GV182">
    <cfRule type="cellIs" dxfId="822" priority="1241" stopIfTrue="1" operator="equal">
      <formula>"STOP"</formula>
    </cfRule>
  </conditionalFormatting>
  <conditionalFormatting sqref="Q181">
    <cfRule type="cellIs" dxfId="821" priority="1235" stopIfTrue="1" operator="equal">
      <formula>"SIM"</formula>
    </cfRule>
    <cfRule type="cellIs" dxfId="820" priority="1236" stopIfTrue="1" operator="equal">
      <formula>"NÃO"</formula>
    </cfRule>
  </conditionalFormatting>
  <conditionalFormatting sqref="BF181 CJ181 DO181">
    <cfRule type="cellIs" dxfId="819" priority="1231" stopIfTrue="1" operator="equal">
      <formula>0</formula>
    </cfRule>
    <cfRule type="cellIs" dxfId="818" priority="1237" stopIfTrue="1" operator="notEqual">
      <formula>0</formula>
    </cfRule>
  </conditionalFormatting>
  <conditionalFormatting sqref="C181:D181">
    <cfRule type="expression" dxfId="817" priority="1234" stopIfTrue="1">
      <formula>IF(AND($C181&lt;&gt;"",$H181+$L181=0),TRUE)</formula>
    </cfRule>
  </conditionalFormatting>
  <conditionalFormatting sqref="P181">
    <cfRule type="cellIs" dxfId="816" priority="1223" stopIfTrue="1" operator="equal">
      <formula>1</formula>
    </cfRule>
    <cfRule type="cellIs" dxfId="815" priority="1232" stopIfTrue="1" operator="equal">
      <formula>2</formula>
    </cfRule>
    <cfRule type="cellIs" dxfId="814" priority="1233" stopIfTrue="1" operator="equal">
      <formula>"X"</formula>
    </cfRule>
  </conditionalFormatting>
  <conditionalFormatting sqref="GU181">
    <cfRule type="cellIs" dxfId="813" priority="1225" stopIfTrue="1" operator="equal">
      <formula>0</formula>
    </cfRule>
    <cfRule type="cellIs" dxfId="812" priority="1226" stopIfTrue="1" operator="notEqual">
      <formula>0</formula>
    </cfRule>
  </conditionalFormatting>
  <conditionalFormatting sqref="GV181">
    <cfRule type="cellIs" dxfId="811" priority="1224" stopIfTrue="1" operator="equal">
      <formula>"STOP"</formula>
    </cfRule>
  </conditionalFormatting>
  <conditionalFormatting sqref="Q182">
    <cfRule type="cellIs" dxfId="810" priority="1218" stopIfTrue="1" operator="equal">
      <formula>"SIM"</formula>
    </cfRule>
    <cfRule type="cellIs" dxfId="809" priority="1219" stopIfTrue="1" operator="equal">
      <formula>"NÃO"</formula>
    </cfRule>
  </conditionalFormatting>
  <conditionalFormatting sqref="BF182 CJ182 DO182">
    <cfRule type="cellIs" dxfId="808" priority="1214" stopIfTrue="1" operator="equal">
      <formula>0</formula>
    </cfRule>
    <cfRule type="cellIs" dxfId="807" priority="1220" stopIfTrue="1" operator="notEqual">
      <formula>0</formula>
    </cfRule>
  </conditionalFormatting>
  <conditionalFormatting sqref="C182:D182">
    <cfRule type="expression" dxfId="806" priority="1217" stopIfTrue="1">
      <formula>IF(AND($C182&lt;&gt;"",$H182+$L182=0),TRUE)</formula>
    </cfRule>
  </conditionalFormatting>
  <conditionalFormatting sqref="P182">
    <cfRule type="cellIs" dxfId="805" priority="1206" stopIfTrue="1" operator="equal">
      <formula>1</formula>
    </cfRule>
    <cfRule type="cellIs" dxfId="804" priority="1215" stopIfTrue="1" operator="equal">
      <formula>2</formula>
    </cfRule>
    <cfRule type="cellIs" dxfId="803" priority="1216" stopIfTrue="1" operator="equal">
      <formula>"X"</formula>
    </cfRule>
  </conditionalFormatting>
  <conditionalFormatting sqref="GU182">
    <cfRule type="cellIs" dxfId="802" priority="1208" stopIfTrue="1" operator="equal">
      <formula>0</formula>
    </cfRule>
    <cfRule type="cellIs" dxfId="801" priority="1209" stopIfTrue="1" operator="notEqual">
      <formula>0</formula>
    </cfRule>
  </conditionalFormatting>
  <conditionalFormatting sqref="GV182">
    <cfRule type="cellIs" dxfId="800" priority="1207" stopIfTrue="1" operator="equal">
      <formula>"STOP"</formula>
    </cfRule>
  </conditionalFormatting>
  <conditionalFormatting sqref="Q180">
    <cfRule type="cellIs" dxfId="799" priority="1201" stopIfTrue="1" operator="equal">
      <formula>"SIM"</formula>
    </cfRule>
    <cfRule type="cellIs" dxfId="798" priority="1202" stopIfTrue="1" operator="equal">
      <formula>"NÃO"</formula>
    </cfRule>
  </conditionalFormatting>
  <conditionalFormatting sqref="BF180 CJ180 DO180">
    <cfRule type="cellIs" dxfId="797" priority="1197" stopIfTrue="1" operator="equal">
      <formula>0</formula>
    </cfRule>
    <cfRule type="cellIs" dxfId="796" priority="1203" stopIfTrue="1" operator="notEqual">
      <formula>0</formula>
    </cfRule>
  </conditionalFormatting>
  <conditionalFormatting sqref="C180:D180">
    <cfRule type="expression" dxfId="795" priority="1200" stopIfTrue="1">
      <formula>IF(AND($C180&lt;&gt;"",$H180+$L180=0),TRUE)</formula>
    </cfRule>
  </conditionalFormatting>
  <conditionalFormatting sqref="P180">
    <cfRule type="cellIs" dxfId="794" priority="1189" stopIfTrue="1" operator="equal">
      <formula>1</formula>
    </cfRule>
    <cfRule type="cellIs" dxfId="793" priority="1198" stopIfTrue="1" operator="equal">
      <formula>2</formula>
    </cfRule>
    <cfRule type="cellIs" dxfId="792" priority="1199" stopIfTrue="1" operator="equal">
      <formula>"X"</formula>
    </cfRule>
  </conditionalFormatting>
  <conditionalFormatting sqref="GU180">
    <cfRule type="cellIs" dxfId="791" priority="1191" stopIfTrue="1" operator="equal">
      <formula>0</formula>
    </cfRule>
    <cfRule type="cellIs" dxfId="790" priority="1192" stopIfTrue="1" operator="notEqual">
      <formula>0</formula>
    </cfRule>
  </conditionalFormatting>
  <conditionalFormatting sqref="GV180">
    <cfRule type="cellIs" dxfId="789" priority="1190" stopIfTrue="1" operator="equal">
      <formula>"STOP"</formula>
    </cfRule>
  </conditionalFormatting>
  <conditionalFormatting sqref="Q181">
    <cfRule type="cellIs" dxfId="788" priority="1184" stopIfTrue="1" operator="equal">
      <formula>"SIM"</formula>
    </cfRule>
    <cfRule type="cellIs" dxfId="787" priority="1185" stopIfTrue="1" operator="equal">
      <formula>"NÃO"</formula>
    </cfRule>
  </conditionalFormatting>
  <conditionalFormatting sqref="BF181 CJ181 DO181">
    <cfRule type="cellIs" dxfId="786" priority="1180" stopIfTrue="1" operator="equal">
      <formula>0</formula>
    </cfRule>
    <cfRule type="cellIs" dxfId="785" priority="1186" stopIfTrue="1" operator="notEqual">
      <formula>0</formula>
    </cfRule>
  </conditionalFormatting>
  <conditionalFormatting sqref="C181:D181">
    <cfRule type="expression" dxfId="784" priority="1183" stopIfTrue="1">
      <formula>IF(AND($C181&lt;&gt;"",$H181+$L181=0),TRUE)</formula>
    </cfRule>
  </conditionalFormatting>
  <conditionalFormatting sqref="P181">
    <cfRule type="cellIs" dxfId="783" priority="1172" stopIfTrue="1" operator="equal">
      <formula>1</formula>
    </cfRule>
    <cfRule type="cellIs" dxfId="782" priority="1181" stopIfTrue="1" operator="equal">
      <formula>2</formula>
    </cfRule>
    <cfRule type="cellIs" dxfId="781" priority="1182" stopIfTrue="1" operator="equal">
      <formula>"X"</formula>
    </cfRule>
  </conditionalFormatting>
  <conditionalFormatting sqref="GU181">
    <cfRule type="cellIs" dxfId="780" priority="1174" stopIfTrue="1" operator="equal">
      <formula>0</formula>
    </cfRule>
    <cfRule type="cellIs" dxfId="779" priority="1175" stopIfTrue="1" operator="notEqual">
      <formula>0</formula>
    </cfRule>
  </conditionalFormatting>
  <conditionalFormatting sqref="GV181">
    <cfRule type="cellIs" dxfId="778" priority="1173" stopIfTrue="1" operator="equal">
      <formula>"STOP"</formula>
    </cfRule>
  </conditionalFormatting>
  <conditionalFormatting sqref="Q182">
    <cfRule type="cellIs" dxfId="777" priority="1167" stopIfTrue="1" operator="equal">
      <formula>"SIM"</formula>
    </cfRule>
    <cfRule type="cellIs" dxfId="776" priority="1168" stopIfTrue="1" operator="equal">
      <formula>"NÃO"</formula>
    </cfRule>
  </conditionalFormatting>
  <conditionalFormatting sqref="BF182 CJ182 DO182">
    <cfRule type="cellIs" dxfId="775" priority="1163" stopIfTrue="1" operator="equal">
      <formula>0</formula>
    </cfRule>
    <cfRule type="cellIs" dxfId="774" priority="1169" stopIfTrue="1" operator="notEqual">
      <formula>0</formula>
    </cfRule>
  </conditionalFormatting>
  <conditionalFormatting sqref="C182:D182">
    <cfRule type="expression" dxfId="773" priority="1166" stopIfTrue="1">
      <formula>IF(AND($C182&lt;&gt;"",$H182+$L182=0),TRUE)</formula>
    </cfRule>
  </conditionalFormatting>
  <conditionalFormatting sqref="P182">
    <cfRule type="cellIs" dxfId="772" priority="1155" stopIfTrue="1" operator="equal">
      <formula>1</formula>
    </cfRule>
    <cfRule type="cellIs" dxfId="771" priority="1164" stopIfTrue="1" operator="equal">
      <formula>2</formula>
    </cfRule>
    <cfRule type="cellIs" dxfId="770" priority="1165" stopIfTrue="1" operator="equal">
      <formula>"X"</formula>
    </cfRule>
  </conditionalFormatting>
  <conditionalFormatting sqref="GU182">
    <cfRule type="cellIs" dxfId="769" priority="1157" stopIfTrue="1" operator="equal">
      <formula>0</formula>
    </cfRule>
    <cfRule type="cellIs" dxfId="768" priority="1158" stopIfTrue="1" operator="notEqual">
      <formula>0</formula>
    </cfRule>
  </conditionalFormatting>
  <conditionalFormatting sqref="GV182">
    <cfRule type="cellIs" dxfId="767" priority="1156" stopIfTrue="1" operator="equal">
      <formula>"STOP"</formula>
    </cfRule>
  </conditionalFormatting>
  <conditionalFormatting sqref="Q180">
    <cfRule type="cellIs" dxfId="766" priority="1150" stopIfTrue="1" operator="equal">
      <formula>"SIM"</formula>
    </cfRule>
    <cfRule type="cellIs" dxfId="765" priority="1151" stopIfTrue="1" operator="equal">
      <formula>"NÃO"</formula>
    </cfRule>
  </conditionalFormatting>
  <conditionalFormatting sqref="BF180 CJ180 DO180">
    <cfRule type="cellIs" dxfId="764" priority="1146" stopIfTrue="1" operator="equal">
      <formula>0</formula>
    </cfRule>
    <cfRule type="cellIs" dxfId="763" priority="1152" stopIfTrue="1" operator="notEqual">
      <formula>0</formula>
    </cfRule>
  </conditionalFormatting>
  <conditionalFormatting sqref="C180:D180">
    <cfRule type="expression" dxfId="762" priority="1149" stopIfTrue="1">
      <formula>IF(AND($C180&lt;&gt;"",$H180+$L180=0),TRUE)</formula>
    </cfRule>
  </conditionalFormatting>
  <conditionalFormatting sqref="P180">
    <cfRule type="cellIs" dxfId="761" priority="1138" stopIfTrue="1" operator="equal">
      <formula>1</formula>
    </cfRule>
    <cfRule type="cellIs" dxfId="760" priority="1147" stopIfTrue="1" operator="equal">
      <formula>2</formula>
    </cfRule>
    <cfRule type="cellIs" dxfId="759" priority="1148" stopIfTrue="1" operator="equal">
      <formula>"X"</formula>
    </cfRule>
  </conditionalFormatting>
  <conditionalFormatting sqref="GU180">
    <cfRule type="cellIs" dxfId="758" priority="1140" stopIfTrue="1" operator="equal">
      <formula>0</formula>
    </cfRule>
    <cfRule type="cellIs" dxfId="757" priority="1141" stopIfTrue="1" operator="notEqual">
      <formula>0</formula>
    </cfRule>
  </conditionalFormatting>
  <conditionalFormatting sqref="GV180">
    <cfRule type="cellIs" dxfId="756" priority="1139" stopIfTrue="1" operator="equal">
      <formula>"STOP"</formula>
    </cfRule>
  </conditionalFormatting>
  <conditionalFormatting sqref="Q181">
    <cfRule type="cellIs" dxfId="755" priority="1133" stopIfTrue="1" operator="equal">
      <formula>"SIM"</formula>
    </cfRule>
    <cfRule type="cellIs" dxfId="754" priority="1134" stopIfTrue="1" operator="equal">
      <formula>"NÃO"</formula>
    </cfRule>
  </conditionalFormatting>
  <conditionalFormatting sqref="BF181 CJ181 DO181">
    <cfRule type="cellIs" dxfId="753" priority="1129" stopIfTrue="1" operator="equal">
      <formula>0</formula>
    </cfRule>
    <cfRule type="cellIs" dxfId="752" priority="1135" stopIfTrue="1" operator="notEqual">
      <formula>0</formula>
    </cfRule>
  </conditionalFormatting>
  <conditionalFormatting sqref="C181:D181">
    <cfRule type="expression" dxfId="751" priority="1132" stopIfTrue="1">
      <formula>IF(AND($C181&lt;&gt;"",$H181+$L181=0),TRUE)</formula>
    </cfRule>
  </conditionalFormatting>
  <conditionalFormatting sqref="P181">
    <cfRule type="cellIs" dxfId="750" priority="1121" stopIfTrue="1" operator="equal">
      <formula>1</formula>
    </cfRule>
    <cfRule type="cellIs" dxfId="749" priority="1130" stopIfTrue="1" operator="equal">
      <formula>2</formula>
    </cfRule>
    <cfRule type="cellIs" dxfId="748" priority="1131" stopIfTrue="1" operator="equal">
      <formula>"X"</formula>
    </cfRule>
  </conditionalFormatting>
  <conditionalFormatting sqref="GU181">
    <cfRule type="cellIs" dxfId="747" priority="1123" stopIfTrue="1" operator="equal">
      <formula>0</formula>
    </cfRule>
    <cfRule type="cellIs" dxfId="746" priority="1124" stopIfTrue="1" operator="notEqual">
      <formula>0</formula>
    </cfRule>
  </conditionalFormatting>
  <conditionalFormatting sqref="GV181">
    <cfRule type="cellIs" dxfId="745" priority="1122" stopIfTrue="1" operator="equal">
      <formula>"STOP"</formula>
    </cfRule>
  </conditionalFormatting>
  <conditionalFormatting sqref="Q182">
    <cfRule type="cellIs" dxfId="744" priority="1116" stopIfTrue="1" operator="equal">
      <formula>"SIM"</formula>
    </cfRule>
    <cfRule type="cellIs" dxfId="743" priority="1117" stopIfTrue="1" operator="equal">
      <formula>"NÃO"</formula>
    </cfRule>
  </conditionalFormatting>
  <conditionalFormatting sqref="BF182 CJ182 DO182">
    <cfRule type="cellIs" dxfId="742" priority="1112" stopIfTrue="1" operator="equal">
      <formula>0</formula>
    </cfRule>
    <cfRule type="cellIs" dxfId="741" priority="1118" stopIfTrue="1" operator="notEqual">
      <formula>0</formula>
    </cfRule>
  </conditionalFormatting>
  <conditionalFormatting sqref="C182:D182">
    <cfRule type="expression" dxfId="740" priority="1115" stopIfTrue="1">
      <formula>IF(AND($C182&lt;&gt;"",$H182+$L182=0),TRUE)</formula>
    </cfRule>
  </conditionalFormatting>
  <conditionalFormatting sqref="P182">
    <cfRule type="cellIs" dxfId="739" priority="1104" stopIfTrue="1" operator="equal">
      <formula>1</formula>
    </cfRule>
    <cfRule type="cellIs" dxfId="738" priority="1113" stopIfTrue="1" operator="equal">
      <formula>2</formula>
    </cfRule>
    <cfRule type="cellIs" dxfId="737" priority="1114" stopIfTrue="1" operator="equal">
      <formula>"X"</formula>
    </cfRule>
  </conditionalFormatting>
  <conditionalFormatting sqref="GU182">
    <cfRule type="cellIs" dxfId="736" priority="1106" stopIfTrue="1" operator="equal">
      <formula>0</formula>
    </cfRule>
    <cfRule type="cellIs" dxfId="735" priority="1107" stopIfTrue="1" operator="notEqual">
      <formula>0</formula>
    </cfRule>
  </conditionalFormatting>
  <conditionalFormatting sqref="GV182">
    <cfRule type="cellIs" dxfId="734" priority="1105" stopIfTrue="1" operator="equal">
      <formula>"STOP"</formula>
    </cfRule>
  </conditionalFormatting>
  <conditionalFormatting sqref="Q180">
    <cfRule type="cellIs" dxfId="733" priority="1099" stopIfTrue="1" operator="equal">
      <formula>"SIM"</formula>
    </cfRule>
    <cfRule type="cellIs" dxfId="732" priority="1100" stopIfTrue="1" operator="equal">
      <formula>"NÃO"</formula>
    </cfRule>
  </conditionalFormatting>
  <conditionalFormatting sqref="BF180 CJ180 DO180">
    <cfRule type="cellIs" dxfId="731" priority="1095" stopIfTrue="1" operator="equal">
      <formula>0</formula>
    </cfRule>
    <cfRule type="cellIs" dxfId="730" priority="1101" stopIfTrue="1" operator="notEqual">
      <formula>0</formula>
    </cfRule>
  </conditionalFormatting>
  <conditionalFormatting sqref="C180:D180">
    <cfRule type="expression" dxfId="729" priority="1098" stopIfTrue="1">
      <formula>IF(AND($C180&lt;&gt;"",$H180+$L180=0),TRUE)</formula>
    </cfRule>
  </conditionalFormatting>
  <conditionalFormatting sqref="P180">
    <cfRule type="cellIs" dxfId="728" priority="1087" stopIfTrue="1" operator="equal">
      <formula>1</formula>
    </cfRule>
    <cfRule type="cellIs" dxfId="727" priority="1096" stopIfTrue="1" operator="equal">
      <formula>2</formula>
    </cfRule>
    <cfRule type="cellIs" dxfId="726" priority="1097" stopIfTrue="1" operator="equal">
      <formula>"X"</formula>
    </cfRule>
  </conditionalFormatting>
  <conditionalFormatting sqref="GU180">
    <cfRule type="cellIs" dxfId="725" priority="1089" stopIfTrue="1" operator="equal">
      <formula>0</formula>
    </cfRule>
    <cfRule type="cellIs" dxfId="724" priority="1090" stopIfTrue="1" operator="notEqual">
      <formula>0</formula>
    </cfRule>
  </conditionalFormatting>
  <conditionalFormatting sqref="GV180">
    <cfRule type="cellIs" dxfId="723" priority="1088" stopIfTrue="1" operator="equal">
      <formula>"STOP"</formula>
    </cfRule>
  </conditionalFormatting>
  <conditionalFormatting sqref="Q181">
    <cfRule type="cellIs" dxfId="722" priority="1082" stopIfTrue="1" operator="equal">
      <formula>"SIM"</formula>
    </cfRule>
    <cfRule type="cellIs" dxfId="721" priority="1083" stopIfTrue="1" operator="equal">
      <formula>"NÃO"</formula>
    </cfRule>
  </conditionalFormatting>
  <conditionalFormatting sqref="BF181 CJ181 DO181">
    <cfRule type="cellIs" dxfId="720" priority="1078" stopIfTrue="1" operator="equal">
      <formula>0</formula>
    </cfRule>
    <cfRule type="cellIs" dxfId="719" priority="1084" stopIfTrue="1" operator="notEqual">
      <formula>0</formula>
    </cfRule>
  </conditionalFormatting>
  <conditionalFormatting sqref="C181:D181">
    <cfRule type="expression" dxfId="718" priority="1081" stopIfTrue="1">
      <formula>IF(AND($C181&lt;&gt;"",$H181+$L181=0),TRUE)</formula>
    </cfRule>
  </conditionalFormatting>
  <conditionalFormatting sqref="P181">
    <cfRule type="cellIs" dxfId="717" priority="1070" stopIfTrue="1" operator="equal">
      <formula>1</formula>
    </cfRule>
    <cfRule type="cellIs" dxfId="716" priority="1079" stopIfTrue="1" operator="equal">
      <formula>2</formula>
    </cfRule>
    <cfRule type="cellIs" dxfId="715" priority="1080" stopIfTrue="1" operator="equal">
      <formula>"X"</formula>
    </cfRule>
  </conditionalFormatting>
  <conditionalFormatting sqref="GU181">
    <cfRule type="cellIs" dxfId="714" priority="1072" stopIfTrue="1" operator="equal">
      <formula>0</formula>
    </cfRule>
    <cfRule type="cellIs" dxfId="713" priority="1073" stopIfTrue="1" operator="notEqual">
      <formula>0</formula>
    </cfRule>
  </conditionalFormatting>
  <conditionalFormatting sqref="GV181">
    <cfRule type="cellIs" dxfId="712" priority="1071" stopIfTrue="1" operator="equal">
      <formula>"STOP"</formula>
    </cfRule>
  </conditionalFormatting>
  <conditionalFormatting sqref="Q182">
    <cfRule type="cellIs" dxfId="711" priority="1065" stopIfTrue="1" operator="equal">
      <formula>"SIM"</formula>
    </cfRule>
    <cfRule type="cellIs" dxfId="710" priority="1066" stopIfTrue="1" operator="equal">
      <formula>"NÃO"</formula>
    </cfRule>
  </conditionalFormatting>
  <conditionalFormatting sqref="BF182 CJ182 DO182">
    <cfRule type="cellIs" dxfId="709" priority="1061" stopIfTrue="1" operator="equal">
      <formula>0</formula>
    </cfRule>
    <cfRule type="cellIs" dxfId="708" priority="1067" stopIfTrue="1" operator="notEqual">
      <formula>0</formula>
    </cfRule>
  </conditionalFormatting>
  <conditionalFormatting sqref="C182:D182">
    <cfRule type="expression" dxfId="707" priority="1064" stopIfTrue="1">
      <formula>IF(AND($C182&lt;&gt;"",$H182+$L182=0),TRUE)</formula>
    </cfRule>
  </conditionalFormatting>
  <conditionalFormatting sqref="P182">
    <cfRule type="cellIs" dxfId="706" priority="1053" stopIfTrue="1" operator="equal">
      <formula>1</formula>
    </cfRule>
    <cfRule type="cellIs" dxfId="705" priority="1062" stopIfTrue="1" operator="equal">
      <formula>2</formula>
    </cfRule>
    <cfRule type="cellIs" dxfId="704" priority="1063" stopIfTrue="1" operator="equal">
      <formula>"X"</formula>
    </cfRule>
  </conditionalFormatting>
  <conditionalFormatting sqref="GU182">
    <cfRule type="cellIs" dxfId="703" priority="1055" stopIfTrue="1" operator="equal">
      <formula>0</formula>
    </cfRule>
    <cfRule type="cellIs" dxfId="702" priority="1056" stopIfTrue="1" operator="notEqual">
      <formula>0</formula>
    </cfRule>
  </conditionalFormatting>
  <conditionalFormatting sqref="GV182">
    <cfRule type="cellIs" dxfId="701" priority="1054" stopIfTrue="1" operator="equal">
      <formula>"STOP"</formula>
    </cfRule>
  </conditionalFormatting>
  <conditionalFormatting sqref="Q181">
    <cfRule type="cellIs" dxfId="700" priority="1048" stopIfTrue="1" operator="equal">
      <formula>"SIM"</formula>
    </cfRule>
    <cfRule type="cellIs" dxfId="699" priority="1049" stopIfTrue="1" operator="equal">
      <formula>"NÃO"</formula>
    </cfRule>
  </conditionalFormatting>
  <conditionalFormatting sqref="BF181 CJ181 DO181">
    <cfRule type="cellIs" dxfId="698" priority="1044" stopIfTrue="1" operator="equal">
      <formula>0</formula>
    </cfRule>
    <cfRule type="cellIs" dxfId="697" priority="1050" stopIfTrue="1" operator="notEqual">
      <formula>0</formula>
    </cfRule>
  </conditionalFormatting>
  <conditionalFormatting sqref="C181:D181">
    <cfRule type="expression" dxfId="696" priority="1047" stopIfTrue="1">
      <formula>IF(AND($C181&lt;&gt;"",$H181+$L181=0),TRUE)</formula>
    </cfRule>
  </conditionalFormatting>
  <conditionalFormatting sqref="P181">
    <cfRule type="cellIs" dxfId="695" priority="1036" stopIfTrue="1" operator="equal">
      <formula>1</formula>
    </cfRule>
    <cfRule type="cellIs" dxfId="694" priority="1045" stopIfTrue="1" operator="equal">
      <formula>2</formula>
    </cfRule>
    <cfRule type="cellIs" dxfId="693" priority="1046" stopIfTrue="1" operator="equal">
      <formula>"X"</formula>
    </cfRule>
  </conditionalFormatting>
  <conditionalFormatting sqref="GU181">
    <cfRule type="cellIs" dxfId="692" priority="1038" stopIfTrue="1" operator="equal">
      <formula>0</formula>
    </cfRule>
    <cfRule type="cellIs" dxfId="691" priority="1039" stopIfTrue="1" operator="notEqual">
      <formula>0</formula>
    </cfRule>
  </conditionalFormatting>
  <conditionalFormatting sqref="GV181">
    <cfRule type="cellIs" dxfId="690" priority="1037" stopIfTrue="1" operator="equal">
      <formula>"STOP"</formula>
    </cfRule>
  </conditionalFormatting>
  <conditionalFormatting sqref="Q182">
    <cfRule type="cellIs" dxfId="689" priority="1031" stopIfTrue="1" operator="equal">
      <formula>"SIM"</formula>
    </cfRule>
    <cfRule type="cellIs" dxfId="688" priority="1032" stopIfTrue="1" operator="equal">
      <formula>"NÃO"</formula>
    </cfRule>
  </conditionalFormatting>
  <conditionalFormatting sqref="BF182 CJ182 DO182">
    <cfRule type="cellIs" dxfId="687" priority="1027" stopIfTrue="1" operator="equal">
      <formula>0</formula>
    </cfRule>
    <cfRule type="cellIs" dxfId="686" priority="1033" stopIfTrue="1" operator="notEqual">
      <formula>0</formula>
    </cfRule>
  </conditionalFormatting>
  <conditionalFormatting sqref="C182:D182">
    <cfRule type="expression" dxfId="685" priority="1030" stopIfTrue="1">
      <formula>IF(AND($C182&lt;&gt;"",$H182+$L182=0),TRUE)</formula>
    </cfRule>
  </conditionalFormatting>
  <conditionalFormatting sqref="P182">
    <cfRule type="cellIs" dxfId="684" priority="1019" stopIfTrue="1" operator="equal">
      <formula>1</formula>
    </cfRule>
    <cfRule type="cellIs" dxfId="683" priority="1028" stopIfTrue="1" operator="equal">
      <formula>2</formula>
    </cfRule>
    <cfRule type="cellIs" dxfId="682" priority="1029" stopIfTrue="1" operator="equal">
      <formula>"X"</formula>
    </cfRule>
  </conditionalFormatting>
  <conditionalFormatting sqref="GU182">
    <cfRule type="cellIs" dxfId="681" priority="1021" stopIfTrue="1" operator="equal">
      <formula>0</formula>
    </cfRule>
    <cfRule type="cellIs" dxfId="680" priority="1022" stopIfTrue="1" operator="notEqual">
      <formula>0</formula>
    </cfRule>
  </conditionalFormatting>
  <conditionalFormatting sqref="GV182">
    <cfRule type="cellIs" dxfId="679" priority="1020" stopIfTrue="1" operator="equal">
      <formula>"STOP"</formula>
    </cfRule>
  </conditionalFormatting>
  <conditionalFormatting sqref="Q180">
    <cfRule type="cellIs" dxfId="678" priority="1014" stopIfTrue="1" operator="equal">
      <formula>"SIM"</formula>
    </cfRule>
    <cfRule type="cellIs" dxfId="677" priority="1015" stopIfTrue="1" operator="equal">
      <formula>"NÃO"</formula>
    </cfRule>
  </conditionalFormatting>
  <conditionalFormatting sqref="BF180 CJ180 DO180">
    <cfRule type="cellIs" dxfId="676" priority="1010" stopIfTrue="1" operator="equal">
      <formula>0</formula>
    </cfRule>
    <cfRule type="cellIs" dxfId="675" priority="1016" stopIfTrue="1" operator="notEqual">
      <formula>0</formula>
    </cfRule>
  </conditionalFormatting>
  <conditionalFormatting sqref="C180:D180">
    <cfRule type="expression" dxfId="674" priority="1013" stopIfTrue="1">
      <formula>IF(AND($C180&lt;&gt;"",$H180+$L180=0),TRUE)</formula>
    </cfRule>
  </conditionalFormatting>
  <conditionalFormatting sqref="P180">
    <cfRule type="cellIs" dxfId="673" priority="1002" stopIfTrue="1" operator="equal">
      <formula>1</formula>
    </cfRule>
    <cfRule type="cellIs" dxfId="672" priority="1011" stopIfTrue="1" operator="equal">
      <formula>2</formula>
    </cfRule>
    <cfRule type="cellIs" dxfId="671" priority="1012" stopIfTrue="1" operator="equal">
      <formula>"X"</formula>
    </cfRule>
  </conditionalFormatting>
  <conditionalFormatting sqref="GU180">
    <cfRule type="cellIs" dxfId="670" priority="1004" stopIfTrue="1" operator="equal">
      <formula>0</formula>
    </cfRule>
    <cfRule type="cellIs" dxfId="669" priority="1005" stopIfTrue="1" operator="notEqual">
      <formula>0</formula>
    </cfRule>
  </conditionalFormatting>
  <conditionalFormatting sqref="GV180">
    <cfRule type="cellIs" dxfId="668" priority="1003" stopIfTrue="1" operator="equal">
      <formula>"STOP"</formula>
    </cfRule>
  </conditionalFormatting>
  <conditionalFormatting sqref="Q181">
    <cfRule type="cellIs" dxfId="667" priority="997" stopIfTrue="1" operator="equal">
      <formula>"SIM"</formula>
    </cfRule>
    <cfRule type="cellIs" dxfId="666" priority="998" stopIfTrue="1" operator="equal">
      <formula>"NÃO"</formula>
    </cfRule>
  </conditionalFormatting>
  <conditionalFormatting sqref="BF181 CJ181 DO181">
    <cfRule type="cellIs" dxfId="665" priority="993" stopIfTrue="1" operator="equal">
      <formula>0</formula>
    </cfRule>
    <cfRule type="cellIs" dxfId="664" priority="999" stopIfTrue="1" operator="notEqual">
      <formula>0</formula>
    </cfRule>
  </conditionalFormatting>
  <conditionalFormatting sqref="C181:D181">
    <cfRule type="expression" dxfId="663" priority="996" stopIfTrue="1">
      <formula>IF(AND($C181&lt;&gt;"",$H181+$L181=0),TRUE)</formula>
    </cfRule>
  </conditionalFormatting>
  <conditionalFormatting sqref="P181">
    <cfRule type="cellIs" dxfId="662" priority="985" stopIfTrue="1" operator="equal">
      <formula>1</formula>
    </cfRule>
    <cfRule type="cellIs" dxfId="661" priority="994" stopIfTrue="1" operator="equal">
      <formula>2</formula>
    </cfRule>
    <cfRule type="cellIs" dxfId="660" priority="995" stopIfTrue="1" operator="equal">
      <formula>"X"</formula>
    </cfRule>
  </conditionalFormatting>
  <conditionalFormatting sqref="GU181">
    <cfRule type="cellIs" dxfId="659" priority="987" stopIfTrue="1" operator="equal">
      <formula>0</formula>
    </cfRule>
    <cfRule type="cellIs" dxfId="658" priority="988" stopIfTrue="1" operator="notEqual">
      <formula>0</formula>
    </cfRule>
  </conditionalFormatting>
  <conditionalFormatting sqref="GV181">
    <cfRule type="cellIs" dxfId="657" priority="986" stopIfTrue="1" operator="equal">
      <formula>"STOP"</formula>
    </cfRule>
  </conditionalFormatting>
  <conditionalFormatting sqref="Q182">
    <cfRule type="cellIs" dxfId="656" priority="980" stopIfTrue="1" operator="equal">
      <formula>"SIM"</formula>
    </cfRule>
    <cfRule type="cellIs" dxfId="655" priority="981" stopIfTrue="1" operator="equal">
      <formula>"NÃO"</formula>
    </cfRule>
  </conditionalFormatting>
  <conditionalFormatting sqref="BF182 CJ182 DO182">
    <cfRule type="cellIs" dxfId="654" priority="976" stopIfTrue="1" operator="equal">
      <formula>0</formula>
    </cfRule>
    <cfRule type="cellIs" dxfId="653" priority="982" stopIfTrue="1" operator="notEqual">
      <formula>0</formula>
    </cfRule>
  </conditionalFormatting>
  <conditionalFormatting sqref="C182:D182">
    <cfRule type="expression" dxfId="652" priority="979" stopIfTrue="1">
      <formula>IF(AND($C182&lt;&gt;"",$H182+$L182=0),TRUE)</formula>
    </cfRule>
  </conditionalFormatting>
  <conditionalFormatting sqref="P182">
    <cfRule type="cellIs" dxfId="651" priority="968" stopIfTrue="1" operator="equal">
      <formula>1</formula>
    </cfRule>
    <cfRule type="cellIs" dxfId="650" priority="977" stopIfTrue="1" operator="equal">
      <formula>2</formula>
    </cfRule>
    <cfRule type="cellIs" dxfId="649" priority="978" stopIfTrue="1" operator="equal">
      <formula>"X"</formula>
    </cfRule>
  </conditionalFormatting>
  <conditionalFormatting sqref="GU182">
    <cfRule type="cellIs" dxfId="648" priority="970" stopIfTrue="1" operator="equal">
      <formula>0</formula>
    </cfRule>
    <cfRule type="cellIs" dxfId="647" priority="971" stopIfTrue="1" operator="notEqual">
      <formula>0</formula>
    </cfRule>
  </conditionalFormatting>
  <conditionalFormatting sqref="GV182">
    <cfRule type="cellIs" dxfId="646" priority="969" stopIfTrue="1" operator="equal">
      <formula>"STOP"</formula>
    </cfRule>
  </conditionalFormatting>
  <conditionalFormatting sqref="Q181">
    <cfRule type="cellIs" dxfId="645" priority="963" stopIfTrue="1" operator="equal">
      <formula>"SIM"</formula>
    </cfRule>
    <cfRule type="cellIs" dxfId="644" priority="964" stopIfTrue="1" operator="equal">
      <formula>"NÃO"</formula>
    </cfRule>
  </conditionalFormatting>
  <conditionalFormatting sqref="BF181 CJ181 DO181">
    <cfRule type="cellIs" dxfId="643" priority="959" stopIfTrue="1" operator="equal">
      <formula>0</formula>
    </cfRule>
    <cfRule type="cellIs" dxfId="642" priority="965" stopIfTrue="1" operator="notEqual">
      <formula>0</formula>
    </cfRule>
  </conditionalFormatting>
  <conditionalFormatting sqref="C181:D181">
    <cfRule type="expression" dxfId="641" priority="962" stopIfTrue="1">
      <formula>IF(AND($C181&lt;&gt;"",$H181+$L181=0),TRUE)</formula>
    </cfRule>
  </conditionalFormatting>
  <conditionalFormatting sqref="P181">
    <cfRule type="cellIs" dxfId="640" priority="951" stopIfTrue="1" operator="equal">
      <formula>1</formula>
    </cfRule>
    <cfRule type="cellIs" dxfId="639" priority="960" stopIfTrue="1" operator="equal">
      <formula>2</formula>
    </cfRule>
    <cfRule type="cellIs" dxfId="638" priority="961" stopIfTrue="1" operator="equal">
      <formula>"X"</formula>
    </cfRule>
  </conditionalFormatting>
  <conditionalFormatting sqref="GU181">
    <cfRule type="cellIs" dxfId="637" priority="953" stopIfTrue="1" operator="equal">
      <formula>0</formula>
    </cfRule>
    <cfRule type="cellIs" dxfId="636" priority="954" stopIfTrue="1" operator="notEqual">
      <formula>0</formula>
    </cfRule>
  </conditionalFormatting>
  <conditionalFormatting sqref="GV181">
    <cfRule type="cellIs" dxfId="635" priority="952" stopIfTrue="1" operator="equal">
      <formula>"STOP"</formula>
    </cfRule>
  </conditionalFormatting>
  <conditionalFormatting sqref="Q182">
    <cfRule type="cellIs" dxfId="634" priority="946" stopIfTrue="1" operator="equal">
      <formula>"SIM"</formula>
    </cfRule>
    <cfRule type="cellIs" dxfId="633" priority="947" stopIfTrue="1" operator="equal">
      <formula>"NÃO"</formula>
    </cfRule>
  </conditionalFormatting>
  <conditionalFormatting sqref="BF182 CJ182 DO182">
    <cfRule type="cellIs" dxfId="632" priority="942" stopIfTrue="1" operator="equal">
      <formula>0</formula>
    </cfRule>
    <cfRule type="cellIs" dxfId="631" priority="948" stopIfTrue="1" operator="notEqual">
      <formula>0</formula>
    </cfRule>
  </conditionalFormatting>
  <conditionalFormatting sqref="C182:D182">
    <cfRule type="expression" dxfId="630" priority="945" stopIfTrue="1">
      <formula>IF(AND($C182&lt;&gt;"",$H182+$L182=0),TRUE)</formula>
    </cfRule>
  </conditionalFormatting>
  <conditionalFormatting sqref="P182">
    <cfRule type="cellIs" dxfId="629" priority="934" stopIfTrue="1" operator="equal">
      <formula>1</formula>
    </cfRule>
    <cfRule type="cellIs" dxfId="628" priority="943" stopIfTrue="1" operator="equal">
      <formula>2</formula>
    </cfRule>
    <cfRule type="cellIs" dxfId="627" priority="944" stopIfTrue="1" operator="equal">
      <formula>"X"</formula>
    </cfRule>
  </conditionalFormatting>
  <conditionalFormatting sqref="GU182">
    <cfRule type="cellIs" dxfId="626" priority="936" stopIfTrue="1" operator="equal">
      <formula>0</formula>
    </cfRule>
    <cfRule type="cellIs" dxfId="625" priority="937" stopIfTrue="1" operator="notEqual">
      <formula>0</formula>
    </cfRule>
  </conditionalFormatting>
  <conditionalFormatting sqref="GV182">
    <cfRule type="cellIs" dxfId="624" priority="935" stopIfTrue="1" operator="equal">
      <formula>"STOP"</formula>
    </cfRule>
  </conditionalFormatting>
  <conditionalFormatting sqref="Q181">
    <cfRule type="cellIs" dxfId="623" priority="929" stopIfTrue="1" operator="equal">
      <formula>"SIM"</formula>
    </cfRule>
    <cfRule type="cellIs" dxfId="622" priority="930" stopIfTrue="1" operator="equal">
      <formula>"NÃO"</formula>
    </cfRule>
  </conditionalFormatting>
  <conditionalFormatting sqref="BF181 CJ181 DO181">
    <cfRule type="cellIs" dxfId="621" priority="925" stopIfTrue="1" operator="equal">
      <formula>0</formula>
    </cfRule>
    <cfRule type="cellIs" dxfId="620" priority="931" stopIfTrue="1" operator="notEqual">
      <formula>0</formula>
    </cfRule>
  </conditionalFormatting>
  <conditionalFormatting sqref="C181:D181">
    <cfRule type="expression" dxfId="619" priority="928" stopIfTrue="1">
      <formula>IF(AND($C181&lt;&gt;"",$H181+$L181=0),TRUE)</formula>
    </cfRule>
  </conditionalFormatting>
  <conditionalFormatting sqref="P181">
    <cfRule type="cellIs" dxfId="618" priority="917" stopIfTrue="1" operator="equal">
      <formula>1</formula>
    </cfRule>
    <cfRule type="cellIs" dxfId="617" priority="926" stopIfTrue="1" operator="equal">
      <formula>2</formula>
    </cfRule>
    <cfRule type="cellIs" dxfId="616" priority="927" stopIfTrue="1" operator="equal">
      <formula>"X"</formula>
    </cfRule>
  </conditionalFormatting>
  <conditionalFormatting sqref="GU181">
    <cfRule type="cellIs" dxfId="615" priority="919" stopIfTrue="1" operator="equal">
      <formula>0</formula>
    </cfRule>
    <cfRule type="cellIs" dxfId="614" priority="920" stopIfTrue="1" operator="notEqual">
      <formula>0</formula>
    </cfRule>
  </conditionalFormatting>
  <conditionalFormatting sqref="GV181">
    <cfRule type="cellIs" dxfId="613" priority="918" stopIfTrue="1" operator="equal">
      <formula>"STOP"</formula>
    </cfRule>
  </conditionalFormatting>
  <conditionalFormatting sqref="Q182">
    <cfRule type="cellIs" dxfId="612" priority="912" stopIfTrue="1" operator="equal">
      <formula>"SIM"</formula>
    </cfRule>
    <cfRule type="cellIs" dxfId="611" priority="913" stopIfTrue="1" operator="equal">
      <formula>"NÃO"</formula>
    </cfRule>
  </conditionalFormatting>
  <conditionalFormatting sqref="BF182 CJ182 DO182">
    <cfRule type="cellIs" dxfId="610" priority="908" stopIfTrue="1" operator="equal">
      <formula>0</formula>
    </cfRule>
    <cfRule type="cellIs" dxfId="609" priority="914" stopIfTrue="1" operator="notEqual">
      <formula>0</formula>
    </cfRule>
  </conditionalFormatting>
  <conditionalFormatting sqref="C182:D182">
    <cfRule type="expression" dxfId="608" priority="911" stopIfTrue="1">
      <formula>IF(AND($C182&lt;&gt;"",$H182+$L182=0),TRUE)</formula>
    </cfRule>
  </conditionalFormatting>
  <conditionalFormatting sqref="P182">
    <cfRule type="cellIs" dxfId="607" priority="900" stopIfTrue="1" operator="equal">
      <formula>1</formula>
    </cfRule>
    <cfRule type="cellIs" dxfId="606" priority="909" stopIfTrue="1" operator="equal">
      <formula>2</formula>
    </cfRule>
    <cfRule type="cellIs" dxfId="605" priority="910" stopIfTrue="1" operator="equal">
      <formula>"X"</formula>
    </cfRule>
  </conditionalFormatting>
  <conditionalFormatting sqref="GU182">
    <cfRule type="cellIs" dxfId="604" priority="902" stopIfTrue="1" operator="equal">
      <formula>0</formula>
    </cfRule>
    <cfRule type="cellIs" dxfId="603" priority="903" stopIfTrue="1" operator="notEqual">
      <formula>0</formula>
    </cfRule>
  </conditionalFormatting>
  <conditionalFormatting sqref="GV182">
    <cfRule type="cellIs" dxfId="602" priority="901" stopIfTrue="1" operator="equal">
      <formula>"STOP"</formula>
    </cfRule>
  </conditionalFormatting>
  <conditionalFormatting sqref="Q182">
    <cfRule type="cellIs" dxfId="601" priority="895" stopIfTrue="1" operator="equal">
      <formula>"SIM"</formula>
    </cfRule>
    <cfRule type="cellIs" dxfId="600" priority="896" stopIfTrue="1" operator="equal">
      <formula>"NÃO"</formula>
    </cfRule>
  </conditionalFormatting>
  <conditionalFormatting sqref="BF182 CJ182 DO182">
    <cfRule type="cellIs" dxfId="599" priority="891" stopIfTrue="1" operator="equal">
      <formula>0</formula>
    </cfRule>
    <cfRule type="cellIs" dxfId="598" priority="897" stopIfTrue="1" operator="notEqual">
      <formula>0</formula>
    </cfRule>
  </conditionalFormatting>
  <conditionalFormatting sqref="C182:D182">
    <cfRule type="expression" dxfId="597" priority="894" stopIfTrue="1">
      <formula>IF(AND($C182&lt;&gt;"",$H182+$L182=0),TRUE)</formula>
    </cfRule>
  </conditionalFormatting>
  <conditionalFormatting sqref="P182">
    <cfRule type="cellIs" dxfId="596" priority="883" stopIfTrue="1" operator="equal">
      <formula>1</formula>
    </cfRule>
    <cfRule type="cellIs" dxfId="595" priority="892" stopIfTrue="1" operator="equal">
      <formula>2</formula>
    </cfRule>
    <cfRule type="cellIs" dxfId="594" priority="893" stopIfTrue="1" operator="equal">
      <formula>"X"</formula>
    </cfRule>
  </conditionalFormatting>
  <conditionalFormatting sqref="GU182">
    <cfRule type="cellIs" dxfId="593" priority="885" stopIfTrue="1" operator="equal">
      <formula>0</formula>
    </cfRule>
    <cfRule type="cellIs" dxfId="592" priority="886" stopIfTrue="1" operator="notEqual">
      <formula>0</formula>
    </cfRule>
  </conditionalFormatting>
  <conditionalFormatting sqref="GV182">
    <cfRule type="cellIs" dxfId="591" priority="884" stopIfTrue="1" operator="equal">
      <formula>"STOP"</formula>
    </cfRule>
  </conditionalFormatting>
  <conditionalFormatting sqref="Q180">
    <cfRule type="cellIs" dxfId="590" priority="878" stopIfTrue="1" operator="equal">
      <formula>"SIM"</formula>
    </cfRule>
    <cfRule type="cellIs" dxfId="589" priority="879" stopIfTrue="1" operator="equal">
      <formula>"NÃO"</formula>
    </cfRule>
  </conditionalFormatting>
  <conditionalFormatting sqref="BF180 CJ180 DO180">
    <cfRule type="cellIs" dxfId="588" priority="874" stopIfTrue="1" operator="equal">
      <formula>0</formula>
    </cfRule>
    <cfRule type="cellIs" dxfId="587" priority="880" stopIfTrue="1" operator="notEqual">
      <formula>0</formula>
    </cfRule>
  </conditionalFormatting>
  <conditionalFormatting sqref="C180:D180">
    <cfRule type="expression" dxfId="586" priority="877" stopIfTrue="1">
      <formula>IF(AND($C180&lt;&gt;"",$H180+$L180=0),TRUE)</formula>
    </cfRule>
  </conditionalFormatting>
  <conditionalFormatting sqref="P180">
    <cfRule type="cellIs" dxfId="585" priority="866" stopIfTrue="1" operator="equal">
      <formula>1</formula>
    </cfRule>
    <cfRule type="cellIs" dxfId="584" priority="875" stopIfTrue="1" operator="equal">
      <formula>2</formula>
    </cfRule>
    <cfRule type="cellIs" dxfId="583" priority="876" stopIfTrue="1" operator="equal">
      <formula>"X"</formula>
    </cfRule>
  </conditionalFormatting>
  <conditionalFormatting sqref="GU180">
    <cfRule type="cellIs" dxfId="582" priority="868" stopIfTrue="1" operator="equal">
      <formula>0</formula>
    </cfRule>
    <cfRule type="cellIs" dxfId="581" priority="869" stopIfTrue="1" operator="notEqual">
      <formula>0</formula>
    </cfRule>
  </conditionalFormatting>
  <conditionalFormatting sqref="GV180">
    <cfRule type="cellIs" dxfId="580" priority="867" stopIfTrue="1" operator="equal">
      <formula>"STOP"</formula>
    </cfRule>
  </conditionalFormatting>
  <conditionalFormatting sqref="Q181">
    <cfRule type="cellIs" dxfId="579" priority="861" stopIfTrue="1" operator="equal">
      <formula>"SIM"</formula>
    </cfRule>
    <cfRule type="cellIs" dxfId="578" priority="862" stopIfTrue="1" operator="equal">
      <formula>"NÃO"</formula>
    </cfRule>
  </conditionalFormatting>
  <conditionalFormatting sqref="BF181 CJ181 DO181">
    <cfRule type="cellIs" dxfId="577" priority="857" stopIfTrue="1" operator="equal">
      <formula>0</formula>
    </cfRule>
    <cfRule type="cellIs" dxfId="576" priority="863" stopIfTrue="1" operator="notEqual">
      <formula>0</formula>
    </cfRule>
  </conditionalFormatting>
  <conditionalFormatting sqref="C181:D181">
    <cfRule type="expression" dxfId="575" priority="860" stopIfTrue="1">
      <formula>IF(AND($C181&lt;&gt;"",$H181+$L181=0),TRUE)</formula>
    </cfRule>
  </conditionalFormatting>
  <conditionalFormatting sqref="P181">
    <cfRule type="cellIs" dxfId="574" priority="849" stopIfTrue="1" operator="equal">
      <formula>1</formula>
    </cfRule>
    <cfRule type="cellIs" dxfId="573" priority="858" stopIfTrue="1" operator="equal">
      <formula>2</formula>
    </cfRule>
    <cfRule type="cellIs" dxfId="572" priority="859" stopIfTrue="1" operator="equal">
      <formula>"X"</formula>
    </cfRule>
  </conditionalFormatting>
  <conditionalFormatting sqref="GU181">
    <cfRule type="cellIs" dxfId="571" priority="851" stopIfTrue="1" operator="equal">
      <formula>0</formula>
    </cfRule>
    <cfRule type="cellIs" dxfId="570" priority="852" stopIfTrue="1" operator="notEqual">
      <formula>0</formula>
    </cfRule>
  </conditionalFormatting>
  <conditionalFormatting sqref="GV181">
    <cfRule type="cellIs" dxfId="569" priority="850" stopIfTrue="1" operator="equal">
      <formula>"STOP"</formula>
    </cfRule>
  </conditionalFormatting>
  <conditionalFormatting sqref="Q182">
    <cfRule type="cellIs" dxfId="568" priority="844" stopIfTrue="1" operator="equal">
      <formula>"SIM"</formula>
    </cfRule>
    <cfRule type="cellIs" dxfId="567" priority="845" stopIfTrue="1" operator="equal">
      <formula>"NÃO"</formula>
    </cfRule>
  </conditionalFormatting>
  <conditionalFormatting sqref="BF182 CJ182 DO182">
    <cfRule type="cellIs" dxfId="566" priority="840" stopIfTrue="1" operator="equal">
      <formula>0</formula>
    </cfRule>
    <cfRule type="cellIs" dxfId="565" priority="846" stopIfTrue="1" operator="notEqual">
      <formula>0</formula>
    </cfRule>
  </conditionalFormatting>
  <conditionalFormatting sqref="C182:D182">
    <cfRule type="expression" dxfId="564" priority="843" stopIfTrue="1">
      <formula>IF(AND($C182&lt;&gt;"",$H182+$L182=0),TRUE)</formula>
    </cfRule>
  </conditionalFormatting>
  <conditionalFormatting sqref="P182">
    <cfRule type="cellIs" dxfId="563" priority="832" stopIfTrue="1" operator="equal">
      <formula>1</formula>
    </cfRule>
    <cfRule type="cellIs" dxfId="562" priority="841" stopIfTrue="1" operator="equal">
      <formula>2</formula>
    </cfRule>
    <cfRule type="cellIs" dxfId="561" priority="842" stopIfTrue="1" operator="equal">
      <formula>"X"</formula>
    </cfRule>
  </conditionalFormatting>
  <conditionalFormatting sqref="GU182">
    <cfRule type="cellIs" dxfId="560" priority="834" stopIfTrue="1" operator="equal">
      <formula>0</formula>
    </cfRule>
    <cfRule type="cellIs" dxfId="559" priority="835" stopIfTrue="1" operator="notEqual">
      <formula>0</formula>
    </cfRule>
  </conditionalFormatting>
  <conditionalFormatting sqref="GV182">
    <cfRule type="cellIs" dxfId="558" priority="833" stopIfTrue="1" operator="equal">
      <formula>"STOP"</formula>
    </cfRule>
  </conditionalFormatting>
  <conditionalFormatting sqref="Q180">
    <cfRule type="cellIs" dxfId="557" priority="827" stopIfTrue="1" operator="equal">
      <formula>"SIM"</formula>
    </cfRule>
    <cfRule type="cellIs" dxfId="556" priority="828" stopIfTrue="1" operator="equal">
      <formula>"NÃO"</formula>
    </cfRule>
  </conditionalFormatting>
  <conditionalFormatting sqref="BF180 CJ180 DO180">
    <cfRule type="cellIs" dxfId="555" priority="823" stopIfTrue="1" operator="equal">
      <formula>0</formula>
    </cfRule>
    <cfRule type="cellIs" dxfId="554" priority="829" stopIfTrue="1" operator="notEqual">
      <formula>0</formula>
    </cfRule>
  </conditionalFormatting>
  <conditionalFormatting sqref="C180:D180">
    <cfRule type="expression" dxfId="553" priority="826" stopIfTrue="1">
      <formula>IF(AND($C180&lt;&gt;"",$H180+$L180=0),TRUE)</formula>
    </cfRule>
  </conditionalFormatting>
  <conditionalFormatting sqref="P180">
    <cfRule type="cellIs" dxfId="552" priority="815" stopIfTrue="1" operator="equal">
      <formula>1</formula>
    </cfRule>
    <cfRule type="cellIs" dxfId="551" priority="824" stopIfTrue="1" operator="equal">
      <formula>2</formula>
    </cfRule>
    <cfRule type="cellIs" dxfId="550" priority="825" stopIfTrue="1" operator="equal">
      <formula>"X"</formula>
    </cfRule>
  </conditionalFormatting>
  <conditionalFormatting sqref="GU180">
    <cfRule type="cellIs" dxfId="549" priority="817" stopIfTrue="1" operator="equal">
      <formula>0</formula>
    </cfRule>
    <cfRule type="cellIs" dxfId="548" priority="818" stopIfTrue="1" operator="notEqual">
      <formula>0</formula>
    </cfRule>
  </conditionalFormatting>
  <conditionalFormatting sqref="GV180">
    <cfRule type="cellIs" dxfId="547" priority="816" stopIfTrue="1" operator="equal">
      <formula>"STOP"</formula>
    </cfRule>
  </conditionalFormatting>
  <conditionalFormatting sqref="Q181">
    <cfRule type="cellIs" dxfId="546" priority="810" stopIfTrue="1" operator="equal">
      <formula>"SIM"</formula>
    </cfRule>
    <cfRule type="cellIs" dxfId="545" priority="811" stopIfTrue="1" operator="equal">
      <formula>"NÃO"</formula>
    </cfRule>
  </conditionalFormatting>
  <conditionalFormatting sqref="BF181 CJ181 DO181">
    <cfRule type="cellIs" dxfId="544" priority="806" stopIfTrue="1" operator="equal">
      <formula>0</formula>
    </cfRule>
    <cfRule type="cellIs" dxfId="543" priority="812" stopIfTrue="1" operator="notEqual">
      <formula>0</formula>
    </cfRule>
  </conditionalFormatting>
  <conditionalFormatting sqref="C181:D181">
    <cfRule type="expression" dxfId="542" priority="809" stopIfTrue="1">
      <formula>IF(AND($C181&lt;&gt;"",$H181+$L181=0),TRUE)</formula>
    </cfRule>
  </conditionalFormatting>
  <conditionalFormatting sqref="P181">
    <cfRule type="cellIs" dxfId="541" priority="798" stopIfTrue="1" operator="equal">
      <formula>1</formula>
    </cfRule>
    <cfRule type="cellIs" dxfId="540" priority="807" stopIfTrue="1" operator="equal">
      <formula>2</formula>
    </cfRule>
    <cfRule type="cellIs" dxfId="539" priority="808" stopIfTrue="1" operator="equal">
      <formula>"X"</formula>
    </cfRule>
  </conditionalFormatting>
  <conditionalFormatting sqref="GU181">
    <cfRule type="cellIs" dxfId="538" priority="800" stopIfTrue="1" operator="equal">
      <formula>0</formula>
    </cfRule>
    <cfRule type="cellIs" dxfId="537" priority="801" stopIfTrue="1" operator="notEqual">
      <formula>0</formula>
    </cfRule>
  </conditionalFormatting>
  <conditionalFormatting sqref="GV181">
    <cfRule type="cellIs" dxfId="536" priority="799" stopIfTrue="1" operator="equal">
      <formula>"STOP"</formula>
    </cfRule>
  </conditionalFormatting>
  <conditionalFormatting sqref="Q182">
    <cfRule type="cellIs" dxfId="535" priority="793" stopIfTrue="1" operator="equal">
      <formula>"SIM"</formula>
    </cfRule>
    <cfRule type="cellIs" dxfId="534" priority="794" stopIfTrue="1" operator="equal">
      <formula>"NÃO"</formula>
    </cfRule>
  </conditionalFormatting>
  <conditionalFormatting sqref="BF182 CJ182 DO182">
    <cfRule type="cellIs" dxfId="533" priority="789" stopIfTrue="1" operator="equal">
      <formula>0</formula>
    </cfRule>
    <cfRule type="cellIs" dxfId="532" priority="795" stopIfTrue="1" operator="notEqual">
      <formula>0</formula>
    </cfRule>
  </conditionalFormatting>
  <conditionalFormatting sqref="C182:D182">
    <cfRule type="expression" dxfId="531" priority="792" stopIfTrue="1">
      <formula>IF(AND($C182&lt;&gt;"",$H182+$L182=0),TRUE)</formula>
    </cfRule>
  </conditionalFormatting>
  <conditionalFormatting sqref="P182">
    <cfRule type="cellIs" dxfId="530" priority="781" stopIfTrue="1" operator="equal">
      <formula>1</formula>
    </cfRule>
    <cfRule type="cellIs" dxfId="529" priority="790" stopIfTrue="1" operator="equal">
      <formula>2</formula>
    </cfRule>
    <cfRule type="cellIs" dxfId="528" priority="791" stopIfTrue="1" operator="equal">
      <formula>"X"</formula>
    </cfRule>
  </conditionalFormatting>
  <conditionalFormatting sqref="GU182">
    <cfRule type="cellIs" dxfId="527" priority="783" stopIfTrue="1" operator="equal">
      <formula>0</formula>
    </cfRule>
    <cfRule type="cellIs" dxfId="526" priority="784" stopIfTrue="1" operator="notEqual">
      <formula>0</formula>
    </cfRule>
  </conditionalFormatting>
  <conditionalFormatting sqref="GV182">
    <cfRule type="cellIs" dxfId="525" priority="782" stopIfTrue="1" operator="equal">
      <formula>"STOP"</formula>
    </cfRule>
  </conditionalFormatting>
  <conditionalFormatting sqref="Q180">
    <cfRule type="cellIs" dxfId="524" priority="776" stopIfTrue="1" operator="equal">
      <formula>"SIM"</formula>
    </cfRule>
    <cfRule type="cellIs" dxfId="523" priority="777" stopIfTrue="1" operator="equal">
      <formula>"NÃO"</formula>
    </cfRule>
  </conditionalFormatting>
  <conditionalFormatting sqref="BF180 CJ180 DO180">
    <cfRule type="cellIs" dxfId="522" priority="772" stopIfTrue="1" operator="equal">
      <formula>0</formula>
    </cfRule>
    <cfRule type="cellIs" dxfId="521" priority="778" stopIfTrue="1" operator="notEqual">
      <formula>0</formula>
    </cfRule>
  </conditionalFormatting>
  <conditionalFormatting sqref="C180:D180">
    <cfRule type="expression" dxfId="520" priority="775" stopIfTrue="1">
      <formula>IF(AND($C180&lt;&gt;"",$H180+$L180=0),TRUE)</formula>
    </cfRule>
  </conditionalFormatting>
  <conditionalFormatting sqref="P180">
    <cfRule type="cellIs" dxfId="519" priority="764" stopIfTrue="1" operator="equal">
      <formula>1</formula>
    </cfRule>
    <cfRule type="cellIs" dxfId="518" priority="773" stopIfTrue="1" operator="equal">
      <formula>2</formula>
    </cfRule>
    <cfRule type="cellIs" dxfId="517" priority="774" stopIfTrue="1" operator="equal">
      <formula>"X"</formula>
    </cfRule>
  </conditionalFormatting>
  <conditionalFormatting sqref="GU180">
    <cfRule type="cellIs" dxfId="516" priority="766" stopIfTrue="1" operator="equal">
      <formula>0</formula>
    </cfRule>
    <cfRule type="cellIs" dxfId="515" priority="767" stopIfTrue="1" operator="notEqual">
      <formula>0</formula>
    </cfRule>
  </conditionalFormatting>
  <conditionalFormatting sqref="GV180">
    <cfRule type="cellIs" dxfId="514" priority="765" stopIfTrue="1" operator="equal">
      <formula>"STOP"</formula>
    </cfRule>
  </conditionalFormatting>
  <conditionalFormatting sqref="Q181">
    <cfRule type="cellIs" dxfId="513" priority="759" stopIfTrue="1" operator="equal">
      <formula>"SIM"</formula>
    </cfRule>
    <cfRule type="cellIs" dxfId="512" priority="760" stopIfTrue="1" operator="equal">
      <formula>"NÃO"</formula>
    </cfRule>
  </conditionalFormatting>
  <conditionalFormatting sqref="BF181 CJ181 DO181">
    <cfRule type="cellIs" dxfId="511" priority="755" stopIfTrue="1" operator="equal">
      <formula>0</formula>
    </cfRule>
    <cfRule type="cellIs" dxfId="510" priority="761" stopIfTrue="1" operator="notEqual">
      <formula>0</formula>
    </cfRule>
  </conditionalFormatting>
  <conditionalFormatting sqref="C181:D181">
    <cfRule type="expression" dxfId="509" priority="758" stopIfTrue="1">
      <formula>IF(AND($C181&lt;&gt;"",$H181+$L181=0),TRUE)</formula>
    </cfRule>
  </conditionalFormatting>
  <conditionalFormatting sqref="P181">
    <cfRule type="cellIs" dxfId="508" priority="747" stopIfTrue="1" operator="equal">
      <formula>1</formula>
    </cfRule>
    <cfRule type="cellIs" dxfId="507" priority="756" stopIfTrue="1" operator="equal">
      <formula>2</formula>
    </cfRule>
    <cfRule type="cellIs" dxfId="506" priority="757" stopIfTrue="1" operator="equal">
      <formula>"X"</formula>
    </cfRule>
  </conditionalFormatting>
  <conditionalFormatting sqref="GU181">
    <cfRule type="cellIs" dxfId="505" priority="749" stopIfTrue="1" operator="equal">
      <formula>0</formula>
    </cfRule>
    <cfRule type="cellIs" dxfId="504" priority="750" stopIfTrue="1" operator="notEqual">
      <formula>0</formula>
    </cfRule>
  </conditionalFormatting>
  <conditionalFormatting sqref="GV181">
    <cfRule type="cellIs" dxfId="503" priority="748" stopIfTrue="1" operator="equal">
      <formula>"STOP"</formula>
    </cfRule>
  </conditionalFormatting>
  <conditionalFormatting sqref="Q182">
    <cfRule type="cellIs" dxfId="502" priority="742" stopIfTrue="1" operator="equal">
      <formula>"SIM"</formula>
    </cfRule>
    <cfRule type="cellIs" dxfId="501" priority="743" stopIfTrue="1" operator="equal">
      <formula>"NÃO"</formula>
    </cfRule>
  </conditionalFormatting>
  <conditionalFormatting sqref="BF182 CJ182 DO182">
    <cfRule type="cellIs" dxfId="500" priority="738" stopIfTrue="1" operator="equal">
      <formula>0</formula>
    </cfRule>
    <cfRule type="cellIs" dxfId="499" priority="744" stopIfTrue="1" operator="notEqual">
      <formula>0</formula>
    </cfRule>
  </conditionalFormatting>
  <conditionalFormatting sqref="C182:D182">
    <cfRule type="expression" dxfId="498" priority="741" stopIfTrue="1">
      <formula>IF(AND($C182&lt;&gt;"",$H182+$L182=0),TRUE)</formula>
    </cfRule>
  </conditionalFormatting>
  <conditionalFormatting sqref="P182">
    <cfRule type="cellIs" dxfId="497" priority="730" stopIfTrue="1" operator="equal">
      <formula>1</formula>
    </cfRule>
    <cfRule type="cellIs" dxfId="496" priority="739" stopIfTrue="1" operator="equal">
      <formula>2</formula>
    </cfRule>
    <cfRule type="cellIs" dxfId="495" priority="740" stopIfTrue="1" operator="equal">
      <formula>"X"</formula>
    </cfRule>
  </conditionalFormatting>
  <conditionalFormatting sqref="GU182">
    <cfRule type="cellIs" dxfId="494" priority="732" stopIfTrue="1" operator="equal">
      <formula>0</formula>
    </cfRule>
    <cfRule type="cellIs" dxfId="493" priority="733" stopIfTrue="1" operator="notEqual">
      <formula>0</formula>
    </cfRule>
  </conditionalFormatting>
  <conditionalFormatting sqref="GV182">
    <cfRule type="cellIs" dxfId="492" priority="731" stopIfTrue="1" operator="equal">
      <formula>"STOP"</formula>
    </cfRule>
  </conditionalFormatting>
  <conditionalFormatting sqref="Q181">
    <cfRule type="cellIs" dxfId="491" priority="725" stopIfTrue="1" operator="equal">
      <formula>"SIM"</formula>
    </cfRule>
    <cfRule type="cellIs" dxfId="490" priority="726" stopIfTrue="1" operator="equal">
      <formula>"NÃO"</formula>
    </cfRule>
  </conditionalFormatting>
  <conditionalFormatting sqref="BF181 CJ181 DO181">
    <cfRule type="cellIs" dxfId="489" priority="721" stopIfTrue="1" operator="equal">
      <formula>0</formula>
    </cfRule>
    <cfRule type="cellIs" dxfId="488" priority="727" stopIfTrue="1" operator="notEqual">
      <formula>0</formula>
    </cfRule>
  </conditionalFormatting>
  <conditionalFormatting sqref="C181:D181">
    <cfRule type="expression" dxfId="487" priority="724" stopIfTrue="1">
      <formula>IF(AND($C181&lt;&gt;"",$H181+$L181=0),TRUE)</formula>
    </cfRule>
  </conditionalFormatting>
  <conditionalFormatting sqref="P181">
    <cfRule type="cellIs" dxfId="486" priority="713" stopIfTrue="1" operator="equal">
      <formula>1</formula>
    </cfRule>
    <cfRule type="cellIs" dxfId="485" priority="722" stopIfTrue="1" operator="equal">
      <formula>2</formula>
    </cfRule>
    <cfRule type="cellIs" dxfId="484" priority="723" stopIfTrue="1" operator="equal">
      <formula>"X"</formula>
    </cfRule>
  </conditionalFormatting>
  <conditionalFormatting sqref="GU181">
    <cfRule type="cellIs" dxfId="483" priority="715" stopIfTrue="1" operator="equal">
      <formula>0</formula>
    </cfRule>
    <cfRule type="cellIs" dxfId="482" priority="716" stopIfTrue="1" operator="notEqual">
      <formula>0</formula>
    </cfRule>
  </conditionalFormatting>
  <conditionalFormatting sqref="GV181">
    <cfRule type="cellIs" dxfId="481" priority="714" stopIfTrue="1" operator="equal">
      <formula>"STOP"</formula>
    </cfRule>
  </conditionalFormatting>
  <conditionalFormatting sqref="Q182">
    <cfRule type="cellIs" dxfId="480" priority="708" stopIfTrue="1" operator="equal">
      <formula>"SIM"</formula>
    </cfRule>
    <cfRule type="cellIs" dxfId="479" priority="709" stopIfTrue="1" operator="equal">
      <formula>"NÃO"</formula>
    </cfRule>
  </conditionalFormatting>
  <conditionalFormatting sqref="BF182 CJ182 DO182">
    <cfRule type="cellIs" dxfId="478" priority="704" stopIfTrue="1" operator="equal">
      <formula>0</formula>
    </cfRule>
    <cfRule type="cellIs" dxfId="477" priority="710" stopIfTrue="1" operator="notEqual">
      <formula>0</formula>
    </cfRule>
  </conditionalFormatting>
  <conditionalFormatting sqref="C182:D182">
    <cfRule type="expression" dxfId="476" priority="707" stopIfTrue="1">
      <formula>IF(AND($C182&lt;&gt;"",$H182+$L182=0),TRUE)</formula>
    </cfRule>
  </conditionalFormatting>
  <conditionalFormatting sqref="P182">
    <cfRule type="cellIs" dxfId="475" priority="696" stopIfTrue="1" operator="equal">
      <formula>1</formula>
    </cfRule>
    <cfRule type="cellIs" dxfId="474" priority="705" stopIfTrue="1" operator="equal">
      <formula>2</formula>
    </cfRule>
    <cfRule type="cellIs" dxfId="473" priority="706" stopIfTrue="1" operator="equal">
      <formula>"X"</formula>
    </cfRule>
  </conditionalFormatting>
  <conditionalFormatting sqref="GU182">
    <cfRule type="cellIs" dxfId="472" priority="698" stopIfTrue="1" operator="equal">
      <formula>0</formula>
    </cfRule>
    <cfRule type="cellIs" dxfId="471" priority="699" stopIfTrue="1" operator="notEqual">
      <formula>0</formula>
    </cfRule>
  </conditionalFormatting>
  <conditionalFormatting sqref="GV182">
    <cfRule type="cellIs" dxfId="470" priority="697" stopIfTrue="1" operator="equal">
      <formula>"STOP"</formula>
    </cfRule>
  </conditionalFormatting>
  <conditionalFormatting sqref="Q180">
    <cfRule type="cellIs" dxfId="469" priority="691" stopIfTrue="1" operator="equal">
      <formula>"SIM"</formula>
    </cfRule>
    <cfRule type="cellIs" dxfId="468" priority="692" stopIfTrue="1" operator="equal">
      <formula>"NÃO"</formula>
    </cfRule>
  </conditionalFormatting>
  <conditionalFormatting sqref="BF180 CJ180 DO180">
    <cfRule type="cellIs" dxfId="467" priority="687" stopIfTrue="1" operator="equal">
      <formula>0</formula>
    </cfRule>
    <cfRule type="cellIs" dxfId="466" priority="693" stopIfTrue="1" operator="notEqual">
      <formula>0</formula>
    </cfRule>
  </conditionalFormatting>
  <conditionalFormatting sqref="C180:D180">
    <cfRule type="expression" dxfId="465" priority="690" stopIfTrue="1">
      <formula>IF(AND($C180&lt;&gt;"",$H180+$L180=0),TRUE)</formula>
    </cfRule>
  </conditionalFormatting>
  <conditionalFormatting sqref="P180">
    <cfRule type="cellIs" dxfId="464" priority="679" stopIfTrue="1" operator="equal">
      <formula>1</formula>
    </cfRule>
    <cfRule type="cellIs" dxfId="463" priority="688" stopIfTrue="1" operator="equal">
      <formula>2</formula>
    </cfRule>
    <cfRule type="cellIs" dxfId="462" priority="689" stopIfTrue="1" operator="equal">
      <formula>"X"</formula>
    </cfRule>
  </conditionalFormatting>
  <conditionalFormatting sqref="GU180">
    <cfRule type="cellIs" dxfId="461" priority="681" stopIfTrue="1" operator="equal">
      <formula>0</formula>
    </cfRule>
    <cfRule type="cellIs" dxfId="460" priority="682" stopIfTrue="1" operator="notEqual">
      <formula>0</formula>
    </cfRule>
  </conditionalFormatting>
  <conditionalFormatting sqref="GV180">
    <cfRule type="cellIs" dxfId="459" priority="680" stopIfTrue="1" operator="equal">
      <formula>"STOP"</formula>
    </cfRule>
  </conditionalFormatting>
  <conditionalFormatting sqref="Q181">
    <cfRule type="cellIs" dxfId="458" priority="674" stopIfTrue="1" operator="equal">
      <formula>"SIM"</formula>
    </cfRule>
    <cfRule type="cellIs" dxfId="457" priority="675" stopIfTrue="1" operator="equal">
      <formula>"NÃO"</formula>
    </cfRule>
  </conditionalFormatting>
  <conditionalFormatting sqref="BF181 CJ181 DO181">
    <cfRule type="cellIs" dxfId="456" priority="670" stopIfTrue="1" operator="equal">
      <formula>0</formula>
    </cfRule>
    <cfRule type="cellIs" dxfId="455" priority="676" stopIfTrue="1" operator="notEqual">
      <formula>0</formula>
    </cfRule>
  </conditionalFormatting>
  <conditionalFormatting sqref="C181:D181">
    <cfRule type="expression" dxfId="454" priority="673" stopIfTrue="1">
      <formula>IF(AND($C181&lt;&gt;"",$H181+$L181=0),TRUE)</formula>
    </cfRule>
  </conditionalFormatting>
  <conditionalFormatting sqref="P181">
    <cfRule type="cellIs" dxfId="453" priority="662" stopIfTrue="1" operator="equal">
      <formula>1</formula>
    </cfRule>
    <cfRule type="cellIs" dxfId="452" priority="671" stopIfTrue="1" operator="equal">
      <formula>2</formula>
    </cfRule>
    <cfRule type="cellIs" dxfId="451" priority="672" stopIfTrue="1" operator="equal">
      <formula>"X"</formula>
    </cfRule>
  </conditionalFormatting>
  <conditionalFormatting sqref="GU181">
    <cfRule type="cellIs" dxfId="450" priority="664" stopIfTrue="1" operator="equal">
      <formula>0</formula>
    </cfRule>
    <cfRule type="cellIs" dxfId="449" priority="665" stopIfTrue="1" operator="notEqual">
      <formula>0</formula>
    </cfRule>
  </conditionalFormatting>
  <conditionalFormatting sqref="GV181">
    <cfRule type="cellIs" dxfId="448" priority="663" stopIfTrue="1" operator="equal">
      <formula>"STOP"</formula>
    </cfRule>
  </conditionalFormatting>
  <conditionalFormatting sqref="Q182">
    <cfRule type="cellIs" dxfId="447" priority="657" stopIfTrue="1" operator="equal">
      <formula>"SIM"</formula>
    </cfRule>
    <cfRule type="cellIs" dxfId="446" priority="658" stopIfTrue="1" operator="equal">
      <formula>"NÃO"</formula>
    </cfRule>
  </conditionalFormatting>
  <conditionalFormatting sqref="BF182 CJ182 DO182">
    <cfRule type="cellIs" dxfId="445" priority="653" stopIfTrue="1" operator="equal">
      <formula>0</formula>
    </cfRule>
    <cfRule type="cellIs" dxfId="444" priority="659" stopIfTrue="1" operator="notEqual">
      <formula>0</formula>
    </cfRule>
  </conditionalFormatting>
  <conditionalFormatting sqref="C182:D182">
    <cfRule type="expression" dxfId="443" priority="656" stopIfTrue="1">
      <formula>IF(AND($C182&lt;&gt;"",$H182+$L182=0),TRUE)</formula>
    </cfRule>
  </conditionalFormatting>
  <conditionalFormatting sqref="P182">
    <cfRule type="cellIs" dxfId="442" priority="645" stopIfTrue="1" operator="equal">
      <formula>1</formula>
    </cfRule>
    <cfRule type="cellIs" dxfId="441" priority="654" stopIfTrue="1" operator="equal">
      <formula>2</formula>
    </cfRule>
    <cfRule type="cellIs" dxfId="440" priority="655" stopIfTrue="1" operator="equal">
      <formula>"X"</formula>
    </cfRule>
  </conditionalFormatting>
  <conditionalFormatting sqref="GU182">
    <cfRule type="cellIs" dxfId="439" priority="647" stopIfTrue="1" operator="equal">
      <formula>0</formula>
    </cfRule>
    <cfRule type="cellIs" dxfId="438" priority="648" stopIfTrue="1" operator="notEqual">
      <formula>0</formula>
    </cfRule>
  </conditionalFormatting>
  <conditionalFormatting sqref="GV182">
    <cfRule type="cellIs" dxfId="437" priority="646" stopIfTrue="1" operator="equal">
      <formula>"STOP"</formula>
    </cfRule>
  </conditionalFormatting>
  <conditionalFormatting sqref="Q181">
    <cfRule type="cellIs" dxfId="436" priority="640" stopIfTrue="1" operator="equal">
      <formula>"SIM"</formula>
    </cfRule>
    <cfRule type="cellIs" dxfId="435" priority="641" stopIfTrue="1" operator="equal">
      <formula>"NÃO"</formula>
    </cfRule>
  </conditionalFormatting>
  <conditionalFormatting sqref="BF181 CJ181 DO181">
    <cfRule type="cellIs" dxfId="434" priority="636" stopIfTrue="1" operator="equal">
      <formula>0</formula>
    </cfRule>
    <cfRule type="cellIs" dxfId="433" priority="642" stopIfTrue="1" operator="notEqual">
      <formula>0</formula>
    </cfRule>
  </conditionalFormatting>
  <conditionalFormatting sqref="C181:D181">
    <cfRule type="expression" dxfId="432" priority="639" stopIfTrue="1">
      <formula>IF(AND($C181&lt;&gt;"",$H181+$L181=0),TRUE)</formula>
    </cfRule>
  </conditionalFormatting>
  <conditionalFormatting sqref="P181">
    <cfRule type="cellIs" dxfId="431" priority="628" stopIfTrue="1" operator="equal">
      <formula>1</formula>
    </cfRule>
    <cfRule type="cellIs" dxfId="430" priority="637" stopIfTrue="1" operator="equal">
      <formula>2</formula>
    </cfRule>
    <cfRule type="cellIs" dxfId="429" priority="638" stopIfTrue="1" operator="equal">
      <formula>"X"</formula>
    </cfRule>
  </conditionalFormatting>
  <conditionalFormatting sqref="GU181">
    <cfRule type="cellIs" dxfId="428" priority="630" stopIfTrue="1" operator="equal">
      <formula>0</formula>
    </cfRule>
    <cfRule type="cellIs" dxfId="427" priority="631" stopIfTrue="1" operator="notEqual">
      <formula>0</formula>
    </cfRule>
  </conditionalFormatting>
  <conditionalFormatting sqref="GV181">
    <cfRule type="cellIs" dxfId="426" priority="629" stopIfTrue="1" operator="equal">
      <formula>"STOP"</formula>
    </cfRule>
  </conditionalFormatting>
  <conditionalFormatting sqref="Q182">
    <cfRule type="cellIs" dxfId="425" priority="623" stopIfTrue="1" operator="equal">
      <formula>"SIM"</formula>
    </cfRule>
    <cfRule type="cellIs" dxfId="424" priority="624" stopIfTrue="1" operator="equal">
      <formula>"NÃO"</formula>
    </cfRule>
  </conditionalFormatting>
  <conditionalFormatting sqref="BF182 CJ182 DO182">
    <cfRule type="cellIs" dxfId="423" priority="619" stopIfTrue="1" operator="equal">
      <formula>0</formula>
    </cfRule>
    <cfRule type="cellIs" dxfId="422" priority="625" stopIfTrue="1" operator="notEqual">
      <formula>0</formula>
    </cfRule>
  </conditionalFormatting>
  <conditionalFormatting sqref="C182:D182">
    <cfRule type="expression" dxfId="421" priority="622" stopIfTrue="1">
      <formula>IF(AND($C182&lt;&gt;"",$H182+$L182=0),TRUE)</formula>
    </cfRule>
  </conditionalFormatting>
  <conditionalFormatting sqref="P182">
    <cfRule type="cellIs" dxfId="420" priority="611" stopIfTrue="1" operator="equal">
      <formula>1</formula>
    </cfRule>
    <cfRule type="cellIs" dxfId="419" priority="620" stopIfTrue="1" operator="equal">
      <formula>2</formula>
    </cfRule>
    <cfRule type="cellIs" dxfId="418" priority="621" stopIfTrue="1" operator="equal">
      <formula>"X"</formula>
    </cfRule>
  </conditionalFormatting>
  <conditionalFormatting sqref="GU182">
    <cfRule type="cellIs" dxfId="417" priority="613" stopIfTrue="1" operator="equal">
      <formula>0</formula>
    </cfRule>
    <cfRule type="cellIs" dxfId="416" priority="614" stopIfTrue="1" operator="notEqual">
      <formula>0</formula>
    </cfRule>
  </conditionalFormatting>
  <conditionalFormatting sqref="GV182">
    <cfRule type="cellIs" dxfId="415" priority="612" stopIfTrue="1" operator="equal">
      <formula>"STOP"</formula>
    </cfRule>
  </conditionalFormatting>
  <conditionalFormatting sqref="Q181">
    <cfRule type="cellIs" dxfId="414" priority="606" stopIfTrue="1" operator="equal">
      <formula>"SIM"</formula>
    </cfRule>
    <cfRule type="cellIs" dxfId="413" priority="607" stopIfTrue="1" operator="equal">
      <formula>"NÃO"</formula>
    </cfRule>
  </conditionalFormatting>
  <conditionalFormatting sqref="BF181 CJ181 DO181">
    <cfRule type="cellIs" dxfId="412" priority="602" stopIfTrue="1" operator="equal">
      <formula>0</formula>
    </cfRule>
    <cfRule type="cellIs" dxfId="411" priority="608" stopIfTrue="1" operator="notEqual">
      <formula>0</formula>
    </cfRule>
  </conditionalFormatting>
  <conditionalFormatting sqref="C181:D181">
    <cfRule type="expression" dxfId="410" priority="605" stopIfTrue="1">
      <formula>IF(AND($C181&lt;&gt;"",$H181+$L181=0),TRUE)</formula>
    </cfRule>
  </conditionalFormatting>
  <conditionalFormatting sqref="P181">
    <cfRule type="cellIs" dxfId="409" priority="594" stopIfTrue="1" operator="equal">
      <formula>1</formula>
    </cfRule>
    <cfRule type="cellIs" dxfId="408" priority="603" stopIfTrue="1" operator="equal">
      <formula>2</formula>
    </cfRule>
    <cfRule type="cellIs" dxfId="407" priority="604" stopIfTrue="1" operator="equal">
      <formula>"X"</formula>
    </cfRule>
  </conditionalFormatting>
  <conditionalFormatting sqref="GU181">
    <cfRule type="cellIs" dxfId="406" priority="596" stopIfTrue="1" operator="equal">
      <formula>0</formula>
    </cfRule>
    <cfRule type="cellIs" dxfId="405" priority="597" stopIfTrue="1" operator="notEqual">
      <formula>0</formula>
    </cfRule>
  </conditionalFormatting>
  <conditionalFormatting sqref="GV181">
    <cfRule type="cellIs" dxfId="404" priority="595" stopIfTrue="1" operator="equal">
      <formula>"STOP"</formula>
    </cfRule>
  </conditionalFormatting>
  <conditionalFormatting sqref="Q182">
    <cfRule type="cellIs" dxfId="403" priority="589" stopIfTrue="1" operator="equal">
      <formula>"SIM"</formula>
    </cfRule>
    <cfRule type="cellIs" dxfId="402" priority="590" stopIfTrue="1" operator="equal">
      <formula>"NÃO"</formula>
    </cfRule>
  </conditionalFormatting>
  <conditionalFormatting sqref="BF182 CJ182 DO182">
    <cfRule type="cellIs" dxfId="401" priority="585" stopIfTrue="1" operator="equal">
      <formula>0</formula>
    </cfRule>
    <cfRule type="cellIs" dxfId="400" priority="591" stopIfTrue="1" operator="notEqual">
      <formula>0</formula>
    </cfRule>
  </conditionalFormatting>
  <conditionalFormatting sqref="C182:D182">
    <cfRule type="expression" dxfId="399" priority="588" stopIfTrue="1">
      <formula>IF(AND($C182&lt;&gt;"",$H182+$L182=0),TRUE)</formula>
    </cfRule>
  </conditionalFormatting>
  <conditionalFormatting sqref="P182">
    <cfRule type="cellIs" dxfId="398" priority="577" stopIfTrue="1" operator="equal">
      <formula>1</formula>
    </cfRule>
    <cfRule type="cellIs" dxfId="397" priority="586" stopIfTrue="1" operator="equal">
      <formula>2</formula>
    </cfRule>
    <cfRule type="cellIs" dxfId="396" priority="587" stopIfTrue="1" operator="equal">
      <formula>"X"</formula>
    </cfRule>
  </conditionalFormatting>
  <conditionalFormatting sqref="GU182">
    <cfRule type="cellIs" dxfId="395" priority="579" stopIfTrue="1" operator="equal">
      <formula>0</formula>
    </cfRule>
    <cfRule type="cellIs" dxfId="394" priority="580" stopIfTrue="1" operator="notEqual">
      <formula>0</formula>
    </cfRule>
  </conditionalFormatting>
  <conditionalFormatting sqref="GV182">
    <cfRule type="cellIs" dxfId="393" priority="578" stopIfTrue="1" operator="equal">
      <formula>"STOP"</formula>
    </cfRule>
  </conditionalFormatting>
  <conditionalFormatting sqref="Q182">
    <cfRule type="cellIs" dxfId="392" priority="572" stopIfTrue="1" operator="equal">
      <formula>"SIM"</formula>
    </cfRule>
    <cfRule type="cellIs" dxfId="391" priority="573" stopIfTrue="1" operator="equal">
      <formula>"NÃO"</formula>
    </cfRule>
  </conditionalFormatting>
  <conditionalFormatting sqref="BF182 CJ182 DO182">
    <cfRule type="cellIs" dxfId="390" priority="568" stopIfTrue="1" operator="equal">
      <formula>0</formula>
    </cfRule>
    <cfRule type="cellIs" dxfId="389" priority="574" stopIfTrue="1" operator="notEqual">
      <formula>0</formula>
    </cfRule>
  </conditionalFormatting>
  <conditionalFormatting sqref="C182:D182">
    <cfRule type="expression" dxfId="388" priority="571" stopIfTrue="1">
      <formula>IF(AND($C182&lt;&gt;"",$H182+$L182=0),TRUE)</formula>
    </cfRule>
  </conditionalFormatting>
  <conditionalFormatting sqref="P182">
    <cfRule type="cellIs" dxfId="387" priority="560" stopIfTrue="1" operator="equal">
      <formula>1</formula>
    </cfRule>
    <cfRule type="cellIs" dxfId="386" priority="569" stopIfTrue="1" operator="equal">
      <formula>2</formula>
    </cfRule>
    <cfRule type="cellIs" dxfId="385" priority="570" stopIfTrue="1" operator="equal">
      <formula>"X"</formula>
    </cfRule>
  </conditionalFormatting>
  <conditionalFormatting sqref="GU182">
    <cfRule type="cellIs" dxfId="384" priority="562" stopIfTrue="1" operator="equal">
      <formula>0</formula>
    </cfRule>
    <cfRule type="cellIs" dxfId="383" priority="563" stopIfTrue="1" operator="notEqual">
      <formula>0</formula>
    </cfRule>
  </conditionalFormatting>
  <conditionalFormatting sqref="GV182">
    <cfRule type="cellIs" dxfId="382" priority="561" stopIfTrue="1" operator="equal">
      <formula>"STOP"</formula>
    </cfRule>
  </conditionalFormatting>
  <conditionalFormatting sqref="Q180">
    <cfRule type="cellIs" dxfId="381" priority="555" stopIfTrue="1" operator="equal">
      <formula>"SIM"</formula>
    </cfRule>
    <cfRule type="cellIs" dxfId="380" priority="556" stopIfTrue="1" operator="equal">
      <formula>"NÃO"</formula>
    </cfRule>
  </conditionalFormatting>
  <conditionalFormatting sqref="BF180 CJ180 DO180">
    <cfRule type="cellIs" dxfId="379" priority="551" stopIfTrue="1" operator="equal">
      <formula>0</formula>
    </cfRule>
    <cfRule type="cellIs" dxfId="378" priority="557" stopIfTrue="1" operator="notEqual">
      <formula>0</formula>
    </cfRule>
  </conditionalFormatting>
  <conditionalFormatting sqref="C180:D180">
    <cfRule type="expression" dxfId="377" priority="554" stopIfTrue="1">
      <formula>IF(AND($C180&lt;&gt;"",$H180+$L180=0),TRUE)</formula>
    </cfRule>
  </conditionalFormatting>
  <conditionalFormatting sqref="P180">
    <cfRule type="cellIs" dxfId="376" priority="543" stopIfTrue="1" operator="equal">
      <formula>1</formula>
    </cfRule>
    <cfRule type="cellIs" dxfId="375" priority="552" stopIfTrue="1" operator="equal">
      <formula>2</formula>
    </cfRule>
    <cfRule type="cellIs" dxfId="374" priority="553" stopIfTrue="1" operator="equal">
      <formula>"X"</formula>
    </cfRule>
  </conditionalFormatting>
  <conditionalFormatting sqref="GU180">
    <cfRule type="cellIs" dxfId="373" priority="545" stopIfTrue="1" operator="equal">
      <formula>0</formula>
    </cfRule>
    <cfRule type="cellIs" dxfId="372" priority="546" stopIfTrue="1" operator="notEqual">
      <formula>0</formula>
    </cfRule>
  </conditionalFormatting>
  <conditionalFormatting sqref="GV180">
    <cfRule type="cellIs" dxfId="371" priority="544" stopIfTrue="1" operator="equal">
      <formula>"STOP"</formula>
    </cfRule>
  </conditionalFormatting>
  <conditionalFormatting sqref="Q181">
    <cfRule type="cellIs" dxfId="370" priority="538" stopIfTrue="1" operator="equal">
      <formula>"SIM"</formula>
    </cfRule>
    <cfRule type="cellIs" dxfId="369" priority="539" stopIfTrue="1" operator="equal">
      <formula>"NÃO"</formula>
    </cfRule>
  </conditionalFormatting>
  <conditionalFormatting sqref="BF181 CJ181 DO181">
    <cfRule type="cellIs" dxfId="368" priority="534" stopIfTrue="1" operator="equal">
      <formula>0</formula>
    </cfRule>
    <cfRule type="cellIs" dxfId="367" priority="540" stopIfTrue="1" operator="notEqual">
      <formula>0</formula>
    </cfRule>
  </conditionalFormatting>
  <conditionalFormatting sqref="C181:D181">
    <cfRule type="expression" dxfId="366" priority="537" stopIfTrue="1">
      <formula>IF(AND($C181&lt;&gt;"",$H181+$L181=0),TRUE)</formula>
    </cfRule>
  </conditionalFormatting>
  <conditionalFormatting sqref="P181">
    <cfRule type="cellIs" dxfId="365" priority="526" stopIfTrue="1" operator="equal">
      <formula>1</formula>
    </cfRule>
    <cfRule type="cellIs" dxfId="364" priority="535" stopIfTrue="1" operator="equal">
      <formula>2</formula>
    </cfRule>
    <cfRule type="cellIs" dxfId="363" priority="536" stopIfTrue="1" operator="equal">
      <formula>"X"</formula>
    </cfRule>
  </conditionalFormatting>
  <conditionalFormatting sqref="GU181">
    <cfRule type="cellIs" dxfId="362" priority="528" stopIfTrue="1" operator="equal">
      <formula>0</formula>
    </cfRule>
    <cfRule type="cellIs" dxfId="361" priority="529" stopIfTrue="1" operator="notEqual">
      <formula>0</formula>
    </cfRule>
  </conditionalFormatting>
  <conditionalFormatting sqref="GV181">
    <cfRule type="cellIs" dxfId="360" priority="527" stopIfTrue="1" operator="equal">
      <formula>"STOP"</formula>
    </cfRule>
  </conditionalFormatting>
  <conditionalFormatting sqref="Q182">
    <cfRule type="cellIs" dxfId="359" priority="521" stopIfTrue="1" operator="equal">
      <formula>"SIM"</formula>
    </cfRule>
    <cfRule type="cellIs" dxfId="358" priority="522" stopIfTrue="1" operator="equal">
      <formula>"NÃO"</formula>
    </cfRule>
  </conditionalFormatting>
  <conditionalFormatting sqref="BF182 CJ182 DO182">
    <cfRule type="cellIs" dxfId="357" priority="517" stopIfTrue="1" operator="equal">
      <formula>0</formula>
    </cfRule>
    <cfRule type="cellIs" dxfId="356" priority="523" stopIfTrue="1" operator="notEqual">
      <formula>0</formula>
    </cfRule>
  </conditionalFormatting>
  <conditionalFormatting sqref="C182:D182">
    <cfRule type="expression" dxfId="355" priority="520" stopIfTrue="1">
      <formula>IF(AND($C182&lt;&gt;"",$H182+$L182=0),TRUE)</formula>
    </cfRule>
  </conditionalFormatting>
  <conditionalFormatting sqref="P182">
    <cfRule type="cellIs" dxfId="354" priority="509" stopIfTrue="1" operator="equal">
      <formula>1</formula>
    </cfRule>
    <cfRule type="cellIs" dxfId="353" priority="518" stopIfTrue="1" operator="equal">
      <formula>2</formula>
    </cfRule>
    <cfRule type="cellIs" dxfId="352" priority="519" stopIfTrue="1" operator="equal">
      <formula>"X"</formula>
    </cfRule>
  </conditionalFormatting>
  <conditionalFormatting sqref="GU182">
    <cfRule type="cellIs" dxfId="351" priority="511" stopIfTrue="1" operator="equal">
      <formula>0</formula>
    </cfRule>
    <cfRule type="cellIs" dxfId="350" priority="512" stopIfTrue="1" operator="notEqual">
      <formula>0</formula>
    </cfRule>
  </conditionalFormatting>
  <conditionalFormatting sqref="GV182">
    <cfRule type="cellIs" dxfId="349" priority="510" stopIfTrue="1" operator="equal">
      <formula>"STOP"</formula>
    </cfRule>
  </conditionalFormatting>
  <conditionalFormatting sqref="Q181">
    <cfRule type="cellIs" dxfId="348" priority="504" stopIfTrue="1" operator="equal">
      <formula>"SIM"</formula>
    </cfRule>
    <cfRule type="cellIs" dxfId="347" priority="505" stopIfTrue="1" operator="equal">
      <formula>"NÃO"</formula>
    </cfRule>
  </conditionalFormatting>
  <conditionalFormatting sqref="BF181 CJ181 DO181">
    <cfRule type="cellIs" dxfId="346" priority="500" stopIfTrue="1" operator="equal">
      <formula>0</formula>
    </cfRule>
    <cfRule type="cellIs" dxfId="345" priority="506" stopIfTrue="1" operator="notEqual">
      <formula>0</formula>
    </cfRule>
  </conditionalFormatting>
  <conditionalFormatting sqref="C181:D181">
    <cfRule type="expression" dxfId="344" priority="503" stopIfTrue="1">
      <formula>IF(AND($C181&lt;&gt;"",$H181+$L181=0),TRUE)</formula>
    </cfRule>
  </conditionalFormatting>
  <conditionalFormatting sqref="P181">
    <cfRule type="cellIs" dxfId="343" priority="492" stopIfTrue="1" operator="equal">
      <formula>1</formula>
    </cfRule>
    <cfRule type="cellIs" dxfId="342" priority="501" stopIfTrue="1" operator="equal">
      <formula>2</formula>
    </cfRule>
    <cfRule type="cellIs" dxfId="341" priority="502" stopIfTrue="1" operator="equal">
      <formula>"X"</formula>
    </cfRule>
  </conditionalFormatting>
  <conditionalFormatting sqref="GU181">
    <cfRule type="cellIs" dxfId="340" priority="494" stopIfTrue="1" operator="equal">
      <formula>0</formula>
    </cfRule>
    <cfRule type="cellIs" dxfId="339" priority="495" stopIfTrue="1" operator="notEqual">
      <formula>0</formula>
    </cfRule>
  </conditionalFormatting>
  <conditionalFormatting sqref="GV181">
    <cfRule type="cellIs" dxfId="338" priority="493" stopIfTrue="1" operator="equal">
      <formula>"STOP"</formula>
    </cfRule>
  </conditionalFormatting>
  <conditionalFormatting sqref="Q182">
    <cfRule type="cellIs" dxfId="337" priority="487" stopIfTrue="1" operator="equal">
      <formula>"SIM"</formula>
    </cfRule>
    <cfRule type="cellIs" dxfId="336" priority="488" stopIfTrue="1" operator="equal">
      <formula>"NÃO"</formula>
    </cfRule>
  </conditionalFormatting>
  <conditionalFormatting sqref="BF182 CJ182 DO182">
    <cfRule type="cellIs" dxfId="335" priority="483" stopIfTrue="1" operator="equal">
      <formula>0</formula>
    </cfRule>
    <cfRule type="cellIs" dxfId="334" priority="489" stopIfTrue="1" operator="notEqual">
      <formula>0</formula>
    </cfRule>
  </conditionalFormatting>
  <conditionalFormatting sqref="C182:D182">
    <cfRule type="expression" dxfId="333" priority="486" stopIfTrue="1">
      <formula>IF(AND($C182&lt;&gt;"",$H182+$L182=0),TRUE)</formula>
    </cfRule>
  </conditionalFormatting>
  <conditionalFormatting sqref="P182">
    <cfRule type="cellIs" dxfId="332" priority="475" stopIfTrue="1" operator="equal">
      <formula>1</formula>
    </cfRule>
    <cfRule type="cellIs" dxfId="331" priority="484" stopIfTrue="1" operator="equal">
      <formula>2</formula>
    </cfRule>
    <cfRule type="cellIs" dxfId="330" priority="485" stopIfTrue="1" operator="equal">
      <formula>"X"</formula>
    </cfRule>
  </conditionalFormatting>
  <conditionalFormatting sqref="GU182">
    <cfRule type="cellIs" dxfId="329" priority="477" stopIfTrue="1" operator="equal">
      <formula>0</formula>
    </cfRule>
    <cfRule type="cellIs" dxfId="328" priority="478" stopIfTrue="1" operator="notEqual">
      <formula>0</formula>
    </cfRule>
  </conditionalFormatting>
  <conditionalFormatting sqref="GV182">
    <cfRule type="cellIs" dxfId="327" priority="476" stopIfTrue="1" operator="equal">
      <formula>"STOP"</formula>
    </cfRule>
  </conditionalFormatting>
  <conditionalFormatting sqref="Q181">
    <cfRule type="cellIs" dxfId="326" priority="470" stopIfTrue="1" operator="equal">
      <formula>"SIM"</formula>
    </cfRule>
    <cfRule type="cellIs" dxfId="325" priority="471" stopIfTrue="1" operator="equal">
      <formula>"NÃO"</formula>
    </cfRule>
  </conditionalFormatting>
  <conditionalFormatting sqref="BF181 CJ181 DO181">
    <cfRule type="cellIs" dxfId="324" priority="466" stopIfTrue="1" operator="equal">
      <formula>0</formula>
    </cfRule>
    <cfRule type="cellIs" dxfId="323" priority="472" stopIfTrue="1" operator="notEqual">
      <formula>0</formula>
    </cfRule>
  </conditionalFormatting>
  <conditionalFormatting sqref="C181:D181">
    <cfRule type="expression" dxfId="322" priority="469" stopIfTrue="1">
      <formula>IF(AND($C181&lt;&gt;"",$H181+$L181=0),TRUE)</formula>
    </cfRule>
  </conditionalFormatting>
  <conditionalFormatting sqref="P181">
    <cfRule type="cellIs" dxfId="321" priority="458" stopIfTrue="1" operator="equal">
      <formula>1</formula>
    </cfRule>
    <cfRule type="cellIs" dxfId="320" priority="467" stopIfTrue="1" operator="equal">
      <formula>2</formula>
    </cfRule>
    <cfRule type="cellIs" dxfId="319" priority="468" stopIfTrue="1" operator="equal">
      <formula>"X"</formula>
    </cfRule>
  </conditionalFormatting>
  <conditionalFormatting sqref="GU181">
    <cfRule type="cellIs" dxfId="318" priority="460" stopIfTrue="1" operator="equal">
      <formula>0</formula>
    </cfRule>
    <cfRule type="cellIs" dxfId="317" priority="461" stopIfTrue="1" operator="notEqual">
      <formula>0</formula>
    </cfRule>
  </conditionalFormatting>
  <conditionalFormatting sqref="GV181">
    <cfRule type="cellIs" dxfId="316" priority="459" stopIfTrue="1" operator="equal">
      <formula>"STOP"</formula>
    </cfRule>
  </conditionalFormatting>
  <conditionalFormatting sqref="Q182">
    <cfRule type="cellIs" dxfId="315" priority="453" stopIfTrue="1" operator="equal">
      <formula>"SIM"</formula>
    </cfRule>
    <cfRule type="cellIs" dxfId="314" priority="454" stopIfTrue="1" operator="equal">
      <formula>"NÃO"</formula>
    </cfRule>
  </conditionalFormatting>
  <conditionalFormatting sqref="BF182 CJ182 DO182">
    <cfRule type="cellIs" dxfId="313" priority="449" stopIfTrue="1" operator="equal">
      <formula>0</formula>
    </cfRule>
    <cfRule type="cellIs" dxfId="312" priority="455" stopIfTrue="1" operator="notEqual">
      <formula>0</formula>
    </cfRule>
  </conditionalFormatting>
  <conditionalFormatting sqref="C182:D182">
    <cfRule type="expression" dxfId="311" priority="452" stopIfTrue="1">
      <formula>IF(AND($C182&lt;&gt;"",$H182+$L182=0),TRUE)</formula>
    </cfRule>
  </conditionalFormatting>
  <conditionalFormatting sqref="P182">
    <cfRule type="cellIs" dxfId="310" priority="441" stopIfTrue="1" operator="equal">
      <formula>1</formula>
    </cfRule>
    <cfRule type="cellIs" dxfId="309" priority="450" stopIfTrue="1" operator="equal">
      <formula>2</formula>
    </cfRule>
    <cfRule type="cellIs" dxfId="308" priority="451" stopIfTrue="1" operator="equal">
      <formula>"X"</formula>
    </cfRule>
  </conditionalFormatting>
  <conditionalFormatting sqref="GU182">
    <cfRule type="cellIs" dxfId="307" priority="443" stopIfTrue="1" operator="equal">
      <formula>0</formula>
    </cfRule>
    <cfRule type="cellIs" dxfId="306" priority="444" stopIfTrue="1" operator="notEqual">
      <formula>0</formula>
    </cfRule>
  </conditionalFormatting>
  <conditionalFormatting sqref="GV182">
    <cfRule type="cellIs" dxfId="305" priority="442" stopIfTrue="1" operator="equal">
      <formula>"STOP"</formula>
    </cfRule>
  </conditionalFormatting>
  <conditionalFormatting sqref="Q182">
    <cfRule type="cellIs" dxfId="304" priority="436" stopIfTrue="1" operator="equal">
      <formula>"SIM"</formula>
    </cfRule>
    <cfRule type="cellIs" dxfId="303" priority="437" stopIfTrue="1" operator="equal">
      <formula>"NÃO"</formula>
    </cfRule>
  </conditionalFormatting>
  <conditionalFormatting sqref="BF182 CJ182 DO182">
    <cfRule type="cellIs" dxfId="302" priority="432" stopIfTrue="1" operator="equal">
      <formula>0</formula>
    </cfRule>
    <cfRule type="cellIs" dxfId="301" priority="438" stopIfTrue="1" operator="notEqual">
      <formula>0</formula>
    </cfRule>
  </conditionalFormatting>
  <conditionalFormatting sqref="C182:D182">
    <cfRule type="expression" dxfId="300" priority="435" stopIfTrue="1">
      <formula>IF(AND($C182&lt;&gt;"",$H182+$L182=0),TRUE)</formula>
    </cfRule>
  </conditionalFormatting>
  <conditionalFormatting sqref="P182">
    <cfRule type="cellIs" dxfId="299" priority="424" stopIfTrue="1" operator="equal">
      <formula>1</formula>
    </cfRule>
    <cfRule type="cellIs" dxfId="298" priority="433" stopIfTrue="1" operator="equal">
      <formula>2</formula>
    </cfRule>
    <cfRule type="cellIs" dxfId="297" priority="434" stopIfTrue="1" operator="equal">
      <formula>"X"</formula>
    </cfRule>
  </conditionalFormatting>
  <conditionalFormatting sqref="GU182">
    <cfRule type="cellIs" dxfId="296" priority="426" stopIfTrue="1" operator="equal">
      <formula>0</formula>
    </cfRule>
    <cfRule type="cellIs" dxfId="295" priority="427" stopIfTrue="1" operator="notEqual">
      <formula>0</formula>
    </cfRule>
  </conditionalFormatting>
  <conditionalFormatting sqref="GV182">
    <cfRule type="cellIs" dxfId="294" priority="425" stopIfTrue="1" operator="equal">
      <formula>"STOP"</formula>
    </cfRule>
  </conditionalFormatting>
  <conditionalFormatting sqref="Q181">
    <cfRule type="cellIs" dxfId="293" priority="419" stopIfTrue="1" operator="equal">
      <formula>"SIM"</formula>
    </cfRule>
    <cfRule type="cellIs" dxfId="292" priority="420" stopIfTrue="1" operator="equal">
      <formula>"NÃO"</formula>
    </cfRule>
  </conditionalFormatting>
  <conditionalFormatting sqref="BF181 CJ181 DO181">
    <cfRule type="cellIs" dxfId="291" priority="415" stopIfTrue="1" operator="equal">
      <formula>0</formula>
    </cfRule>
    <cfRule type="cellIs" dxfId="290" priority="421" stopIfTrue="1" operator="notEqual">
      <formula>0</formula>
    </cfRule>
  </conditionalFormatting>
  <conditionalFormatting sqref="C181:D181">
    <cfRule type="expression" dxfId="289" priority="418" stopIfTrue="1">
      <formula>IF(AND($C181&lt;&gt;"",$H181+$L181=0),TRUE)</formula>
    </cfRule>
  </conditionalFormatting>
  <conditionalFormatting sqref="P181">
    <cfRule type="cellIs" dxfId="288" priority="407" stopIfTrue="1" operator="equal">
      <formula>1</formula>
    </cfRule>
    <cfRule type="cellIs" dxfId="287" priority="416" stopIfTrue="1" operator="equal">
      <formula>2</formula>
    </cfRule>
    <cfRule type="cellIs" dxfId="286" priority="417" stopIfTrue="1" operator="equal">
      <formula>"X"</formula>
    </cfRule>
  </conditionalFormatting>
  <conditionalFormatting sqref="GU181">
    <cfRule type="cellIs" dxfId="285" priority="409" stopIfTrue="1" operator="equal">
      <formula>0</formula>
    </cfRule>
    <cfRule type="cellIs" dxfId="284" priority="410" stopIfTrue="1" operator="notEqual">
      <formula>0</formula>
    </cfRule>
  </conditionalFormatting>
  <conditionalFormatting sqref="GV181">
    <cfRule type="cellIs" dxfId="283" priority="408" stopIfTrue="1" operator="equal">
      <formula>"STOP"</formula>
    </cfRule>
  </conditionalFormatting>
  <conditionalFormatting sqref="Q182">
    <cfRule type="cellIs" dxfId="282" priority="402" stopIfTrue="1" operator="equal">
      <formula>"SIM"</formula>
    </cfRule>
    <cfRule type="cellIs" dxfId="281" priority="403" stopIfTrue="1" operator="equal">
      <formula>"NÃO"</formula>
    </cfRule>
  </conditionalFormatting>
  <conditionalFormatting sqref="BF182 CJ182 DO182">
    <cfRule type="cellIs" dxfId="280" priority="398" stopIfTrue="1" operator="equal">
      <formula>0</formula>
    </cfRule>
    <cfRule type="cellIs" dxfId="279" priority="404" stopIfTrue="1" operator="notEqual">
      <formula>0</formula>
    </cfRule>
  </conditionalFormatting>
  <conditionalFormatting sqref="C182:D182">
    <cfRule type="expression" dxfId="278" priority="401" stopIfTrue="1">
      <formula>IF(AND($C182&lt;&gt;"",$H182+$L182=0),TRUE)</formula>
    </cfRule>
  </conditionalFormatting>
  <conditionalFormatting sqref="P182">
    <cfRule type="cellIs" dxfId="277" priority="390" stopIfTrue="1" operator="equal">
      <formula>1</formula>
    </cfRule>
    <cfRule type="cellIs" dxfId="276" priority="399" stopIfTrue="1" operator="equal">
      <formula>2</formula>
    </cfRule>
    <cfRule type="cellIs" dxfId="275" priority="400" stopIfTrue="1" operator="equal">
      <formula>"X"</formula>
    </cfRule>
  </conditionalFormatting>
  <conditionalFormatting sqref="GU182">
    <cfRule type="cellIs" dxfId="274" priority="392" stopIfTrue="1" operator="equal">
      <formula>0</formula>
    </cfRule>
    <cfRule type="cellIs" dxfId="273" priority="393" stopIfTrue="1" operator="notEqual">
      <formula>0</formula>
    </cfRule>
  </conditionalFormatting>
  <conditionalFormatting sqref="GV182">
    <cfRule type="cellIs" dxfId="272" priority="391" stopIfTrue="1" operator="equal">
      <formula>"STOP"</formula>
    </cfRule>
  </conditionalFormatting>
  <conditionalFormatting sqref="Q182">
    <cfRule type="cellIs" dxfId="271" priority="385" stopIfTrue="1" operator="equal">
      <formula>"SIM"</formula>
    </cfRule>
    <cfRule type="cellIs" dxfId="270" priority="386" stopIfTrue="1" operator="equal">
      <formula>"NÃO"</formula>
    </cfRule>
  </conditionalFormatting>
  <conditionalFormatting sqref="BF182 CJ182 DO182">
    <cfRule type="cellIs" dxfId="269" priority="381" stopIfTrue="1" operator="equal">
      <formula>0</formula>
    </cfRule>
    <cfRule type="cellIs" dxfId="268" priority="387" stopIfTrue="1" operator="notEqual">
      <formula>0</formula>
    </cfRule>
  </conditionalFormatting>
  <conditionalFormatting sqref="C182:D182">
    <cfRule type="expression" dxfId="267" priority="384" stopIfTrue="1">
      <formula>IF(AND($C182&lt;&gt;"",$H182+$L182=0),TRUE)</formula>
    </cfRule>
  </conditionalFormatting>
  <conditionalFormatting sqref="P182">
    <cfRule type="cellIs" dxfId="266" priority="373" stopIfTrue="1" operator="equal">
      <formula>1</formula>
    </cfRule>
    <cfRule type="cellIs" dxfId="265" priority="382" stopIfTrue="1" operator="equal">
      <formula>2</formula>
    </cfRule>
    <cfRule type="cellIs" dxfId="264" priority="383" stopIfTrue="1" operator="equal">
      <formula>"X"</formula>
    </cfRule>
  </conditionalFormatting>
  <conditionalFormatting sqref="GU182">
    <cfRule type="cellIs" dxfId="263" priority="375" stopIfTrue="1" operator="equal">
      <formula>0</formula>
    </cfRule>
    <cfRule type="cellIs" dxfId="262" priority="376" stopIfTrue="1" operator="notEqual">
      <formula>0</formula>
    </cfRule>
  </conditionalFormatting>
  <conditionalFormatting sqref="GV182">
    <cfRule type="cellIs" dxfId="261" priority="374" stopIfTrue="1" operator="equal">
      <formula>"STOP"</formula>
    </cfRule>
  </conditionalFormatting>
  <conditionalFormatting sqref="Q182">
    <cfRule type="cellIs" dxfId="260" priority="368" stopIfTrue="1" operator="equal">
      <formula>"SIM"</formula>
    </cfRule>
    <cfRule type="cellIs" dxfId="259" priority="369" stopIfTrue="1" operator="equal">
      <formula>"NÃO"</formula>
    </cfRule>
  </conditionalFormatting>
  <conditionalFormatting sqref="BF182 CJ182 DO182">
    <cfRule type="cellIs" dxfId="258" priority="364" stopIfTrue="1" operator="equal">
      <formula>0</formula>
    </cfRule>
    <cfRule type="cellIs" dxfId="257" priority="370" stopIfTrue="1" operator="notEqual">
      <formula>0</formula>
    </cfRule>
  </conditionalFormatting>
  <conditionalFormatting sqref="C182:D182">
    <cfRule type="expression" dxfId="256" priority="367" stopIfTrue="1">
      <formula>IF(AND($C182&lt;&gt;"",$H182+$L182=0),TRUE)</formula>
    </cfRule>
  </conditionalFormatting>
  <conditionalFormatting sqref="P182">
    <cfRule type="cellIs" dxfId="255" priority="356" stopIfTrue="1" operator="equal">
      <formula>1</formula>
    </cfRule>
    <cfRule type="cellIs" dxfId="254" priority="365" stopIfTrue="1" operator="equal">
      <formula>2</formula>
    </cfRule>
    <cfRule type="cellIs" dxfId="253" priority="366" stopIfTrue="1" operator="equal">
      <formula>"X"</formula>
    </cfRule>
  </conditionalFormatting>
  <conditionalFormatting sqref="GU182">
    <cfRule type="cellIs" dxfId="252" priority="358" stopIfTrue="1" operator="equal">
      <formula>0</formula>
    </cfRule>
    <cfRule type="cellIs" dxfId="251" priority="359" stopIfTrue="1" operator="notEqual">
      <formula>0</formula>
    </cfRule>
  </conditionalFormatting>
  <conditionalFormatting sqref="GV182">
    <cfRule type="cellIs" dxfId="250" priority="357" stopIfTrue="1" operator="equal">
      <formula>"STOP"</formula>
    </cfRule>
  </conditionalFormatting>
  <conditionalFormatting sqref="Q34">
    <cfRule type="cellIs" dxfId="249" priority="334" stopIfTrue="1" operator="equal">
      <formula>"SIM"</formula>
    </cfRule>
    <cfRule type="cellIs" dxfId="248" priority="335" stopIfTrue="1" operator="equal">
      <formula>"NÃO"</formula>
    </cfRule>
  </conditionalFormatting>
  <conditionalFormatting sqref="BF34 CJ34 DO34">
    <cfRule type="cellIs" dxfId="247" priority="330" stopIfTrue="1" operator="equal">
      <formula>0</formula>
    </cfRule>
    <cfRule type="cellIs" dxfId="246" priority="336" stopIfTrue="1" operator="notEqual">
      <formula>0</formula>
    </cfRule>
  </conditionalFormatting>
  <conditionalFormatting sqref="C34:D34">
    <cfRule type="expression" dxfId="245" priority="333" stopIfTrue="1">
      <formula>IF(AND($C34&lt;&gt;"",$H34+$L34=0),TRUE)</formula>
    </cfRule>
  </conditionalFormatting>
  <conditionalFormatting sqref="P34">
    <cfRule type="cellIs" dxfId="244" priority="322" stopIfTrue="1" operator="equal">
      <formula>1</formula>
    </cfRule>
    <cfRule type="cellIs" dxfId="243" priority="331" stopIfTrue="1" operator="equal">
      <formula>2</formula>
    </cfRule>
    <cfRule type="cellIs" dxfId="242" priority="332" stopIfTrue="1" operator="equal">
      <formula>"X"</formula>
    </cfRule>
  </conditionalFormatting>
  <conditionalFormatting sqref="GU34">
    <cfRule type="cellIs" dxfId="241" priority="324" stopIfTrue="1" operator="equal">
      <formula>0</formula>
    </cfRule>
    <cfRule type="cellIs" dxfId="240" priority="325" stopIfTrue="1" operator="notEqual">
      <formula>0</formula>
    </cfRule>
  </conditionalFormatting>
  <conditionalFormatting sqref="GV34">
    <cfRule type="cellIs" dxfId="239" priority="323" stopIfTrue="1" operator="equal">
      <formula>"STOP"</formula>
    </cfRule>
  </conditionalFormatting>
  <conditionalFormatting sqref="Q5">
    <cfRule type="cellIs" dxfId="238" priority="317" stopIfTrue="1" operator="equal">
      <formula>"SIM"</formula>
    </cfRule>
    <cfRule type="cellIs" dxfId="237" priority="318" stopIfTrue="1" operator="equal">
      <formula>"NÃO"</formula>
    </cfRule>
  </conditionalFormatting>
  <conditionalFormatting sqref="DO5 CJ5 BF5">
    <cfRule type="cellIs" dxfId="236" priority="313" stopIfTrue="1" operator="equal">
      <formula>0</formula>
    </cfRule>
    <cfRule type="cellIs" dxfId="235" priority="319" stopIfTrue="1" operator="notEqual">
      <formula>0</formula>
    </cfRule>
  </conditionalFormatting>
  <conditionalFormatting sqref="C5:D5">
    <cfRule type="expression" dxfId="234" priority="316" stopIfTrue="1">
      <formula>IF(AND($C5&lt;&gt;"",$H5+$L5=0),TRUE)</formula>
    </cfRule>
  </conditionalFormatting>
  <conditionalFormatting sqref="P5">
    <cfRule type="cellIs" dxfId="233" priority="305" stopIfTrue="1" operator="equal">
      <formula>1</formula>
    </cfRule>
    <cfRule type="cellIs" dxfId="232" priority="314" stopIfTrue="1" operator="equal">
      <formula>2</formula>
    </cfRule>
    <cfRule type="cellIs" dxfId="231" priority="315" stopIfTrue="1" operator="equal">
      <formula>"X"</formula>
    </cfRule>
  </conditionalFormatting>
  <conditionalFormatting sqref="GU5">
    <cfRule type="cellIs" dxfId="230" priority="307" stopIfTrue="1" operator="equal">
      <formula>0</formula>
    </cfRule>
    <cfRule type="cellIs" dxfId="229" priority="308" stopIfTrue="1" operator="notEqual">
      <formula>0</formula>
    </cfRule>
  </conditionalFormatting>
  <conditionalFormatting sqref="GV5">
    <cfRule type="cellIs" dxfId="228" priority="306" stopIfTrue="1" operator="equal">
      <formula>"STOP"</formula>
    </cfRule>
  </conditionalFormatting>
  <conditionalFormatting sqref="Q191">
    <cfRule type="cellIs" dxfId="227" priority="300" stopIfTrue="1" operator="equal">
      <formula>"SIM"</formula>
    </cfRule>
    <cfRule type="cellIs" dxfId="226" priority="301" stopIfTrue="1" operator="equal">
      <formula>"NÃO"</formula>
    </cfRule>
  </conditionalFormatting>
  <conditionalFormatting sqref="BF191 CJ191 DO191">
    <cfRule type="cellIs" dxfId="225" priority="296" stopIfTrue="1" operator="equal">
      <formula>0</formula>
    </cfRule>
    <cfRule type="cellIs" dxfId="224" priority="302" stopIfTrue="1" operator="notEqual">
      <formula>0</formula>
    </cfRule>
  </conditionalFormatting>
  <conditionalFormatting sqref="C191:D191">
    <cfRule type="expression" dxfId="223" priority="299" stopIfTrue="1">
      <formula>IF(AND($C191&lt;&gt;"",$H191+$L191=0),TRUE)</formula>
    </cfRule>
  </conditionalFormatting>
  <conditionalFormatting sqref="P191">
    <cfRule type="cellIs" dxfId="222" priority="288" stopIfTrue="1" operator="equal">
      <formula>1</formula>
    </cfRule>
    <cfRule type="cellIs" dxfId="221" priority="297" stopIfTrue="1" operator="equal">
      <formula>2</formula>
    </cfRule>
    <cfRule type="cellIs" dxfId="220" priority="298" stopIfTrue="1" operator="equal">
      <formula>"X"</formula>
    </cfRule>
  </conditionalFormatting>
  <conditionalFormatting sqref="GU191">
    <cfRule type="cellIs" dxfId="219" priority="290" stopIfTrue="1" operator="equal">
      <formula>0</formula>
    </cfRule>
    <cfRule type="cellIs" dxfId="218" priority="291" stopIfTrue="1" operator="notEqual">
      <formula>0</formula>
    </cfRule>
  </conditionalFormatting>
  <conditionalFormatting sqref="GV191">
    <cfRule type="cellIs" dxfId="217" priority="289" stopIfTrue="1" operator="equal">
      <formula>"STOP"</formula>
    </cfRule>
  </conditionalFormatting>
  <conditionalFormatting sqref="Q112">
    <cfRule type="cellIs" dxfId="216" priority="283" stopIfTrue="1" operator="equal">
      <formula>"SIM"</formula>
    </cfRule>
    <cfRule type="cellIs" dxfId="215" priority="284" stopIfTrue="1" operator="equal">
      <formula>"NÃO"</formula>
    </cfRule>
  </conditionalFormatting>
  <conditionalFormatting sqref="DO112 CJ112 BF112">
    <cfRule type="cellIs" dxfId="214" priority="279" stopIfTrue="1" operator="equal">
      <formula>0</formula>
    </cfRule>
    <cfRule type="cellIs" dxfId="213" priority="285" stopIfTrue="1" operator="notEqual">
      <formula>0</formula>
    </cfRule>
  </conditionalFormatting>
  <conditionalFormatting sqref="C112:D112">
    <cfRule type="expression" dxfId="212" priority="282" stopIfTrue="1">
      <formula>IF(AND($C112&lt;&gt;"",$H112+$L112=0),TRUE)</formula>
    </cfRule>
  </conditionalFormatting>
  <conditionalFormatting sqref="P112">
    <cfRule type="cellIs" dxfId="211" priority="271" stopIfTrue="1" operator="equal">
      <formula>1</formula>
    </cfRule>
    <cfRule type="cellIs" dxfId="210" priority="280" stopIfTrue="1" operator="equal">
      <formula>2</formula>
    </cfRule>
    <cfRule type="cellIs" dxfId="209" priority="281" stopIfTrue="1" operator="equal">
      <formula>"X"</formula>
    </cfRule>
  </conditionalFormatting>
  <conditionalFormatting sqref="GU112">
    <cfRule type="cellIs" dxfId="208" priority="273" stopIfTrue="1" operator="equal">
      <formula>0</formula>
    </cfRule>
    <cfRule type="cellIs" dxfId="207" priority="274" stopIfTrue="1" operator="notEqual">
      <formula>0</formula>
    </cfRule>
  </conditionalFormatting>
  <conditionalFormatting sqref="GV112">
    <cfRule type="cellIs" dxfId="206" priority="272" stopIfTrue="1" operator="equal">
      <formula>"STOP"</formula>
    </cfRule>
  </conditionalFormatting>
  <conditionalFormatting sqref="Q192">
    <cfRule type="cellIs" dxfId="205" priority="266" stopIfTrue="1" operator="equal">
      <formula>"SIM"</formula>
    </cfRule>
    <cfRule type="cellIs" dxfId="204" priority="267" stopIfTrue="1" operator="equal">
      <formula>"NÃO"</formula>
    </cfRule>
  </conditionalFormatting>
  <conditionalFormatting sqref="BF192 CJ192 DO192">
    <cfRule type="cellIs" dxfId="203" priority="262" stopIfTrue="1" operator="equal">
      <formula>0</formula>
    </cfRule>
    <cfRule type="cellIs" dxfId="202" priority="268" stopIfTrue="1" operator="notEqual">
      <formula>0</formula>
    </cfRule>
  </conditionalFormatting>
  <conditionalFormatting sqref="C192:D192">
    <cfRule type="expression" dxfId="201" priority="265" stopIfTrue="1">
      <formula>IF(AND($C192&lt;&gt;"",$H192+$L192=0),TRUE)</formula>
    </cfRule>
  </conditionalFormatting>
  <conditionalFormatting sqref="P192">
    <cfRule type="cellIs" dxfId="200" priority="254" stopIfTrue="1" operator="equal">
      <formula>1</formula>
    </cfRule>
    <cfRule type="cellIs" dxfId="199" priority="263" stopIfTrue="1" operator="equal">
      <formula>2</formula>
    </cfRule>
    <cfRule type="cellIs" dxfId="198" priority="264" stopIfTrue="1" operator="equal">
      <formula>"X"</formula>
    </cfRule>
  </conditionalFormatting>
  <conditionalFormatting sqref="GU192">
    <cfRule type="cellIs" dxfId="197" priority="256" stopIfTrue="1" operator="equal">
      <formula>0</formula>
    </cfRule>
    <cfRule type="cellIs" dxfId="196" priority="257" stopIfTrue="1" operator="notEqual">
      <formula>0</formula>
    </cfRule>
  </conditionalFormatting>
  <conditionalFormatting sqref="GV192">
    <cfRule type="cellIs" dxfId="195" priority="255" stopIfTrue="1" operator="equal">
      <formula>"STOP"</formula>
    </cfRule>
  </conditionalFormatting>
  <conditionalFormatting sqref="Q193">
    <cfRule type="cellIs" dxfId="194" priority="249" stopIfTrue="1" operator="equal">
      <formula>"SIM"</formula>
    </cfRule>
    <cfRule type="cellIs" dxfId="193" priority="250" stopIfTrue="1" operator="equal">
      <formula>"NÃO"</formula>
    </cfRule>
  </conditionalFormatting>
  <conditionalFormatting sqref="BF193 CJ193 DO193">
    <cfRule type="cellIs" dxfId="192" priority="245" stopIfTrue="1" operator="equal">
      <formula>0</formula>
    </cfRule>
    <cfRule type="cellIs" dxfId="191" priority="251" stopIfTrue="1" operator="notEqual">
      <formula>0</formula>
    </cfRule>
  </conditionalFormatting>
  <conditionalFormatting sqref="C193:D193">
    <cfRule type="expression" dxfId="190" priority="248" stopIfTrue="1">
      <formula>IF(AND($C193&lt;&gt;"",$H193+$L193=0),TRUE)</formula>
    </cfRule>
  </conditionalFormatting>
  <conditionalFormatting sqref="P193">
    <cfRule type="cellIs" dxfId="189" priority="237" stopIfTrue="1" operator="equal">
      <formula>1</formula>
    </cfRule>
    <cfRule type="cellIs" dxfId="188" priority="246" stopIfTrue="1" operator="equal">
      <formula>2</formula>
    </cfRule>
    <cfRule type="cellIs" dxfId="187" priority="247" stopIfTrue="1" operator="equal">
      <formula>"X"</formula>
    </cfRule>
  </conditionalFormatting>
  <conditionalFormatting sqref="GU193">
    <cfRule type="cellIs" dxfId="186" priority="239" stopIfTrue="1" operator="equal">
      <formula>0</formula>
    </cfRule>
    <cfRule type="cellIs" dxfId="185" priority="240" stopIfTrue="1" operator="notEqual">
      <formula>0</formula>
    </cfRule>
  </conditionalFormatting>
  <conditionalFormatting sqref="GV193">
    <cfRule type="cellIs" dxfId="184" priority="238" stopIfTrue="1" operator="equal">
      <formula>"STOP"</formula>
    </cfRule>
  </conditionalFormatting>
  <conditionalFormatting sqref="Q194">
    <cfRule type="cellIs" dxfId="183" priority="232" stopIfTrue="1" operator="equal">
      <formula>"SIM"</formula>
    </cfRule>
    <cfRule type="cellIs" dxfId="182" priority="233" stopIfTrue="1" operator="equal">
      <formula>"NÃO"</formula>
    </cfRule>
  </conditionalFormatting>
  <conditionalFormatting sqref="BF194 CJ194 DO194">
    <cfRule type="cellIs" dxfId="181" priority="228" stopIfTrue="1" operator="equal">
      <formula>0</formula>
    </cfRule>
    <cfRule type="cellIs" dxfId="180" priority="234" stopIfTrue="1" operator="notEqual">
      <formula>0</formula>
    </cfRule>
  </conditionalFormatting>
  <conditionalFormatting sqref="C194:D194">
    <cfRule type="expression" dxfId="179" priority="231" stopIfTrue="1">
      <formula>IF(AND($C194&lt;&gt;"",$H194+$L194=0),TRUE)</formula>
    </cfRule>
  </conditionalFormatting>
  <conditionalFormatting sqref="P194">
    <cfRule type="cellIs" dxfId="178" priority="220" stopIfTrue="1" operator="equal">
      <formula>1</formula>
    </cfRule>
    <cfRule type="cellIs" dxfId="177" priority="229" stopIfTrue="1" operator="equal">
      <formula>2</formula>
    </cfRule>
    <cfRule type="cellIs" dxfId="176" priority="230" stopIfTrue="1" operator="equal">
      <formula>"X"</formula>
    </cfRule>
  </conditionalFormatting>
  <conditionalFormatting sqref="GU194">
    <cfRule type="cellIs" dxfId="175" priority="222" stopIfTrue="1" operator="equal">
      <formula>0</formula>
    </cfRule>
    <cfRule type="cellIs" dxfId="174" priority="223" stopIfTrue="1" operator="notEqual">
      <formula>0</formula>
    </cfRule>
  </conditionalFormatting>
  <conditionalFormatting sqref="GV194">
    <cfRule type="cellIs" dxfId="173" priority="221" stopIfTrue="1" operator="equal">
      <formula>"STOP"</formula>
    </cfRule>
  </conditionalFormatting>
  <conditionalFormatting sqref="Q195">
    <cfRule type="cellIs" dxfId="172" priority="215" stopIfTrue="1" operator="equal">
      <formula>"SIM"</formula>
    </cfRule>
    <cfRule type="cellIs" dxfId="171" priority="216" stopIfTrue="1" operator="equal">
      <formula>"NÃO"</formula>
    </cfRule>
  </conditionalFormatting>
  <conditionalFormatting sqref="BF195 CJ195 DO195">
    <cfRule type="cellIs" dxfId="170" priority="211" stopIfTrue="1" operator="equal">
      <formula>0</formula>
    </cfRule>
    <cfRule type="cellIs" dxfId="169" priority="217" stopIfTrue="1" operator="notEqual">
      <formula>0</formula>
    </cfRule>
  </conditionalFormatting>
  <conditionalFormatting sqref="C195:D195">
    <cfRule type="expression" dxfId="168" priority="214" stopIfTrue="1">
      <formula>IF(AND($C195&lt;&gt;"",$H195+$L195=0),TRUE)</formula>
    </cfRule>
  </conditionalFormatting>
  <conditionalFormatting sqref="P195">
    <cfRule type="cellIs" dxfId="167" priority="203" stopIfTrue="1" operator="equal">
      <formula>1</formula>
    </cfRule>
    <cfRule type="cellIs" dxfId="166" priority="212" stopIfTrue="1" operator="equal">
      <formula>2</formula>
    </cfRule>
    <cfRule type="cellIs" dxfId="165" priority="213" stopIfTrue="1" operator="equal">
      <formula>"X"</formula>
    </cfRule>
  </conditionalFormatting>
  <conditionalFormatting sqref="GU195">
    <cfRule type="cellIs" dxfId="164" priority="205" stopIfTrue="1" operator="equal">
      <formula>0</formula>
    </cfRule>
    <cfRule type="cellIs" dxfId="163" priority="206" stopIfTrue="1" operator="notEqual">
      <formula>0</formula>
    </cfRule>
  </conditionalFormatting>
  <conditionalFormatting sqref="GV195">
    <cfRule type="cellIs" dxfId="162" priority="204" stopIfTrue="1" operator="equal">
      <formula>"STOP"</formula>
    </cfRule>
  </conditionalFormatting>
  <conditionalFormatting sqref="Q196">
    <cfRule type="cellIs" dxfId="161" priority="198" stopIfTrue="1" operator="equal">
      <formula>"SIM"</formula>
    </cfRule>
    <cfRule type="cellIs" dxfId="160" priority="199" stopIfTrue="1" operator="equal">
      <formula>"NÃO"</formula>
    </cfRule>
  </conditionalFormatting>
  <conditionalFormatting sqref="BF196 CJ196 DO196">
    <cfRule type="cellIs" dxfId="159" priority="194" stopIfTrue="1" operator="equal">
      <formula>0</formula>
    </cfRule>
    <cfRule type="cellIs" dxfId="158" priority="200" stopIfTrue="1" operator="notEqual">
      <formula>0</formula>
    </cfRule>
  </conditionalFormatting>
  <conditionalFormatting sqref="C196:D196">
    <cfRule type="expression" dxfId="157" priority="197" stopIfTrue="1">
      <formula>IF(AND($C196&lt;&gt;"",$H196+$L196=0),TRUE)</formula>
    </cfRule>
  </conditionalFormatting>
  <conditionalFormatting sqref="P196">
    <cfRule type="cellIs" dxfId="156" priority="186" stopIfTrue="1" operator="equal">
      <formula>1</formula>
    </cfRule>
    <cfRule type="cellIs" dxfId="155" priority="195" stopIfTrue="1" operator="equal">
      <formula>2</formula>
    </cfRule>
    <cfRule type="cellIs" dxfId="154" priority="196" stopIfTrue="1" operator="equal">
      <formula>"X"</formula>
    </cfRule>
  </conditionalFormatting>
  <conditionalFormatting sqref="GU196">
    <cfRule type="cellIs" dxfId="153" priority="188" stopIfTrue="1" operator="equal">
      <formula>0</formula>
    </cfRule>
    <cfRule type="cellIs" dxfId="152" priority="189" stopIfTrue="1" operator="notEqual">
      <formula>0</formula>
    </cfRule>
  </conditionalFormatting>
  <conditionalFormatting sqref="GV196">
    <cfRule type="cellIs" dxfId="151" priority="187" stopIfTrue="1" operator="equal">
      <formula>"STOP"</formula>
    </cfRule>
  </conditionalFormatting>
  <conditionalFormatting sqref="Q197">
    <cfRule type="cellIs" dxfId="150" priority="181" stopIfTrue="1" operator="equal">
      <formula>"SIM"</formula>
    </cfRule>
    <cfRule type="cellIs" dxfId="149" priority="182" stopIfTrue="1" operator="equal">
      <formula>"NÃO"</formula>
    </cfRule>
  </conditionalFormatting>
  <conditionalFormatting sqref="BF197 CJ197 DO197">
    <cfRule type="cellIs" dxfId="148" priority="177" stopIfTrue="1" operator="equal">
      <formula>0</formula>
    </cfRule>
    <cfRule type="cellIs" dxfId="147" priority="183" stopIfTrue="1" operator="notEqual">
      <formula>0</formula>
    </cfRule>
  </conditionalFormatting>
  <conditionalFormatting sqref="C197:D197">
    <cfRule type="expression" dxfId="146" priority="180" stopIfTrue="1">
      <formula>IF(AND($C197&lt;&gt;"",$H197+$L197=0),TRUE)</formula>
    </cfRule>
  </conditionalFormatting>
  <conditionalFormatting sqref="P197">
    <cfRule type="cellIs" dxfId="145" priority="169" stopIfTrue="1" operator="equal">
      <formula>1</formula>
    </cfRule>
    <cfRule type="cellIs" dxfId="144" priority="178" stopIfTrue="1" operator="equal">
      <formula>2</formula>
    </cfRule>
    <cfRule type="cellIs" dxfId="143" priority="179" stopIfTrue="1" operator="equal">
      <formula>"X"</formula>
    </cfRule>
  </conditionalFormatting>
  <conditionalFormatting sqref="GU197">
    <cfRule type="cellIs" dxfId="142" priority="171" stopIfTrue="1" operator="equal">
      <formula>0</formula>
    </cfRule>
    <cfRule type="cellIs" dxfId="141" priority="172" stopIfTrue="1" operator="notEqual">
      <formula>0</formula>
    </cfRule>
  </conditionalFormatting>
  <conditionalFormatting sqref="GV197">
    <cfRule type="cellIs" dxfId="140" priority="170" stopIfTrue="1" operator="equal">
      <formula>"STOP"</formula>
    </cfRule>
  </conditionalFormatting>
  <conditionalFormatting sqref="IT5:IT197 IT201 IT203:IT207">
    <cfRule type="cellIs" dxfId="139" priority="166" operator="equal">
      <formula>0</formula>
    </cfRule>
  </conditionalFormatting>
  <conditionalFormatting sqref="HI5:HI197 HI201 HI203:HI207">
    <cfRule type="cellIs" dxfId="138" priority="164" operator="equal">
      <formula>0</formula>
    </cfRule>
  </conditionalFormatting>
  <conditionalFormatting sqref="Q198">
    <cfRule type="cellIs" dxfId="137" priority="161" stopIfTrue="1" operator="equal">
      <formula>"SIM"</formula>
    </cfRule>
    <cfRule type="cellIs" dxfId="136" priority="162" stopIfTrue="1" operator="equal">
      <formula>"NÃO"</formula>
    </cfRule>
  </conditionalFormatting>
  <conditionalFormatting sqref="BF198 CJ198 DO198">
    <cfRule type="cellIs" dxfId="135" priority="157" stopIfTrue="1" operator="equal">
      <formula>0</formula>
    </cfRule>
    <cfRule type="cellIs" dxfId="134" priority="163" stopIfTrue="1" operator="notEqual">
      <formula>0</formula>
    </cfRule>
  </conditionalFormatting>
  <conditionalFormatting sqref="C198:D198">
    <cfRule type="expression" dxfId="133" priority="160" stopIfTrue="1">
      <formula>IF(AND($C198&lt;&gt;"",$H198+$L198=0),TRUE)</formula>
    </cfRule>
  </conditionalFormatting>
  <conditionalFormatting sqref="P198">
    <cfRule type="cellIs" dxfId="132" priority="149" stopIfTrue="1" operator="equal">
      <formula>1</formula>
    </cfRule>
    <cfRule type="cellIs" dxfId="131" priority="158" stopIfTrue="1" operator="equal">
      <formula>2</formula>
    </cfRule>
    <cfRule type="cellIs" dxfId="130" priority="159" stopIfTrue="1" operator="equal">
      <formula>"X"</formula>
    </cfRule>
  </conditionalFormatting>
  <conditionalFormatting sqref="GU198">
    <cfRule type="cellIs" dxfId="129" priority="151" stopIfTrue="1" operator="equal">
      <formula>0</formula>
    </cfRule>
    <cfRule type="cellIs" dxfId="128" priority="152" stopIfTrue="1" operator="notEqual">
      <formula>0</formula>
    </cfRule>
  </conditionalFormatting>
  <conditionalFormatting sqref="GV198">
    <cfRule type="cellIs" dxfId="127" priority="150" stopIfTrue="1" operator="equal">
      <formula>"STOP"</formula>
    </cfRule>
  </conditionalFormatting>
  <conditionalFormatting sqref="IT198">
    <cfRule type="cellIs" dxfId="126" priority="146" operator="equal">
      <formula>0</formula>
    </cfRule>
  </conditionalFormatting>
  <conditionalFormatting sqref="HI198">
    <cfRule type="cellIs" dxfId="125" priority="145" operator="equal">
      <formula>0</formula>
    </cfRule>
  </conditionalFormatting>
  <conditionalFormatting sqref="HI4:HI198 HI201 HI203:HI207">
    <cfRule type="expression" dxfId="124" priority="105" stopIfTrue="1">
      <formula>IF(AND($F4&gt;0,$HI4=0),TRUE)</formula>
    </cfRule>
    <cfRule type="cellIs" dxfId="123" priority="106" stopIfTrue="1" operator="equal">
      <formula>0</formula>
    </cfRule>
  </conditionalFormatting>
  <conditionalFormatting sqref="IT4:IT198 IT201 IT203:IT207">
    <cfRule type="expression" dxfId="122" priority="103" stopIfTrue="1">
      <formula>IF(AND($K4&gt;0,$IT4=0),TRUE)</formula>
    </cfRule>
    <cfRule type="cellIs" dxfId="121" priority="104" stopIfTrue="1" operator="equal">
      <formula>0</formula>
    </cfRule>
  </conditionalFormatting>
  <conditionalFormatting sqref="Q4:Q198 Q201 Q203:Q207">
    <cfRule type="cellIs" dxfId="120" priority="101" stopIfTrue="1" operator="equal">
      <formula>"SIM"</formula>
    </cfRule>
    <cfRule type="cellIs" dxfId="119" priority="102" stopIfTrue="1" operator="equal">
      <formula>"NÃO"</formula>
    </cfRule>
  </conditionalFormatting>
  <conditionalFormatting sqref="P4:P198 P201 P203:P207">
    <cfRule type="cellIs" dxfId="118" priority="98" stopIfTrue="1" operator="equal">
      <formula>1</formula>
    </cfRule>
    <cfRule type="cellIs" dxfId="117" priority="99" stopIfTrue="1" operator="equal">
      <formula>2</formula>
    </cfRule>
    <cfRule type="cellIs" dxfId="116" priority="100" stopIfTrue="1" operator="equal">
      <formula>"X"</formula>
    </cfRule>
  </conditionalFormatting>
  <conditionalFormatting sqref="C199:D199">
    <cfRule type="expression" dxfId="115" priority="97" stopIfTrue="1">
      <formula>IF(AND($C199&lt;&gt;"",$H199+$L199=0),TRUE)</formula>
    </cfRule>
  </conditionalFormatting>
  <conditionalFormatting sqref="Q199">
    <cfRule type="cellIs" dxfId="114" priority="92" stopIfTrue="1" operator="equal">
      <formula>"SIM"</formula>
    </cfRule>
    <cfRule type="cellIs" dxfId="113" priority="93" stopIfTrue="1" operator="equal">
      <formula>"NÃO"</formula>
    </cfRule>
  </conditionalFormatting>
  <conditionalFormatting sqref="BF199 CJ199 DO199">
    <cfRule type="cellIs" dxfId="112" priority="88" stopIfTrue="1" operator="equal">
      <formula>0</formula>
    </cfRule>
    <cfRule type="cellIs" dxfId="111" priority="94" stopIfTrue="1" operator="notEqual">
      <formula>0</formula>
    </cfRule>
  </conditionalFormatting>
  <conditionalFormatting sqref="C199:D199">
    <cfRule type="expression" dxfId="110" priority="91" stopIfTrue="1">
      <formula>IF(AND($C199&lt;&gt;"",$H199+$L199=0),TRUE)</formula>
    </cfRule>
  </conditionalFormatting>
  <conditionalFormatting sqref="P199">
    <cfRule type="cellIs" dxfId="109" priority="80" stopIfTrue="1" operator="equal">
      <formula>1</formula>
    </cfRule>
    <cfRule type="cellIs" dxfId="108" priority="89" stopIfTrue="1" operator="equal">
      <formula>2</formula>
    </cfRule>
    <cfRule type="cellIs" dxfId="107" priority="90" stopIfTrue="1" operator="equal">
      <formula>"X"</formula>
    </cfRule>
  </conditionalFormatting>
  <conditionalFormatting sqref="GU199">
    <cfRule type="cellIs" dxfId="106" priority="82" stopIfTrue="1" operator="equal">
      <formula>0</formula>
    </cfRule>
    <cfRule type="cellIs" dxfId="105" priority="83" stopIfTrue="1" operator="notEqual">
      <formula>0</formula>
    </cfRule>
  </conditionalFormatting>
  <conditionalFormatting sqref="GV199">
    <cfRule type="cellIs" dxfId="104" priority="81" stopIfTrue="1" operator="equal">
      <formula>"STOP"</formula>
    </cfRule>
  </conditionalFormatting>
  <conditionalFormatting sqref="IT199">
    <cfRule type="cellIs" dxfId="103" priority="77" operator="equal">
      <formula>0</formula>
    </cfRule>
  </conditionalFormatting>
  <conditionalFormatting sqref="HI199">
    <cfRule type="cellIs" dxfId="102" priority="76" operator="equal">
      <formula>0</formula>
    </cfRule>
  </conditionalFormatting>
  <conditionalFormatting sqref="HI199">
    <cfRule type="expression" dxfId="101" priority="74" stopIfTrue="1">
      <formula>IF(AND($F199&gt;0,$HI199=0),TRUE)</formula>
    </cfRule>
    <cfRule type="cellIs" dxfId="100" priority="75" stopIfTrue="1" operator="equal">
      <formula>0</formula>
    </cfRule>
  </conditionalFormatting>
  <conditionalFormatting sqref="IT199">
    <cfRule type="expression" dxfId="99" priority="72" stopIfTrue="1">
      <formula>IF(AND($K199&gt;0,$IT199=0),TRUE)</formula>
    </cfRule>
    <cfRule type="cellIs" dxfId="98" priority="73" stopIfTrue="1" operator="equal">
      <formula>0</formula>
    </cfRule>
  </conditionalFormatting>
  <conditionalFormatting sqref="Q199">
    <cfRule type="cellIs" dxfId="97" priority="70" stopIfTrue="1" operator="equal">
      <formula>"SIM"</formula>
    </cfRule>
    <cfRule type="cellIs" dxfId="96" priority="71" stopIfTrue="1" operator="equal">
      <formula>"NÃO"</formula>
    </cfRule>
  </conditionalFormatting>
  <conditionalFormatting sqref="P199">
    <cfRule type="cellIs" dxfId="95" priority="67" stopIfTrue="1" operator="equal">
      <formula>1</formula>
    </cfRule>
    <cfRule type="cellIs" dxfId="94" priority="68" stopIfTrue="1" operator="equal">
      <formula>2</formula>
    </cfRule>
    <cfRule type="cellIs" dxfId="93" priority="69" stopIfTrue="1" operator="equal">
      <formula>"X"</formula>
    </cfRule>
  </conditionalFormatting>
  <conditionalFormatting sqref="C200:D200">
    <cfRule type="expression" dxfId="92" priority="66" stopIfTrue="1">
      <formula>IF(AND($C200&lt;&gt;"",$H200+$L200=0),TRUE)</formula>
    </cfRule>
  </conditionalFormatting>
  <conditionalFormatting sqref="Q200">
    <cfRule type="cellIs" dxfId="91" priority="61" stopIfTrue="1" operator="equal">
      <formula>"SIM"</formula>
    </cfRule>
    <cfRule type="cellIs" dxfId="90" priority="62" stopIfTrue="1" operator="equal">
      <formula>"NÃO"</formula>
    </cfRule>
  </conditionalFormatting>
  <conditionalFormatting sqref="BF200 CJ200 DO200">
    <cfRule type="cellIs" dxfId="89" priority="57" stopIfTrue="1" operator="equal">
      <formula>0</formula>
    </cfRule>
    <cfRule type="cellIs" dxfId="88" priority="63" stopIfTrue="1" operator="notEqual">
      <formula>0</formula>
    </cfRule>
  </conditionalFormatting>
  <conditionalFormatting sqref="C200:D200">
    <cfRule type="expression" dxfId="87" priority="60" stopIfTrue="1">
      <formula>IF(AND($C200&lt;&gt;"",$H200+$L200=0),TRUE)</formula>
    </cfRule>
  </conditionalFormatting>
  <conditionalFormatting sqref="P200">
    <cfRule type="cellIs" dxfId="86" priority="49" stopIfTrue="1" operator="equal">
      <formula>1</formula>
    </cfRule>
    <cfRule type="cellIs" dxfId="85" priority="58" stopIfTrue="1" operator="equal">
      <formula>2</formula>
    </cfRule>
    <cfRule type="cellIs" dxfId="84" priority="59" stopIfTrue="1" operator="equal">
      <formula>"X"</formula>
    </cfRule>
  </conditionalFormatting>
  <conditionalFormatting sqref="GU200">
    <cfRule type="cellIs" dxfId="83" priority="51" stopIfTrue="1" operator="equal">
      <formula>0</formula>
    </cfRule>
    <cfRule type="cellIs" dxfId="82" priority="52" stopIfTrue="1" operator="notEqual">
      <formula>0</formula>
    </cfRule>
  </conditionalFormatting>
  <conditionalFormatting sqref="GV200">
    <cfRule type="cellIs" dxfId="81" priority="50" stopIfTrue="1" operator="equal">
      <formula>"STOP"</formula>
    </cfRule>
  </conditionalFormatting>
  <conditionalFormatting sqref="IT200">
    <cfRule type="cellIs" dxfId="80" priority="46" operator="equal">
      <formula>0</formula>
    </cfRule>
  </conditionalFormatting>
  <conditionalFormatting sqref="HI200">
    <cfRule type="cellIs" dxfId="79" priority="45" operator="equal">
      <formula>0</formula>
    </cfRule>
  </conditionalFormatting>
  <conditionalFormatting sqref="HI200">
    <cfRule type="expression" dxfId="78" priority="43" stopIfTrue="1">
      <formula>IF(AND($F200&gt;0,$HI200=0),TRUE)</formula>
    </cfRule>
    <cfRule type="cellIs" dxfId="77" priority="44" stopIfTrue="1" operator="equal">
      <formula>0</formula>
    </cfRule>
  </conditionalFormatting>
  <conditionalFormatting sqref="IT200">
    <cfRule type="expression" dxfId="76" priority="41" stopIfTrue="1">
      <formula>IF(AND($K200&gt;0,$IT200=0),TRUE)</formula>
    </cfRule>
    <cfRule type="cellIs" dxfId="75" priority="42" stopIfTrue="1" operator="equal">
      <formula>0</formula>
    </cfRule>
  </conditionalFormatting>
  <conditionalFormatting sqref="Q200">
    <cfRule type="cellIs" dxfId="74" priority="39" stopIfTrue="1" operator="equal">
      <formula>"SIM"</formula>
    </cfRule>
    <cfRule type="cellIs" dxfId="73" priority="40" stopIfTrue="1" operator="equal">
      <formula>"NÃO"</formula>
    </cfRule>
  </conditionalFormatting>
  <conditionalFormatting sqref="P200">
    <cfRule type="cellIs" dxfId="72" priority="36" stopIfTrue="1" operator="equal">
      <formula>1</formula>
    </cfRule>
    <cfRule type="cellIs" dxfId="71" priority="37" stopIfTrue="1" operator="equal">
      <formula>2</formula>
    </cfRule>
    <cfRule type="cellIs" dxfId="70" priority="38" stopIfTrue="1" operator="equal">
      <formula>"X"</formula>
    </cfRule>
  </conditionalFormatting>
  <conditionalFormatting sqref="HH4:HH201 HH203:HH207">
    <cfRule type="expression" dxfId="69" priority="30">
      <formula>IF(HJ4=$HK$8,TRUE)</formula>
    </cfRule>
    <cfRule type="expression" dxfId="68" priority="31">
      <formula>IF(HJ4=$HK$7,TRUE)</formula>
    </cfRule>
    <cfRule type="expression" dxfId="67" priority="32">
      <formula>IF(H4=$HK$6,TRUE)</formula>
    </cfRule>
    <cfRule type="expression" dxfId="66" priority="33">
      <formula>IF(H4=$HK$5,TRUE)</formula>
    </cfRule>
  </conditionalFormatting>
  <conditionalFormatting sqref="Q202">
    <cfRule type="cellIs" dxfId="65" priority="27" stopIfTrue="1" operator="equal">
      <formula>"SIM"</formula>
    </cfRule>
    <cfRule type="cellIs" dxfId="64" priority="28" stopIfTrue="1" operator="equal">
      <formula>"NÃO"</formula>
    </cfRule>
  </conditionalFormatting>
  <conditionalFormatting sqref="DO202 CJ202 BF202">
    <cfRule type="cellIs" dxfId="63" priority="23" stopIfTrue="1" operator="equal">
      <formula>0</formula>
    </cfRule>
    <cfRule type="cellIs" dxfId="62" priority="29" stopIfTrue="1" operator="notEqual">
      <formula>0</formula>
    </cfRule>
  </conditionalFormatting>
  <conditionalFormatting sqref="C202:D202">
    <cfRule type="expression" dxfId="61" priority="26" stopIfTrue="1">
      <formula>IF(AND($C202&lt;&gt;"",$H202+$L202=0),TRUE)</formula>
    </cfRule>
  </conditionalFormatting>
  <conditionalFormatting sqref="P202">
    <cfRule type="cellIs" dxfId="60" priority="19" stopIfTrue="1" operator="equal">
      <formula>1</formula>
    </cfRule>
    <cfRule type="cellIs" dxfId="59" priority="24" stopIfTrue="1" operator="equal">
      <formula>2</formula>
    </cfRule>
    <cfRule type="cellIs" dxfId="58" priority="25" stopIfTrue="1" operator="equal">
      <formula>"X"</formula>
    </cfRule>
  </conditionalFormatting>
  <conditionalFormatting sqref="GU202">
    <cfRule type="cellIs" dxfId="57" priority="21" stopIfTrue="1" operator="equal">
      <formula>0</formula>
    </cfRule>
    <cfRule type="cellIs" dxfId="56" priority="22" stopIfTrue="1" operator="notEqual">
      <formula>0</formula>
    </cfRule>
  </conditionalFormatting>
  <conditionalFormatting sqref="GV202">
    <cfRule type="cellIs" dxfId="55" priority="20" stopIfTrue="1" operator="equal">
      <formula>"STOP"</formula>
    </cfRule>
  </conditionalFormatting>
  <conditionalFormatting sqref="IT202">
    <cfRule type="cellIs" dxfId="54" priority="18" operator="equal">
      <formula>0</formula>
    </cfRule>
  </conditionalFormatting>
  <conditionalFormatting sqref="HI202">
    <cfRule type="cellIs" dxfId="53" priority="17" operator="equal">
      <formula>0</formula>
    </cfRule>
  </conditionalFormatting>
  <conditionalFormatting sqref="HI202">
    <cfRule type="expression" dxfId="52" priority="15" stopIfTrue="1">
      <formula>IF(AND($F202&gt;0,$HI202=0),TRUE)</formula>
    </cfRule>
    <cfRule type="cellIs" dxfId="51" priority="16" stopIfTrue="1" operator="equal">
      <formula>0</formula>
    </cfRule>
  </conditionalFormatting>
  <conditionalFormatting sqref="IT202">
    <cfRule type="expression" dxfId="50" priority="13" stopIfTrue="1">
      <formula>IF(AND($K202&gt;0,$IT202=0),TRUE)</formula>
    </cfRule>
    <cfRule type="cellIs" dxfId="49" priority="14" stopIfTrue="1" operator="equal">
      <formula>0</formula>
    </cfRule>
  </conditionalFormatting>
  <conditionalFormatting sqref="Q202">
    <cfRule type="cellIs" dxfId="48" priority="11" stopIfTrue="1" operator="equal">
      <formula>"SIM"</formula>
    </cfRule>
    <cfRule type="cellIs" dxfId="47" priority="12" stopIfTrue="1" operator="equal">
      <formula>"NÃO"</formula>
    </cfRule>
  </conditionalFormatting>
  <conditionalFormatting sqref="P202">
    <cfRule type="cellIs" dxfId="46" priority="8" stopIfTrue="1" operator="equal">
      <formula>1</formula>
    </cfRule>
    <cfRule type="cellIs" dxfId="45" priority="9" stopIfTrue="1" operator="equal">
      <formula>2</formula>
    </cfRule>
    <cfRule type="cellIs" dxfId="44" priority="10" stopIfTrue="1" operator="equal">
      <formula>"X"</formula>
    </cfRule>
  </conditionalFormatting>
  <conditionalFormatting sqref="HH202">
    <cfRule type="expression" dxfId="43" priority="2">
      <formula>IF(HJ202=$HK$8,TRUE)</formula>
    </cfRule>
    <cfRule type="expression" dxfId="42" priority="3">
      <formula>IF(HJ202=$HK$7,TRUE)</formula>
    </cfRule>
    <cfRule type="expression" dxfId="41" priority="4">
      <formula>IF(H202=$HK$6,TRUE)</formula>
    </cfRule>
    <cfRule type="expression" dxfId="40" priority="5">
      <formula>IF(H202=$HK$5,TRUE)</formula>
    </cfRule>
  </conditionalFormatting>
  <conditionalFormatting sqref="IU4:IU207">
    <cfRule type="cellIs" dxfId="39" priority="1" operator="equal">
      <formula>"Saldo Bancário Incorreto"</formula>
    </cfRule>
  </conditionalFormatting>
  <dataValidations count="3">
    <dataValidation type="list" allowBlank="1" showInputMessage="1" showErrorMessage="1" sqref="Q4:Q207">
      <formula1>"NÃO,SIM"</formula1>
    </dataValidation>
    <dataValidation type="list" allowBlank="1" showInputMessage="1" showErrorMessage="1" sqref="P4:P207">
      <formula1>"1,2,3,X"</formula1>
    </dataValidation>
    <dataValidation type="list" allowBlank="1" showInputMessage="1" showErrorMessage="1" sqref="AA4:AA207">
      <formula1>"SIM"</formula1>
    </dataValidation>
  </dataValidations>
  <printOptions horizontalCentered="1"/>
  <pageMargins left="0.23622047244094491" right="0.11811023622047245" top="0.39370078740157483" bottom="0.19685039370078741" header="0.23622047244094491" footer="0.15748031496062992"/>
  <pageSetup paperSize="9" scale="5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 enableFormatConditionsCalculation="0">
    <tabColor indexed="13"/>
  </sheetPr>
  <dimension ref="A1:AA42"/>
  <sheetViews>
    <sheetView showRowColHeaders="0" view="pageBreakPreview" zoomScale="90" zoomScaleNormal="90" zoomScaleSheetLayoutView="90" workbookViewId="0"/>
  </sheetViews>
  <sheetFormatPr defaultColWidth="9.140625" defaultRowHeight="12.75" zeroHeight="1"/>
  <cols>
    <col min="1" max="1" width="3.140625" style="3" customWidth="1"/>
    <col min="2" max="2" width="35.85546875" style="3" customWidth="1"/>
    <col min="3" max="3" width="16.85546875" style="3" customWidth="1"/>
    <col min="4" max="4" width="17.28515625" style="3" customWidth="1"/>
    <col min="5" max="5" width="11.5703125" style="3" customWidth="1"/>
    <col min="6" max="6" width="5.5703125" style="3" customWidth="1"/>
    <col min="7" max="7" width="11.7109375" style="3" customWidth="1"/>
    <col min="8" max="8" width="10" style="3" customWidth="1"/>
    <col min="9" max="9" width="3.42578125" style="3" customWidth="1"/>
    <col min="10" max="10" width="3.5703125" style="3" customWidth="1"/>
    <col min="11" max="11" width="3.42578125" style="3" customWidth="1"/>
    <col min="12" max="12" width="9.5703125" style="3" customWidth="1"/>
    <col min="13" max="13" width="2.85546875" style="3" customWidth="1"/>
    <col min="14" max="14" width="5.85546875" style="3" customWidth="1"/>
    <col min="15" max="15" width="3.42578125" style="3" customWidth="1"/>
    <col min="16" max="16" width="2.42578125" style="3" customWidth="1"/>
    <col min="17" max="17" width="4.5703125" style="3" customWidth="1"/>
    <col min="18" max="18" width="5.28515625" style="3" customWidth="1"/>
    <col min="19" max="19" width="4.140625" style="3" customWidth="1"/>
    <col min="20" max="26" width="6.140625" style="17" customWidth="1"/>
    <col min="27" max="27" width="7.140625" style="17" customWidth="1"/>
    <col min="28" max="16384" width="9.140625" style="3"/>
  </cols>
  <sheetData>
    <row r="1" spans="1:27" ht="12" customHeight="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</row>
    <row r="2" spans="1:27" ht="24.75" customHeight="1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</row>
    <row r="3" spans="1:27" ht="12.75" customHeight="1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7" s="4" customFormat="1" ht="27.75" customHeight="1">
      <c r="A4" s="40"/>
      <c r="B4" s="40"/>
      <c r="C4" s="40"/>
      <c r="D4" s="40"/>
      <c r="E4" s="41"/>
      <c r="F4" s="42"/>
      <c r="G4" s="42"/>
      <c r="H4" s="42"/>
      <c r="I4" s="42"/>
      <c r="J4" s="42"/>
      <c r="K4" s="42"/>
      <c r="L4" s="40"/>
      <c r="M4" s="40"/>
      <c r="N4" s="40"/>
      <c r="O4" s="43"/>
      <c r="P4" s="40"/>
      <c r="Q4" s="30"/>
      <c r="R4" s="43" t="s">
        <v>33</v>
      </c>
      <c r="S4" s="30"/>
      <c r="T4" s="18"/>
      <c r="U4" s="18"/>
      <c r="V4" s="18"/>
      <c r="W4" s="18"/>
      <c r="X4" s="19"/>
      <c r="Y4" s="19"/>
      <c r="Z4" s="19"/>
      <c r="AA4" s="19"/>
    </row>
    <row r="5" spans="1:27" s="4" customFormat="1" ht="25.5" customHeight="1">
      <c r="A5" s="40"/>
      <c r="B5" s="40"/>
      <c r="C5" s="40"/>
      <c r="D5" s="40"/>
      <c r="E5" s="41"/>
      <c r="F5" s="40"/>
      <c r="G5" s="40"/>
      <c r="H5" s="40"/>
      <c r="I5" s="40"/>
      <c r="J5" s="40"/>
      <c r="K5" s="42"/>
      <c r="L5" s="40"/>
      <c r="M5" s="40"/>
      <c r="N5" s="44"/>
      <c r="O5" s="45"/>
      <c r="P5" s="40"/>
      <c r="Q5" s="30"/>
      <c r="R5" s="45" t="s">
        <v>34</v>
      </c>
      <c r="S5" s="30"/>
      <c r="T5" s="18"/>
      <c r="U5" s="18"/>
      <c r="V5" s="18"/>
      <c r="W5" s="18"/>
      <c r="X5" s="19"/>
      <c r="Y5" s="19"/>
      <c r="Z5" s="19"/>
      <c r="AA5" s="19"/>
    </row>
    <row r="6" spans="1:27">
      <c r="A6" s="29"/>
      <c r="B6" s="808" t="s">
        <v>3</v>
      </c>
      <c r="C6" s="809"/>
      <c r="D6" s="809"/>
      <c r="E6" s="809"/>
      <c r="F6" s="809"/>
      <c r="G6" s="809"/>
      <c r="H6" s="809"/>
      <c r="I6" s="809"/>
      <c r="J6" s="809"/>
      <c r="K6" s="809"/>
      <c r="L6" s="809"/>
      <c r="M6" s="809"/>
      <c r="N6" s="809"/>
      <c r="O6" s="809"/>
      <c r="P6" s="809"/>
      <c r="Q6" s="809"/>
      <c r="R6" s="810"/>
      <c r="S6" s="29"/>
    </row>
    <row r="7" spans="1:27" ht="11.25" customHeight="1">
      <c r="A7" s="29"/>
      <c r="B7" s="806" t="s">
        <v>28</v>
      </c>
      <c r="C7" s="807"/>
      <c r="D7" s="806" t="s">
        <v>35</v>
      </c>
      <c r="E7" s="811"/>
      <c r="F7" s="811"/>
      <c r="G7" s="807"/>
      <c r="H7" s="806" t="s">
        <v>36</v>
      </c>
      <c r="I7" s="811"/>
      <c r="J7" s="811"/>
      <c r="K7" s="811"/>
      <c r="L7" s="807"/>
      <c r="M7" s="812" t="s">
        <v>37</v>
      </c>
      <c r="N7" s="813"/>
      <c r="O7" s="813"/>
      <c r="P7" s="813"/>
      <c r="Q7" s="813"/>
      <c r="R7" s="814"/>
      <c r="S7" s="29"/>
    </row>
    <row r="8" spans="1:27" ht="13.5" customHeight="1">
      <c r="A8" s="29"/>
      <c r="B8" s="815" t="str">
        <f>BASE!$D$5</f>
        <v>CAMPO LIMPO</v>
      </c>
      <c r="C8" s="817"/>
      <c r="D8" s="815" t="str">
        <f>BASE!$D$7</f>
        <v>46.392.114/0007-10</v>
      </c>
      <c r="E8" s="816"/>
      <c r="F8" s="816"/>
      <c r="G8" s="817"/>
      <c r="H8" s="823" t="str">
        <f>BASE!$D$11</f>
        <v>01/12/2019</v>
      </c>
      <c r="I8" s="816"/>
      <c r="J8" s="46" t="s">
        <v>27</v>
      </c>
      <c r="K8" s="824" t="str">
        <f>BASE!$F$11</f>
        <v>31/10/2020</v>
      </c>
      <c r="L8" s="817"/>
      <c r="M8" s="815">
        <f>BASE!$D$9</f>
        <v>2020</v>
      </c>
      <c r="N8" s="816"/>
      <c r="O8" s="816"/>
      <c r="P8" s="816"/>
      <c r="Q8" s="816"/>
      <c r="R8" s="817"/>
      <c r="S8" s="29"/>
      <c r="T8" s="20"/>
    </row>
    <row r="9" spans="1:27" ht="12.75" customHeight="1">
      <c r="A9" s="29"/>
      <c r="B9" s="821"/>
      <c r="C9" s="821"/>
      <c r="D9" s="821"/>
      <c r="E9" s="821"/>
      <c r="F9" s="821"/>
      <c r="G9" s="821"/>
      <c r="H9" s="821"/>
      <c r="I9" s="821"/>
      <c r="J9" s="821"/>
      <c r="K9" s="821"/>
      <c r="L9" s="821"/>
      <c r="M9" s="821"/>
      <c r="N9" s="821"/>
      <c r="O9" s="821"/>
      <c r="P9" s="821"/>
      <c r="Q9" s="821"/>
      <c r="R9" s="822"/>
      <c r="S9" s="29"/>
    </row>
    <row r="10" spans="1:27" ht="14.25" customHeight="1">
      <c r="A10" s="29"/>
      <c r="B10" s="808" t="s">
        <v>38</v>
      </c>
      <c r="C10" s="809"/>
      <c r="D10" s="809"/>
      <c r="E10" s="809"/>
      <c r="F10" s="810"/>
      <c r="G10" s="808" t="s">
        <v>39</v>
      </c>
      <c r="H10" s="809"/>
      <c r="I10" s="809"/>
      <c r="J10" s="809"/>
      <c r="K10" s="809"/>
      <c r="L10" s="809"/>
      <c r="M10" s="809"/>
      <c r="N10" s="809"/>
      <c r="O10" s="809"/>
      <c r="P10" s="809"/>
      <c r="Q10" s="809"/>
      <c r="R10" s="810"/>
      <c r="S10" s="29"/>
      <c r="T10" s="20"/>
    </row>
    <row r="11" spans="1:27" s="7" customFormat="1" ht="15" customHeight="1">
      <c r="A11" s="31"/>
      <c r="B11" s="5" t="s">
        <v>40</v>
      </c>
      <c r="C11" s="6" t="s">
        <v>41</v>
      </c>
      <c r="D11" s="6" t="s">
        <v>42</v>
      </c>
      <c r="E11" s="825" t="s">
        <v>43</v>
      </c>
      <c r="F11" s="826"/>
      <c r="G11" s="827" t="s">
        <v>44</v>
      </c>
      <c r="H11" s="828"/>
      <c r="I11" s="828"/>
      <c r="J11" s="828"/>
      <c r="K11" s="828"/>
      <c r="L11" s="828"/>
      <c r="M11" s="828"/>
      <c r="N11" s="828"/>
      <c r="O11" s="828"/>
      <c r="P11" s="828"/>
      <c r="Q11" s="828"/>
      <c r="R11" s="829"/>
      <c r="S11" s="31"/>
      <c r="T11" s="20"/>
      <c r="U11" s="17"/>
      <c r="V11" s="17"/>
      <c r="W11" s="17"/>
      <c r="X11" s="17"/>
      <c r="Y11" s="17"/>
      <c r="Z11" s="17"/>
      <c r="AA11" s="17"/>
    </row>
    <row r="12" spans="1:27" ht="16.5" customHeight="1">
      <c r="A12" s="29"/>
      <c r="B12" s="8" t="s">
        <v>45</v>
      </c>
      <c r="C12" s="92">
        <f>CONSOLIDA!$E$208</f>
        <v>132008.59</v>
      </c>
      <c r="D12" s="92">
        <f>CONSOLIDA!$J$208</f>
        <v>39293</v>
      </c>
      <c r="E12" s="832">
        <f t="shared" ref="E12:E17" si="0">SUM(C12:D12)</f>
        <v>171301.59</v>
      </c>
      <c r="F12" s="833"/>
      <c r="G12" s="299" t="s">
        <v>173</v>
      </c>
      <c r="H12" s="834" t="s">
        <v>46</v>
      </c>
      <c r="I12" s="835"/>
      <c r="J12" s="839" t="s">
        <v>47</v>
      </c>
      <c r="K12" s="840"/>
      <c r="L12" s="841"/>
      <c r="M12" s="836" t="s">
        <v>48</v>
      </c>
      <c r="N12" s="837"/>
      <c r="O12" s="837"/>
      <c r="P12" s="837"/>
      <c r="Q12" s="837"/>
      <c r="R12" s="838"/>
      <c r="S12" s="29"/>
      <c r="T12" s="20"/>
    </row>
    <row r="13" spans="1:27" ht="16.5" customHeight="1">
      <c r="A13" s="29"/>
      <c r="B13" s="9" t="s">
        <v>62</v>
      </c>
      <c r="C13" s="93">
        <f>CONSOLIDA!$F$208</f>
        <v>611370</v>
      </c>
      <c r="D13" s="93">
        <f>CONSOLIDA!$K$208</f>
        <v>2600</v>
      </c>
      <c r="E13" s="844">
        <f t="shared" si="0"/>
        <v>613970</v>
      </c>
      <c r="F13" s="844"/>
      <c r="G13" s="250">
        <f>CONSOLIDA!$B$210</f>
        <v>5</v>
      </c>
      <c r="H13" s="850">
        <f>CONSOLIDA!$B$2012</f>
        <v>0</v>
      </c>
      <c r="I13" s="851"/>
      <c r="J13" s="842">
        <f>CONSOLIDA!$B$2013</f>
        <v>0</v>
      </c>
      <c r="K13" s="842"/>
      <c r="L13" s="843"/>
      <c r="M13" s="818" t="str">
        <f>CONSOLIDA!$B$201</f>
        <v/>
      </c>
      <c r="N13" s="819"/>
      <c r="O13" s="819"/>
      <c r="P13" s="819"/>
      <c r="Q13" s="819"/>
      <c r="R13" s="820"/>
      <c r="S13" s="29"/>
      <c r="T13" s="20"/>
    </row>
    <row r="14" spans="1:27" ht="16.5" customHeight="1">
      <c r="A14" s="29"/>
      <c r="B14" s="9" t="s">
        <v>49</v>
      </c>
      <c r="C14" s="92">
        <f>CONSOLIDA!$G$208</f>
        <v>0</v>
      </c>
      <c r="D14" s="94"/>
      <c r="E14" s="852">
        <f t="shared" si="0"/>
        <v>0</v>
      </c>
      <c r="F14" s="852"/>
      <c r="G14" s="845" t="s">
        <v>50</v>
      </c>
      <c r="H14" s="846"/>
      <c r="I14" s="846"/>
      <c r="J14" s="846"/>
      <c r="K14" s="846"/>
      <c r="L14" s="846"/>
      <c r="M14" s="846"/>
      <c r="N14" s="846"/>
      <c r="O14" s="846"/>
      <c r="P14" s="846"/>
      <c r="Q14" s="846"/>
      <c r="R14" s="847"/>
      <c r="S14" s="29"/>
      <c r="T14" s="20"/>
    </row>
    <row r="15" spans="1:27" ht="16.5" customHeight="1">
      <c r="A15" s="29"/>
      <c r="B15" s="9" t="s">
        <v>51</v>
      </c>
      <c r="C15" s="92">
        <f>SUM(C12:C14)</f>
        <v>743378.59</v>
      </c>
      <c r="D15" s="114">
        <f>SUM(D12:D14)</f>
        <v>41893</v>
      </c>
      <c r="E15" s="844">
        <f t="shared" si="0"/>
        <v>785271.59</v>
      </c>
      <c r="F15" s="844"/>
      <c r="G15" s="848" t="s">
        <v>65</v>
      </c>
      <c r="H15" s="849"/>
      <c r="I15" s="818">
        <f>CONSOLIDA!$T$20</f>
        <v>0</v>
      </c>
      <c r="J15" s="819"/>
      <c r="K15" s="820"/>
      <c r="L15" s="10"/>
      <c r="M15" s="11"/>
      <c r="N15" s="12"/>
      <c r="O15" s="10"/>
      <c r="P15" s="11"/>
      <c r="Q15" s="10"/>
      <c r="R15" s="11"/>
      <c r="S15" s="29"/>
    </row>
    <row r="16" spans="1:27" ht="16.5" customHeight="1">
      <c r="A16" s="29"/>
      <c r="B16" s="9" t="s">
        <v>52</v>
      </c>
      <c r="C16" s="93">
        <f>CONSOLIDA!$H$208</f>
        <v>0</v>
      </c>
      <c r="D16" s="93">
        <f>CONSOLIDA!$L$208</f>
        <v>0</v>
      </c>
      <c r="E16" s="844">
        <f t="shared" si="0"/>
        <v>0</v>
      </c>
      <c r="F16" s="844"/>
      <c r="G16" s="13" t="s">
        <v>66</v>
      </c>
      <c r="H16" s="14"/>
      <c r="I16" s="10"/>
      <c r="J16" s="10"/>
      <c r="K16" s="11"/>
      <c r="L16" s="830">
        <f>CONSOLIDA!$T$18</f>
        <v>0</v>
      </c>
      <c r="M16" s="831"/>
      <c r="N16" s="15"/>
      <c r="O16" s="10"/>
      <c r="P16" s="11"/>
      <c r="Q16" s="10"/>
      <c r="R16" s="11"/>
      <c r="S16" s="29"/>
    </row>
    <row r="17" spans="1:19" ht="18.75" customHeight="1">
      <c r="A17" s="29"/>
      <c r="B17" s="16" t="s">
        <v>53</v>
      </c>
      <c r="C17" s="114">
        <f>CONSOLIDA!$I$208</f>
        <v>743378.59000000008</v>
      </c>
      <c r="D17" s="92">
        <f>CONSOLIDA!$M$208</f>
        <v>41893</v>
      </c>
      <c r="E17" s="844">
        <f t="shared" si="0"/>
        <v>785271.59000000008</v>
      </c>
      <c r="F17" s="844"/>
      <c r="G17" s="869" t="s">
        <v>67</v>
      </c>
      <c r="H17" s="869"/>
      <c r="I17" s="251"/>
      <c r="J17" s="251"/>
      <c r="K17" s="252"/>
      <c r="L17" s="850">
        <f>CONSOLIDA!$T$19</f>
        <v>0</v>
      </c>
      <c r="M17" s="851"/>
      <c r="N17" s="251"/>
      <c r="O17" s="251"/>
      <c r="P17" s="252"/>
      <c r="Q17" s="251"/>
      <c r="R17" s="252"/>
      <c r="S17" s="29"/>
    </row>
    <row r="18" spans="1:19" ht="16.5" customHeight="1">
      <c r="A18" s="29"/>
      <c r="B18" s="317"/>
      <c r="C18" s="318"/>
      <c r="D18" s="319"/>
      <c r="E18" s="861"/>
      <c r="F18" s="862"/>
      <c r="G18" s="848" t="s">
        <v>68</v>
      </c>
      <c r="H18" s="849"/>
      <c r="I18" s="10"/>
      <c r="J18" s="10"/>
      <c r="K18" s="11"/>
      <c r="L18" s="10"/>
      <c r="M18" s="11"/>
      <c r="N18" s="830">
        <f>SUM($L$16:$M$17)</f>
        <v>0</v>
      </c>
      <c r="O18" s="860"/>
      <c r="P18" s="831"/>
      <c r="Q18" s="10"/>
      <c r="R18" s="11"/>
      <c r="S18" s="29"/>
    </row>
    <row r="19" spans="1:19" ht="16.5" customHeight="1">
      <c r="A19" s="29"/>
      <c r="B19" s="317"/>
      <c r="C19" s="318"/>
      <c r="D19" s="318"/>
      <c r="E19" s="861"/>
      <c r="F19" s="862"/>
      <c r="G19" s="855" t="s">
        <v>69</v>
      </c>
      <c r="H19" s="856"/>
      <c r="I19" s="10"/>
      <c r="J19" s="10"/>
      <c r="K19" s="11"/>
      <c r="L19" s="10"/>
      <c r="M19" s="11"/>
      <c r="N19" s="10"/>
      <c r="O19" s="10"/>
      <c r="P19" s="11"/>
      <c r="Q19" s="830">
        <f>SUM($I$15,$N$18)</f>
        <v>0</v>
      </c>
      <c r="R19" s="831"/>
      <c r="S19" s="29"/>
    </row>
    <row r="20" spans="1:19">
      <c r="A20" s="29"/>
      <c r="B20" s="857"/>
      <c r="C20" s="858"/>
      <c r="D20" s="858"/>
      <c r="E20" s="858"/>
      <c r="F20" s="858"/>
      <c r="G20" s="858"/>
      <c r="H20" s="858"/>
      <c r="I20" s="858"/>
      <c r="J20" s="858"/>
      <c r="K20" s="858"/>
      <c r="L20" s="858"/>
      <c r="M20" s="858"/>
      <c r="N20" s="858"/>
      <c r="O20" s="858"/>
      <c r="P20" s="858"/>
      <c r="Q20" s="858"/>
      <c r="R20" s="859"/>
      <c r="S20" s="29"/>
    </row>
    <row r="21" spans="1:19">
      <c r="A21" s="29"/>
      <c r="B21" s="808" t="s">
        <v>54</v>
      </c>
      <c r="C21" s="809"/>
      <c r="D21" s="809"/>
      <c r="E21" s="809"/>
      <c r="F21" s="809"/>
      <c r="G21" s="809"/>
      <c r="H21" s="809"/>
      <c r="I21" s="809"/>
      <c r="J21" s="809"/>
      <c r="K21" s="809"/>
      <c r="L21" s="809"/>
      <c r="M21" s="809"/>
      <c r="N21" s="809"/>
      <c r="O21" s="809"/>
      <c r="P21" s="809"/>
      <c r="Q21" s="809"/>
      <c r="R21" s="810"/>
      <c r="S21" s="29"/>
    </row>
    <row r="22" spans="1:19">
      <c r="A22" s="29"/>
      <c r="B22" s="872"/>
      <c r="C22" s="873"/>
      <c r="D22" s="873"/>
      <c r="E22" s="873"/>
      <c r="F22" s="873"/>
      <c r="G22" s="873"/>
      <c r="H22" s="873"/>
      <c r="I22" s="873"/>
      <c r="J22" s="873"/>
      <c r="K22" s="873"/>
      <c r="L22" s="873"/>
      <c r="M22" s="873"/>
      <c r="N22" s="873"/>
      <c r="O22" s="873"/>
      <c r="P22" s="873"/>
      <c r="Q22" s="873"/>
      <c r="R22" s="874"/>
      <c r="S22" s="29"/>
    </row>
    <row r="23" spans="1:19" ht="12.75" customHeight="1">
      <c r="A23" s="29"/>
      <c r="B23" s="870" t="s">
        <v>63</v>
      </c>
      <c r="C23" s="871"/>
      <c r="D23" s="871"/>
      <c r="E23" s="854">
        <f>ATA!$Q$8</f>
        <v>0</v>
      </c>
      <c r="F23" s="854"/>
      <c r="G23" s="854"/>
      <c r="H23" s="244" t="s">
        <v>64</v>
      </c>
      <c r="I23" s="853" t="str">
        <f>IF(E23=0,"",(ATA!$I$2&amp;" / "&amp;ATA!$O$2&amp;" / "&amp;ATA!$Z$2))</f>
        <v/>
      </c>
      <c r="J23" s="854"/>
      <c r="K23" s="854"/>
      <c r="L23" s="854"/>
      <c r="M23" s="245"/>
      <c r="N23" s="245"/>
      <c r="O23" s="245"/>
      <c r="P23" s="245"/>
      <c r="Q23" s="245"/>
      <c r="R23" s="246"/>
      <c r="S23" s="29"/>
    </row>
    <row r="24" spans="1:19">
      <c r="A24" s="29"/>
      <c r="B24" s="878"/>
      <c r="C24" s="879"/>
      <c r="D24" s="879"/>
      <c r="E24" s="879"/>
      <c r="F24" s="879"/>
      <c r="G24" s="879"/>
      <c r="H24" s="879"/>
      <c r="I24" s="879"/>
      <c r="J24" s="879"/>
      <c r="K24" s="879"/>
      <c r="L24" s="879"/>
      <c r="M24" s="879"/>
      <c r="N24" s="879"/>
      <c r="O24" s="879"/>
      <c r="P24" s="879"/>
      <c r="Q24" s="879"/>
      <c r="R24" s="880"/>
      <c r="S24" s="29"/>
    </row>
    <row r="25" spans="1:19">
      <c r="A25" s="29"/>
      <c r="B25" s="875"/>
      <c r="C25" s="876"/>
      <c r="D25" s="876"/>
      <c r="E25" s="876"/>
      <c r="F25" s="876"/>
      <c r="G25" s="876"/>
      <c r="H25" s="876"/>
      <c r="I25" s="876"/>
      <c r="J25" s="876"/>
      <c r="K25" s="876"/>
      <c r="L25" s="876"/>
      <c r="M25" s="876"/>
      <c r="N25" s="876"/>
      <c r="O25" s="876"/>
      <c r="P25" s="876"/>
      <c r="Q25" s="876"/>
      <c r="R25" s="877"/>
      <c r="S25" s="29"/>
    </row>
    <row r="26" spans="1:19">
      <c r="A26" s="29"/>
      <c r="B26" s="875"/>
      <c r="C26" s="876"/>
      <c r="D26" s="876"/>
      <c r="E26" s="876"/>
      <c r="F26" s="876"/>
      <c r="G26" s="876"/>
      <c r="H26" s="876"/>
      <c r="I26" s="876"/>
      <c r="J26" s="876"/>
      <c r="K26" s="876"/>
      <c r="L26" s="876"/>
      <c r="M26" s="876"/>
      <c r="N26" s="876"/>
      <c r="O26" s="876"/>
      <c r="P26" s="876"/>
      <c r="Q26" s="876"/>
      <c r="R26" s="877"/>
      <c r="S26" s="29"/>
    </row>
    <row r="27" spans="1:19">
      <c r="A27" s="29"/>
      <c r="B27" s="875"/>
      <c r="C27" s="876"/>
      <c r="D27" s="876"/>
      <c r="E27" s="876"/>
      <c r="F27" s="876"/>
      <c r="G27" s="876"/>
      <c r="H27" s="876"/>
      <c r="I27" s="876"/>
      <c r="J27" s="876"/>
      <c r="K27" s="876"/>
      <c r="L27" s="876"/>
      <c r="M27" s="876"/>
      <c r="N27" s="876"/>
      <c r="O27" s="876"/>
      <c r="P27" s="876"/>
      <c r="Q27" s="876"/>
      <c r="R27" s="877"/>
      <c r="S27" s="29"/>
    </row>
    <row r="28" spans="1:19">
      <c r="A28" s="29"/>
      <c r="B28" s="875"/>
      <c r="C28" s="876"/>
      <c r="D28" s="876"/>
      <c r="E28" s="876"/>
      <c r="F28" s="876"/>
      <c r="G28" s="876"/>
      <c r="H28" s="876"/>
      <c r="I28" s="876"/>
      <c r="J28" s="876"/>
      <c r="K28" s="876"/>
      <c r="L28" s="876"/>
      <c r="M28" s="876"/>
      <c r="N28" s="876"/>
      <c r="O28" s="876"/>
      <c r="P28" s="876"/>
      <c r="Q28" s="876"/>
      <c r="R28" s="877"/>
      <c r="S28" s="29"/>
    </row>
    <row r="29" spans="1:19">
      <c r="A29" s="29"/>
      <c r="B29" s="875"/>
      <c r="C29" s="876"/>
      <c r="D29" s="876"/>
      <c r="E29" s="876"/>
      <c r="F29" s="876"/>
      <c r="G29" s="876"/>
      <c r="H29" s="876"/>
      <c r="I29" s="876"/>
      <c r="J29" s="876"/>
      <c r="K29" s="876"/>
      <c r="L29" s="876"/>
      <c r="M29" s="876"/>
      <c r="N29" s="876"/>
      <c r="O29" s="876"/>
      <c r="P29" s="876"/>
      <c r="Q29" s="876"/>
      <c r="R29" s="877"/>
      <c r="S29" s="29"/>
    </row>
    <row r="30" spans="1:19">
      <c r="A30" s="29"/>
      <c r="B30" s="875"/>
      <c r="C30" s="876"/>
      <c r="D30" s="876"/>
      <c r="E30" s="876"/>
      <c r="F30" s="876"/>
      <c r="G30" s="876"/>
      <c r="H30" s="876"/>
      <c r="I30" s="876"/>
      <c r="J30" s="876"/>
      <c r="K30" s="876"/>
      <c r="L30" s="876"/>
      <c r="M30" s="876"/>
      <c r="N30" s="876"/>
      <c r="O30" s="876"/>
      <c r="P30" s="876"/>
      <c r="Q30" s="876"/>
      <c r="R30" s="877"/>
      <c r="S30" s="29"/>
    </row>
    <row r="31" spans="1:19">
      <c r="A31" s="29"/>
      <c r="B31" s="875"/>
      <c r="C31" s="876"/>
      <c r="D31" s="876"/>
      <c r="E31" s="876"/>
      <c r="F31" s="876"/>
      <c r="G31" s="876"/>
      <c r="H31" s="876"/>
      <c r="I31" s="876"/>
      <c r="J31" s="876"/>
      <c r="K31" s="876"/>
      <c r="L31" s="876"/>
      <c r="M31" s="876"/>
      <c r="N31" s="876"/>
      <c r="O31" s="876"/>
      <c r="P31" s="876"/>
      <c r="Q31" s="876"/>
      <c r="R31" s="877"/>
      <c r="S31" s="29"/>
    </row>
    <row r="32" spans="1:19">
      <c r="A32" s="29"/>
      <c r="B32" s="875"/>
      <c r="C32" s="876"/>
      <c r="D32" s="876"/>
      <c r="E32" s="876"/>
      <c r="F32" s="876"/>
      <c r="G32" s="876"/>
      <c r="H32" s="876"/>
      <c r="I32" s="876"/>
      <c r="J32" s="876"/>
      <c r="K32" s="876"/>
      <c r="L32" s="876"/>
      <c r="M32" s="876"/>
      <c r="N32" s="876"/>
      <c r="O32" s="876"/>
      <c r="P32" s="876"/>
      <c r="Q32" s="876"/>
      <c r="R32" s="877"/>
      <c r="S32" s="29"/>
    </row>
    <row r="33" spans="1:19">
      <c r="A33" s="29"/>
      <c r="B33" s="881"/>
      <c r="C33" s="882"/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  <c r="O33" s="882"/>
      <c r="P33" s="882"/>
      <c r="Q33" s="882"/>
      <c r="R33" s="883"/>
      <c r="S33" s="29"/>
    </row>
    <row r="34" spans="1:19" ht="15.75" customHeight="1">
      <c r="A34" s="29"/>
      <c r="B34" s="808" t="s">
        <v>55</v>
      </c>
      <c r="C34" s="810"/>
      <c r="D34" s="808" t="s">
        <v>56</v>
      </c>
      <c r="E34" s="809"/>
      <c r="F34" s="809"/>
      <c r="G34" s="809"/>
      <c r="H34" s="809"/>
      <c r="I34" s="809"/>
      <c r="J34" s="809"/>
      <c r="K34" s="809"/>
      <c r="L34" s="809"/>
      <c r="M34" s="809"/>
      <c r="N34" s="809"/>
      <c r="O34" s="809"/>
      <c r="P34" s="809"/>
      <c r="Q34" s="809"/>
      <c r="R34" s="810"/>
      <c r="S34" s="29"/>
    </row>
    <row r="35" spans="1:19" ht="15.75" customHeight="1">
      <c r="A35" s="29"/>
      <c r="B35" s="887" t="s">
        <v>223</v>
      </c>
      <c r="C35" s="888"/>
      <c r="D35" s="884" t="s">
        <v>214</v>
      </c>
      <c r="E35" s="885"/>
      <c r="F35" s="886"/>
      <c r="G35" s="884" t="s">
        <v>214</v>
      </c>
      <c r="H35" s="885"/>
      <c r="I35" s="885"/>
      <c r="J35" s="885"/>
      <c r="K35" s="886"/>
      <c r="L35" s="884" t="s">
        <v>214</v>
      </c>
      <c r="M35" s="885"/>
      <c r="N35" s="885"/>
      <c r="O35" s="885"/>
      <c r="P35" s="885"/>
      <c r="Q35" s="885"/>
      <c r="R35" s="886"/>
      <c r="S35" s="29"/>
    </row>
    <row r="36" spans="1:19" ht="15.75" customHeight="1">
      <c r="A36" s="29"/>
      <c r="B36" s="889"/>
      <c r="C36" s="890"/>
      <c r="D36" s="866"/>
      <c r="E36" s="867"/>
      <c r="F36" s="868"/>
      <c r="G36" s="866"/>
      <c r="H36" s="867"/>
      <c r="I36" s="867"/>
      <c r="J36" s="867"/>
      <c r="K36" s="868"/>
      <c r="L36" s="866"/>
      <c r="M36" s="867"/>
      <c r="N36" s="867"/>
      <c r="O36" s="867"/>
      <c r="P36" s="867"/>
      <c r="Q36" s="867"/>
      <c r="R36" s="868"/>
      <c r="S36" s="29"/>
    </row>
    <row r="37" spans="1:19" ht="17.25" customHeight="1">
      <c r="A37" s="29"/>
      <c r="B37" s="889"/>
      <c r="C37" s="890"/>
      <c r="D37" s="896"/>
      <c r="E37" s="897"/>
      <c r="F37" s="898"/>
      <c r="G37" s="896"/>
      <c r="H37" s="897"/>
      <c r="I37" s="897"/>
      <c r="J37" s="897"/>
      <c r="K37" s="898"/>
      <c r="L37" s="902"/>
      <c r="M37" s="903"/>
      <c r="N37" s="903"/>
      <c r="O37" s="903"/>
      <c r="P37" s="903"/>
      <c r="Q37" s="903"/>
      <c r="R37" s="904"/>
      <c r="S37" s="29"/>
    </row>
    <row r="38" spans="1:19" ht="14.25" customHeight="1">
      <c r="A38" s="29"/>
      <c r="B38" s="889"/>
      <c r="C38" s="890"/>
      <c r="D38" s="899"/>
      <c r="E38" s="900"/>
      <c r="F38" s="901"/>
      <c r="G38" s="899"/>
      <c r="H38" s="900"/>
      <c r="I38" s="900"/>
      <c r="J38" s="900"/>
      <c r="K38" s="901"/>
      <c r="L38" s="905"/>
      <c r="M38" s="906"/>
      <c r="N38" s="906"/>
      <c r="O38" s="906"/>
      <c r="P38" s="906"/>
      <c r="Q38" s="906"/>
      <c r="R38" s="907"/>
      <c r="S38" s="29"/>
    </row>
    <row r="39" spans="1:19" ht="14.25" customHeight="1">
      <c r="A39" s="29"/>
      <c r="B39" s="889"/>
      <c r="C39" s="890"/>
      <c r="D39" s="863" t="s">
        <v>57</v>
      </c>
      <c r="E39" s="864"/>
      <c r="F39" s="865"/>
      <c r="G39" s="893" t="s">
        <v>58</v>
      </c>
      <c r="H39" s="894"/>
      <c r="I39" s="894"/>
      <c r="J39" s="894"/>
      <c r="K39" s="895"/>
      <c r="L39" s="893" t="s">
        <v>61</v>
      </c>
      <c r="M39" s="894"/>
      <c r="N39" s="894"/>
      <c r="O39" s="894"/>
      <c r="P39" s="894"/>
      <c r="Q39" s="894"/>
      <c r="R39" s="895"/>
      <c r="S39" s="29"/>
    </row>
    <row r="40" spans="1:19" ht="15.75" customHeight="1">
      <c r="A40" s="29"/>
      <c r="B40" s="891"/>
      <c r="C40" s="892"/>
      <c r="D40" s="32"/>
      <c r="E40" s="33"/>
      <c r="F40" s="34"/>
      <c r="G40" s="32"/>
      <c r="H40" s="33"/>
      <c r="I40" s="33"/>
      <c r="J40" s="33"/>
      <c r="K40" s="35"/>
      <c r="L40" s="36"/>
      <c r="M40" s="36"/>
      <c r="N40" s="37"/>
      <c r="O40" s="38"/>
      <c r="P40" s="36"/>
      <c r="Q40" s="36"/>
      <c r="R40" s="35"/>
      <c r="S40" s="29"/>
    </row>
    <row r="41" spans="1:19"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29"/>
      <c r="S41" s="29"/>
    </row>
    <row r="42" spans="1:19" hidden="1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</row>
  </sheetData>
  <sheetProtection password="F326" sheet="1" objects="1" scenarios="1"/>
  <mergeCells count="70">
    <mergeCell ref="B31:R31"/>
    <mergeCell ref="B33:R33"/>
    <mergeCell ref="B32:R32"/>
    <mergeCell ref="G35:K35"/>
    <mergeCell ref="L35:R35"/>
    <mergeCell ref="B34:C34"/>
    <mergeCell ref="D34:R34"/>
    <mergeCell ref="B35:C40"/>
    <mergeCell ref="D35:F35"/>
    <mergeCell ref="G36:K36"/>
    <mergeCell ref="L36:R36"/>
    <mergeCell ref="G39:K39"/>
    <mergeCell ref="D37:F38"/>
    <mergeCell ref="G37:K38"/>
    <mergeCell ref="L37:R38"/>
    <mergeCell ref="L39:R39"/>
    <mergeCell ref="D39:F39"/>
    <mergeCell ref="D36:F36"/>
    <mergeCell ref="E17:F17"/>
    <mergeCell ref="G17:H17"/>
    <mergeCell ref="L17:M17"/>
    <mergeCell ref="E18:F18"/>
    <mergeCell ref="B23:D23"/>
    <mergeCell ref="B22:R22"/>
    <mergeCell ref="B28:R28"/>
    <mergeCell ref="B29:R29"/>
    <mergeCell ref="B30:R30"/>
    <mergeCell ref="E23:G23"/>
    <mergeCell ref="B24:R24"/>
    <mergeCell ref="B25:R25"/>
    <mergeCell ref="B26:R26"/>
    <mergeCell ref="B27:R27"/>
    <mergeCell ref="I23:L23"/>
    <mergeCell ref="G18:H18"/>
    <mergeCell ref="G19:H19"/>
    <mergeCell ref="B20:R20"/>
    <mergeCell ref="B21:R21"/>
    <mergeCell ref="N18:P18"/>
    <mergeCell ref="Q19:R19"/>
    <mergeCell ref="E19:F19"/>
    <mergeCell ref="L16:M16"/>
    <mergeCell ref="E12:F12"/>
    <mergeCell ref="H12:I12"/>
    <mergeCell ref="M12:R12"/>
    <mergeCell ref="J12:L12"/>
    <mergeCell ref="J13:L13"/>
    <mergeCell ref="E16:F16"/>
    <mergeCell ref="G14:R14"/>
    <mergeCell ref="E15:F15"/>
    <mergeCell ref="G15:H15"/>
    <mergeCell ref="H13:I13"/>
    <mergeCell ref="I15:K15"/>
    <mergeCell ref="E14:F14"/>
    <mergeCell ref="E13:F13"/>
    <mergeCell ref="M8:R8"/>
    <mergeCell ref="M13:R13"/>
    <mergeCell ref="B10:F10"/>
    <mergeCell ref="G10:R10"/>
    <mergeCell ref="B8:C8"/>
    <mergeCell ref="B9:R9"/>
    <mergeCell ref="H8:I8"/>
    <mergeCell ref="K8:L8"/>
    <mergeCell ref="D8:G8"/>
    <mergeCell ref="E11:F11"/>
    <mergeCell ref="G11:R11"/>
    <mergeCell ref="B7:C7"/>
    <mergeCell ref="B6:R6"/>
    <mergeCell ref="D7:G7"/>
    <mergeCell ref="H7:L7"/>
    <mergeCell ref="M7:R7"/>
  </mergeCells>
  <phoneticPr fontId="7" type="noConversion"/>
  <conditionalFormatting sqref="E23:G23 I23:L23">
    <cfRule type="cellIs" dxfId="38" priority="1" stopIfTrue="1" operator="equal">
      <formula>0</formula>
    </cfRule>
  </conditionalFormatting>
  <printOptions horizontalCentered="1" verticalCentered="1"/>
  <pageMargins left="0" right="0" top="0.19685039370078741" bottom="0.19685039370078741" header="0.19685039370078741" footer="0.19685039370078741"/>
  <pageSetup paperSize="9" scale="95" orientation="landscape" r:id="rId1"/>
  <headerFooter alignWithMargins="0"/>
  <ignoredErrors>
    <ignoredError sqref="D14:D15 F17 C15 F12 F13 F14 F15 F16" evalError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pageSetUpPr fitToPage="1"/>
  </sheetPr>
  <dimension ref="A1:T47"/>
  <sheetViews>
    <sheetView showRowColHeaders="0" view="pageBreakPreview" zoomScale="90" zoomScaleNormal="80" zoomScaleSheetLayoutView="90" workbookViewId="0"/>
  </sheetViews>
  <sheetFormatPr defaultColWidth="0" defaultRowHeight="12.75" zeroHeight="1"/>
  <cols>
    <col min="1" max="1" width="4.140625" style="72" customWidth="1"/>
    <col min="2" max="2" width="6" customWidth="1"/>
    <col min="3" max="3" width="6.28515625" customWidth="1"/>
    <col min="4" max="4" width="9.140625" customWidth="1"/>
    <col min="5" max="5" width="24.42578125" customWidth="1"/>
    <col min="6" max="6" width="18" customWidth="1"/>
    <col min="7" max="7" width="13.28515625" bestFit="1" customWidth="1"/>
    <col min="8" max="10" width="12.140625" customWidth="1"/>
    <col min="11" max="11" width="12" customWidth="1"/>
    <col min="12" max="12" width="12.140625" customWidth="1"/>
    <col min="13" max="13" width="11.5703125" customWidth="1"/>
    <col min="14" max="14" width="11.140625" customWidth="1"/>
    <col min="15" max="15" width="4.140625" customWidth="1"/>
  </cols>
  <sheetData>
    <row r="1" spans="1:20" ht="12.75" customHeight="1" thickBot="1"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102" t="s">
        <v>163</v>
      </c>
      <c r="O1" s="72"/>
    </row>
    <row r="2" spans="1:20" ht="26.25" customHeight="1" thickBot="1">
      <c r="A2" s="240"/>
      <c r="B2" s="240"/>
      <c r="C2" s="240"/>
      <c r="D2" s="240"/>
      <c r="E2" s="240"/>
      <c r="F2" s="240"/>
      <c r="G2" s="196">
        <v>1</v>
      </c>
      <c r="H2" s="231" t="s">
        <v>27</v>
      </c>
      <c r="I2" s="196"/>
      <c r="J2" s="240"/>
      <c r="K2" s="196">
        <v>1</v>
      </c>
      <c r="L2" s="240"/>
      <c r="M2" s="241">
        <v>1</v>
      </c>
      <c r="N2" s="289">
        <f>CONSOLIDA!AV3</f>
        <v>1</v>
      </c>
      <c r="O2" s="72"/>
    </row>
    <row r="3" spans="1:20" ht="15" customHeight="1">
      <c r="B3" s="945"/>
      <c r="C3" s="945"/>
      <c r="D3" s="945"/>
      <c r="E3" s="945"/>
      <c r="F3" s="945"/>
      <c r="G3" s="945"/>
      <c r="H3" s="945"/>
      <c r="I3" s="945"/>
      <c r="J3" s="945"/>
      <c r="K3" s="945"/>
      <c r="L3" s="945"/>
      <c r="M3" s="945"/>
      <c r="N3" s="945"/>
      <c r="O3" s="72"/>
    </row>
    <row r="4" spans="1:20" s="66" customFormat="1" ht="27.75" customHeight="1">
      <c r="A4" s="195"/>
      <c r="B4" s="40"/>
      <c r="C4" s="41"/>
      <c r="D4" s="42"/>
      <c r="E4" s="42"/>
      <c r="F4" s="42"/>
      <c r="G4" s="42"/>
      <c r="H4" s="42"/>
      <c r="I4" s="40"/>
      <c r="J4" s="40"/>
      <c r="K4" s="40"/>
      <c r="L4" s="43"/>
      <c r="M4" s="40"/>
      <c r="N4" s="43" t="s">
        <v>73</v>
      </c>
      <c r="O4" s="73"/>
      <c r="P4" s="68"/>
      <c r="Q4" s="68"/>
      <c r="R4" s="68"/>
      <c r="S4" s="68"/>
      <c r="T4" s="67"/>
    </row>
    <row r="5" spans="1:20" s="66" customFormat="1" ht="15.75" customHeight="1">
      <c r="A5" s="195"/>
      <c r="B5" s="40"/>
      <c r="C5" s="41"/>
      <c r="D5" s="40"/>
      <c r="E5" s="40"/>
      <c r="F5" s="40"/>
      <c r="G5" s="40"/>
      <c r="H5" s="42"/>
      <c r="I5" s="40"/>
      <c r="J5" s="40"/>
      <c r="K5" s="44"/>
      <c r="L5" s="45"/>
      <c r="M5" s="40"/>
      <c r="N5" s="45" t="s">
        <v>74</v>
      </c>
      <c r="O5" s="74"/>
      <c r="P5" s="68"/>
      <c r="Q5" s="68"/>
      <c r="R5" s="68"/>
      <c r="S5" s="68"/>
      <c r="T5" s="69"/>
    </row>
    <row r="6" spans="1:20" ht="13.5" thickBo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2"/>
    </row>
    <row r="7" spans="1:20">
      <c r="B7" s="949" t="s">
        <v>3</v>
      </c>
      <c r="C7" s="950"/>
      <c r="D7" s="950"/>
      <c r="E7" s="950"/>
      <c r="F7" s="950"/>
      <c r="G7" s="950"/>
      <c r="H7" s="950"/>
      <c r="I7" s="950"/>
      <c r="J7" s="950"/>
      <c r="K7" s="950"/>
      <c r="L7" s="950"/>
      <c r="M7" s="950"/>
      <c r="N7" s="951"/>
      <c r="O7" s="72"/>
    </row>
    <row r="8" spans="1:20" ht="15.75" customHeight="1">
      <c r="B8" s="954" t="s">
        <v>28</v>
      </c>
      <c r="C8" s="955"/>
      <c r="D8" s="955"/>
      <c r="E8" s="955"/>
      <c r="F8" s="955"/>
      <c r="G8" s="956"/>
      <c r="H8" s="955" t="s">
        <v>75</v>
      </c>
      <c r="I8" s="956"/>
      <c r="J8" s="957" t="s">
        <v>36</v>
      </c>
      <c r="K8" s="955"/>
      <c r="L8" s="956"/>
      <c r="M8" s="957" t="s">
        <v>37</v>
      </c>
      <c r="N8" s="958"/>
      <c r="O8" s="72"/>
    </row>
    <row r="9" spans="1:20" ht="12.75" customHeight="1" thickBot="1">
      <c r="B9" s="961" t="str">
        <f>BASE!$D$5</f>
        <v>CAMPO LIMPO</v>
      </c>
      <c r="C9" s="959"/>
      <c r="D9" s="959"/>
      <c r="E9" s="959"/>
      <c r="F9" s="959"/>
      <c r="G9" s="960"/>
      <c r="H9" s="959" t="str">
        <f>BASE!$D$7</f>
        <v>46.392.114/0007-10</v>
      </c>
      <c r="I9" s="960"/>
      <c r="J9" s="116" t="str">
        <f>BASE!$D$11</f>
        <v>01/12/2019</v>
      </c>
      <c r="K9" s="115" t="s">
        <v>27</v>
      </c>
      <c r="L9" s="117" t="str">
        <f>BASE!$F$11</f>
        <v>31/10/2020</v>
      </c>
      <c r="M9" s="962">
        <f>BASE!$D$9</f>
        <v>2020</v>
      </c>
      <c r="N9" s="963"/>
      <c r="O9" s="72"/>
    </row>
    <row r="10" spans="1:20" ht="6.75" customHeight="1" thickBot="1">
      <c r="B10" s="821"/>
      <c r="C10" s="821"/>
      <c r="D10" s="821"/>
      <c r="E10" s="821"/>
      <c r="F10" s="821"/>
      <c r="G10" s="821"/>
      <c r="H10" s="821"/>
      <c r="I10" s="821"/>
      <c r="J10" s="821"/>
      <c r="K10" s="821"/>
      <c r="L10" s="821"/>
      <c r="M10" s="821"/>
      <c r="N10" s="821"/>
      <c r="O10" s="72"/>
    </row>
    <row r="11" spans="1:20">
      <c r="B11" s="949" t="s">
        <v>76</v>
      </c>
      <c r="C11" s="950"/>
      <c r="D11" s="950"/>
      <c r="E11" s="950"/>
      <c r="F11" s="950"/>
      <c r="G11" s="950"/>
      <c r="H11" s="950"/>
      <c r="I11" s="950"/>
      <c r="J11" s="950"/>
      <c r="K11" s="950"/>
      <c r="L11" s="950"/>
      <c r="M11" s="950"/>
      <c r="N11" s="951"/>
      <c r="O11" s="72"/>
    </row>
    <row r="12" spans="1:20" ht="14.1" customHeight="1">
      <c r="B12" s="952" t="s">
        <v>77</v>
      </c>
      <c r="C12" s="930" t="s">
        <v>71</v>
      </c>
      <c r="D12" s="931"/>
      <c r="E12" s="932"/>
      <c r="F12" s="119" t="s">
        <v>78</v>
      </c>
      <c r="G12" s="118" t="s">
        <v>79</v>
      </c>
      <c r="H12" s="942" t="s">
        <v>80</v>
      </c>
      <c r="I12" s="943"/>
      <c r="J12" s="944"/>
      <c r="K12" s="937" t="s">
        <v>81</v>
      </c>
      <c r="L12" s="938"/>
      <c r="M12" s="939"/>
      <c r="N12" s="120" t="s">
        <v>82</v>
      </c>
      <c r="O12" s="72"/>
    </row>
    <row r="13" spans="1:20" ht="14.1" customHeight="1" thickBot="1">
      <c r="B13" s="953"/>
      <c r="C13" s="946"/>
      <c r="D13" s="947"/>
      <c r="E13" s="948"/>
      <c r="F13" s="121"/>
      <c r="G13" s="122"/>
      <c r="H13" s="123" t="s">
        <v>7</v>
      </c>
      <c r="I13" s="124" t="s">
        <v>8</v>
      </c>
      <c r="J13" s="125" t="s">
        <v>11</v>
      </c>
      <c r="K13" s="126" t="s">
        <v>7</v>
      </c>
      <c r="L13" s="127" t="s">
        <v>8</v>
      </c>
      <c r="M13" s="125" t="s">
        <v>11</v>
      </c>
      <c r="N13" s="128" t="s">
        <v>83</v>
      </c>
      <c r="O13" s="72"/>
    </row>
    <row r="14" spans="1:20" ht="13.5" customHeight="1">
      <c r="B14" s="129" t="str">
        <f>IF($K$2="","",IF($K$2&gt;1,"",INDEX(CONSOLIDA!$AD$4:$AT$207,($K$2-1)*23+1,1)))</f>
        <v/>
      </c>
      <c r="C14" s="520">
        <f>IF($K$2="","",IF($K$2&gt;1,"",INDEX(CONSOLIDA!$AD$4:$AT$207,($K$2-1)*23+1,3)))</f>
        <v>0</v>
      </c>
      <c r="D14" s="940" t="str">
        <f>IF($K$2="","",IF($K$2&gt;1,"TRANSPORTADO....................",PROPER(INDEX(CONSOLIDA!$AD$4:$AT$207,($K$2-1)*23+1,4))))</f>
        <v/>
      </c>
      <c r="E14" s="941"/>
      <c r="F14" s="521">
        <f>IF($K$2="","",IF($K$2&gt;1,"",INDEX(CONSOLIDA!$AD$4:$AT$207,($K$2-1)*23+1,14)))</f>
        <v>0</v>
      </c>
      <c r="G14" s="493">
        <f>IF($K$2="","",IF($K$2&gt;1,"",INDEX(CONSOLIDA!$AD$4:$AT$207,($K$2-1)*23+1,15)))</f>
        <v>0</v>
      </c>
      <c r="H14" s="494">
        <f>IF($K$2="","",IF($K$2&gt;1,INDEX(CONSOLIDA!$AW$4:BE$13,($K$2)-1,1),INDEX(CONSOLIDA!$AD$4:$AT$207,($K$2-1)*23+1,5)))</f>
        <v>0</v>
      </c>
      <c r="I14" s="495">
        <f>IF($K$2="","",IF($K$2&gt;1,INDEX(CONSOLIDA!$AW$4:BE$13,($K$2)-1,2),INDEX(CONSOLIDA!$AD$4:$AT$207,($K$2-1)*23+1,6)))</f>
        <v>0</v>
      </c>
      <c r="J14" s="238">
        <f>IF($K$2="","",IF($K$2&gt;1,INDEX(CONSOLIDA!$AW$4:BE$13,($K$2)-1,5),INDEX(CONSOLIDA!$AD$4:$AT$207,($K$2-1)*23+1,9)))</f>
        <v>0</v>
      </c>
      <c r="K14" s="496">
        <f>IF($K$2="","",IF($K$2&gt;1,INDEX(CONSOLIDA!$AW$4:BE$13,($K$2)-1,6),INDEX(CONSOLIDA!$AD$4:$AT$207,($K$2-1)*23+1,10)))</f>
        <v>0</v>
      </c>
      <c r="L14" s="497">
        <f>IF($K$2="","",IF($K$2&gt;1,INDEX(CONSOLIDA!$AW$4:BE$13,($K$2)-1,7),INDEX(CONSOLIDA!$AD$4:$AT$207,($K$2-1)*23+1,11)))</f>
        <v>0</v>
      </c>
      <c r="M14" s="238">
        <f>IF($K$2="","",IF($K$2&gt;1,INDEX(CONSOLIDA!$AW$4:BE$13,($K$2)-1,9),INDEX(CONSOLIDA!$AD$4:$AT$207,($K$2-1)*23+1,13)))</f>
        <v>0</v>
      </c>
      <c r="N14" s="130">
        <f>IF($K$2="","",IF($K$2&gt;1,"",INDEX(CONSOLIDA!$AD$4:$AT$207,($K$2-1)*23+1,16)))</f>
        <v>0</v>
      </c>
      <c r="O14" s="72"/>
    </row>
    <row r="15" spans="1:20">
      <c r="B15" s="131" t="str">
        <f>IF($K$2="","",IF($K$2&gt;1,INDEX(CONSOLIDA!$AD$27:AT$207,($K$2-2)*22+1,1),INDEX(CONSOLIDA!$AD$4:$AT$207,($K$2-1)*23+2,1)))</f>
        <v/>
      </c>
      <c r="C15" s="522">
        <f>IF($K$2="","",IF($K$2&gt;1,(INDEX(CONSOLIDA!$AD$27:AT$207,($K$2-2)*22+1,3)),(INDEX(CONSOLIDA!$AD$4:$AT$207,($K$2-1)*23+2,3))))</f>
        <v>0</v>
      </c>
      <c r="D15" s="911" t="str">
        <f>IF($K$2="","",IF($K$2&gt;1,PROPER(INDEX(CONSOLIDA!$AD$27:AU$207,($K$2-2)*22+1,4)),PROPER(INDEX(CONSOLIDA!$AD$4:$AT$207,($K$2-1)*23+2,4))))</f>
        <v/>
      </c>
      <c r="E15" s="912"/>
      <c r="F15" s="523">
        <f>IF($K$2="","",IF($K$2&gt;1,INDEX(CONSOLIDA!$AD$27:AT$207,($K$2-2)*22+1,14),INDEX(CONSOLIDA!$AD$4:$AT$207,($K$2-1)*23+2,14)))</f>
        <v>0</v>
      </c>
      <c r="G15" s="132">
        <f>IF($K$2="","",IF($K$2&gt;1,INDEX(CONSOLIDA!$AD$27:AT$207,($K$2-2)*22+1,15),INDEX(CONSOLIDA!$AD$4:$AT$207,($K$2-1)*23+2,15)))</f>
        <v>0</v>
      </c>
      <c r="H15" s="253">
        <f>IF($K$2="","",IF($K$2&gt;1,(INDEX(CONSOLIDA!$AD$27:AT$207,($K$2-2)*22+1,5)),(INDEX(CONSOLIDA!$AD$4:$AT$207,($K$2-1)*23+2,5))))</f>
        <v>0</v>
      </c>
      <c r="I15" s="254">
        <f>IF($K$2="","",IF($K$2&gt;1,(INDEX(CONSOLIDA!$AD$27:AT$207,($K$2-2)*22+1,6)),(INDEX(CONSOLIDA!$AD$4:$AT$207,($K$2-1)*23+2,6))))</f>
        <v>0</v>
      </c>
      <c r="J15" s="237">
        <f>IF($K$2="","",IF($K$2&gt;1,(INDEX(CONSOLIDA!$AD$27:AT$207,($K$2-2)*22+1,9)),(INDEX(CONSOLIDA!$AD$4:$AT$207,($K$2-1)*23+2,9))))</f>
        <v>0</v>
      </c>
      <c r="K15" s="133">
        <f>IF($K$2="","",IF($K$2&gt;1,(INDEX(CONSOLIDA!$AD$27:AT$207,($K$2-2)*22+1,10)),(INDEX(CONSOLIDA!$AD$4:$AT$207,($K$2-1)*23+2,10))))</f>
        <v>0</v>
      </c>
      <c r="L15" s="134">
        <f>IF($K$2="","",IF($K$2&gt;1,(INDEX(CONSOLIDA!$AD$27:AT$207,($K$2-2)*22+1,11)),(INDEX(CONSOLIDA!$AD$4:$AT$207,($K$2-1)*23+2,11))))</f>
        <v>0</v>
      </c>
      <c r="M15" s="237">
        <f>IF($K$2="","",IF($K$2&gt;1,(INDEX(CONSOLIDA!$AD$27:AT$207,($K$2-2)*22+1,13)),(INDEX(CONSOLIDA!$AD$4:$AT$207,($K$2-1)*23+2,13))))</f>
        <v>0</v>
      </c>
      <c r="N15" s="135">
        <f>IF($K$2="","",IF($K$2&gt;1,(INDEX(CONSOLIDA!$AD$27:AT$207,($K$2-2)*22+1,16)),(INDEX(CONSOLIDA!$AD$4:$AT$207,($K$2-1)*23+2,16))))</f>
        <v>0</v>
      </c>
      <c r="O15" s="72"/>
    </row>
    <row r="16" spans="1:20">
      <c r="B16" s="131" t="str">
        <f>IF($K$2="","",IF($K$2&gt;1,INDEX(CONSOLIDA!$AD$27:AT$207,($K$2-2)*22+2,1),INDEX(CONSOLIDA!$AD$4:$AT$207,($K$2-1)*23+3,1)))</f>
        <v/>
      </c>
      <c r="C16" s="522">
        <f>IF($K$2="","",IF($K$2&gt;1,(INDEX(CONSOLIDA!$AD$27:AT$207,($K$2-2)*22+2,3)),(INDEX(CONSOLIDA!$AD$4:$AT$207,($K$2-1)*23+3,3))))</f>
        <v>0</v>
      </c>
      <c r="D16" s="911" t="str">
        <f>IF($K$2="","",IF($K$2&gt;1,PROPER(INDEX(CONSOLIDA!$AD$27:AU$207,($K$2-2)*22+2,4)),PROPER(INDEX(CONSOLIDA!$AD$4:$AT$207,($K$2-1)*23+3,4))))</f>
        <v/>
      </c>
      <c r="E16" s="912"/>
      <c r="F16" s="523">
        <f>IF($K$2="","",IF($K$2&gt;1,INDEX(CONSOLIDA!$AD$27:AT$207,($K$2-2)*22+2,14),INDEX(CONSOLIDA!$AD$4:$AT$207,($K$2-1)*23+3,14)))</f>
        <v>0</v>
      </c>
      <c r="G16" s="132">
        <f>IF($K$2="","",IF($K$2&gt;1,INDEX(CONSOLIDA!$AD$27:AT$207,($K$2-2)*22+2,15),INDEX(CONSOLIDA!$AD$4:$AT$207,($K$2-1)*23+3,15)))</f>
        <v>0</v>
      </c>
      <c r="H16" s="253">
        <f>IF($K$2="","",IF($K$2&gt;1,(INDEX(CONSOLIDA!$AD$27:AT$207,($K$2-2)*22+2,5)),(INDEX(CONSOLIDA!$AD$4:$AT$207,($K$2-1)*23+3,5))))</f>
        <v>0</v>
      </c>
      <c r="I16" s="254">
        <f>IF($K$2="","",IF($K$2&gt;1,(INDEX(CONSOLIDA!$AD$27:AT$207,($K$2-2)*22+2,6)),(INDEX(CONSOLIDA!$AD$4:$AT$207,($K$2-1)*23+3,6))))</f>
        <v>0</v>
      </c>
      <c r="J16" s="237">
        <f>IF($K$2="","",IF($K$2&gt;1,(INDEX(CONSOLIDA!$AD$27:AT$207,($K$2-2)*22+2,9)),(INDEX(CONSOLIDA!$AD$4:$AT$207,($K$2-1)*23+3,9))))</f>
        <v>0</v>
      </c>
      <c r="K16" s="133">
        <f>IF($K$2="","",IF($K$2&gt;1,(INDEX(CONSOLIDA!$AD$27:AT$207,($K$2-2)*22+2,10)),(INDEX(CONSOLIDA!$AD$4:$AT$207,($K$2-1)*23+3,10))))</f>
        <v>0</v>
      </c>
      <c r="L16" s="134">
        <f>IF($K$2="","",IF($K$2&gt;1,(INDEX(CONSOLIDA!$AD$27:AT$207,($K$2-2)*22+2,11)),(INDEX(CONSOLIDA!$AD$4:$AT$207,($K$2-1)*23+3,11))))</f>
        <v>0</v>
      </c>
      <c r="M16" s="237">
        <f>IF($K$2="","",IF($K$2&gt;1,(INDEX(CONSOLIDA!$AD$27:AT$207,($K$2-2)*22+2,13)),(INDEX(CONSOLIDA!$AD$4:$AT$207,($K$2-1)*23+3,13))))</f>
        <v>0</v>
      </c>
      <c r="N16" s="135">
        <f>IF($K$2="","",IF($K$2&gt;1,(INDEX(CONSOLIDA!$AD$27:AT$207,($K$2-2)*22+2,16)),(INDEX(CONSOLIDA!$AD$4:$AT$207,($K$2-1)*23+3,16))))</f>
        <v>0</v>
      </c>
      <c r="O16" s="72"/>
    </row>
    <row r="17" spans="2:15">
      <c r="B17" s="131" t="str">
        <f>IF($K$2="","",IF($K$2&gt;1,INDEX(CONSOLIDA!$AD$27:AT$207,($K$2-2)*22+3,1),INDEX(CONSOLIDA!$AD$4:$AT$207,($K$2-1)*23+4,1)))</f>
        <v/>
      </c>
      <c r="C17" s="522">
        <f>IF($K$2="","",IF($K$2&gt;1,(INDEX(CONSOLIDA!$AD$27:AT$207,($K$2-2)*22+3,3)),(INDEX(CONSOLIDA!$AD$4:$AT$207,($K$2-1)*23+4,3))))</f>
        <v>0</v>
      </c>
      <c r="D17" s="911" t="str">
        <f>IF($K$2="","",IF($K$2&gt;1,PROPER(INDEX(CONSOLIDA!$AD$27:AU$207,($K$2-2)*22+3,4)),PROPER(INDEX(CONSOLIDA!$AD$4:$AT$207,($K$2-1)*23+4,4))))</f>
        <v/>
      </c>
      <c r="E17" s="912"/>
      <c r="F17" s="523">
        <f>IF($K$2="","",IF($K$2&gt;1,INDEX(CONSOLIDA!$AD$27:AT$207,($K$2-2)*22+3,14),INDEX(CONSOLIDA!$AD$4:$AT$207,($K$2-1)*23+4,14)))</f>
        <v>0</v>
      </c>
      <c r="G17" s="132">
        <f>IF($K$2="","",IF($K$2&gt;1,INDEX(CONSOLIDA!$AD$27:AT$207,($K$2-2)*22+3,15),INDEX(CONSOLIDA!$AD$4:$AT$207,($K$2-1)*23+4,15)))</f>
        <v>0</v>
      </c>
      <c r="H17" s="253">
        <f>IF($K$2="","",IF($K$2&gt;1,(INDEX(CONSOLIDA!$AD$27:AT$207,($K$2-2)*22+3,5)),(INDEX(CONSOLIDA!$AD$4:$AT$207,($K$2-1)*23+4,5))))</f>
        <v>0</v>
      </c>
      <c r="I17" s="254">
        <f>IF($K$2="","",IF($K$2&gt;1,(INDEX(CONSOLIDA!$AD$27:AT$207,($K$2-2)*22+3,6)),(INDEX(CONSOLIDA!$AD$4:$AT$207,($K$2-1)*23+4,6))))</f>
        <v>0</v>
      </c>
      <c r="J17" s="237">
        <f>IF($K$2="","",IF($K$2&gt;1,(INDEX(CONSOLIDA!$AD$27:AT$207,($K$2-2)*22+3,9)),(INDEX(CONSOLIDA!$AD$4:$AT$207,($K$2-1)*23+4,9))))</f>
        <v>0</v>
      </c>
      <c r="K17" s="133">
        <f>IF($K$2="","",IF($K$2&gt;1,(INDEX(CONSOLIDA!$AD$27:AT$207,($K$2-2)*22+3,10)),(INDEX(CONSOLIDA!$AD$4:$AT$207,($K$2-1)*23+4,10))))</f>
        <v>0</v>
      </c>
      <c r="L17" s="134">
        <f>IF($K$2="","",IF($K$2&gt;1,(INDEX(CONSOLIDA!$AD$27:AT$207,($K$2-2)*22+3,11)),(INDEX(CONSOLIDA!$AD$4:$AT$207,($K$2-1)*23+4,11))))</f>
        <v>0</v>
      </c>
      <c r="M17" s="237">
        <f>IF($K$2="","",IF($K$2&gt;1,(INDEX(CONSOLIDA!$AD$27:AT$207,($K$2-2)*22+3,13)),(INDEX(CONSOLIDA!$AD$4:$AT$207,($K$2-1)*23+4,13))))</f>
        <v>0</v>
      </c>
      <c r="N17" s="135">
        <f>IF($K$2="","",IF($K$2&gt;1,(INDEX(CONSOLIDA!$AD$27:AT$207,($K$2-2)*22+3,16)),(INDEX(CONSOLIDA!$AD$4:$AT$207,($K$2-1)*23+4,16))))</f>
        <v>0</v>
      </c>
      <c r="O17" s="72"/>
    </row>
    <row r="18" spans="2:15">
      <c r="B18" s="131" t="str">
        <f>IF($K$2="","",IF($K$2&gt;1,INDEX(CONSOLIDA!$AD$27:AT$207,($K$2-2)*22+4,1),INDEX(CONSOLIDA!$AD$4:$AT$207,($K$2-1)*23+5,1)))</f>
        <v/>
      </c>
      <c r="C18" s="522">
        <f>IF($K$2="","",IF($K$2&gt;1,(INDEX(CONSOLIDA!$AD$27:AT$207,($K$2-2)*22+4,3)),(INDEX(CONSOLIDA!$AD$4:$AT$207,($K$2-1)*23+5,3))))</f>
        <v>0</v>
      </c>
      <c r="D18" s="911" t="str">
        <f>IF($K$2="","",IF($K$2&gt;1,PROPER(INDEX(CONSOLIDA!$AD$27:AU$207,($K$2-2)*22+4,4)),PROPER(INDEX(CONSOLIDA!$AD$4:$AT$207,($K$2-1)*23+5,4))))</f>
        <v/>
      </c>
      <c r="E18" s="912"/>
      <c r="F18" s="523">
        <f>IF($K$2="","",IF($K$2&gt;1,INDEX(CONSOLIDA!$AD$27:AT$207,($K$2-2)*22+4,14),INDEX(CONSOLIDA!$AD$4:$AT$207,($K$2-1)*23+5,14)))</f>
        <v>0</v>
      </c>
      <c r="G18" s="132">
        <f>IF($K$2="","",IF($K$2&gt;1,INDEX(CONSOLIDA!$AD$27:AT$207,($K$2-2)*22+4,15),INDEX(CONSOLIDA!$AD$4:$AT$207,($K$2-1)*23+5,15)))</f>
        <v>0</v>
      </c>
      <c r="H18" s="253">
        <f>IF($K$2="","",IF($K$2&gt;1,(INDEX(CONSOLIDA!$AD$27:AT$207,($K$2-2)*22+4,5)),(INDEX(CONSOLIDA!$AD$4:$AT$207,($K$2-1)*23+5,5))))</f>
        <v>0</v>
      </c>
      <c r="I18" s="254">
        <f>IF($K$2="","",IF($K$2&gt;1,(INDEX(CONSOLIDA!$AD$27:AT$207,($K$2-2)*22+4,6)),(INDEX(CONSOLIDA!$AD$4:$AT$207,($K$2-1)*23+5,6))))</f>
        <v>0</v>
      </c>
      <c r="J18" s="237">
        <f>IF($K$2="","",IF($K$2&gt;1,(INDEX(CONSOLIDA!$AD$27:AT$207,($K$2-2)*22+4,9)),(INDEX(CONSOLIDA!$AD$4:$AT$207,($K$2-1)*23+5,9))))</f>
        <v>0</v>
      </c>
      <c r="K18" s="133">
        <f>IF($K$2="","",IF($K$2&gt;1,(INDEX(CONSOLIDA!$AD$27:AT$207,($K$2-2)*22+4,10)),(INDEX(CONSOLIDA!$AD$4:$AT$207,($K$2-1)*23+5,10))))</f>
        <v>0</v>
      </c>
      <c r="L18" s="134">
        <f>IF($K$2="","",IF($K$2&gt;1,(INDEX(CONSOLIDA!$AD$27:AT$207,($K$2-2)*22+4,11)),(INDEX(CONSOLIDA!$AD$4:$AT$207,($K$2-1)*23+5,11))))</f>
        <v>0</v>
      </c>
      <c r="M18" s="237">
        <f>IF($K$2="","",IF($K$2&gt;1,(INDEX(CONSOLIDA!$AD$27:AT$207,($K$2-2)*22+4,13)),(INDEX(CONSOLIDA!$AD$4:$AT$207,($K$2-1)*23+5,13))))</f>
        <v>0</v>
      </c>
      <c r="N18" s="135">
        <f>IF($K$2="","",IF($K$2&gt;1,(INDEX(CONSOLIDA!$AD$27:AT$207,($K$2-2)*22+4,16)),(INDEX(CONSOLIDA!$AD$4:$AT$207,($K$2-1)*23+5,16))))</f>
        <v>0</v>
      </c>
      <c r="O18" s="72"/>
    </row>
    <row r="19" spans="2:15">
      <c r="B19" s="131" t="str">
        <f>IF($K$2="","",IF($K$2&gt;1,INDEX(CONSOLIDA!$AD$27:AT$207,($K$2-2)*22+5,1),INDEX(CONSOLIDA!$AD$4:$AT$207,($K$2-1)*23+6,1)))</f>
        <v/>
      </c>
      <c r="C19" s="522">
        <f>IF($K$2="","",IF($K$2&gt;1,(INDEX(CONSOLIDA!$AD$27:AT$207,($K$2-2)*22+5,3)),(INDEX(CONSOLIDA!$AD$4:$AT$207,($K$2-1)*23+6,3))))</f>
        <v>0</v>
      </c>
      <c r="D19" s="911" t="str">
        <f>IF($K$2="","",IF($K$2&gt;1,PROPER(INDEX(CONSOLIDA!$AD$27:AU$207,($K$2-2)*22+5,4)),PROPER(INDEX(CONSOLIDA!$AD$4:$AT$207,($K$2-1)*23+6,4))))</f>
        <v/>
      </c>
      <c r="E19" s="912"/>
      <c r="F19" s="523">
        <f>IF($K$2="","",IF($K$2&gt;1,INDEX(CONSOLIDA!$AD$27:AT$207,($K$2-2)*22+5,14),INDEX(CONSOLIDA!$AD$4:$AT$207,($K$2-1)*23+6,14)))</f>
        <v>0</v>
      </c>
      <c r="G19" s="132">
        <f>IF($K$2="","",IF($K$2&gt;1,INDEX(CONSOLIDA!$AD$27:AT$207,($K$2-2)*22+5,15),INDEX(CONSOLIDA!$AD$4:$AT$207,($K$2-1)*23+6,15)))</f>
        <v>0</v>
      </c>
      <c r="H19" s="253">
        <f>IF($K$2="","",IF($K$2&gt;1,(INDEX(CONSOLIDA!$AD$27:AT$207,($K$2-2)*22+5,5)),(INDEX(CONSOLIDA!$AD$4:$AT$207,($K$2-1)*23+6,5))))</f>
        <v>0</v>
      </c>
      <c r="I19" s="254">
        <f>IF($K$2="","",IF($K$2&gt;1,(INDEX(CONSOLIDA!$AD$27:AT$207,($K$2-2)*22+5,6)),(INDEX(CONSOLIDA!$AD$4:$AT$207,($K$2-1)*23+6,6))))</f>
        <v>0</v>
      </c>
      <c r="J19" s="237">
        <f>IF($K$2="","",IF($K$2&gt;1,(INDEX(CONSOLIDA!$AD$27:AT$207,($K$2-2)*22+5,9)),(INDEX(CONSOLIDA!$AD$4:$AT$207,($K$2-1)*23+6,9))))</f>
        <v>0</v>
      </c>
      <c r="K19" s="133">
        <f>IF($K$2="","",IF($K$2&gt;1,(INDEX(CONSOLIDA!$AD$27:AT$207,($K$2-2)*22+5,10)),(INDEX(CONSOLIDA!$AD$4:$AT$207,($K$2-1)*23+6,10))))</f>
        <v>0</v>
      </c>
      <c r="L19" s="134">
        <f>IF($K$2="","",IF($K$2&gt;1,(INDEX(CONSOLIDA!$AD$27:AT$207,($K$2-2)*22+5,11)),(INDEX(CONSOLIDA!$AD$4:$AT$207,($K$2-1)*23+6,11))))</f>
        <v>0</v>
      </c>
      <c r="M19" s="237">
        <f>IF($K$2="","",IF($K$2&gt;1,(INDEX(CONSOLIDA!$AD$27:AT$207,($K$2-2)*22+5,13)),(INDEX(CONSOLIDA!$AD$4:$AT$207,($K$2-1)*23+6,13))))</f>
        <v>0</v>
      </c>
      <c r="N19" s="135">
        <f>IF($K$2="","",IF($K$2&gt;1,(INDEX(CONSOLIDA!$AD$27:AT$207,($K$2-2)*22+5,16)),(INDEX(CONSOLIDA!$AD$4:$AT$207,($K$2-1)*23+6,16))))</f>
        <v>0</v>
      </c>
      <c r="O19" s="72"/>
    </row>
    <row r="20" spans="2:15">
      <c r="B20" s="131" t="str">
        <f>IF($K$2="","",IF($K$2&gt;1,INDEX(CONSOLIDA!$AD$27:AT$207,($K$2-2)*22+6,1),INDEX(CONSOLIDA!$AD$4:$AT$207,($K$2-1)*23+7,1)))</f>
        <v/>
      </c>
      <c r="C20" s="522">
        <f>IF($K$2="","",IF($K$2&gt;1,(INDEX(CONSOLIDA!$AD$27:AT$207,($K$2-2)*22+6,3)),(INDEX(CONSOLIDA!$AD$4:$AT$207,($K$2-1)*23+7,3))))</f>
        <v>0</v>
      </c>
      <c r="D20" s="911" t="str">
        <f>IF($K$2="","",IF($K$2&gt;1,PROPER(INDEX(CONSOLIDA!$AD$27:AU$207,($K$2-2)*22+6,4)),PROPER(INDEX(CONSOLIDA!$AD$4:$AT$207,($K$2-1)*23+7,4))))</f>
        <v/>
      </c>
      <c r="E20" s="912"/>
      <c r="F20" s="523">
        <f>IF($K$2="","",IF($K$2&gt;1,INDEX(CONSOLIDA!$AD$27:AT$207,($K$2-2)*22+6,14),INDEX(CONSOLIDA!$AD$4:$AT$207,($K$2-1)*23+7,14)))</f>
        <v>0</v>
      </c>
      <c r="G20" s="132">
        <f>IF($K$2="","",IF($K$2&gt;1,INDEX(CONSOLIDA!$AD$27:AT$207,($K$2-2)*22+6,15),INDEX(CONSOLIDA!$AD$4:$AT$207,($K$2-1)*23+7,15)))</f>
        <v>0</v>
      </c>
      <c r="H20" s="253">
        <f>IF($K$2="","",IF($K$2&gt;1,(INDEX(CONSOLIDA!$AD$27:AT$207,($K$2-2)*22+6,5)),(INDEX(CONSOLIDA!$AD$4:$AT$207,($K$2-1)*23+7,5))))</f>
        <v>0</v>
      </c>
      <c r="I20" s="254">
        <f>IF($K$2="","",IF($K$2&gt;1,(INDEX(CONSOLIDA!$AD$27:AT$207,($K$2-2)*22+6,6)),(INDEX(CONSOLIDA!$AD$4:$AT$207,($K$2-1)*23+7,6))))</f>
        <v>0</v>
      </c>
      <c r="J20" s="237">
        <f>IF($K$2="","",IF($K$2&gt;1,(INDEX(CONSOLIDA!$AD$27:AT$207,($K$2-2)*22+6,9)),(INDEX(CONSOLIDA!$AD$4:$AT$207,($K$2-1)*23+7,9))))</f>
        <v>0</v>
      </c>
      <c r="K20" s="133">
        <f>IF($K$2="","",IF($K$2&gt;1,(INDEX(CONSOLIDA!$AD$27:AT$207,($K$2-2)*22+6,10)),(INDEX(CONSOLIDA!$AD$4:$AT$207,($K$2-1)*23+7,10))))</f>
        <v>0</v>
      </c>
      <c r="L20" s="134">
        <f>IF($K$2="","",IF($K$2&gt;1,(INDEX(CONSOLIDA!$AD$27:AT$207,($K$2-2)*22+6,11)),(INDEX(CONSOLIDA!$AD$4:$AT$207,($K$2-1)*23+7,11))))</f>
        <v>0</v>
      </c>
      <c r="M20" s="237">
        <f>IF($K$2="","",IF($K$2&gt;1,(INDEX(CONSOLIDA!$AD$27:AT$207,($K$2-2)*22+6,13)),(INDEX(CONSOLIDA!$AD$4:$AT$207,($K$2-1)*23+7,13))))</f>
        <v>0</v>
      </c>
      <c r="N20" s="135">
        <f>IF($K$2="","",IF($K$2&gt;1,(INDEX(CONSOLIDA!$AD$27:AT$207,($K$2-2)*22+6,16)),(INDEX(CONSOLIDA!$AD$4:$AT$207,($K$2-1)*23+7,16))))</f>
        <v>0</v>
      </c>
      <c r="O20" s="72"/>
    </row>
    <row r="21" spans="2:15">
      <c r="B21" s="131" t="str">
        <f>IF($K$2="","",IF($K$2&gt;1,INDEX(CONSOLIDA!$AD$27:AT$207,($K$2-2)*22+7,1),INDEX(CONSOLIDA!$AD$4:$AT$207,($K$2-1)*23+8,1)))</f>
        <v/>
      </c>
      <c r="C21" s="522">
        <f>IF($K$2="","",IF($K$2&gt;1,(INDEX(CONSOLIDA!$AD$27:AT$207,($K$2-2)*22+7,3)),(INDEX(CONSOLIDA!$AD$4:$AT$207,($K$2-1)*23+8,3))))</f>
        <v>0</v>
      </c>
      <c r="D21" s="911" t="str">
        <f>IF($K$2="","",IF($K$2&gt;1,PROPER(INDEX(CONSOLIDA!$AD$27:AU$207,($K$2-2)*22+7,4)),PROPER(INDEX(CONSOLIDA!$AD$4:$AT$207,($K$2-1)*23+8,4))))</f>
        <v/>
      </c>
      <c r="E21" s="912"/>
      <c r="F21" s="523">
        <f>IF($K$2="","",IF($K$2&gt;1,INDEX(CONSOLIDA!$AD$27:AT$207,($K$2-2)*22+7,14),INDEX(CONSOLIDA!$AD$4:$AT$207,($K$2-1)*23+8,14)))</f>
        <v>0</v>
      </c>
      <c r="G21" s="132">
        <f>IF($K$2="","",IF($K$2&gt;1,INDEX(CONSOLIDA!$AD$27:AT$207,($K$2-2)*22+7,15),INDEX(CONSOLIDA!$AD$4:$AT$207,($K$2-1)*23+8,15)))</f>
        <v>0</v>
      </c>
      <c r="H21" s="253">
        <f>IF($K$2="","",IF($K$2&gt;1,(INDEX(CONSOLIDA!$AD$27:AT$207,($K$2-2)*22+7,5)),(INDEX(CONSOLIDA!$AD$4:$AT$207,($K$2-1)*23+8,5))))</f>
        <v>0</v>
      </c>
      <c r="I21" s="254">
        <f>IF($K$2="","",IF($K$2&gt;1,(INDEX(CONSOLIDA!$AD$27:AT$207,($K$2-2)*22+7,6)),(INDEX(CONSOLIDA!$AD$4:$AT$207,($K$2-1)*23+8,6))))</f>
        <v>0</v>
      </c>
      <c r="J21" s="237">
        <f>IF($K$2="","",IF($K$2&gt;1,(INDEX(CONSOLIDA!$AD$27:AT$207,($K$2-2)*22+7,9)),(INDEX(CONSOLIDA!$AD$4:$AT$207,($K$2-1)*23+8,9))))</f>
        <v>0</v>
      </c>
      <c r="K21" s="133">
        <f>IF($K$2="","",IF($K$2&gt;1,(INDEX(CONSOLIDA!$AD$27:AT$207,($K$2-2)*22+7,10)),(INDEX(CONSOLIDA!$AD$4:$AT$207,($K$2-1)*23+8,10))))</f>
        <v>0</v>
      </c>
      <c r="L21" s="134">
        <f>IF($K$2="","",IF($K$2&gt;1,(INDEX(CONSOLIDA!$AD$27:AT$207,($K$2-2)*22+7,11)),(INDEX(CONSOLIDA!$AD$4:$AT$207,($K$2-1)*23+8,11))))</f>
        <v>0</v>
      </c>
      <c r="M21" s="237">
        <f>IF($K$2="","",IF($K$2&gt;1,(INDEX(CONSOLIDA!$AD$27:AT$207,($K$2-2)*22+7,13)),(INDEX(CONSOLIDA!$AD$4:$AT$207,($K$2-1)*23+8,13))))</f>
        <v>0</v>
      </c>
      <c r="N21" s="135">
        <f>IF($K$2="","",IF($K$2&gt;1,(INDEX(CONSOLIDA!$AD$27:AT$207,($K$2-2)*22+7,16)),(INDEX(CONSOLIDA!$AD$4:$AT$207,($K$2-1)*23+8,16))))</f>
        <v>0</v>
      </c>
      <c r="O21" s="72"/>
    </row>
    <row r="22" spans="2:15">
      <c r="B22" s="131" t="str">
        <f>IF($K$2="","",IF($K$2&gt;1,INDEX(CONSOLIDA!$AD$27:AT$207,($K$2-2)*22+8,1),INDEX(CONSOLIDA!$AD$4:$AT$207,($K$2-1)*23+9,1)))</f>
        <v/>
      </c>
      <c r="C22" s="522">
        <f>IF($K$2="","",IF($K$2&gt;1,(INDEX(CONSOLIDA!$AD$27:AT$207,($K$2-2)*22+8,3)),(INDEX(CONSOLIDA!$AD$4:$AT$207,($K$2-1)*23+9,3))))</f>
        <v>0</v>
      </c>
      <c r="D22" s="911" t="str">
        <f>IF($K$2="","",IF($K$2&gt;1,PROPER(INDEX(CONSOLIDA!$AD$27:AU$207,($K$2-2)*22+8,4)),PROPER(INDEX(CONSOLIDA!$AD$4:$AT$207,($K$2-1)*23+9,4))))</f>
        <v/>
      </c>
      <c r="E22" s="912"/>
      <c r="F22" s="523">
        <f>IF($K$2="","",IF($K$2&gt;1,INDEX(CONSOLIDA!$AD$27:AT$207,($K$2-2)*22+8,14),INDEX(CONSOLIDA!$AD$4:$AT$207,($K$2-1)*23+9,14)))</f>
        <v>0</v>
      </c>
      <c r="G22" s="132">
        <f>IF($K$2="","",IF($K$2&gt;1,INDEX(CONSOLIDA!$AD$27:AT$207,($K$2-2)*22+8,15),INDEX(CONSOLIDA!$AD$4:$AT$207,($K$2-1)*23+9,15)))</f>
        <v>0</v>
      </c>
      <c r="H22" s="253">
        <f>IF($K$2="","",IF($K$2&gt;1,(INDEX(CONSOLIDA!$AD$27:AT$207,($K$2-2)*22+8,5)),(INDEX(CONSOLIDA!$AD$4:$AT$207,($K$2-1)*23+9,5))))</f>
        <v>0</v>
      </c>
      <c r="I22" s="254">
        <f>IF($K$2="","",IF($K$2&gt;1,(INDEX(CONSOLIDA!$AD$27:AT$207,($K$2-2)*22+8,6)),(INDEX(CONSOLIDA!$AD$4:$AT$207,($K$2-1)*23+9,6))))</f>
        <v>0</v>
      </c>
      <c r="J22" s="237">
        <f>IF($K$2="","",IF($K$2&gt;1,(INDEX(CONSOLIDA!$AD$27:AT$207,($K$2-2)*22+8,9)),(INDEX(CONSOLIDA!$AD$4:$AT$207,($K$2-1)*23+9,9))))</f>
        <v>0</v>
      </c>
      <c r="K22" s="133">
        <f>IF($K$2="","",IF($K$2&gt;1,(INDEX(CONSOLIDA!$AD$27:AT$207,($K$2-2)*22+8,10)),(INDEX(CONSOLIDA!$AD$4:$AT$207,($K$2-1)*23+9,10))))</f>
        <v>0</v>
      </c>
      <c r="L22" s="134">
        <f>IF($K$2="","",IF($K$2&gt;1,(INDEX(CONSOLIDA!$AD$27:AT$207,($K$2-2)*22+8,11)),(INDEX(CONSOLIDA!$AD$4:$AT$207,($K$2-1)*23+9,11))))</f>
        <v>0</v>
      </c>
      <c r="M22" s="237">
        <f>IF($K$2="","",IF($K$2&gt;1,(INDEX(CONSOLIDA!$AD$27:AT$207,($K$2-2)*22+8,13)),(INDEX(CONSOLIDA!$AD$4:$AT$207,($K$2-1)*23+9,13))))</f>
        <v>0</v>
      </c>
      <c r="N22" s="135">
        <f>IF($K$2="","",IF($K$2&gt;1,(INDEX(CONSOLIDA!$AD$27:AT$207,($K$2-2)*22+8,16)),(INDEX(CONSOLIDA!$AD$4:$AT$207,($K$2-1)*23+9,16))))</f>
        <v>0</v>
      </c>
      <c r="O22" s="72"/>
    </row>
    <row r="23" spans="2:15">
      <c r="B23" s="131" t="str">
        <f>IF($K$2="","",IF($K$2&gt;1,INDEX(CONSOLIDA!$AD$27:AT$207,($K$2-2)*22+9,1),INDEX(CONSOLIDA!$AD$4:$AT$207,($K$2-1)*23+10,1)))</f>
        <v/>
      </c>
      <c r="C23" s="522">
        <f>IF($K$2="","",IF($K$2&gt;1,(INDEX(CONSOLIDA!$AD$27:AT$207,($K$2-2)*22+9,3)),(INDEX(CONSOLIDA!$AD$4:$AT$207,($K$2-1)*23+10,3))))</f>
        <v>0</v>
      </c>
      <c r="D23" s="911" t="str">
        <f>IF($K$2="","",IF($K$2&gt;1,PROPER(INDEX(CONSOLIDA!$AD$27:AU$207,($K$2-2)*22+9,4)),PROPER(INDEX(CONSOLIDA!$AD$4:$AT$207,($K$2-1)*23+10,4))))</f>
        <v/>
      </c>
      <c r="E23" s="912"/>
      <c r="F23" s="523">
        <f>IF($K$2="","",IF($K$2&gt;1,INDEX(CONSOLIDA!$AD$27:AT$207,($K$2-2)*22+9,14),INDEX(CONSOLIDA!$AD$4:$AT$207,($K$2-1)*23+10,14)))</f>
        <v>0</v>
      </c>
      <c r="G23" s="132">
        <f>IF($K$2="","",IF($K$2&gt;1,INDEX(CONSOLIDA!$AD$27:AT$207,($K$2-2)*22+9,15),INDEX(CONSOLIDA!$AD$4:$AT$207,($K$2-1)*23+10,15)))</f>
        <v>0</v>
      </c>
      <c r="H23" s="253">
        <f>IF($K$2="","",IF($K$2&gt;1,(INDEX(CONSOLIDA!$AD$27:AT$207,($K$2-2)*22+9,5)),(INDEX(CONSOLIDA!$AD$4:$AT$207,($K$2-1)*23+10,5))))</f>
        <v>0</v>
      </c>
      <c r="I23" s="254">
        <f>IF($K$2="","",IF($K$2&gt;1,(INDEX(CONSOLIDA!$AD$27:AT$207,($K$2-2)*22+9,6)),(INDEX(CONSOLIDA!$AD$4:$AT$207,($K$2-1)*23+10,6))))</f>
        <v>0</v>
      </c>
      <c r="J23" s="237">
        <f>IF($K$2="","",IF($K$2&gt;1,(INDEX(CONSOLIDA!$AD$27:AT$207,($K$2-2)*22+9,9)),(INDEX(CONSOLIDA!$AD$4:$AT$207,($K$2-1)*23+10,9))))</f>
        <v>0</v>
      </c>
      <c r="K23" s="133">
        <f>IF($K$2="","",IF($K$2&gt;1,(INDEX(CONSOLIDA!$AD$27:AT$207,($K$2-2)*22+9,10)),(INDEX(CONSOLIDA!$AD$4:$AT$207,($K$2-1)*23+10,10))))</f>
        <v>0</v>
      </c>
      <c r="L23" s="134">
        <f>IF($K$2="","",IF($K$2&gt;1,(INDEX(CONSOLIDA!$AD$27:AT$207,($K$2-2)*22+9,11)),(INDEX(CONSOLIDA!$AD$4:$AT$207,($K$2-1)*23+10,11))))</f>
        <v>0</v>
      </c>
      <c r="M23" s="237">
        <f>IF($K$2="","",IF($K$2&gt;1,(INDEX(CONSOLIDA!$AD$27:AT$207,($K$2-2)*22+9,13)),(INDEX(CONSOLIDA!$AD$4:$AT$207,($K$2-1)*23+10,13))))</f>
        <v>0</v>
      </c>
      <c r="N23" s="135">
        <f>IF($K$2="","",IF($K$2&gt;1,(INDEX(CONSOLIDA!$AD$27:AT$207,($K$2-2)*22+9,16)),(INDEX(CONSOLIDA!$AD$4:$AT$207,($K$2-1)*23+10,16))))</f>
        <v>0</v>
      </c>
      <c r="O23" s="72"/>
    </row>
    <row r="24" spans="2:15">
      <c r="B24" s="131" t="str">
        <f>IF($K$2="","",IF($K$2&gt;1,INDEX(CONSOLIDA!$AD$27:AT$207,($K$2-2)*22+10,1),INDEX(CONSOLIDA!$AD$4:$AT$207,($K$2-1)*23+11,1)))</f>
        <v/>
      </c>
      <c r="C24" s="522">
        <f>IF($K$2="","",IF($K$2&gt;1,(INDEX(CONSOLIDA!$AD$27:AT$207,($K$2-2)*22+10,3)),(INDEX(CONSOLIDA!$AD$4:$AT$207,($K$2-1)*23+11,3))))</f>
        <v>0</v>
      </c>
      <c r="D24" s="911" t="str">
        <f>IF($K$2="","",IF($K$2&gt;1,PROPER(INDEX(CONSOLIDA!$AD$27:AU$207,($K$2-2)*22+10,4)),PROPER(INDEX(CONSOLIDA!$AD$4:$AT$207,($K$2-1)*23+11,4))))</f>
        <v/>
      </c>
      <c r="E24" s="912"/>
      <c r="F24" s="523">
        <f>IF($K$2="","",IF($K$2&gt;1,INDEX(CONSOLIDA!$AD$27:AT$207,($K$2-2)*22+10,14),INDEX(CONSOLIDA!$AD$4:$AT$207,($K$2-1)*23+11,14)))</f>
        <v>0</v>
      </c>
      <c r="G24" s="132">
        <f>IF($K$2="","",IF($K$2&gt;1,INDEX(CONSOLIDA!$AD$27:AT$207,($K$2-2)*22+10,15),INDEX(CONSOLIDA!$AD$4:$AT$207,($K$2-1)*23+11,15)))</f>
        <v>0</v>
      </c>
      <c r="H24" s="253">
        <f>IF($K$2="","",IF($K$2&gt;1,(INDEX(CONSOLIDA!$AD$27:AT$207,($K$2-2)*22+10,5)),(INDEX(CONSOLIDA!$AD$4:$AT$207,($K$2-1)*23+11,5))))</f>
        <v>0</v>
      </c>
      <c r="I24" s="254">
        <f>IF($K$2="","",IF($K$2&gt;1,(INDEX(CONSOLIDA!$AD$27:AT$207,($K$2-2)*22+10,6)),(INDEX(CONSOLIDA!$AD$4:$AT$207,($K$2-1)*23+11,6))))</f>
        <v>0</v>
      </c>
      <c r="J24" s="237">
        <f>IF($K$2="","",IF($K$2&gt;1,(INDEX(CONSOLIDA!$AD$27:AT$207,($K$2-2)*22+10,9)),(INDEX(CONSOLIDA!$AD$4:$AT$207,($K$2-1)*23+11,9))))</f>
        <v>0</v>
      </c>
      <c r="K24" s="133">
        <f>IF($K$2="","",IF($K$2&gt;1,(INDEX(CONSOLIDA!$AD$27:AT$207,($K$2-2)*22+10,10)),(INDEX(CONSOLIDA!$AD$4:$AT$207,($K$2-1)*23+11,10))))</f>
        <v>0</v>
      </c>
      <c r="L24" s="134">
        <f>IF($K$2="","",IF($K$2&gt;1,(INDEX(CONSOLIDA!$AD$27:AT$207,($K$2-2)*22+10,11)),(INDEX(CONSOLIDA!$AD$4:$AT$207,($K$2-1)*23+11,11))))</f>
        <v>0</v>
      </c>
      <c r="M24" s="237">
        <f>IF($K$2="","",IF($K$2&gt;1,(INDEX(CONSOLIDA!$AD$27:AT$207,($K$2-2)*22+10,13)),(INDEX(CONSOLIDA!$AD$4:$AT$207,($K$2-1)*23+11,13))))</f>
        <v>0</v>
      </c>
      <c r="N24" s="135">
        <f>IF($K$2="","",IF($K$2&gt;1,(INDEX(CONSOLIDA!$AD$27:AT$207,($K$2-2)*22+10,16)),(INDEX(CONSOLIDA!$AD$4:$AT$207,($K$2-1)*23+11,16))))</f>
        <v>0</v>
      </c>
      <c r="O24" s="72"/>
    </row>
    <row r="25" spans="2:15" ht="12.75" customHeight="1">
      <c r="B25" s="131" t="str">
        <f>IF($K$2="","",IF($K$2&gt;1,INDEX(CONSOLIDA!$AD$27:AT$207,($K$2-2)*22+11,1),INDEX(CONSOLIDA!$AD$4:$AT$207,($K$2-1)*23+12,1)))</f>
        <v/>
      </c>
      <c r="C25" s="522">
        <f>IF($K$2="","",IF($K$2&gt;1,(INDEX(CONSOLIDA!$AD$27:AT$207,($K$2-2)*22+11,3)),(INDEX(CONSOLIDA!$AD$4:$AT$207,($K$2-1)*23+12,3))))</f>
        <v>0</v>
      </c>
      <c r="D25" s="911" t="str">
        <f>IF($K$2="","",IF($K$2&gt;1,PROPER(INDEX(CONSOLIDA!$AD$27:AU$207,($K$2-2)*22+11,4)),PROPER(INDEX(CONSOLIDA!$AD$4:$AT$207,($K$2-1)*23+12,4))))</f>
        <v/>
      </c>
      <c r="E25" s="912"/>
      <c r="F25" s="523">
        <f>IF($K$2="","",IF($K$2&gt;1,INDEX(CONSOLIDA!$AD$27:AT$207,($K$2-2)*22+11,14),INDEX(CONSOLIDA!$AD$4:$AT$207,($K$2-1)*23+12,14)))</f>
        <v>0</v>
      </c>
      <c r="G25" s="132">
        <f>IF($K$2="","",IF($K$2&gt;1,INDEX(CONSOLIDA!$AD$27:AT$207,($K$2-2)*22+11,15),INDEX(CONSOLIDA!$AD$4:$AT$207,($K$2-1)*23+12,15)))</f>
        <v>0</v>
      </c>
      <c r="H25" s="253">
        <f>IF($K$2="","",IF($K$2&gt;1,(INDEX(CONSOLIDA!$AD$27:AT$207,($K$2-2)*22+11,5)),(INDEX(CONSOLIDA!$AD$4:$AT$207,($K$2-1)*23+12,5))))</f>
        <v>0</v>
      </c>
      <c r="I25" s="254">
        <f>IF($K$2="","",IF($K$2&gt;1,(INDEX(CONSOLIDA!$AD$27:AT$207,($K$2-2)*22+11,6)),(INDEX(CONSOLIDA!$AD$4:$AT$207,($K$2-1)*23+12,6))))</f>
        <v>0</v>
      </c>
      <c r="J25" s="237">
        <f>IF($K$2="","",IF($K$2&gt;1,(INDEX(CONSOLIDA!$AD$27:AT$207,($K$2-2)*22+11,9)),(INDEX(CONSOLIDA!$AD$4:$AT$207,($K$2-1)*23+12,9))))</f>
        <v>0</v>
      </c>
      <c r="K25" s="133">
        <f>IF($K$2="","",IF($K$2&gt;1,(INDEX(CONSOLIDA!$AD$27:AT$207,($K$2-2)*22+11,10)),(INDEX(CONSOLIDA!$AD$4:$AT$207,($K$2-1)*23+12,10))))</f>
        <v>0</v>
      </c>
      <c r="L25" s="134">
        <f>IF($K$2="","",IF($K$2&gt;1,(INDEX(CONSOLIDA!$AD$27:AT$207,($K$2-2)*22+11,11)),(INDEX(CONSOLIDA!$AD$4:$AT$207,($K$2-1)*23+12,11))))</f>
        <v>0</v>
      </c>
      <c r="M25" s="237">
        <f>IF($K$2="","",IF($K$2&gt;1,(INDEX(CONSOLIDA!$AD$27:AT$207,($K$2-2)*22+11,13)),(INDEX(CONSOLIDA!$AD$4:$AT$207,($K$2-1)*23+12,13))))</f>
        <v>0</v>
      </c>
      <c r="N25" s="135">
        <f>IF($K$2="","",IF($K$2&gt;1,(INDEX(CONSOLIDA!$AD$27:AT$207,($K$2-2)*22+11,16)),(INDEX(CONSOLIDA!$AD$4:$AT$207,($K$2-1)*23+12,16))))</f>
        <v>0</v>
      </c>
      <c r="O25" s="72"/>
    </row>
    <row r="26" spans="2:15">
      <c r="B26" s="131" t="str">
        <f>IF($K$2="","",IF($K$2&gt;1,INDEX(CONSOLIDA!$AD$27:AT$207,($K$2-2)*22+12,1),INDEX(CONSOLIDA!$AD$4:$AT$207,($K$2-1)*23+13,1)))</f>
        <v/>
      </c>
      <c r="C26" s="522">
        <f>IF($K$2="","",IF($K$2&gt;1,(INDEX(CONSOLIDA!$AD$27:AT$207,($K$2-2)*22+12,3)),(INDEX(CONSOLIDA!$AD$4:$AT$207,($K$2-1)*23+13,3))))</f>
        <v>0</v>
      </c>
      <c r="D26" s="911" t="str">
        <f>IF($K$2="","",IF($K$2&gt;1,PROPER(INDEX(CONSOLIDA!$AD$27:AU$207,($K$2-2)*22+12,4)),PROPER(INDEX(CONSOLIDA!$AD$4:$AT$207,($K$2-1)*23+13,4))))</f>
        <v/>
      </c>
      <c r="E26" s="912"/>
      <c r="F26" s="523">
        <f>IF($K$2="","",IF($K$2&gt;1,INDEX(CONSOLIDA!$AD$27:AT$207,($K$2-2)*22+12,14),INDEX(CONSOLIDA!$AD$4:$AT$207,($K$2-1)*23+13,14)))</f>
        <v>0</v>
      </c>
      <c r="G26" s="132">
        <f>IF($K$2="","",IF($K$2&gt;1,INDEX(CONSOLIDA!$AD$27:AT$207,($K$2-2)*22+12,15),INDEX(CONSOLIDA!$AD$4:$AT$207,($K$2-1)*23+13,15)))</f>
        <v>0</v>
      </c>
      <c r="H26" s="253">
        <f>IF($K$2="","",IF($K$2&gt;1,(INDEX(CONSOLIDA!$AD$27:AT$207,($K$2-2)*22+12,5)),(INDEX(CONSOLIDA!$AD$4:$AT$207,($K$2-1)*23+13,5))))</f>
        <v>0</v>
      </c>
      <c r="I26" s="254">
        <f>IF($K$2="","",IF($K$2&gt;1,(INDEX(CONSOLIDA!$AD$27:AT$207,($K$2-2)*22+12,6)),(INDEX(CONSOLIDA!$AD$4:$AT$207,($K$2-1)*23+13,6))))</f>
        <v>0</v>
      </c>
      <c r="J26" s="237">
        <f>IF($K$2="","",IF($K$2&gt;1,(INDEX(CONSOLIDA!$AD$27:AT$207,($K$2-2)*22+12,9)),(INDEX(CONSOLIDA!$AD$4:$AT$207,($K$2-1)*23+13,9))))</f>
        <v>0</v>
      </c>
      <c r="K26" s="133">
        <f>IF($K$2="","",IF($K$2&gt;1,(INDEX(CONSOLIDA!$AD$27:AT$207,($K$2-2)*22+12,10)),(INDEX(CONSOLIDA!$AD$4:$AT$207,($K$2-1)*23+13,10))))</f>
        <v>0</v>
      </c>
      <c r="L26" s="134">
        <f>IF($K$2="","",IF($K$2&gt;1,(INDEX(CONSOLIDA!$AD$27:AT$207,($K$2-2)*22+12,11)),(INDEX(CONSOLIDA!$AD$4:$AT$207,($K$2-1)*23+13,11))))</f>
        <v>0</v>
      </c>
      <c r="M26" s="237">
        <f>IF($K$2="","",IF($K$2&gt;1,(INDEX(CONSOLIDA!$AD$27:AT$207,($K$2-2)*22+12,13)),(INDEX(CONSOLIDA!$AD$4:$AT$207,($K$2-1)*23+13,13))))</f>
        <v>0</v>
      </c>
      <c r="N26" s="135">
        <f>IF($K$2="","",IF($K$2&gt;1,(INDEX(CONSOLIDA!$AD$27:AT$207,($K$2-2)*22+12,16)),(INDEX(CONSOLIDA!$AD$4:$AT$207,($K$2-1)*23+13,16))))</f>
        <v>0</v>
      </c>
      <c r="O26" s="72"/>
    </row>
    <row r="27" spans="2:15">
      <c r="B27" s="131" t="str">
        <f>IF($K$2="","",IF($K$2&gt;1,INDEX(CONSOLIDA!$AD$27:AT$207,($K$2-2)*22+13,1),INDEX(CONSOLIDA!$AD$4:$AT$207,($K$2-1)*23+14,1)))</f>
        <v/>
      </c>
      <c r="C27" s="522">
        <f>IF($K$2="","",IF($K$2&gt;1,(INDEX(CONSOLIDA!$AD$27:AT$207,($K$2-2)*22+13,3)),(INDEX(CONSOLIDA!$AD$4:$AT$207,($K$2-1)*23+14,3))))</f>
        <v>0</v>
      </c>
      <c r="D27" s="911" t="str">
        <f>IF($K$2="","",IF($K$2&gt;1,PROPER(INDEX(CONSOLIDA!$AD$27:AU$207,($K$2-2)*22+13,4)),PROPER(INDEX(CONSOLIDA!$AD$4:$AT$207,($K$2-1)*23+14,4))))</f>
        <v/>
      </c>
      <c r="E27" s="912"/>
      <c r="F27" s="523">
        <f>IF($K$2="","",IF($K$2&gt;1,INDEX(CONSOLIDA!$AD$27:AT$207,($K$2-2)*22+13,14),INDEX(CONSOLIDA!$AD$4:$AT$207,($K$2-1)*23+14,14)))</f>
        <v>0</v>
      </c>
      <c r="G27" s="132">
        <f>IF($K$2="","",IF($K$2&gt;1,INDEX(CONSOLIDA!$AD$27:AT$207,($K$2-2)*22+13,15),INDEX(CONSOLIDA!$AD$4:$AT$207,($K$2-1)*23+14,15)))</f>
        <v>0</v>
      </c>
      <c r="H27" s="253">
        <f>IF($K$2="","",IF($K$2&gt;1,(INDEX(CONSOLIDA!$AD$27:AT$207,($K$2-2)*22+13,5)),(INDEX(CONSOLIDA!$AD$4:$AT$207,($K$2-1)*23+14,5))))</f>
        <v>0</v>
      </c>
      <c r="I27" s="254">
        <f>IF($K$2="","",IF($K$2&gt;1,(INDEX(CONSOLIDA!$AD$27:AT$207,($K$2-2)*22+13,6)),(INDEX(CONSOLIDA!$AD$4:$AT$207,($K$2-1)*23+14,6))))</f>
        <v>0</v>
      </c>
      <c r="J27" s="237">
        <f>IF($K$2="","",IF($K$2&gt;1,(INDEX(CONSOLIDA!$AD$27:AT$207,($K$2-2)*22+13,9)),(INDEX(CONSOLIDA!$AD$4:$AT$207,($K$2-1)*23+14,9))))</f>
        <v>0</v>
      </c>
      <c r="K27" s="133">
        <f>IF($K$2="","",IF($K$2&gt;1,(INDEX(CONSOLIDA!$AD$27:AT$207,($K$2-2)*22+13,10)),(INDEX(CONSOLIDA!$AD$4:$AT$207,($K$2-1)*23+14,10))))</f>
        <v>0</v>
      </c>
      <c r="L27" s="134">
        <f>IF($K$2="","",IF($K$2&gt;1,(INDEX(CONSOLIDA!$AD$27:AT$207,($K$2-2)*22+13,11)),(INDEX(CONSOLIDA!$AD$4:$AT$207,($K$2-1)*23+14,11))))</f>
        <v>0</v>
      </c>
      <c r="M27" s="237">
        <f>IF($K$2="","",IF($K$2&gt;1,(INDEX(CONSOLIDA!$AD$27:AT$207,($K$2-2)*22+13,13)),(INDEX(CONSOLIDA!$AD$4:$AT$207,($K$2-1)*23+14,13))))</f>
        <v>0</v>
      </c>
      <c r="N27" s="135">
        <f>IF($K$2="","",IF($K$2&gt;1,(INDEX(CONSOLIDA!$AD$27:AT$207,($K$2-2)*22+13,16)),(INDEX(CONSOLIDA!$AD$4:$AT$207,($K$2-1)*23+14,16))))</f>
        <v>0</v>
      </c>
      <c r="O27" s="72"/>
    </row>
    <row r="28" spans="2:15">
      <c r="B28" s="131" t="str">
        <f>IF($K$2="","",IF($K$2&gt;1,INDEX(CONSOLIDA!$AD$27:AT$207,($K$2-2)*22+14,1),INDEX(CONSOLIDA!$AD$4:$AT$207,($K$2-1)*23+15,1)))</f>
        <v/>
      </c>
      <c r="C28" s="522">
        <f>IF($K$2="","",IF($K$2&gt;1,(INDEX(CONSOLIDA!$AD$27:AT$207,($K$2-2)*22+14,3)),(INDEX(CONSOLIDA!$AD$4:$AT$207,($K$2-1)*23+15,3))))</f>
        <v>0</v>
      </c>
      <c r="D28" s="911" t="str">
        <f>IF($K$2="","",IF($K$2&gt;1,PROPER(INDEX(CONSOLIDA!$AD$27:AU$207,($K$2-2)*22+14,4)),PROPER(INDEX(CONSOLIDA!$AD$4:$AT$207,($K$2-1)*23+15,4))))</f>
        <v/>
      </c>
      <c r="E28" s="912"/>
      <c r="F28" s="523">
        <f>IF($K$2="","",IF($K$2&gt;1,INDEX(CONSOLIDA!$AD$27:AT$207,($K$2-2)*22+14,14),INDEX(CONSOLIDA!$AD$4:$AT$207,($K$2-1)*23+15,14)))</f>
        <v>0</v>
      </c>
      <c r="G28" s="132">
        <f>IF($K$2="","",IF($K$2&gt;1,INDEX(CONSOLIDA!$AD$27:AT$207,($K$2-2)*22+14,15),INDEX(CONSOLIDA!$AD$4:$AT$207,($K$2-1)*23+15,15)))</f>
        <v>0</v>
      </c>
      <c r="H28" s="253">
        <f>IF($K$2="","",IF($K$2&gt;1,(INDEX(CONSOLIDA!$AD$27:AT$207,($K$2-2)*22+14,5)),(INDEX(CONSOLIDA!$AD$4:$AT$207,($K$2-1)*23+15,5))))</f>
        <v>0</v>
      </c>
      <c r="I28" s="254">
        <f>IF($K$2="","",IF($K$2&gt;1,(INDEX(CONSOLIDA!$AD$27:AT$207,($K$2-2)*22+14,6)),(INDEX(CONSOLIDA!$AD$4:$AT$207,($K$2-1)*23+15,6))))</f>
        <v>0</v>
      </c>
      <c r="J28" s="237">
        <f>IF($K$2="","",IF($K$2&gt;1,(INDEX(CONSOLIDA!$AD$27:AT$207,($K$2-2)*22+14,9)),(INDEX(CONSOLIDA!$AD$4:$AT$207,($K$2-1)*23+15,9))))</f>
        <v>0</v>
      </c>
      <c r="K28" s="133">
        <f>IF($K$2="","",IF($K$2&gt;1,(INDEX(CONSOLIDA!$AD$27:AT$207,($K$2-2)*22+14,10)),(INDEX(CONSOLIDA!$AD$4:$AT$207,($K$2-1)*23+15,10))))</f>
        <v>0</v>
      </c>
      <c r="L28" s="134">
        <f>IF($K$2="","",IF($K$2&gt;1,(INDEX(CONSOLIDA!$AD$27:AT$207,($K$2-2)*22+14,11)),(INDEX(CONSOLIDA!$AD$4:$AT$207,($K$2-1)*23+15,11))))</f>
        <v>0</v>
      </c>
      <c r="M28" s="237">
        <f>IF($K$2="","",IF($K$2&gt;1,(INDEX(CONSOLIDA!$AD$27:AT$207,($K$2-2)*22+14,13)),(INDEX(CONSOLIDA!$AD$4:$AT$207,($K$2-1)*23+15,13))))</f>
        <v>0</v>
      </c>
      <c r="N28" s="135">
        <f>IF($K$2="","",IF($K$2&gt;1,(INDEX(CONSOLIDA!$AD$27:AT$207,($K$2-2)*22+14,16)),(INDEX(CONSOLIDA!$AD$4:$AT$207,($K$2-1)*23+15,16))))</f>
        <v>0</v>
      </c>
      <c r="O28" s="72"/>
    </row>
    <row r="29" spans="2:15">
      <c r="B29" s="131" t="str">
        <f>IF($K$2="","",IF($K$2&gt;1,INDEX(CONSOLIDA!$AD$27:AT$207,($K$2-2)*22+15,1),INDEX(CONSOLIDA!$AD$4:$AT$207,($K$2-1)*23+16,1)))</f>
        <v/>
      </c>
      <c r="C29" s="522">
        <f>IF($K$2="","",IF($K$2&gt;1,(INDEX(CONSOLIDA!$AD$27:AT$207,($K$2-2)*22+15,3)),(INDEX(CONSOLIDA!$AD$4:$AT$207,($K$2-1)*23+16,3))))</f>
        <v>0</v>
      </c>
      <c r="D29" s="911" t="str">
        <f>IF($K$2="","",IF($K$2&gt;1,PROPER(INDEX(CONSOLIDA!$AD$27:AU$207,($K$2-2)*22+15,4)),PROPER(INDEX(CONSOLIDA!$AD$4:$AT$207,($K$2-1)*23+16,4))))</f>
        <v/>
      </c>
      <c r="E29" s="912"/>
      <c r="F29" s="523">
        <f>IF($K$2="","",IF($K$2&gt;1,INDEX(CONSOLIDA!$AD$27:AT$207,($K$2-2)*22+15,14),INDEX(CONSOLIDA!$AD$4:$AT$207,($K$2-1)*23+16,14)))</f>
        <v>0</v>
      </c>
      <c r="G29" s="132">
        <f>IF($K$2="","",IF($K$2&gt;1,INDEX(CONSOLIDA!$AD$27:AT$207,($K$2-2)*22+15,15),INDEX(CONSOLIDA!$AD$4:$AT$207,($K$2-1)*23+16,15)))</f>
        <v>0</v>
      </c>
      <c r="H29" s="253">
        <f>IF($K$2="","",IF($K$2&gt;1,(INDEX(CONSOLIDA!$AD$27:AT$207,($K$2-2)*22+15,5)),(INDEX(CONSOLIDA!$AD$4:$AT$207,($K$2-1)*23+16,5))))</f>
        <v>0</v>
      </c>
      <c r="I29" s="254">
        <f>IF($K$2="","",IF($K$2&gt;1,(INDEX(CONSOLIDA!$AD$27:AT$207,($K$2-2)*22+15,6)),(INDEX(CONSOLIDA!$AD$4:$AT$207,($K$2-1)*23+16,6))))</f>
        <v>0</v>
      </c>
      <c r="J29" s="237">
        <f>IF($K$2="","",IF($K$2&gt;1,(INDEX(CONSOLIDA!$AD$27:AT$207,($K$2-2)*22+15,9)),(INDEX(CONSOLIDA!$AD$4:$AT$207,($K$2-1)*23+16,9))))</f>
        <v>0</v>
      </c>
      <c r="K29" s="133">
        <f>IF($K$2="","",IF($K$2&gt;1,(INDEX(CONSOLIDA!$AD$27:AT$207,($K$2-2)*22+15,10)),(INDEX(CONSOLIDA!$AD$4:$AT$207,($K$2-1)*23+16,10))))</f>
        <v>0</v>
      </c>
      <c r="L29" s="134">
        <f>IF($K$2="","",IF($K$2&gt;1,(INDEX(CONSOLIDA!$AD$27:AT$207,($K$2-2)*22+15,11)),(INDEX(CONSOLIDA!$AD$4:$AT$207,($K$2-1)*23+16,11))))</f>
        <v>0</v>
      </c>
      <c r="M29" s="237">
        <f>IF($K$2="","",IF($K$2&gt;1,(INDEX(CONSOLIDA!$AD$27:AT$207,($K$2-2)*22+15,13)),(INDEX(CONSOLIDA!$AD$4:$AT$207,($K$2-1)*23+16,13))))</f>
        <v>0</v>
      </c>
      <c r="N29" s="135">
        <f>IF($K$2="","",IF($K$2&gt;1,(INDEX(CONSOLIDA!$AD$27:AT$207,($K$2-2)*22+15,16)),(INDEX(CONSOLIDA!$AD$4:$AT$207,($K$2-1)*23+16,16))))</f>
        <v>0</v>
      </c>
      <c r="O29" s="72"/>
    </row>
    <row r="30" spans="2:15">
      <c r="B30" s="131" t="str">
        <f>IF($K$2="","",IF($K$2&gt;1,INDEX(CONSOLIDA!$AD$27:AT$207,($K$2-2)*22+16,1),INDEX(CONSOLIDA!$AD$4:$AT$207,($K$2-1)*23+17,1)))</f>
        <v/>
      </c>
      <c r="C30" s="522">
        <f>IF($K$2="","",IF($K$2&gt;1,(INDEX(CONSOLIDA!$AD$27:AT$207,($K$2-2)*22+16,3)),(INDEX(CONSOLIDA!$AD$4:$AT$207,($K$2-1)*23+17,3))))</f>
        <v>0</v>
      </c>
      <c r="D30" s="911" t="str">
        <f>IF($K$2="","",IF($K$2&gt;1,PROPER(INDEX(CONSOLIDA!$AD$27:AU$207,($K$2-2)*22+16,4)),PROPER(INDEX(CONSOLIDA!$AD$4:$AT$207,($K$2-1)*23+17,4))))</f>
        <v/>
      </c>
      <c r="E30" s="912"/>
      <c r="F30" s="523">
        <f>IF($K$2="","",IF($K$2&gt;1,INDEX(CONSOLIDA!$AD$27:AT$207,($K$2-2)*22+16,14),INDEX(CONSOLIDA!$AD$4:$AT$207,($K$2-1)*23+17,14)))</f>
        <v>0</v>
      </c>
      <c r="G30" s="132">
        <f>IF($K$2="","",IF($K$2&gt;1,INDEX(CONSOLIDA!$AD$27:AT$207,($K$2-2)*22+16,15),INDEX(CONSOLIDA!$AD$4:$AT$207,($K$2-1)*23+17,15)))</f>
        <v>0</v>
      </c>
      <c r="H30" s="253">
        <f>IF($K$2="","",IF($K$2&gt;1,(INDEX(CONSOLIDA!$AD$27:AT$207,($K$2-2)*22+16,5)),(INDEX(CONSOLIDA!$AD$4:$AT$207,($K$2-1)*23+17,5))))</f>
        <v>0</v>
      </c>
      <c r="I30" s="254">
        <f>IF($K$2="","",IF($K$2&gt;1,(INDEX(CONSOLIDA!$AD$27:AT$207,($K$2-2)*22+16,6)),(INDEX(CONSOLIDA!$AD$4:$AT$207,($K$2-1)*23+17,6))))</f>
        <v>0</v>
      </c>
      <c r="J30" s="237">
        <f>IF($K$2="","",IF($K$2&gt;1,(INDEX(CONSOLIDA!$AD$27:AT$207,($K$2-2)*22+16,9)),(INDEX(CONSOLIDA!$AD$4:$AT$207,($K$2-1)*23+17,9))))</f>
        <v>0</v>
      </c>
      <c r="K30" s="133">
        <f>IF($K$2="","",IF($K$2&gt;1,(INDEX(CONSOLIDA!$AD$27:AT$207,($K$2-2)*22+16,10)),(INDEX(CONSOLIDA!$AD$4:$AT$207,($K$2-1)*23+17,10))))</f>
        <v>0</v>
      </c>
      <c r="L30" s="134">
        <f>IF($K$2="","",IF($K$2&gt;1,(INDEX(CONSOLIDA!$AD$27:AT$207,($K$2-2)*22+16,11)),(INDEX(CONSOLIDA!$AD$4:$AT$207,($K$2-1)*23+17,11))))</f>
        <v>0</v>
      </c>
      <c r="M30" s="237">
        <f>IF($K$2="","",IF($K$2&gt;1,(INDEX(CONSOLIDA!$AD$27:AT$207,($K$2-2)*22+16,13)),(INDEX(CONSOLIDA!$AD$4:$AT$207,($K$2-1)*23+17,13))))</f>
        <v>0</v>
      </c>
      <c r="N30" s="135">
        <f>IF($K$2="","",IF($K$2&gt;1,(INDEX(CONSOLIDA!$AD$27:AT$207,($K$2-2)*22+16,16)),(INDEX(CONSOLIDA!$AD$4:$AT$207,($K$2-1)*23+17,16))))</f>
        <v>0</v>
      </c>
      <c r="O30" s="72"/>
    </row>
    <row r="31" spans="2:15">
      <c r="B31" s="131" t="str">
        <f>IF($K$2="","",IF($K$2&gt;1,INDEX(CONSOLIDA!$AD$27:AT$207,($K$2-2)*22+17,1),INDEX(CONSOLIDA!$AD$4:$AT$207,($K$2-1)*23+18,1)))</f>
        <v/>
      </c>
      <c r="C31" s="522">
        <f>IF($K$2="","",IF($K$2&gt;1,(INDEX(CONSOLIDA!$AD$27:AT$207,($K$2-2)*22+17,3)),(INDEX(CONSOLIDA!$AD$4:$AT$207,($K$2-1)*23+18,3))))</f>
        <v>0</v>
      </c>
      <c r="D31" s="911" t="str">
        <f>IF($K$2="","",IF($K$2&gt;1,PROPER(INDEX(CONSOLIDA!$AD$27:AU$207,($K$2-2)*22+17,4)),PROPER(INDEX(CONSOLIDA!$AD$4:$AT$207,($K$2-1)*23+18,4))))</f>
        <v/>
      </c>
      <c r="E31" s="912"/>
      <c r="F31" s="523">
        <f>IF($K$2="","",IF($K$2&gt;1,INDEX(CONSOLIDA!$AD$27:AT$207,($K$2-2)*22+17,14),INDEX(CONSOLIDA!$AD$4:$AT$207,($K$2-1)*23+18,14)))</f>
        <v>0</v>
      </c>
      <c r="G31" s="132">
        <f>IF($K$2="","",IF($K$2&gt;1,INDEX(CONSOLIDA!$AD$27:AT$207,($K$2-2)*22+17,15),INDEX(CONSOLIDA!$AD$4:$AT$207,($K$2-1)*23+18,15)))</f>
        <v>0</v>
      </c>
      <c r="H31" s="253">
        <f>IF($K$2="","",IF($K$2&gt;1,(INDEX(CONSOLIDA!$AD$27:AT$207,($K$2-2)*22+17,5)),(INDEX(CONSOLIDA!$AD$4:$AT$207,($K$2-1)*23+18,5))))</f>
        <v>0</v>
      </c>
      <c r="I31" s="254">
        <f>IF($K$2="","",IF($K$2&gt;1,(INDEX(CONSOLIDA!$AD$27:AT$207,($K$2-2)*22+17,6)),(INDEX(CONSOLIDA!$AD$4:$AT$207,($K$2-1)*23+18,6))))</f>
        <v>0</v>
      </c>
      <c r="J31" s="237">
        <f>IF($K$2="","",IF($K$2&gt;1,(INDEX(CONSOLIDA!$AD$27:AT$207,($K$2-2)*22+17,9)),(INDEX(CONSOLIDA!$AD$4:$AT$207,($K$2-1)*23+18,9))))</f>
        <v>0</v>
      </c>
      <c r="K31" s="133">
        <f>IF($K$2="","",IF($K$2&gt;1,(INDEX(CONSOLIDA!$AD$27:AT$207,($K$2-2)*22+17,10)),(INDEX(CONSOLIDA!$AD$4:$AT$207,($K$2-1)*23+18,10))))</f>
        <v>0</v>
      </c>
      <c r="L31" s="134">
        <f>IF($K$2="","",IF($K$2&gt;1,(INDEX(CONSOLIDA!$AD$27:AT$207,($K$2-2)*22+17,11)),(INDEX(CONSOLIDA!$AD$4:$AT$207,($K$2-1)*23+18,11))))</f>
        <v>0</v>
      </c>
      <c r="M31" s="237">
        <f>IF($K$2="","",IF($K$2&gt;1,(INDEX(CONSOLIDA!$AD$27:AT$207,($K$2-2)*22+17,13)),(INDEX(CONSOLIDA!$AD$4:$AT$207,($K$2-1)*23+18,13))))</f>
        <v>0</v>
      </c>
      <c r="N31" s="135">
        <f>IF($K$2="","",IF($K$2&gt;1,(INDEX(CONSOLIDA!$AD$27:AT$207,($K$2-2)*22+17,16)),(INDEX(CONSOLIDA!$AD$4:$AT$207,($K$2-1)*23+18,16))))</f>
        <v>0</v>
      </c>
      <c r="O31" s="72"/>
    </row>
    <row r="32" spans="2:15">
      <c r="B32" s="131" t="str">
        <f>IF($K$2="","",IF($K$2&gt;1,INDEX(CONSOLIDA!$AD$27:AT$207,($K$2-2)*22+18,1),INDEX(CONSOLIDA!$AD$4:$AT$207,($K$2-1)*23+19,1)))</f>
        <v/>
      </c>
      <c r="C32" s="522">
        <f>IF($K$2="","",IF($K$2&gt;1,(INDEX(CONSOLIDA!$AD$27:AT$207,($K$2-2)*22+18,3)),(INDEX(CONSOLIDA!$AD$4:$AT$207,($K$2-1)*23+19,3))))</f>
        <v>0</v>
      </c>
      <c r="D32" s="911" t="str">
        <f>IF($K$2="","",IF($K$2&gt;1,PROPER(INDEX(CONSOLIDA!$AD$27:AU$207,($K$2-2)*22+18,4)),PROPER(INDEX(CONSOLIDA!$AD$4:$AT$207,($K$2-1)*23+19,4))))</f>
        <v/>
      </c>
      <c r="E32" s="912"/>
      <c r="F32" s="523">
        <f>IF($K$2="","",IF($K$2&gt;1,INDEX(CONSOLIDA!$AD$27:AT$207,($K$2-2)*22+18,14),INDEX(CONSOLIDA!$AD$4:$AT$207,($K$2-1)*23+19,14)))</f>
        <v>0</v>
      </c>
      <c r="G32" s="132">
        <f>IF($K$2="","",IF($K$2&gt;1,INDEX(CONSOLIDA!$AD$27:AT$207,($K$2-2)*22+18,15),INDEX(CONSOLIDA!$AD$4:$AT$207,($K$2-1)*23+19,15)))</f>
        <v>0</v>
      </c>
      <c r="H32" s="253">
        <f>IF($K$2="","",IF($K$2&gt;1,(INDEX(CONSOLIDA!$AD$27:AT$207,($K$2-2)*22+18,5)),(INDEX(CONSOLIDA!$AD$4:$AT$207,($K$2-1)*23+19,5))))</f>
        <v>0</v>
      </c>
      <c r="I32" s="254">
        <f>IF($K$2="","",IF($K$2&gt;1,(INDEX(CONSOLIDA!$AD$27:AT$207,($K$2-2)*22+18,6)),(INDEX(CONSOLIDA!$AD$4:$AT$207,($K$2-1)*23+19,6))))</f>
        <v>0</v>
      </c>
      <c r="J32" s="237">
        <f>IF($K$2="","",IF($K$2&gt;1,(INDEX(CONSOLIDA!$AD$27:AT$207,($K$2-2)*22+18,9)),(INDEX(CONSOLIDA!$AD$4:$AT$207,($K$2-1)*23+19,9))))</f>
        <v>0</v>
      </c>
      <c r="K32" s="133">
        <f>IF($K$2="","",IF($K$2&gt;1,(INDEX(CONSOLIDA!$AD$27:AT$207,($K$2-2)*22+18,10)),(INDEX(CONSOLIDA!$AD$4:$AT$207,($K$2-1)*23+19,10))))</f>
        <v>0</v>
      </c>
      <c r="L32" s="134">
        <f>IF($K$2="","",IF($K$2&gt;1,(INDEX(CONSOLIDA!$AD$27:AT$207,($K$2-2)*22+18,11)),(INDEX(CONSOLIDA!$AD$4:$AT$207,($K$2-1)*23+19,11))))</f>
        <v>0</v>
      </c>
      <c r="M32" s="237">
        <f>IF($K$2="","",IF($K$2&gt;1,(INDEX(CONSOLIDA!$AD$27:AT$207,($K$2-2)*22+18,13)),(INDEX(CONSOLIDA!$AD$4:$AT$207,($K$2-1)*23+19,13))))</f>
        <v>0</v>
      </c>
      <c r="N32" s="135">
        <f>IF($K$2="","",IF($K$2&gt;1,(INDEX(CONSOLIDA!$AD$27:AT$207,($K$2-2)*22+18,16)),(INDEX(CONSOLIDA!$AD$4:$AT$207,($K$2-1)*23+19,16))))</f>
        <v>0</v>
      </c>
      <c r="O32" s="72"/>
    </row>
    <row r="33" spans="1:15">
      <c r="B33" s="131" t="str">
        <f>IF($K$2="","",IF($K$2&gt;1,INDEX(CONSOLIDA!$AD$27:AT$207,($K$2-2)*22+19,1),INDEX(CONSOLIDA!$AD$4:$AT$207,($K$2-1)*23+20,1)))</f>
        <v/>
      </c>
      <c r="C33" s="522">
        <f>IF($K$2="","",IF($K$2&gt;1,(INDEX(CONSOLIDA!$AD$27:AT$207,($K$2-2)*22+19,3)),(INDEX(CONSOLIDA!$AD$4:$AT$207,($K$2-1)*23+20,3))))</f>
        <v>0</v>
      </c>
      <c r="D33" s="911" t="str">
        <f>IF($K$2="","",IF($K$2&gt;1,PROPER(INDEX(CONSOLIDA!$AD$27:AU$207,($K$2-2)*22+19,4)),PROPER(INDEX(CONSOLIDA!$AD$4:$AT$207,($K$2-1)*23+20,4))))</f>
        <v/>
      </c>
      <c r="E33" s="912"/>
      <c r="F33" s="523">
        <f>IF($K$2="","",IF($K$2&gt;1,INDEX(CONSOLIDA!$AD$27:AT$207,($K$2-2)*22+19,14),INDEX(CONSOLIDA!$AD$4:$AT$207,($K$2-1)*23+20,14)))</f>
        <v>0</v>
      </c>
      <c r="G33" s="132">
        <f>IF($K$2="","",IF($K$2&gt;1,INDEX(CONSOLIDA!$AD$27:AT$207,($K$2-2)*22+19,15),INDEX(CONSOLIDA!$AD$4:$AT$207,($K$2-1)*23+20,15)))</f>
        <v>0</v>
      </c>
      <c r="H33" s="253">
        <f>IF($K$2="","",IF($K$2&gt;1,(INDEX(CONSOLIDA!$AD$27:AT$207,($K$2-2)*22+19,5)),(INDEX(CONSOLIDA!$AD$4:$AT$207,($K$2-1)*23+20,5))))</f>
        <v>0</v>
      </c>
      <c r="I33" s="254">
        <f>IF($K$2="","",IF($K$2&gt;1,(INDEX(CONSOLIDA!$AD$27:AT$207,($K$2-2)*22+19,6)),(INDEX(CONSOLIDA!$AD$4:$AT$207,($K$2-1)*23+20,6))))</f>
        <v>0</v>
      </c>
      <c r="J33" s="237">
        <f>IF($K$2="","",IF($K$2&gt;1,(INDEX(CONSOLIDA!$AD$27:AT$207,($K$2-2)*22+19,9)),(INDEX(CONSOLIDA!$AD$4:$AT$207,($K$2-1)*23+20,9))))</f>
        <v>0</v>
      </c>
      <c r="K33" s="133">
        <f>IF($K$2="","",IF($K$2&gt;1,(INDEX(CONSOLIDA!$AD$27:AT$207,($K$2-2)*22+19,10)),(INDEX(CONSOLIDA!$AD$4:$AT$207,($K$2-1)*23+20,10))))</f>
        <v>0</v>
      </c>
      <c r="L33" s="134">
        <f>IF($K$2="","",IF($K$2&gt;1,(INDEX(CONSOLIDA!$AD$27:AT$207,($K$2-2)*22+19,11)),(INDEX(CONSOLIDA!$AD$4:$AT$207,($K$2-1)*23+20,11))))</f>
        <v>0</v>
      </c>
      <c r="M33" s="237">
        <f>IF($K$2="","",IF($K$2&gt;1,(INDEX(CONSOLIDA!$AD$27:AT$207,($K$2-2)*22+19,13)),(INDEX(CONSOLIDA!$AD$4:$AT$207,($K$2-1)*23+20,13))))</f>
        <v>0</v>
      </c>
      <c r="N33" s="135">
        <f>IF($K$2="","",IF($K$2&gt;1,(INDEX(CONSOLIDA!$AD$27:AT$207,($K$2-2)*22+19,16)),(INDEX(CONSOLIDA!$AD$4:$AT$207,($K$2-1)*23+20,16))))</f>
        <v>0</v>
      </c>
      <c r="O33" s="72"/>
    </row>
    <row r="34" spans="1:15">
      <c r="B34" s="131" t="str">
        <f>IF($K$2="","",IF($K$2&gt;1,INDEX(CONSOLIDA!$AD$27:AT$207,($K$2-2)*22+20,1),INDEX(CONSOLIDA!$AD$4:$AT$207,($K$2-1)*23+21,1)))</f>
        <v/>
      </c>
      <c r="C34" s="522">
        <f>IF($K$2="","",IF($K$2&gt;1,(INDEX(CONSOLIDA!$AD$27:AT$207,($K$2-2)*22+20,3)),(INDEX(CONSOLIDA!$AD$4:$AT$207,($K$2-1)*23+21,3))))</f>
        <v>0</v>
      </c>
      <c r="D34" s="911" t="str">
        <f>IF($K$2="","",IF($K$2&gt;1,PROPER(INDEX(CONSOLIDA!$AD$27:AU$207,($K$2-2)*22+20,4)),PROPER(INDEX(CONSOLIDA!$AD$4:$AT$207,($K$2-1)*23+21,4))))</f>
        <v/>
      </c>
      <c r="E34" s="912"/>
      <c r="F34" s="523">
        <f>IF($K$2="","",IF($K$2&gt;1,INDEX(CONSOLIDA!$AD$27:AT$207,($K$2-2)*22+20,14),INDEX(CONSOLIDA!$AD$4:$AT$207,($K$2-1)*23+21,14)))</f>
        <v>0</v>
      </c>
      <c r="G34" s="132">
        <f>IF($K$2="","",IF($K$2&gt;1,INDEX(CONSOLIDA!$AD$27:AT$207,($K$2-2)*22+20,15),INDEX(CONSOLIDA!$AD$4:$AT$207,($K$2-1)*23+21,15)))</f>
        <v>0</v>
      </c>
      <c r="H34" s="253">
        <f>IF($K$2="","",IF($K$2&gt;1,(INDEX(CONSOLIDA!$AD$27:AT$207,($K$2-2)*22+20,5)),(INDEX(CONSOLIDA!$AD$4:$AT$207,($K$2-1)*23+21,5))))</f>
        <v>0</v>
      </c>
      <c r="I34" s="254">
        <f>IF($K$2="","",IF($K$2&gt;1,(INDEX(CONSOLIDA!$AD$27:AT$207,($K$2-2)*22+20,6)),(INDEX(CONSOLIDA!$AD$4:$AT$207,($K$2-1)*23+21,6))))</f>
        <v>0</v>
      </c>
      <c r="J34" s="237">
        <f>IF($K$2="","",IF($K$2&gt;1,(INDEX(CONSOLIDA!$AD$27:AT$207,($K$2-2)*22+20,9)),(INDEX(CONSOLIDA!$AD$4:$AT$207,($K$2-1)*23+21,9))))</f>
        <v>0</v>
      </c>
      <c r="K34" s="133">
        <f>IF($K$2="","",IF($K$2&gt;1,(INDEX(CONSOLIDA!$AD$27:AT$207,($K$2-2)*22+20,10)),(INDEX(CONSOLIDA!$AD$4:$AT$207,($K$2-1)*23+21,10))))</f>
        <v>0</v>
      </c>
      <c r="L34" s="134">
        <f>IF($K$2="","",IF($K$2&gt;1,(INDEX(CONSOLIDA!$AD$27:AT$207,($K$2-2)*22+20,11)),(INDEX(CONSOLIDA!$AD$4:$AT$207,($K$2-1)*23+21,11))))</f>
        <v>0</v>
      </c>
      <c r="M34" s="237">
        <f>IF($K$2="","",IF($K$2&gt;1,(INDEX(CONSOLIDA!$AD$27:AT$207,($K$2-2)*22+20,13)),(INDEX(CONSOLIDA!$AD$4:$AT$207,($K$2-1)*23+21,13))))</f>
        <v>0</v>
      </c>
      <c r="N34" s="135">
        <f>IF($K$2="","",IF($K$2&gt;1,(INDEX(CONSOLIDA!$AD$27:AT$207,($K$2-2)*22+20,16)),(INDEX(CONSOLIDA!$AD$4:$AT$207,($K$2-1)*23+21,16))))</f>
        <v>0</v>
      </c>
      <c r="O34" s="72"/>
    </row>
    <row r="35" spans="1:15">
      <c r="B35" s="131" t="str">
        <f>IF($K$2="","",IF($K$2&gt;1,INDEX(CONSOLIDA!$AD$27:AT$207,($K$2-2)*22+21,1),INDEX(CONSOLIDA!$AD$4:$AT$207,($K$2-1)*23+22,1)))</f>
        <v/>
      </c>
      <c r="C35" s="522">
        <f>IF($K$2="","",IF($K$2&gt;1,(INDEX(CONSOLIDA!$AD$27:AT$207,($K$2-2)*22+21,3)),(INDEX(CONSOLIDA!$AD$4:$AT$207,($K$2-1)*23+22,3))))</f>
        <v>0</v>
      </c>
      <c r="D35" s="911" t="str">
        <f>IF($K$2="","",IF($K$2&gt;1,PROPER(INDEX(CONSOLIDA!$AD$27:AU$207,($K$2-2)*22+21,4)),PROPER(INDEX(CONSOLIDA!$AD$4:$AT$207,($K$2-1)*23+22,4))))</f>
        <v/>
      </c>
      <c r="E35" s="912"/>
      <c r="F35" s="523">
        <f>IF($K$2="","",IF($K$2&gt;1,INDEX(CONSOLIDA!$AD$27:AT$207,($K$2-2)*22+21,14),INDEX(CONSOLIDA!$AD$4:$AT$207,($K$2-1)*23+22,14)))</f>
        <v>0</v>
      </c>
      <c r="G35" s="132">
        <f>IF($K$2="","",IF($K$2&gt;1,INDEX(CONSOLIDA!$AD$27:AT$207,($K$2-2)*22+21,15),INDEX(CONSOLIDA!$AD$4:$AT$207,($K$2-1)*23+22,15)))</f>
        <v>0</v>
      </c>
      <c r="H35" s="253">
        <f>IF($K$2="","",IF($K$2&gt;1,(INDEX(CONSOLIDA!$AD$27:AT$207,($K$2-2)*22+21,5)),(INDEX(CONSOLIDA!$AD$4:$AT$207,($K$2-1)*23+22,5))))</f>
        <v>0</v>
      </c>
      <c r="I35" s="254">
        <f>IF($K$2="","",IF($K$2&gt;1,(INDEX(CONSOLIDA!$AD$27:AT$207,($K$2-2)*22+21,6)),(INDEX(CONSOLIDA!$AD$4:$AT$207,($K$2-1)*23+22,6))))</f>
        <v>0</v>
      </c>
      <c r="J35" s="237">
        <f>IF($K$2="","",IF($K$2&gt;1,(INDEX(CONSOLIDA!$AD$27:AT$207,($K$2-2)*22+21,9)),(INDEX(CONSOLIDA!$AD$4:$AT$207,($K$2-1)*23+22,9))))</f>
        <v>0</v>
      </c>
      <c r="K35" s="133">
        <f>IF($K$2="","",IF($K$2&gt;1,(INDEX(CONSOLIDA!$AD$27:AT$207,($K$2-2)*22+21,10)),(INDEX(CONSOLIDA!$AD$4:$AT$207,($K$2-1)*23+22,10))))</f>
        <v>0</v>
      </c>
      <c r="L35" s="134">
        <f>IF($K$2="","",IF($K$2&gt;1,(INDEX(CONSOLIDA!$AD$27:AT$207,($K$2-2)*22+21,11)),(INDEX(CONSOLIDA!$AD$4:$AT$207,($K$2-1)*23+22,11))))</f>
        <v>0</v>
      </c>
      <c r="M35" s="237">
        <f>IF($K$2="","",IF($K$2&gt;1,(INDEX(CONSOLIDA!$AD$27:AT$207,($K$2-2)*22+21,13)),(INDEX(CONSOLIDA!$AD$4:$AT$207,($K$2-1)*23+22,13))))</f>
        <v>0</v>
      </c>
      <c r="N35" s="135">
        <f>IF($K$2="","",IF($K$2&gt;1,(INDEX(CONSOLIDA!$AD$27:AT$207,($K$2-2)*22+21,16)),(INDEX(CONSOLIDA!$AD$4:$AT$207,($K$2-1)*23+22,16))))</f>
        <v>0</v>
      </c>
      <c r="O35" s="72"/>
    </row>
    <row r="36" spans="1:15" ht="13.5" thickBot="1">
      <c r="B36" s="131" t="str">
        <f>IF($K$2="","",IF($K$2&gt;1,INDEX(CONSOLIDA!$AD$27:AT$207,($K$2-2)*22+22,1),INDEX(CONSOLIDA!$AD$4:$AT$207,($K$2-1)*23+23,1)))</f>
        <v/>
      </c>
      <c r="C36" s="524">
        <f>IF($K$2="","",IF($K$2&gt;1,(INDEX(CONSOLIDA!$AD$27:AT$207,($K$2-2)*22+22,3)),(INDEX(CONSOLIDA!$AD$4:$AT$207,($K$2-1)*23+23,3))))</f>
        <v>0</v>
      </c>
      <c r="D36" s="927" t="str">
        <f>IF($K$2="","",IF($K$2&gt;1,PROPER(INDEX(CONSOLIDA!$AD$27:AU$207,($K$2-2)*22+22,4)),PROPER(INDEX(CONSOLIDA!$AD$4:$AT$207,($K$2-1)*23+23,4))))</f>
        <v/>
      </c>
      <c r="E36" s="928"/>
      <c r="F36" s="523">
        <f>IF($K$2="","",IF($K$2&gt;1,INDEX(CONSOLIDA!$AD$27:AT$207,($K$2-2)*22+22,14),INDEX(CONSOLIDA!$AD$4:$AT$207,($K$2-1)*23+23,14)))</f>
        <v>0</v>
      </c>
      <c r="G36" s="132">
        <f>IF($K$2="","",IF($K$2&gt;1,INDEX(CONSOLIDA!$AD$27:AT$207,($K$2-2)*22+22,15),INDEX(CONSOLIDA!$AD$4:$AT$207,($K$2-1)*23+23,15)))</f>
        <v>0</v>
      </c>
      <c r="H36" s="255">
        <f>IF($K$2="","",IF($K$2&gt;1,(INDEX(CONSOLIDA!$AD$27:AT$207,($K$2-2)*22+22,5)),(INDEX(CONSOLIDA!$AD$4:$AT$207,($K$2-1)*23+23,5))))</f>
        <v>0</v>
      </c>
      <c r="I36" s="256">
        <f>IF($K$2="","",IF($K$2&gt;1,(INDEX(CONSOLIDA!$AD$27:AT$207,($K$2-2)*22+22,6)),(INDEX(CONSOLIDA!$AD$4:$AT$207,($K$2-1)*23+23,6))))</f>
        <v>0</v>
      </c>
      <c r="J36" s="239">
        <f>IF($K$2="","",IF($K$2&gt;1,(INDEX(CONSOLIDA!$AD$27:AT$207,($K$2-2)*22+22,9)),(INDEX(CONSOLIDA!$AD$4:$AT$207,($K$2-1)*23+23,9))))</f>
        <v>0</v>
      </c>
      <c r="K36" s="136">
        <f>IF($K$2="","",IF($K$2&gt;1,(INDEX(CONSOLIDA!$AD$27:AT$207,($K$2-2)*22+22,10)),(INDEX(CONSOLIDA!$AD$4:$AT$207,($K$2-1)*23+23,10))))</f>
        <v>0</v>
      </c>
      <c r="L36" s="137">
        <f>IF($K$2="","",IF($K$2&gt;1,(INDEX(CONSOLIDA!$AD$27:AT$207,($K$2-2)*22+22,11)),(INDEX(CONSOLIDA!$AD$4:$AT$207,($K$2-1)*23+23,11))))</f>
        <v>0</v>
      </c>
      <c r="M36" s="239">
        <f>IF($K$2="","",IF($K$2&gt;1,(INDEX(CONSOLIDA!$AD$27:AT$207,($K$2-2)*22+22,13)),(INDEX(CONSOLIDA!$AD$4:$AT$207,($K$2-1)*23+23,13))))</f>
        <v>0</v>
      </c>
      <c r="N36" s="135">
        <f>IF($K$2="","",IF($K$2&gt;1,(INDEX(CONSOLIDA!$AD$27:AT$207,($K$2-2)*22+22,16)),(INDEX(CONSOLIDA!$AD$4:$AT$207,($K$2-1)*23+23,16))))</f>
        <v>0</v>
      </c>
      <c r="O36" s="72"/>
    </row>
    <row r="37" spans="1:15" s="70" customFormat="1" ht="15.75" customHeight="1" thickBot="1">
      <c r="A37" s="96"/>
      <c r="B37" s="920"/>
      <c r="C37" s="921"/>
      <c r="D37" s="921"/>
      <c r="E37" s="921"/>
      <c r="F37" s="111"/>
      <c r="G37" s="112" t="s">
        <v>89</v>
      </c>
      <c r="H37" s="138">
        <f t="shared" ref="H37:M37" si="0">SUM(H14:H36)</f>
        <v>0</v>
      </c>
      <c r="I37" s="139">
        <f t="shared" si="0"/>
        <v>0</v>
      </c>
      <c r="J37" s="140">
        <f t="shared" si="0"/>
        <v>0</v>
      </c>
      <c r="K37" s="141">
        <f t="shared" si="0"/>
        <v>0</v>
      </c>
      <c r="L37" s="142">
        <f t="shared" si="0"/>
        <v>0</v>
      </c>
      <c r="M37" s="143">
        <f t="shared" si="0"/>
        <v>0</v>
      </c>
      <c r="N37" s="144"/>
      <c r="O37" s="96"/>
    </row>
    <row r="38" spans="1:15" ht="8.25" customHeight="1" thickBot="1">
      <c r="B38" s="933"/>
      <c r="C38" s="933"/>
      <c r="D38" s="933"/>
      <c r="E38" s="933"/>
      <c r="F38" s="933"/>
      <c r="G38" s="933"/>
      <c r="H38" s="933"/>
      <c r="I38" s="933"/>
      <c r="J38" s="933"/>
      <c r="K38" s="933"/>
      <c r="L38" s="933"/>
      <c r="M38" s="933"/>
      <c r="N38" s="933"/>
      <c r="O38" s="72"/>
    </row>
    <row r="39" spans="1:15">
      <c r="B39" s="934" t="s">
        <v>84</v>
      </c>
      <c r="C39" s="935"/>
      <c r="D39" s="935"/>
      <c r="E39" s="935"/>
      <c r="F39" s="935"/>
      <c r="G39" s="935"/>
      <c r="H39" s="935"/>
      <c r="I39" s="935"/>
      <c r="J39" s="935"/>
      <c r="K39" s="935"/>
      <c r="L39" s="935"/>
      <c r="M39" s="935"/>
      <c r="N39" s="936"/>
      <c r="O39" s="72"/>
    </row>
    <row r="40" spans="1:15" ht="16.5" customHeight="1">
      <c r="B40" s="269"/>
      <c r="C40" s="910" t="str">
        <f>IF('Modelo 6'!$D$36="","",'Modelo 6'!$D$36)</f>
        <v/>
      </c>
      <c r="D40" s="910"/>
      <c r="E40" s="270"/>
      <c r="F40" s="271"/>
      <c r="G40" s="316" t="str">
        <f>IF('Modelo 6'!$G$36="","",'Modelo 6'!$G$36)</f>
        <v/>
      </c>
      <c r="H40" s="922"/>
      <c r="I40" s="923"/>
      <c r="J40" s="271"/>
      <c r="K40" s="316" t="str">
        <f>IF('Modelo 6'!$L$36="","",'Modelo 6'!$L$36)</f>
        <v/>
      </c>
      <c r="L40" s="922"/>
      <c r="M40" s="923"/>
      <c r="N40" s="272"/>
      <c r="O40" s="72"/>
    </row>
    <row r="41" spans="1:15" ht="27" customHeight="1">
      <c r="B41" s="929" t="s">
        <v>85</v>
      </c>
      <c r="C41" s="915"/>
      <c r="D41" s="915"/>
      <c r="E41" s="915"/>
      <c r="F41" s="925"/>
      <c r="G41" s="914" t="s">
        <v>86</v>
      </c>
      <c r="H41" s="915"/>
      <c r="I41" s="915"/>
      <c r="J41" s="925"/>
      <c r="K41" s="914" t="s">
        <v>87</v>
      </c>
      <c r="L41" s="915"/>
      <c r="M41" s="915"/>
      <c r="N41" s="916"/>
      <c r="O41" s="72"/>
    </row>
    <row r="42" spans="1:15" ht="15.75" customHeight="1" thickBot="1">
      <c r="B42" s="926" t="s">
        <v>57</v>
      </c>
      <c r="C42" s="918"/>
      <c r="D42" s="918"/>
      <c r="E42" s="918"/>
      <c r="F42" s="924"/>
      <c r="G42" s="917" t="s">
        <v>88</v>
      </c>
      <c r="H42" s="918"/>
      <c r="I42" s="918"/>
      <c r="J42" s="924"/>
      <c r="K42" s="917" t="s">
        <v>61</v>
      </c>
      <c r="L42" s="918"/>
      <c r="M42" s="918"/>
      <c r="N42" s="919"/>
      <c r="O42" s="72"/>
    </row>
    <row r="43" spans="1:15" ht="6" customHeight="1"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</row>
    <row r="44" spans="1:15">
      <c r="B44" s="2"/>
      <c r="C44" s="913" t="s">
        <v>101</v>
      </c>
      <c r="D44" s="913"/>
      <c r="E44" s="913"/>
      <c r="F44" s="913"/>
      <c r="G44" s="913"/>
      <c r="H44" s="72"/>
      <c r="I44" s="72"/>
      <c r="J44" s="72"/>
      <c r="K44" s="72"/>
      <c r="L44" s="72"/>
      <c r="M44" s="72"/>
      <c r="N44" s="72"/>
      <c r="O44" s="72"/>
    </row>
    <row r="45" spans="1:15" hidden="1">
      <c r="B45" s="72"/>
      <c r="C45" s="908"/>
      <c r="D45" s="909"/>
      <c r="E45" s="909"/>
      <c r="F45" s="72"/>
      <c r="G45" s="2"/>
      <c r="H45" s="72"/>
      <c r="I45" s="72"/>
      <c r="J45" s="72"/>
      <c r="K45" s="72"/>
      <c r="L45" s="72"/>
      <c r="M45" s="72"/>
      <c r="N45" s="72"/>
      <c r="O45" s="72"/>
    </row>
    <row r="46" spans="1:15" hidden="1"/>
    <row r="47" spans="1:15" hidden="1">
      <c r="B47" s="95">
        <f>MAX(B14:B36)</f>
        <v>0</v>
      </c>
    </row>
  </sheetData>
  <sheetProtection password="F326" sheet="1" objects="1" scenarios="1"/>
  <mergeCells count="53">
    <mergeCell ref="B3:N3"/>
    <mergeCell ref="C13:E13"/>
    <mergeCell ref="B11:N11"/>
    <mergeCell ref="B12:B13"/>
    <mergeCell ref="D24:E24"/>
    <mergeCell ref="B7:N7"/>
    <mergeCell ref="B8:G8"/>
    <mergeCell ref="J8:L8"/>
    <mergeCell ref="M8:N8"/>
    <mergeCell ref="H8:I8"/>
    <mergeCell ref="H9:I9"/>
    <mergeCell ref="D23:E23"/>
    <mergeCell ref="B9:G9"/>
    <mergeCell ref="M9:N9"/>
    <mergeCell ref="D22:E22"/>
    <mergeCell ref="B10:N10"/>
    <mergeCell ref="C12:E12"/>
    <mergeCell ref="B38:N38"/>
    <mergeCell ref="B39:N39"/>
    <mergeCell ref="K12:M12"/>
    <mergeCell ref="D14:E14"/>
    <mergeCell ref="D31:E31"/>
    <mergeCell ref="D32:E32"/>
    <mergeCell ref="D34:E34"/>
    <mergeCell ref="D33:E33"/>
    <mergeCell ref="D25:E25"/>
    <mergeCell ref="D26:E26"/>
    <mergeCell ref="D28:E28"/>
    <mergeCell ref="H12:J12"/>
    <mergeCell ref="D15:E15"/>
    <mergeCell ref="D16:E16"/>
    <mergeCell ref="D17:E17"/>
    <mergeCell ref="D18:E18"/>
    <mergeCell ref="D20:E20"/>
    <mergeCell ref="D21:E21"/>
    <mergeCell ref="K42:N42"/>
    <mergeCell ref="B37:E37"/>
    <mergeCell ref="D30:E30"/>
    <mergeCell ref="H40:I40"/>
    <mergeCell ref="L40:M40"/>
    <mergeCell ref="G42:J42"/>
    <mergeCell ref="D27:E27"/>
    <mergeCell ref="G41:J41"/>
    <mergeCell ref="B42:F42"/>
    <mergeCell ref="D36:E36"/>
    <mergeCell ref="D19:E19"/>
    <mergeCell ref="D29:E29"/>
    <mergeCell ref="B41:F41"/>
    <mergeCell ref="C45:E45"/>
    <mergeCell ref="C40:D40"/>
    <mergeCell ref="D35:E35"/>
    <mergeCell ref="C44:G44"/>
    <mergeCell ref="K41:N41"/>
  </mergeCells>
  <phoneticPr fontId="7" type="noConversion"/>
  <conditionalFormatting sqref="B14:N36">
    <cfRule type="expression" dxfId="37" priority="1">
      <formula>IF($D14="",TRUE)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K2">
      <formula1>M2</formula1>
      <formula2>N2</formula2>
    </dataValidation>
    <dataValidation type="whole" allowBlank="1" showInputMessage="1" showErrorMessage="1" errorTitle="IMPRIMIR" error="NÚMERO MAIOR QUE O TOTAL DE PÁGINAS_x000a__x000a_PREVISTO!!!" sqref="G2">
      <formula1>M2</formula1>
      <formula2>N2</formula2>
    </dataValidation>
    <dataValidation type="whole" allowBlank="1" showInputMessage="1" showErrorMessage="1" errorTitle="IMPRIMIR" error="NÚMERO MAIOR QUE O TOTAL DE PÁGINAS_x000a__x000a_PREVISTO!!!" sqref="I2">
      <formula1>M2</formula1>
      <formula2>N2</formula2>
    </dataValidation>
  </dataValidations>
  <printOptions horizontalCentered="1" verticalCentered="1"/>
  <pageMargins left="0.23622047244094491" right="0.11811023622047245" top="0.27559055118110237" bottom="0.15748031496062992" header="0.23622047244094491" footer="0.15748031496062992"/>
  <pageSetup paperSize="9" scale="9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enableFormatConditionsCalculation="0">
    <tabColor indexed="41"/>
    <pageSetUpPr fitToPage="1"/>
  </sheetPr>
  <dimension ref="A1:Y59"/>
  <sheetViews>
    <sheetView showRowColHeaders="0" view="pageBreakPreview" zoomScale="80" zoomScaleNormal="75" zoomScaleSheetLayoutView="80" workbookViewId="0"/>
  </sheetViews>
  <sheetFormatPr defaultColWidth="0" defaultRowHeight="12" zeroHeight="1"/>
  <cols>
    <col min="1" max="1" width="4.28515625" style="51" customWidth="1"/>
    <col min="2" max="2" width="5.85546875" style="51" customWidth="1"/>
    <col min="3" max="3" width="6.85546875" style="51" customWidth="1"/>
    <col min="4" max="4" width="39" style="51" customWidth="1"/>
    <col min="5" max="10" width="13.140625" style="51" customWidth="1"/>
    <col min="11" max="11" width="13" style="51" customWidth="1"/>
    <col min="12" max="14" width="13.140625" style="51" customWidth="1"/>
    <col min="15" max="15" width="17.28515625" style="51" hidden="1" customWidth="1"/>
    <col min="16" max="16" width="10.5703125" style="51" hidden="1" customWidth="1"/>
    <col min="17" max="17" width="4.140625" style="51" customWidth="1"/>
    <col min="18" max="18" width="11.28515625" style="51" hidden="1" customWidth="1"/>
    <col min="19" max="16384" width="9.140625" style="51" hidden="1"/>
  </cols>
  <sheetData>
    <row r="1" spans="1:25" ht="12" customHeight="1" thickBot="1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223" t="s">
        <v>163</v>
      </c>
      <c r="O1" s="226"/>
      <c r="P1" s="226"/>
      <c r="Q1" s="61"/>
      <c r="R1" s="226"/>
      <c r="S1" s="226"/>
      <c r="T1" s="226"/>
      <c r="U1" s="226"/>
      <c r="V1" s="226"/>
      <c r="W1" s="226"/>
      <c r="X1" s="226"/>
      <c r="Y1" s="226"/>
    </row>
    <row r="2" spans="1:25" ht="26.25" customHeight="1" thickBot="1">
      <c r="A2" s="230"/>
      <c r="B2" s="230"/>
      <c r="C2" s="230"/>
      <c r="D2" s="230"/>
      <c r="E2" s="235">
        <v>1</v>
      </c>
      <c r="F2" s="231" t="s">
        <v>27</v>
      </c>
      <c r="G2" s="235">
        <v>1</v>
      </c>
      <c r="H2" s="232"/>
      <c r="I2" s="233"/>
      <c r="J2" s="235">
        <v>1</v>
      </c>
      <c r="K2" s="230">
        <v>1</v>
      </c>
      <c r="L2" s="230"/>
      <c r="M2" s="234"/>
      <c r="N2" s="236">
        <f>CONSOLIDA!T12</f>
        <v>1</v>
      </c>
      <c r="O2" s="226"/>
      <c r="P2" s="226"/>
      <c r="Q2" s="61"/>
      <c r="R2" s="226"/>
      <c r="S2" s="226"/>
      <c r="T2" s="226"/>
      <c r="U2" s="226"/>
      <c r="V2" s="226"/>
      <c r="W2" s="226"/>
      <c r="X2" s="226"/>
      <c r="Y2" s="226"/>
    </row>
    <row r="3" spans="1:25" ht="15" customHeight="1">
      <c r="A3" s="61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227"/>
      <c r="P3" s="227"/>
      <c r="Q3" s="61"/>
      <c r="R3" s="226"/>
      <c r="S3" s="226"/>
      <c r="T3" s="226"/>
      <c r="U3" s="226"/>
      <c r="V3" s="226"/>
      <c r="W3" s="226"/>
      <c r="X3" s="226"/>
      <c r="Y3" s="226"/>
    </row>
    <row r="4" spans="1:25" ht="12.75" customHeight="1">
      <c r="A4" s="61"/>
      <c r="B4" s="44"/>
      <c r="C4" s="44"/>
      <c r="D4" s="48"/>
      <c r="E4" s="1"/>
      <c r="F4" s="1"/>
      <c r="G4" s="1"/>
      <c r="H4" s="49"/>
      <c r="I4" s="49"/>
      <c r="J4" s="50"/>
      <c r="K4" s="49"/>
      <c r="L4" s="50"/>
      <c r="M4" s="50"/>
      <c r="N4" s="50" t="s">
        <v>5</v>
      </c>
      <c r="O4" s="228"/>
      <c r="P4" s="228"/>
      <c r="Q4" s="61"/>
      <c r="R4" s="226"/>
      <c r="S4" s="226"/>
      <c r="T4" s="226"/>
      <c r="U4" s="226"/>
      <c r="V4" s="226"/>
      <c r="W4" s="226"/>
      <c r="X4" s="226"/>
      <c r="Y4" s="226"/>
    </row>
    <row r="5" spans="1:25" ht="12" customHeight="1">
      <c r="A5" s="61"/>
      <c r="B5" s="44"/>
      <c r="C5" s="44"/>
      <c r="D5" s="48"/>
      <c r="E5" s="44"/>
      <c r="F5" s="44"/>
      <c r="G5" s="1"/>
      <c r="H5" s="49"/>
      <c r="I5" s="49"/>
      <c r="J5" s="50"/>
      <c r="K5" s="49"/>
      <c r="L5" s="50"/>
      <c r="M5" s="50"/>
      <c r="N5" s="50" t="s">
        <v>2</v>
      </c>
      <c r="O5" s="228"/>
      <c r="P5" s="228"/>
      <c r="Q5" s="61"/>
      <c r="R5" s="226"/>
      <c r="S5" s="226"/>
      <c r="T5" s="226"/>
      <c r="U5" s="226"/>
      <c r="V5" s="226"/>
      <c r="W5" s="226"/>
      <c r="X5" s="226"/>
      <c r="Y5" s="226"/>
    </row>
    <row r="6" spans="1:25" ht="12" customHeight="1">
      <c r="A6" s="61"/>
      <c r="B6" s="44"/>
      <c r="C6" s="44"/>
      <c r="D6" s="48"/>
      <c r="E6" s="44"/>
      <c r="F6" s="44"/>
      <c r="G6" s="1"/>
      <c r="H6" s="49"/>
      <c r="I6" s="49"/>
      <c r="J6" s="50"/>
      <c r="K6" s="50"/>
      <c r="L6" s="50"/>
      <c r="M6" s="50"/>
      <c r="N6" s="50"/>
      <c r="O6" s="228"/>
      <c r="P6" s="228"/>
      <c r="Q6" s="61"/>
      <c r="R6" s="226"/>
      <c r="S6" s="226"/>
      <c r="T6" s="226"/>
      <c r="U6" s="226"/>
      <c r="V6" s="226"/>
      <c r="W6" s="226"/>
      <c r="X6" s="226"/>
      <c r="Y6" s="226"/>
    </row>
    <row r="7" spans="1:25" ht="15" customHeight="1" thickBot="1">
      <c r="A7" s="61"/>
      <c r="B7" s="44"/>
      <c r="C7" s="44"/>
      <c r="D7" s="48"/>
      <c r="E7" s="44"/>
      <c r="F7" s="44"/>
      <c r="G7" s="1"/>
      <c r="H7" s="49"/>
      <c r="I7" s="49"/>
      <c r="J7" s="50"/>
      <c r="K7" s="50"/>
      <c r="L7" s="50"/>
      <c r="M7" s="50"/>
      <c r="N7" s="50"/>
      <c r="O7" s="228"/>
      <c r="P7" s="228"/>
      <c r="Q7" s="61"/>
      <c r="R7" s="226"/>
      <c r="S7" s="226"/>
      <c r="T7" s="226"/>
      <c r="U7" s="226"/>
      <c r="V7" s="226"/>
      <c r="W7" s="226"/>
      <c r="X7" s="226"/>
      <c r="Y7" s="226"/>
    </row>
    <row r="8" spans="1:25" ht="12" customHeight="1">
      <c r="A8" s="61"/>
      <c r="B8" s="970" t="s">
        <v>3</v>
      </c>
      <c r="C8" s="971"/>
      <c r="D8" s="972"/>
      <c r="E8" s="972"/>
      <c r="F8" s="972"/>
      <c r="G8" s="972"/>
      <c r="H8" s="972"/>
      <c r="I8" s="972"/>
      <c r="J8" s="972"/>
      <c r="K8" s="972"/>
      <c r="L8" s="972"/>
      <c r="M8" s="972"/>
      <c r="N8" s="973"/>
      <c r="O8" s="227"/>
      <c r="P8" s="227"/>
      <c r="Q8" s="61"/>
      <c r="R8" s="226"/>
      <c r="S8" s="226"/>
      <c r="T8" s="226"/>
      <c r="U8" s="226"/>
      <c r="V8" s="226"/>
      <c r="W8" s="226"/>
      <c r="X8" s="226"/>
      <c r="Y8" s="226"/>
    </row>
    <row r="9" spans="1:25" ht="12.75" customHeight="1">
      <c r="A9" s="61"/>
      <c r="B9" s="977" t="s">
        <v>28</v>
      </c>
      <c r="C9" s="978"/>
      <c r="D9" s="978"/>
      <c r="E9" s="978"/>
      <c r="F9" s="979"/>
      <c r="G9" s="980" t="s">
        <v>22</v>
      </c>
      <c r="H9" s="979"/>
      <c r="I9" s="980" t="s">
        <v>13</v>
      </c>
      <c r="J9" s="978"/>
      <c r="K9" s="978"/>
      <c r="L9" s="980" t="s">
        <v>14</v>
      </c>
      <c r="M9" s="978"/>
      <c r="N9" s="981"/>
      <c r="O9" s="227"/>
      <c r="P9" s="226"/>
      <c r="Q9" s="61"/>
      <c r="R9" s="226"/>
      <c r="S9" s="226"/>
      <c r="T9" s="226"/>
      <c r="U9" s="226"/>
      <c r="V9" s="226"/>
      <c r="W9" s="226"/>
      <c r="X9" s="226"/>
      <c r="Y9" s="226"/>
    </row>
    <row r="10" spans="1:25" ht="16.5" customHeight="1" thickBot="1">
      <c r="A10" s="61"/>
      <c r="B10" s="974" t="str">
        <f>BASE!$D$5</f>
        <v>CAMPO LIMPO</v>
      </c>
      <c r="C10" s="975"/>
      <c r="D10" s="975"/>
      <c r="E10" s="975"/>
      <c r="F10" s="976"/>
      <c r="G10" s="984" t="str">
        <f>BASE!$D$7</f>
        <v>46.392.114/0007-10</v>
      </c>
      <c r="H10" s="985"/>
      <c r="I10" s="52" t="str">
        <f>BASE!$D$11</f>
        <v>01/12/2019</v>
      </c>
      <c r="J10" s="53" t="s">
        <v>27</v>
      </c>
      <c r="K10" s="54" t="str">
        <f>BASE!$F$11</f>
        <v>31/10/2020</v>
      </c>
      <c r="L10" s="982">
        <f>BASE!$D$9</f>
        <v>2020</v>
      </c>
      <c r="M10" s="975"/>
      <c r="N10" s="983"/>
      <c r="O10" s="227"/>
      <c r="P10" s="226"/>
      <c r="Q10" s="61"/>
      <c r="R10" s="226"/>
      <c r="S10" s="226"/>
      <c r="T10" s="226"/>
      <c r="U10" s="226"/>
      <c r="V10" s="226"/>
      <c r="W10" s="226"/>
      <c r="X10" s="226"/>
      <c r="Y10" s="226"/>
    </row>
    <row r="11" spans="1:25" ht="3.75" customHeight="1" thickBot="1">
      <c r="A11" s="61"/>
      <c r="B11" s="996"/>
      <c r="C11" s="996"/>
      <c r="D11" s="996"/>
      <c r="E11" s="996"/>
      <c r="F11" s="996"/>
      <c r="G11" s="996"/>
      <c r="H11" s="996"/>
      <c r="I11" s="996"/>
      <c r="J11" s="996"/>
      <c r="K11" s="996"/>
      <c r="L11" s="996"/>
      <c r="M11" s="996"/>
      <c r="N11" s="996"/>
      <c r="O11" s="21"/>
      <c r="P11" s="21"/>
      <c r="Q11" s="61"/>
      <c r="R11" s="61"/>
    </row>
    <row r="12" spans="1:25" s="146" customFormat="1" ht="12.75" customHeight="1" thickBot="1">
      <c r="A12" s="61"/>
      <c r="B12" s="1000" t="s">
        <v>4</v>
      </c>
      <c r="C12" s="1001"/>
      <c r="D12" s="1002"/>
      <c r="E12" s="1002"/>
      <c r="F12" s="1002"/>
      <c r="G12" s="1002"/>
      <c r="H12" s="1002"/>
      <c r="I12" s="1002"/>
      <c r="J12" s="1002"/>
      <c r="K12" s="1002"/>
      <c r="L12" s="1002"/>
      <c r="M12" s="1002"/>
      <c r="N12" s="1003"/>
      <c r="O12" s="21"/>
      <c r="P12" s="21"/>
      <c r="Q12" s="61"/>
      <c r="R12" s="61"/>
      <c r="S12" s="51"/>
      <c r="T12" s="51"/>
      <c r="U12" s="51"/>
    </row>
    <row r="13" spans="1:25" s="146" customFormat="1" ht="11.25" customHeight="1">
      <c r="A13" s="145"/>
      <c r="B13" s="1004" t="s">
        <v>29</v>
      </c>
      <c r="C13" s="1009" t="s">
        <v>70</v>
      </c>
      <c r="D13" s="1010"/>
      <c r="E13" s="1006" t="s">
        <v>6</v>
      </c>
      <c r="F13" s="1007"/>
      <c r="G13" s="1007"/>
      <c r="H13" s="1007"/>
      <c r="I13" s="1008"/>
      <c r="J13" s="1006" t="s">
        <v>12</v>
      </c>
      <c r="K13" s="1007"/>
      <c r="L13" s="1007"/>
      <c r="M13" s="1008"/>
      <c r="N13" s="155" t="s">
        <v>15</v>
      </c>
      <c r="O13" s="22"/>
      <c r="P13" s="22"/>
      <c r="Q13" s="145"/>
      <c r="R13" s="145"/>
    </row>
    <row r="14" spans="1:25" s="146" customFormat="1" ht="12" customHeight="1" thickBot="1">
      <c r="A14" s="61"/>
      <c r="B14" s="1005"/>
      <c r="C14" s="994"/>
      <c r="D14" s="995"/>
      <c r="E14" s="156" t="s">
        <v>7</v>
      </c>
      <c r="F14" s="157" t="s">
        <v>8</v>
      </c>
      <c r="G14" s="157" t="s">
        <v>9</v>
      </c>
      <c r="H14" s="156" t="s">
        <v>10</v>
      </c>
      <c r="I14" s="158" t="s">
        <v>11</v>
      </c>
      <c r="J14" s="159" t="s">
        <v>7</v>
      </c>
      <c r="K14" s="157" t="s">
        <v>8</v>
      </c>
      <c r="L14" s="160" t="s">
        <v>10</v>
      </c>
      <c r="M14" s="158" t="s">
        <v>11</v>
      </c>
      <c r="N14" s="161" t="s">
        <v>23</v>
      </c>
      <c r="O14" s="147" t="s">
        <v>30</v>
      </c>
      <c r="P14" s="147" t="s">
        <v>90</v>
      </c>
      <c r="Q14" s="145"/>
    </row>
    <row r="15" spans="1:25" ht="14.1" customHeight="1">
      <c r="A15" s="229"/>
      <c r="B15" s="154">
        <f>IF($J$2="","",IF($J$2&gt;1,"",INDEX(CONSOLIDA!$B$4:Q$207,($J$2-1)*30+1,1)))</f>
        <v>1</v>
      </c>
      <c r="C15" s="293">
        <f>IF($J$2="","",IF($J$2&gt;1,"",INDEX(CONSOLIDA!$B$4:Q$207,($J$2-1)*30+1,2)))</f>
        <v>400090</v>
      </c>
      <c r="D15" s="543" t="str">
        <f>IF($J$2="","",IF($J$2&gt;1,"TRANSPORTADO....................",PROPER(INDEX(CONSOLIDA!$B$4:Q$207,($J$2-1)*30+1,3))))</f>
        <v>Cei - Jardim Kagohara</v>
      </c>
      <c r="E15" s="544">
        <f>IF($J$2="","",IF($J$2&gt;1,INDEX(CONSOLIDA!$R$4:Z$10,($J$2)-1,1),INDEX(CONSOLIDA!$B$4:Q$207,($J$2-1)*30+1,4)))</f>
        <v>27968.79</v>
      </c>
      <c r="F15" s="545">
        <f>IF($J$2="","",IF($J$2&gt;1,INDEX(CONSOLIDA!$R$4:Z$10,($J$2)-1,2),INDEX(CONSOLIDA!$B$4:Q$207,($J$2-1)*30+1,5)))</f>
        <v>84802</v>
      </c>
      <c r="G15" s="546">
        <f>IF($J$2="","",IF($J$2&gt;1,INDEX(CONSOLIDA!$R$4:Z$10,($J$2)-1,3),INDEX(CONSOLIDA!$B$4:Q$207,($J$2-1)*30+1,6)))</f>
        <v>0</v>
      </c>
      <c r="H15" s="545">
        <f>IF($J$2="","",IF($J$2&gt;1,INDEX(CONSOLIDA!$R$4:Z$10,($J$2)-1,4),INDEX(CONSOLIDA!$B$4:Q$207,($J$2-1)*30+1,7)))</f>
        <v>0</v>
      </c>
      <c r="I15" s="222">
        <f>IF($J$2="","",IF($J$2&gt;1,INDEX(CONSOLIDA!$R$4:Z$10,($J$2)-1,5),INDEX(CONSOLIDA!$B$4:Q$207,($J$2-1)*30+1,8)))</f>
        <v>112770.79000000001</v>
      </c>
      <c r="J15" s="547">
        <f>IF($J$2="","",IF($J$2&gt;1,INDEX(CONSOLIDA!$R$4:Z$10,($J$2)-1,6),INDEX(CONSOLIDA!$B$4:Q$207,($J$2-1)*30+1,9)))</f>
        <v>2280</v>
      </c>
      <c r="K15" s="548">
        <f>IF($J$2="","",IF($J$2&gt;1,INDEX(CONSOLIDA!$R$4:Z$10,($J$2)-1,7),INDEX(CONSOLIDA!$B$4:Q$207,($J$2-1)*30+1,10)))</f>
        <v>0</v>
      </c>
      <c r="L15" s="548">
        <f>IF($J$2="","",IF($J$2&gt;1,INDEX(CONSOLIDA!$R$4:Z$10,($J$2)-1,8),INDEX(CONSOLIDA!$B$4:Q$207,($J$2-1)*30+1,11)))</f>
        <v>0</v>
      </c>
      <c r="M15" s="222">
        <f>IF($J$2="","",IF($J$2&gt;1,INDEX(CONSOLIDA!$R$4:Z$10,($J$2)-1,9),INDEX(CONSOLIDA!$B$4:Q$207,($J$2-1)*30+1,12)))</f>
        <v>2280</v>
      </c>
      <c r="N15" s="267">
        <f>IF($J$2="","",IF($J$2&gt;1,"",INDEX(CONSOLIDA!$B$2:Q$207,($J$2-1)*30+3,15)))</f>
        <v>0</v>
      </c>
      <c r="O15" s="193">
        <f>IF($J$2="","",IF($J$2&gt;1,"",INDEX(CONSOLIDA!$B$2:Q$207,($J$2-1)*30+3,12)))</f>
        <v>2280</v>
      </c>
      <c r="P15" s="113">
        <f>IF($J$2="","",IF($J$2&gt;1,"",INDEX(CONSOLIDA!$B$2:Q$207,($J$2-1)*30+3,13)))</f>
        <v>8003092000175</v>
      </c>
      <c r="Q15" s="61"/>
    </row>
    <row r="16" spans="1:25" ht="14.1" customHeight="1">
      <c r="A16" s="61"/>
      <c r="B16" s="55">
        <f>IF($J$2="","",IF($J$2&gt;1,INDEX(CONSOLIDA!$B$34:Q$207,($J$2-2)*29+1,1),INDEX(CONSOLIDA!$B$4:Q$207,($J$2-1)*30+2,1)))</f>
        <v>2</v>
      </c>
      <c r="C16" s="294">
        <f>IF($J$2="","",IF($J$2&gt;1,(INDEX(CONSOLIDA!$B$34:Q$207,($J$2-2)*29+1,2)),(INDEX(CONSOLIDA!$B$4:Q$207,($J$2-1)*30+2,2))))</f>
        <v>92908</v>
      </c>
      <c r="D16" s="295" t="str">
        <f>IF($J$2="","",IF($J$2&gt;1,PROPER(INDEX(CONSOLIDA!$B$34:Q$207,($J$2-2)*29+1,3)),PROPER(INDEX(CONSOLIDA!$B$4:Q$207,($J$2-1)*30+2,3))))</f>
        <v>Emef - Clemente Pastore, Prof.</v>
      </c>
      <c r="E16" s="209">
        <f>IF($J$2="","",IF($J$2&gt;1,(INDEX(CONSOLIDA!$B$34:Q$207,($J$2-2)*29+1,4)),(INDEX(CONSOLIDA!$B$4:Q$207,($J$2-1)*30+2,4))))</f>
        <v>31013.61</v>
      </c>
      <c r="F16" s="197">
        <f>IF($J$2="","",IF($J$2&gt;1,(INDEX(CONSOLIDA!$B$34:Q$207,($J$2-2)*29+1,5)),(INDEX(CONSOLIDA!$B$4:Q$207,($J$2-1)*30+2,5))))</f>
        <v>152948</v>
      </c>
      <c r="G16" s="199">
        <f>IF($J$2="","",IF($J$2&gt;1,(INDEX(CONSOLIDA!$B$34:Q$207,($J$2-2)*29+1,6)),(INDEX(CONSOLIDA!$B$4:Q$207,($J$2-1)*30+2,6))))</f>
        <v>0</v>
      </c>
      <c r="H16" s="197">
        <f>IF($J$2="","",IF($J$2&gt;1,(INDEX(CONSOLIDA!$B$34:Q$207,($J$2-2)*29+1,7)),(INDEX(CONSOLIDA!$B$4:Q$207,($J$2-1)*30+2,7))))</f>
        <v>0</v>
      </c>
      <c r="I16" s="214">
        <f>IF($J$2="","",IF($J$2&gt;1,(INDEX(CONSOLIDA!$B$34:Q$207,($J$2-2)*29+1,8)),(INDEX(CONSOLIDA!$B$4:Q$207,($J$2-1)*30+2,8))))</f>
        <v>183961.61</v>
      </c>
      <c r="J16" s="200">
        <f>IF($J$2="","",IF($J$2&gt;1,(INDEX(CONSOLIDA!$B$34:Q$207,($J$2-2)*29+1,9)),(INDEX(CONSOLIDA!$B$4:Q$207,($J$2-1)*30+2,9))))</f>
        <v>11560</v>
      </c>
      <c r="K16" s="198">
        <f>IF($J$2="","",IF($J$2&gt;1,(INDEX(CONSOLIDA!$B$34:Q$207,($J$2-2)*29+1,10)),(INDEX(CONSOLIDA!$B$4:Q$207,($J$2-1)*30+2,10))))</f>
        <v>2000</v>
      </c>
      <c r="L16" s="198">
        <f>IF($J$2="","",IF($J$2&gt;1,(INDEX(CONSOLIDA!$B$34:Q$207,($J$2-2)*29+1,11)),(INDEX(CONSOLIDA!$B$4:Q$207,($J$2-1)*30+2,11))))</f>
        <v>0</v>
      </c>
      <c r="M16" s="214">
        <f>IF($J$2="","",IF($J$2&gt;1,(INDEX(CONSOLIDA!$B$34:Q$207,($J$2-2)*29+1,12)),(INDEX(CONSOLIDA!$B$4:Q$207,($J$2-1)*30+2,12))))</f>
        <v>13560</v>
      </c>
      <c r="N16" s="218">
        <f>IF($J$2="","",IF($J$2&gt;1,(INDEX(CONSOLIDA!$B$34:S$207,($J$2-2)*29+1,15)),(INDEX(CONSOLIDA!$B$4:S$207,($J$2-1)*30+2,15))))</f>
        <v>0</v>
      </c>
      <c r="O16" s="193">
        <f>IF($J$2="","",IF($J$2&gt;1,(INDEX(CONSOLIDA!$B$34:Q$207,($J$2-2)*29+1,12)),(INDEX(CONSOLIDA!$B$4:Q$207,($J$2-1)*30+2,12))))</f>
        <v>13560</v>
      </c>
      <c r="P16" s="113">
        <f>IF($J$2="","",IF($J$2&gt;1,(INDEX(CONSOLIDA!$B$34:Q$207,($J$2-2)*29+1,13)),(INDEX(CONSOLIDA!$B$4:Q$207,($J$2-1)*30+2,13))))</f>
        <v>43613389000153</v>
      </c>
      <c r="Q16" s="61"/>
    </row>
    <row r="17" spans="1:17" ht="14.1" customHeight="1">
      <c r="A17" s="61"/>
      <c r="B17" s="55">
        <f>IF($J$2="","",IF($J$2&gt;1,INDEX(CONSOLIDA!$B$34:Q$207,($J$2-2)*29+2,1),INDEX(CONSOLIDA!$B$4:Q$207,($J$2-1)*30+3,1)))</f>
        <v>3</v>
      </c>
      <c r="C17" s="294">
        <f>IF($J$2="","",IF($J$2&gt;1,(INDEX(CONSOLIDA!$B$34:Q$207,($J$2-2)*29+2,2)),(INDEX(CONSOLIDA!$B$4:Q$207,($J$2-1)*30+3,2))))</f>
        <v>99228</v>
      </c>
      <c r="D17" s="295" t="str">
        <f>IF($J$2="","",IF($J$2&gt;1,PROPER(INDEX(CONSOLIDA!$B$34:Q$207,($J$2-2)*29+2,3)),PROPER(INDEX(CONSOLIDA!$B$4:Q$207,($J$2-1)*30+3,3))))</f>
        <v>Emef - Joao Pedro De Carvalho Neto, Dr.</v>
      </c>
      <c r="E17" s="209">
        <f>IF($J$2="","",IF($J$2&gt;1,(INDEX(CONSOLIDA!$B$34:Q$207,($J$2-2)*29+2,4)),(INDEX(CONSOLIDA!$B$4:Q$207,($J$2-1)*30+3,4))))</f>
        <v>20070.400000000001</v>
      </c>
      <c r="F17" s="201">
        <f>IF($J$2="","",IF($J$2&gt;1,(INDEX(CONSOLIDA!$B$34:Q$207,($J$2-2)*29+2,5)),(INDEX(CONSOLIDA!$B$4:Q$207,($J$2-1)*30+3,5))))</f>
        <v>141426</v>
      </c>
      <c r="G17" s="203">
        <f>IF($J$2="","",IF($J$2&gt;1,(INDEX(CONSOLIDA!$B$34:Q$207,($J$2-2)*29+2,6)),(INDEX(CONSOLIDA!$B$4:Q$207,($J$2-1)*30+3,6))))</f>
        <v>0</v>
      </c>
      <c r="H17" s="201">
        <f>IF($J$2="","",IF($J$2&gt;1,(INDEX(CONSOLIDA!$B$34:Q$207,($J$2-2)*29+2,7)),(INDEX(CONSOLIDA!$B$4:Q$207,($J$2-1)*30+3,7))))</f>
        <v>0</v>
      </c>
      <c r="I17" s="215">
        <f>IF($J$2="","",IF($J$2&gt;1,(INDEX(CONSOLIDA!$B$34:Q$207,($J$2-2)*29+2,8)),(INDEX(CONSOLIDA!$B$4:Q$207,($J$2-1)*30+3,8))))</f>
        <v>161496.4</v>
      </c>
      <c r="J17" s="204">
        <f>IF($J$2="","",IF($J$2&gt;1,(INDEX(CONSOLIDA!$B$34:Q$207,($J$2-2)*29+2,9)),(INDEX(CONSOLIDA!$B$4:Q$207,($J$2-1)*30+3,9))))</f>
        <v>5000</v>
      </c>
      <c r="K17" s="198">
        <f>IF($J$2="","",IF($J$2&gt;1,(INDEX(CONSOLIDA!$B$34:Q$207,($J$2-2)*29+2,10)),(INDEX(CONSOLIDA!$B$4:Q$207,($J$2-1)*30+3,10))))</f>
        <v>600</v>
      </c>
      <c r="L17" s="202">
        <f>IF($J$2="","",IF($J$2&gt;1,(INDEX(CONSOLIDA!$B$34:Q$207,($J$2-2)*29+2,11)),(INDEX(CONSOLIDA!$B$4:Q$207,($J$2-1)*30+3,11))))</f>
        <v>0</v>
      </c>
      <c r="M17" s="215">
        <f>IF($J$2="","",IF($J$2&gt;1,(INDEX(CONSOLIDA!$B$34:Q$207,($J$2-2)*29+2,12)),(INDEX(CONSOLIDA!$B$4:Q$207,($J$2-1)*30+3,12))))</f>
        <v>5600</v>
      </c>
      <c r="N17" s="219">
        <f>IF($J$2="","",IF($J$2&gt;1,(INDEX(CONSOLIDA!$B$34:S$207,($J$2-2)*29+2,15)),(INDEX(CONSOLIDA!$B$4:S$207,($J$2-1)*30+3,15))))</f>
        <v>0</v>
      </c>
      <c r="O17" s="193">
        <f>IF($J$2="","",IF($J$2&gt;1,(INDEX(CONSOLIDA!$B$34:Q$207,($J$2-2)*29+2,12)),(INDEX(CONSOLIDA!$B$4:Q$207,($J$2-1)*30+3,12))))</f>
        <v>5600</v>
      </c>
      <c r="P17" s="113">
        <f>IF($J$2="","",IF($J$2&gt;1,(INDEX(CONSOLIDA!$B$34:Q$207,($J$2-2)*29+2,13)),(INDEX(CONSOLIDA!$B$4:Q$207,($J$2-1)*30+3,13))))</f>
        <v>60522711000158</v>
      </c>
      <c r="Q17" s="61"/>
    </row>
    <row r="18" spans="1:17" ht="14.1" customHeight="1">
      <c r="A18" s="61"/>
      <c r="B18" s="55">
        <f>IF($J$2="","",IF($J$2&gt;1,INDEX(CONSOLIDA!$B$34:Q$207,($J$2-2)*29+3,1),INDEX(CONSOLIDA!$B$4:Q$207,($J$2-1)*30+4,1)))</f>
        <v>4</v>
      </c>
      <c r="C18" s="294">
        <f>IF($J$2="","",IF($J$2&gt;1,(INDEX(CONSOLIDA!$B$34:Q$207,($J$2-2)*29+3,2)),(INDEX(CONSOLIDA!$B$4:Q$207,($J$2-1)*30+4,2))))</f>
        <v>19490</v>
      </c>
      <c r="D18" s="295" t="str">
        <f>IF($J$2="","",IF($J$2&gt;1,PROPER(INDEX(CONSOLIDA!$B$34:Q$207,($J$2-2)*29+3,3)),PROPER(INDEX(CONSOLIDA!$B$4:Q$207,($J$2-1)*30+4,3))))</f>
        <v>Emei - Campo Limpo Vi</v>
      </c>
      <c r="E18" s="209">
        <f>IF($J$2="","",IF($J$2&gt;1,(INDEX(CONSOLIDA!$B$34:Q$207,($J$2-2)*29+3,4)),(INDEX(CONSOLIDA!$B$4:Q$207,($J$2-1)*30+4,4))))</f>
        <v>34977.589999999997</v>
      </c>
      <c r="F18" s="201">
        <f>IF($J$2="","",IF($J$2&gt;1,(INDEX(CONSOLIDA!$B$34:Q$207,($J$2-2)*29+3,5)),(INDEX(CONSOLIDA!$B$4:Q$207,($J$2-1)*30+4,5))))</f>
        <v>110442</v>
      </c>
      <c r="G18" s="203">
        <f>IF($J$2="","",IF($J$2&gt;1,(INDEX(CONSOLIDA!$B$34:Q$207,($J$2-2)*29+3,6)),(INDEX(CONSOLIDA!$B$4:Q$207,($J$2-1)*30+4,6))))</f>
        <v>0</v>
      </c>
      <c r="H18" s="201">
        <f>IF($J$2="","",IF($J$2&gt;1,(INDEX(CONSOLIDA!$B$34:Q$207,($J$2-2)*29+3,7)),(INDEX(CONSOLIDA!$B$4:Q$207,($J$2-1)*30+4,7))))</f>
        <v>0</v>
      </c>
      <c r="I18" s="215">
        <f>IF($J$2="","",IF($J$2&gt;1,(INDEX(CONSOLIDA!$B$34:Q$207,($J$2-2)*29+3,8)),(INDEX(CONSOLIDA!$B$4:Q$207,($J$2-1)*30+4,8))))</f>
        <v>145419.59</v>
      </c>
      <c r="J18" s="204">
        <f>IF($J$2="","",IF($J$2&gt;1,(INDEX(CONSOLIDA!$B$34:Q$207,($J$2-2)*29+3,9)),(INDEX(CONSOLIDA!$B$4:Q$207,($J$2-1)*30+4,9))))</f>
        <v>9343</v>
      </c>
      <c r="K18" s="198">
        <f>IF($J$2="","",IF($J$2&gt;1,(INDEX(CONSOLIDA!$B$34:Q$207,($J$2-2)*29+3,10)),(INDEX(CONSOLIDA!$B$4:Q$207,($J$2-1)*30+4,10))))</f>
        <v>0</v>
      </c>
      <c r="L18" s="202">
        <f>IF($J$2="","",IF($J$2&gt;1,(INDEX(CONSOLIDA!$B$34:Q$207,($J$2-2)*29+3,11)),(INDEX(CONSOLIDA!$B$4:Q$207,($J$2-1)*30+4,11))))</f>
        <v>0</v>
      </c>
      <c r="M18" s="215">
        <f>IF($J$2="","",IF($J$2&gt;1,(INDEX(CONSOLIDA!$B$34:Q$207,($J$2-2)*29+3,12)),(INDEX(CONSOLIDA!$B$4:Q$207,($J$2-1)*30+4,12))))</f>
        <v>9343</v>
      </c>
      <c r="N18" s="219">
        <f>IF($J$2="","",IF($J$2&gt;1,(INDEX(CONSOLIDA!$B$34:S$207,($J$2-2)*29+3,15)),(INDEX(CONSOLIDA!$B$4:S$207,($J$2-1)*30+4,15))))</f>
        <v>0</v>
      </c>
      <c r="O18" s="193">
        <f>IF($J$2="","",IF($J$2&gt;1,(INDEX(CONSOLIDA!$B$34:Q$207,($J$2-2)*29+3,12)),(INDEX(CONSOLIDA!$B$4:Q$207,($J$2-1)*30+4,12))))</f>
        <v>9343</v>
      </c>
      <c r="P18" s="113">
        <f>IF($J$2="","",IF($J$2&gt;1,(INDEX(CONSOLIDA!$B$34:Q$207,($J$2-2)*29+3,13)),(INDEX(CONSOLIDA!$B$4:Q$207,($J$2-1)*30+4,13))))</f>
        <v>24866805000180</v>
      </c>
      <c r="Q18" s="61"/>
    </row>
    <row r="19" spans="1:17" ht="14.1" customHeight="1">
      <c r="A19" s="61"/>
      <c r="B19" s="55">
        <f>IF($J$2="","",IF($J$2&gt;1,INDEX(CONSOLIDA!$B$34:Q$207,($J$2-2)*29+4,1),INDEX(CONSOLIDA!$B$4:Q$207,($J$2-1)*30+5,1)))</f>
        <v>5</v>
      </c>
      <c r="C19" s="294">
        <f>IF($J$2="","",IF($J$2&gt;1,(INDEX(CONSOLIDA!$B$34:Q$207,($J$2-2)*29+4,2)),(INDEX(CONSOLIDA!$B$4:Q$207,($J$2-1)*30+5,2))))</f>
        <v>200252</v>
      </c>
      <c r="D19" s="295" t="str">
        <f>IF($J$2="","",IF($J$2&gt;1,PROPER(INDEX(CONSOLIDA!$B$34:Q$207,($J$2-2)*29+4,3)),PROPER(INDEX(CONSOLIDA!$B$4:Q$207,($J$2-1)*30+5,3))))</f>
        <v>Ceu - Capao Redondo - Celso Seixas Ribeiro Bastos, Prof. E Dr.</v>
      </c>
      <c r="E19" s="209">
        <f>IF($J$2="","",IF($J$2&gt;1,(INDEX(CONSOLIDA!$B$34:Q$207,($J$2-2)*29+4,4)),(INDEX(CONSOLIDA!$B$4:Q$207,($J$2-1)*30+5,4))))</f>
        <v>17978.2</v>
      </c>
      <c r="F19" s="201">
        <f>IF($J$2="","",IF($J$2&gt;1,(INDEX(CONSOLIDA!$B$34:Q$207,($J$2-2)*29+4,5)),(INDEX(CONSOLIDA!$B$4:Q$207,($J$2-1)*30+5,5))))</f>
        <v>121752</v>
      </c>
      <c r="G19" s="203">
        <f>IF($J$2="","",IF($J$2&gt;1,(INDEX(CONSOLIDA!$B$34:Q$207,($J$2-2)*29+4,6)),(INDEX(CONSOLIDA!$B$4:Q$207,($J$2-1)*30+5,6))))</f>
        <v>0</v>
      </c>
      <c r="H19" s="201">
        <f>IF($J$2="","",IF($J$2&gt;1,(INDEX(CONSOLIDA!$B$34:Q$207,($J$2-2)*29+4,7)),(INDEX(CONSOLIDA!$B$4:Q$207,($J$2-1)*30+5,7))))</f>
        <v>0</v>
      </c>
      <c r="I19" s="215">
        <f>IF($J$2="","",IF($J$2&gt;1,(INDEX(CONSOLIDA!$B$34:Q$207,($J$2-2)*29+4,8)),(INDEX(CONSOLIDA!$B$4:Q$207,($J$2-1)*30+5,8))))</f>
        <v>139730.20000000001</v>
      </c>
      <c r="J19" s="204">
        <f>IF($J$2="","",IF($J$2&gt;1,(INDEX(CONSOLIDA!$B$34:Q$207,($J$2-2)*29+4,9)),(INDEX(CONSOLIDA!$B$4:Q$207,($J$2-1)*30+5,9))))</f>
        <v>11110</v>
      </c>
      <c r="K19" s="198">
        <f>IF($J$2="","",IF($J$2&gt;1,(INDEX(CONSOLIDA!$B$34:Q$207,($J$2-2)*29+4,10)),(INDEX(CONSOLIDA!$B$4:Q$207,($J$2-1)*30+5,10))))</f>
        <v>0</v>
      </c>
      <c r="L19" s="202">
        <f>IF($J$2="","",IF($J$2&gt;1,(INDEX(CONSOLIDA!$B$34:Q$207,($J$2-2)*29+4,11)),(INDEX(CONSOLIDA!$B$4:Q$207,($J$2-1)*30+5,11))))</f>
        <v>0</v>
      </c>
      <c r="M19" s="215">
        <f>IF($J$2="","",IF($J$2&gt;1,(INDEX(CONSOLIDA!$B$34:Q$207,($J$2-2)*29+4,12)),(INDEX(CONSOLIDA!$B$4:Q$207,($J$2-1)*30+5,12))))</f>
        <v>11110</v>
      </c>
      <c r="N19" s="219">
        <f>IF($J$2="","",IF($J$2&gt;1,(INDEX(CONSOLIDA!$B$34:S$207,($J$2-2)*29+4,15)),(INDEX(CONSOLIDA!$B$4:S$207,($J$2-1)*30+5,15))))</f>
        <v>0</v>
      </c>
      <c r="O19" s="193">
        <f>IF($J$2="","",IF($J$2&gt;1,(INDEX(CONSOLIDA!$B$34:Q$207,($J$2-2)*29+4,12)),(INDEX(CONSOLIDA!$B$4:Q$207,($J$2-1)*30+5,12))))</f>
        <v>11110</v>
      </c>
      <c r="P19" s="113">
        <f>IF($J$2="","",IF($J$2&gt;1,(INDEX(CONSOLIDA!$B$34:Q$207,($J$2-2)*29+4,13)),(INDEX(CONSOLIDA!$B$4:Q$207,($J$2-1)*30+5,13))))</f>
        <v>12436806000106</v>
      </c>
      <c r="Q19" s="61"/>
    </row>
    <row r="20" spans="1:17" ht="14.1" customHeight="1">
      <c r="A20" s="61"/>
      <c r="B20" s="55" t="str">
        <f>IF($J$2="","",IF($J$2&gt;1,INDEX(CONSOLIDA!$B$34:Q$207,($J$2-2)*29+5,1),INDEX(CONSOLIDA!$B$4:Q$207,($J$2-1)*30+6,1)))</f>
        <v/>
      </c>
      <c r="C20" s="294">
        <f>IF($J$2="","",IF($J$2&gt;1,(INDEX(CONSOLIDA!$B$34:Q$207,($J$2-2)*29+5,2)),(INDEX(CONSOLIDA!$B$4:Q$207,($J$2-1)*30+6,2))))</f>
        <v>0</v>
      </c>
      <c r="D20" s="295" t="str">
        <f>IF($J$2="","",IF($J$2&gt;1,PROPER(INDEX(CONSOLIDA!$B$34:Q$207,($J$2-2)*29+5,3)),PROPER(INDEX(CONSOLIDA!$B$4:Q$207,($J$2-1)*30+6,3))))</f>
        <v/>
      </c>
      <c r="E20" s="209">
        <f>IF($J$2="","",IF($J$2&gt;1,(INDEX(CONSOLIDA!$B$34:Q$207,($J$2-2)*29+5,4)),(INDEX(CONSOLIDA!$B$4:Q$207,($J$2-1)*30+6,4))))</f>
        <v>0</v>
      </c>
      <c r="F20" s="201">
        <f>IF($J$2="","",IF($J$2&gt;1,(INDEX(CONSOLIDA!$B$34:Q$207,($J$2-2)*29+5,5)),(INDEX(CONSOLIDA!$B$4:Q$207,($J$2-1)*30+6,5))))</f>
        <v>0</v>
      </c>
      <c r="G20" s="203">
        <f>IF($J$2="","",IF($J$2&gt;1,(INDEX(CONSOLIDA!$B$34:Q$207,($J$2-2)*29+5,6)),(INDEX(CONSOLIDA!$B$4:Q$207,($J$2-1)*30+6,6))))</f>
        <v>0</v>
      </c>
      <c r="H20" s="201">
        <f>IF($J$2="","",IF($J$2&gt;1,(INDEX(CONSOLIDA!$B$34:Q$207,($J$2-2)*29+5,7)),(INDEX(CONSOLIDA!$B$4:Q$207,($J$2-1)*30+6,7))))</f>
        <v>0</v>
      </c>
      <c r="I20" s="215">
        <f>IF($J$2="","",IF($J$2&gt;1,(INDEX(CONSOLIDA!$B$34:Q$207,($J$2-2)*29+5,8)),(INDEX(CONSOLIDA!$B$4:Q$207,($J$2-1)*30+6,8))))</f>
        <v>0</v>
      </c>
      <c r="J20" s="204">
        <f>IF($J$2="","",IF($J$2&gt;1,(INDEX(CONSOLIDA!$B$34:Q$207,($J$2-2)*29+5,9)),(INDEX(CONSOLIDA!$B$4:Q$207,($J$2-1)*30+6,9))))</f>
        <v>0</v>
      </c>
      <c r="K20" s="198">
        <f>IF($J$2="","",IF($J$2&gt;1,(INDEX(CONSOLIDA!$B$34:Q$207,($J$2-2)*29+5,10)),(INDEX(CONSOLIDA!$B$4:Q$207,($J$2-1)*30+6,10))))</f>
        <v>0</v>
      </c>
      <c r="L20" s="202">
        <f>IF($J$2="","",IF($J$2&gt;1,(INDEX(CONSOLIDA!$B$34:Q$207,($J$2-2)*29+5,11)),(INDEX(CONSOLIDA!$B$4:Q$207,($J$2-1)*30+6,11))))</f>
        <v>0</v>
      </c>
      <c r="M20" s="215">
        <f>IF($J$2="","",IF($J$2&gt;1,(INDEX(CONSOLIDA!$B$34:Q$207,($J$2-2)*29+5,12)),(INDEX(CONSOLIDA!$B$4:Q$207,($J$2-1)*30+6,12))))</f>
        <v>0</v>
      </c>
      <c r="N20" s="219">
        <f>IF($J$2="","",IF($J$2&gt;1,(INDEX(CONSOLIDA!$B$34:S$207,($J$2-2)*29+5,15)),(INDEX(CONSOLIDA!$B$4:S$207,($J$2-1)*30+6,15))))</f>
        <v>0</v>
      </c>
      <c r="O20" s="193">
        <f>IF($J$2="","",IF($J$2&gt;1,(INDEX(CONSOLIDA!$B$34:Q$207,($J$2-2)*29+5,12)),(INDEX(CONSOLIDA!$B$4:Q$207,($J$2-1)*30+6,12))))</f>
        <v>0</v>
      </c>
      <c r="P20" s="113">
        <f>IF($J$2="","",IF($J$2&gt;1,(INDEX(CONSOLIDA!$B$34:Q$207,($J$2-2)*29+5,13)),(INDEX(CONSOLIDA!$B$4:Q$207,($J$2-1)*30+6,13))))</f>
        <v>0</v>
      </c>
      <c r="Q20" s="61"/>
    </row>
    <row r="21" spans="1:17" ht="14.1" customHeight="1">
      <c r="A21" s="61"/>
      <c r="B21" s="55" t="str">
        <f>IF($J$2="","",IF($J$2&gt;1,INDEX(CONSOLIDA!$B$34:Q$207,($J$2-2)*29+6,1),INDEX(CONSOLIDA!$B$4:Q$207,($J$2-1)*30+7,1)))</f>
        <v/>
      </c>
      <c r="C21" s="294">
        <f>IF($J$2="","",IF($J$2&gt;1,(INDEX(CONSOLIDA!$B$34:Q$207,($J$2-2)*29+6,2)),(INDEX(CONSOLIDA!$B$4:Q$207,($J$2-1)*30+7,2))))</f>
        <v>0</v>
      </c>
      <c r="D21" s="295" t="str">
        <f>IF($J$2="","",IF($J$2&gt;1,PROPER(INDEX(CONSOLIDA!$B$34:Q$207,($J$2-2)*29+6,3)),PROPER(INDEX(CONSOLIDA!$B$4:Q$207,($J$2-1)*30+7,3))))</f>
        <v/>
      </c>
      <c r="E21" s="209">
        <f>IF($J$2="","",IF($J$2&gt;1,(INDEX(CONSOLIDA!$B$34:Q$207,($J$2-2)*29+6,4)),(INDEX(CONSOLIDA!$B$4:Q$207,($J$2-1)*30+7,4))))</f>
        <v>0</v>
      </c>
      <c r="F21" s="201">
        <f>IF($J$2="","",IF($J$2&gt;1,(INDEX(CONSOLIDA!$B$34:Q$207,($J$2-2)*29+6,5)),(INDEX(CONSOLIDA!$B$4:Q$207,($J$2-1)*30+7,5))))</f>
        <v>0</v>
      </c>
      <c r="G21" s="203">
        <f>IF($J$2="","",IF($J$2&gt;1,(INDEX(CONSOLIDA!$B$34:Q$207,($J$2-2)*29+6,6)),(INDEX(CONSOLIDA!$B$4:Q$207,($J$2-1)*30+7,6))))</f>
        <v>0</v>
      </c>
      <c r="H21" s="201">
        <f>IF($J$2="","",IF($J$2&gt;1,(INDEX(CONSOLIDA!$B$34:Q$207,($J$2-2)*29+6,7)),(INDEX(CONSOLIDA!$B$4:Q$207,($J$2-1)*30+7,7))))</f>
        <v>0</v>
      </c>
      <c r="I21" s="215">
        <f>IF($J$2="","",IF($J$2&gt;1,(INDEX(CONSOLIDA!$B$34:Q$207,($J$2-2)*29+6,8)),(INDEX(CONSOLIDA!$B$4:Q$207,($J$2-1)*30+7,8))))</f>
        <v>0</v>
      </c>
      <c r="J21" s="204">
        <f>IF($J$2="","",IF($J$2&gt;1,(INDEX(CONSOLIDA!$B$34:Q$207,($J$2-2)*29+6,9)),(INDEX(CONSOLIDA!$B$4:Q$207,($J$2-1)*30+7,9))))</f>
        <v>0</v>
      </c>
      <c r="K21" s="198">
        <f>IF($J$2="","",IF($J$2&gt;1,(INDEX(CONSOLIDA!$B$34:Q$207,($J$2-2)*29+6,10)),(INDEX(CONSOLIDA!$B$4:Q$207,($J$2-1)*30+7,10))))</f>
        <v>0</v>
      </c>
      <c r="L21" s="202">
        <f>IF($J$2="","",IF($J$2&gt;1,(INDEX(CONSOLIDA!$B$34:Q$207,($J$2-2)*29+6,11)),(INDEX(CONSOLIDA!$B$4:Q$207,($J$2-1)*30+7,11))))</f>
        <v>0</v>
      </c>
      <c r="M21" s="215">
        <f>IF($J$2="","",IF($J$2&gt;1,(INDEX(CONSOLIDA!$B$34:Q$207,($J$2-2)*29+6,12)),(INDEX(CONSOLIDA!$B$4:Q$207,($J$2-1)*30+7,12))))</f>
        <v>0</v>
      </c>
      <c r="N21" s="219">
        <f>IF($J$2="","",IF($J$2&gt;1,(INDEX(CONSOLIDA!$B$34:S$207,($J$2-2)*29+6,15)),(INDEX(CONSOLIDA!$B$4:S$207,($J$2-1)*30+7,15))))</f>
        <v>0</v>
      </c>
      <c r="O21" s="193">
        <f>IF($J$2="","",IF($J$2&gt;1,(INDEX(CONSOLIDA!$B$34:Q$207,($J$2-2)*29+6,12)),(INDEX(CONSOLIDA!$B$4:Q$207,($J$2-1)*30+7,12))))</f>
        <v>0</v>
      </c>
      <c r="P21" s="113">
        <f>IF($J$2="","",IF($J$2&gt;1,(INDEX(CONSOLIDA!$B$34:Q$207,($J$2-2)*29+6,13)),(INDEX(CONSOLIDA!$B$4:Q$207,($J$2-1)*30+7,13))))</f>
        <v>0</v>
      </c>
      <c r="Q21" s="61"/>
    </row>
    <row r="22" spans="1:17" ht="14.1" customHeight="1">
      <c r="A22" s="61"/>
      <c r="B22" s="55" t="str">
        <f>IF($J$2="","",IF($J$2&gt;1,INDEX(CONSOLIDA!$B$34:Q$207,($J$2-2)*29+7,1),INDEX(CONSOLIDA!$B$4:Q$207,($J$2-1)*30+8,1)))</f>
        <v/>
      </c>
      <c r="C22" s="294">
        <f>IF($J$2="","",IF($J$2&gt;1,(INDEX(CONSOLIDA!$B$34:Q$207,($J$2-2)*29+7,2)),(INDEX(CONSOLIDA!$B$4:Q$207,($J$2-1)*30+8,2))))</f>
        <v>0</v>
      </c>
      <c r="D22" s="295" t="str">
        <f>IF($J$2="","",IF($J$2&gt;1,PROPER(INDEX(CONSOLIDA!$B$34:Q$207,($J$2-2)*29+7,3)),PROPER(INDEX(CONSOLIDA!$B$4:Q$207,($J$2-1)*30+8,3))))</f>
        <v/>
      </c>
      <c r="E22" s="209">
        <f>IF($J$2="","",IF($J$2&gt;1,(INDEX(CONSOLIDA!$B$34:Q$207,($J$2-2)*29+7,4)),(INDEX(CONSOLIDA!$B$4:Q$207,($J$2-1)*30+8,4))))</f>
        <v>0</v>
      </c>
      <c r="F22" s="201">
        <f>IF($J$2="","",IF($J$2&gt;1,(INDEX(CONSOLIDA!$B$34:Q$207,($J$2-2)*29+7,5)),(INDEX(CONSOLIDA!$B$4:Q$207,($J$2-1)*30+8,5))))</f>
        <v>0</v>
      </c>
      <c r="G22" s="203">
        <f>IF($J$2="","",IF($J$2&gt;1,(INDEX(CONSOLIDA!$B$34:Q$207,($J$2-2)*29+7,6)),(INDEX(CONSOLIDA!$B$4:Q$207,($J$2-1)*30+8,6))))</f>
        <v>0</v>
      </c>
      <c r="H22" s="201">
        <f>IF($J$2="","",IF($J$2&gt;1,(INDEX(CONSOLIDA!$B$34:Q$207,($J$2-2)*29+7,7)),(INDEX(CONSOLIDA!$B$4:Q$207,($J$2-1)*30+8,7))))</f>
        <v>0</v>
      </c>
      <c r="I22" s="215">
        <f>IF($J$2="","",IF($J$2&gt;1,(INDEX(CONSOLIDA!$B$34:Q$207,($J$2-2)*29+7,8)),(INDEX(CONSOLIDA!$B$4:Q$207,($J$2-1)*30+8,8))))</f>
        <v>0</v>
      </c>
      <c r="J22" s="204">
        <f>IF($J$2="","",IF($J$2&gt;1,(INDEX(CONSOLIDA!$B$34:Q$207,($J$2-2)*29+7,9)),(INDEX(CONSOLIDA!$B$4:Q$207,($J$2-1)*30+8,9))))</f>
        <v>0</v>
      </c>
      <c r="K22" s="198">
        <f>IF($J$2="","",IF($J$2&gt;1,(INDEX(CONSOLIDA!$B$34:Q$207,($J$2-2)*29+7,10)),(INDEX(CONSOLIDA!$B$4:Q$207,($J$2-1)*30+8,10))))</f>
        <v>0</v>
      </c>
      <c r="L22" s="202">
        <f>IF($J$2="","",IF($J$2&gt;1,(INDEX(CONSOLIDA!$B$34:Q$207,($J$2-2)*29+7,11)),(INDEX(CONSOLIDA!$B$4:Q$207,($J$2-1)*30+8,11))))</f>
        <v>0</v>
      </c>
      <c r="M22" s="215">
        <f>IF($J$2="","",IF($J$2&gt;1,(INDEX(CONSOLIDA!$B$34:Q$207,($J$2-2)*29+7,12)),(INDEX(CONSOLIDA!$B$4:Q$207,($J$2-1)*30+8,12))))</f>
        <v>0</v>
      </c>
      <c r="N22" s="219">
        <f>IF($J$2="","",IF($J$2&gt;1,(INDEX(CONSOLIDA!$B$34:S$207,($J$2-2)*29+7,15)),(INDEX(CONSOLIDA!$B$4:S$207,($J$2-1)*30+8,15))))</f>
        <v>0</v>
      </c>
      <c r="O22" s="193">
        <f>IF($J$2="","",IF($J$2&gt;1,(INDEX(CONSOLIDA!$B$34:Q$207,($J$2-2)*29+7,12)),(INDEX(CONSOLIDA!$B$4:Q$207,($J$2-1)*30+8,12))))</f>
        <v>0</v>
      </c>
      <c r="P22" s="113">
        <f>IF($J$2="","",IF($J$2&gt;1,(INDEX(CONSOLIDA!$B$34:Q$207,($J$2-2)*29+7,13)),(INDEX(CONSOLIDA!$B$4:Q$207,($J$2-1)*30+8,13))))</f>
        <v>0</v>
      </c>
      <c r="Q22" s="61"/>
    </row>
    <row r="23" spans="1:17" ht="14.1" customHeight="1">
      <c r="A23" s="61"/>
      <c r="B23" s="55" t="str">
        <f>IF($J$2="","",IF($J$2&gt;1,INDEX(CONSOLIDA!$B$34:Q$207,($J$2-2)*29+8,1),INDEX(CONSOLIDA!$B$4:Q$207,($J$2-1)*30+9,1)))</f>
        <v/>
      </c>
      <c r="C23" s="294">
        <f>IF($J$2="","",IF($J$2&gt;1,(INDEX(CONSOLIDA!$B$34:Q$207,($J$2-2)*29+8,2)),(INDEX(CONSOLIDA!$B$4:Q$207,($J$2-1)*30+9,2))))</f>
        <v>0</v>
      </c>
      <c r="D23" s="295" t="str">
        <f>IF($J$2="","",IF($J$2&gt;1,PROPER(INDEX(CONSOLIDA!$B$34:Q$207,($J$2-2)*29+8,3)),PROPER(INDEX(CONSOLIDA!$B$4:Q$207,($J$2-1)*30+9,3))))</f>
        <v/>
      </c>
      <c r="E23" s="209">
        <f>IF($J$2="","",IF($J$2&gt;1,(INDEX(CONSOLIDA!$B$34:Q$207,($J$2-2)*29+8,4)),(INDEX(CONSOLIDA!$B$4:Q$207,($J$2-1)*30+9,4))))</f>
        <v>0</v>
      </c>
      <c r="F23" s="201">
        <f>IF($J$2="","",IF($J$2&gt;1,(INDEX(CONSOLIDA!$B$34:Q$207,($J$2-2)*29+8,5)),(INDEX(CONSOLIDA!$B$4:Q$207,($J$2-1)*30+9,5))))</f>
        <v>0</v>
      </c>
      <c r="G23" s="203">
        <f>IF($J$2="","",IF($J$2&gt;1,(INDEX(CONSOLIDA!$B$34:Q$207,($J$2-2)*29+8,6)),(INDEX(CONSOLIDA!$B$4:Q$207,($J$2-1)*30+9,6))))</f>
        <v>0</v>
      </c>
      <c r="H23" s="201">
        <f>IF($J$2="","",IF($J$2&gt;1,(INDEX(CONSOLIDA!$B$34:Q$207,($J$2-2)*29+8,7)),(INDEX(CONSOLIDA!$B$4:Q$207,($J$2-1)*30+9,7))))</f>
        <v>0</v>
      </c>
      <c r="I23" s="215">
        <f>IF($J$2="","",IF($J$2&gt;1,(INDEX(CONSOLIDA!$B$34:Q$207,($J$2-2)*29+8,8)),(INDEX(CONSOLIDA!$B$4:Q$207,($J$2-1)*30+9,8))))</f>
        <v>0</v>
      </c>
      <c r="J23" s="204">
        <f>IF($J$2="","",IF($J$2&gt;1,(INDEX(CONSOLIDA!$B$34:Q$207,($J$2-2)*29+8,9)),(INDEX(CONSOLIDA!$B$4:Q$207,($J$2-1)*30+9,9))))</f>
        <v>0</v>
      </c>
      <c r="K23" s="198">
        <f>IF($J$2="","",IF($J$2&gt;1,(INDEX(CONSOLIDA!$B$34:Q$207,($J$2-2)*29+8,10)),(INDEX(CONSOLIDA!$B$4:Q$207,($J$2-1)*30+9,10))))</f>
        <v>0</v>
      </c>
      <c r="L23" s="202">
        <f>IF($J$2="","",IF($J$2&gt;1,(INDEX(CONSOLIDA!$B$34:Q$207,($J$2-2)*29+8,11)),(INDEX(CONSOLIDA!$B$4:Q$207,($J$2-1)*30+9,11))))</f>
        <v>0</v>
      </c>
      <c r="M23" s="215">
        <f>IF($J$2="","",IF($J$2&gt;1,(INDEX(CONSOLIDA!$B$34:Q$207,($J$2-2)*29+8,12)),(INDEX(CONSOLIDA!$B$4:Q$207,($J$2-1)*30+9,12))))</f>
        <v>0</v>
      </c>
      <c r="N23" s="219">
        <f>IF($J$2="","",IF($J$2&gt;1,(INDEX(CONSOLIDA!$B$34:S$207,($J$2-2)*29+8,15)),(INDEX(CONSOLIDA!$B$4:S$207,($J$2-1)*30+9,15))))</f>
        <v>0</v>
      </c>
      <c r="O23" s="193">
        <f>IF($J$2="","",IF($J$2&gt;1,(INDEX(CONSOLIDA!$B$34:Q$207,($J$2-2)*29+8,12)),(INDEX(CONSOLIDA!$B$4:Q$207,($J$2-1)*30+9,12))))</f>
        <v>0</v>
      </c>
      <c r="P23" s="113">
        <f>IF($J$2="","",IF($J$2&gt;1,(INDEX(CONSOLIDA!$B$34:Q$207,($J$2-2)*29+8,13)),(INDEX(CONSOLIDA!$B$4:Q$207,($J$2-1)*30+9,13))))</f>
        <v>0</v>
      </c>
      <c r="Q23" s="61"/>
    </row>
    <row r="24" spans="1:17" ht="14.1" customHeight="1">
      <c r="A24" s="61"/>
      <c r="B24" s="55" t="str">
        <f>IF($J$2="","",IF($J$2&gt;1,INDEX(CONSOLIDA!$B$34:Q$207,($J$2-2)*29+9,1),INDEX(CONSOLIDA!$B$4:Q$207,($J$2-1)*30+10,1)))</f>
        <v/>
      </c>
      <c r="C24" s="294">
        <f>IF($J$2="","",IF($J$2&gt;1,(INDEX(CONSOLIDA!$B$34:Q$207,($J$2-2)*29+9,2)),(INDEX(CONSOLIDA!$B$4:Q$207,($J$2-1)*30+10,2))))</f>
        <v>0</v>
      </c>
      <c r="D24" s="295" t="str">
        <f>IF($J$2="","",IF($J$2&gt;1,PROPER(INDEX(CONSOLIDA!$B$34:Q$207,($J$2-2)*29+9,3)),PROPER(INDEX(CONSOLIDA!$B$4:Q$207,($J$2-1)*30+10,3))))</f>
        <v/>
      </c>
      <c r="E24" s="209">
        <f>IF($J$2="","",IF($J$2&gt;1,(INDEX(CONSOLIDA!$B$34:Q$207,($J$2-2)*29+9,4)),(INDEX(CONSOLIDA!$B$4:Q$207,($J$2-1)*30+10,4))))</f>
        <v>0</v>
      </c>
      <c r="F24" s="201">
        <f>IF($J$2="","",IF($J$2&gt;1,(INDEX(CONSOLIDA!$B$34:Q$207,($J$2-2)*29+9,5)),(INDEX(CONSOLIDA!$B$4:Q$207,($J$2-1)*30+10,5))))</f>
        <v>0</v>
      </c>
      <c r="G24" s="203">
        <f>IF($J$2="","",IF($J$2&gt;1,(INDEX(CONSOLIDA!$B$34:Q$207,($J$2-2)*29+9,6)),(INDEX(CONSOLIDA!$B$4:Q$207,($J$2-1)*30+10,6))))</f>
        <v>0</v>
      </c>
      <c r="H24" s="201">
        <f>IF($J$2="","",IF($J$2&gt;1,(INDEX(CONSOLIDA!$B$34:Q$207,($J$2-2)*29+9,7)),(INDEX(CONSOLIDA!$B$4:Q$207,($J$2-1)*30+10,7))))</f>
        <v>0</v>
      </c>
      <c r="I24" s="215">
        <f>IF($J$2="","",IF($J$2&gt;1,(INDEX(CONSOLIDA!$B$34:Q$207,($J$2-2)*29+9,8)),(INDEX(CONSOLIDA!$B$4:Q$207,($J$2-1)*30+10,8))))</f>
        <v>0</v>
      </c>
      <c r="J24" s="204">
        <f>IF($J$2="","",IF($J$2&gt;1,(INDEX(CONSOLIDA!$B$34:Q$207,($J$2-2)*29+9,9)),(INDEX(CONSOLIDA!$B$4:Q$207,($J$2-1)*30+10,9))))</f>
        <v>0</v>
      </c>
      <c r="K24" s="198">
        <f>IF($J$2="","",IF($J$2&gt;1,(INDEX(CONSOLIDA!$B$34:Q$207,($J$2-2)*29+9,10)),(INDEX(CONSOLIDA!$B$4:Q$207,($J$2-1)*30+10,10))))</f>
        <v>0</v>
      </c>
      <c r="L24" s="202">
        <f>IF($J$2="","",IF($J$2&gt;1,(INDEX(CONSOLIDA!$B$34:Q$207,($J$2-2)*29+9,11)),(INDEX(CONSOLIDA!$B$4:Q$207,($J$2-1)*30+10,11))))</f>
        <v>0</v>
      </c>
      <c r="M24" s="215">
        <f>IF($J$2="","",IF($J$2&gt;1,(INDEX(CONSOLIDA!$B$34:Q$207,($J$2-2)*29+9,12)),(INDEX(CONSOLIDA!$B$4:Q$207,($J$2-1)*30+10,12))))</f>
        <v>0</v>
      </c>
      <c r="N24" s="219">
        <f>IF($J$2="","",IF($J$2&gt;1,(INDEX(CONSOLIDA!$B$34:S$207,($J$2-2)*29+9,15)),(INDEX(CONSOLIDA!$B$4:S$207,($J$2-1)*30+10,15))))</f>
        <v>0</v>
      </c>
      <c r="O24" s="193">
        <f>IF($J$2="","",IF($J$2&gt;1,(INDEX(CONSOLIDA!$B$34:Q$207,($J$2-2)*29+9,12)),(INDEX(CONSOLIDA!$B$4:Q$207,($J$2-1)*30+10,12))))</f>
        <v>0</v>
      </c>
      <c r="P24" s="113">
        <f>IF($J$2="","",IF($J$2&gt;1,(INDEX(CONSOLIDA!$B$34:Q$207,($J$2-2)*29+9,13)),(INDEX(CONSOLIDA!$B$4:Q$207,($J$2-1)*30+10,13))))</f>
        <v>0</v>
      </c>
      <c r="Q24" s="61"/>
    </row>
    <row r="25" spans="1:17" ht="14.1" customHeight="1">
      <c r="A25" s="61"/>
      <c r="B25" s="55" t="str">
        <f>IF($J$2="","",IF($J$2&gt;1,INDEX(CONSOLIDA!$B$34:Q$207,($J$2-2)*29+10,1),INDEX(CONSOLIDA!$B$4:Q$207,($J$2-1)*30+11,1)))</f>
        <v/>
      </c>
      <c r="C25" s="294">
        <f>IF($J$2="","",IF($J$2&gt;1,(INDEX(CONSOLIDA!$B$34:Q$207,($J$2-2)*29+10,2)),(INDEX(CONSOLIDA!$B$4:Q$207,($J$2-1)*30+11,2))))</f>
        <v>0</v>
      </c>
      <c r="D25" s="295" t="str">
        <f>IF($J$2="","",IF($J$2&gt;1,PROPER(INDEX(CONSOLIDA!$B$34:Q$207,($J$2-2)*29+10,3)),PROPER(INDEX(CONSOLIDA!$B$4:Q$207,($J$2-1)*30+11,3))))</f>
        <v/>
      </c>
      <c r="E25" s="209">
        <f>IF($J$2="","",IF($J$2&gt;1,(INDEX(CONSOLIDA!$B$34:Q$207,($J$2-2)*29+10,4)),(INDEX(CONSOLIDA!$B$4:Q$207,($J$2-1)*30+11,4))))</f>
        <v>0</v>
      </c>
      <c r="F25" s="201">
        <f>IF($J$2="","",IF($J$2&gt;1,(INDEX(CONSOLIDA!$B$34:Q$207,($J$2-2)*29+10,5)),(INDEX(CONSOLIDA!$B$4:Q$207,($J$2-1)*30+11,5))))</f>
        <v>0</v>
      </c>
      <c r="G25" s="203">
        <f>IF($J$2="","",IF($J$2&gt;1,(INDEX(CONSOLIDA!$B$34:Q$207,($J$2-2)*29+10,6)),(INDEX(CONSOLIDA!$B$4:Q$207,($J$2-1)*30+11,6))))</f>
        <v>0</v>
      </c>
      <c r="H25" s="201">
        <f>IF($J$2="","",IF($J$2&gt;1,(INDEX(CONSOLIDA!$B$34:Q$207,($J$2-2)*29+10,7)),(INDEX(CONSOLIDA!$B$4:Q$207,($J$2-1)*30+11,7))))</f>
        <v>0</v>
      </c>
      <c r="I25" s="215">
        <f>IF($J$2="","",IF($J$2&gt;1,(INDEX(CONSOLIDA!$B$34:Q$207,($J$2-2)*29+10,8)),(INDEX(CONSOLIDA!$B$4:Q$207,($J$2-1)*30+11,8))))</f>
        <v>0</v>
      </c>
      <c r="J25" s="204">
        <f>IF($J$2="","",IF($J$2&gt;1,(INDEX(CONSOLIDA!$B$34:Q$207,($J$2-2)*29+10,9)),(INDEX(CONSOLIDA!$B$4:Q$207,($J$2-1)*30+11,9))))</f>
        <v>0</v>
      </c>
      <c r="K25" s="198">
        <f>IF($J$2="","",IF($J$2&gt;1,(INDEX(CONSOLIDA!$B$34:Q$207,($J$2-2)*29+10,10)),(INDEX(CONSOLIDA!$B$4:Q$207,($J$2-1)*30+11,10))))</f>
        <v>0</v>
      </c>
      <c r="L25" s="202">
        <f>IF($J$2="","",IF($J$2&gt;1,(INDEX(CONSOLIDA!$B$34:Q$207,($J$2-2)*29+10,11)),(INDEX(CONSOLIDA!$B$4:Q$207,($J$2-1)*30+11,11))))</f>
        <v>0</v>
      </c>
      <c r="M25" s="215">
        <f>IF($J$2="","",IF($J$2&gt;1,(INDEX(CONSOLIDA!$B$34:Q$207,($J$2-2)*29+10,12)),(INDEX(CONSOLIDA!$B$4:Q$207,($J$2-1)*30+11,12))))</f>
        <v>0</v>
      </c>
      <c r="N25" s="219">
        <f>IF($J$2="","",IF($J$2&gt;1,(INDEX(CONSOLIDA!$B$34:S$207,($J$2-2)*29+10,15)),(INDEX(CONSOLIDA!$B$4:S$207,($J$2-1)*30+11,15))))</f>
        <v>0</v>
      </c>
      <c r="O25" s="193">
        <f>IF($J$2="","",IF($J$2&gt;1,(INDEX(CONSOLIDA!$B$34:Q$207,($J$2-2)*29+10,12)),(INDEX(CONSOLIDA!$B$4:Q$207,($J$2-1)*30+11,12))))</f>
        <v>0</v>
      </c>
      <c r="P25" s="113">
        <f>IF($J$2="","",IF($J$2&gt;1,(INDEX(CONSOLIDA!$B$34:Q$207,($J$2-2)*29+10,13)),(INDEX(CONSOLIDA!$B$4:Q$207,($J$2-1)*30+11,13))))</f>
        <v>0</v>
      </c>
      <c r="Q25" s="61"/>
    </row>
    <row r="26" spans="1:17" ht="14.1" customHeight="1">
      <c r="A26" s="61"/>
      <c r="B26" s="55" t="str">
        <f>IF($J$2="","",IF($J$2&gt;1,INDEX(CONSOLIDA!$B$34:Q$207,($J$2-2)*29+11,1),INDEX(CONSOLIDA!$B$4:Q$207,($J$2-1)*30+12,1)))</f>
        <v/>
      </c>
      <c r="C26" s="294">
        <f>IF($J$2="","",IF($J$2&gt;1,(INDEX(CONSOLIDA!$B$34:Q$207,($J$2-2)*29+11,2)),(INDEX(CONSOLIDA!$B$4:Q$207,($J$2-1)*30+12,2))))</f>
        <v>0</v>
      </c>
      <c r="D26" s="295" t="str">
        <f>IF($J$2="","",IF($J$2&gt;1,PROPER(INDEX(CONSOLIDA!$B$34:Q$207,($J$2-2)*29+11,3)),PROPER(INDEX(CONSOLIDA!$B$4:Q$207,($J$2-1)*30+12,3))))</f>
        <v/>
      </c>
      <c r="E26" s="209">
        <f>IF($J$2="","",IF($J$2&gt;1,(INDEX(CONSOLIDA!$B$34:Q$207,($J$2-2)*29+11,4)),(INDEX(CONSOLIDA!$B$4:Q$207,($J$2-1)*30+12,4))))</f>
        <v>0</v>
      </c>
      <c r="F26" s="201">
        <f>IF($J$2="","",IF($J$2&gt;1,(INDEX(CONSOLIDA!$B$34:Q$207,($J$2-2)*29+11,5)),(INDEX(CONSOLIDA!$B$4:Q$207,($J$2-1)*30+12,5))))</f>
        <v>0</v>
      </c>
      <c r="G26" s="203">
        <f>IF($J$2="","",IF($J$2&gt;1,(INDEX(CONSOLIDA!$B$34:Q$207,($J$2-2)*29+11,6)),(INDEX(CONSOLIDA!$B$4:Q$207,($J$2-1)*30+12,6))))</f>
        <v>0</v>
      </c>
      <c r="H26" s="201">
        <f>IF($J$2="","",IF($J$2&gt;1,(INDEX(CONSOLIDA!$B$34:Q$207,($J$2-2)*29+11,7)),(INDEX(CONSOLIDA!$B$4:Q$207,($J$2-1)*30+12,7))))</f>
        <v>0</v>
      </c>
      <c r="I26" s="215">
        <f>IF($J$2="","",IF($J$2&gt;1,(INDEX(CONSOLIDA!$B$34:Q$207,($J$2-2)*29+11,8)),(INDEX(CONSOLIDA!$B$4:Q$207,($J$2-1)*30+12,8))))</f>
        <v>0</v>
      </c>
      <c r="J26" s="204">
        <f>IF($J$2="","",IF($J$2&gt;1,(INDEX(CONSOLIDA!$B$34:Q$207,($J$2-2)*29+11,9)),(INDEX(CONSOLIDA!$B$4:Q$207,($J$2-1)*30+12,9))))</f>
        <v>0</v>
      </c>
      <c r="K26" s="198">
        <f>IF($J$2="","",IF($J$2&gt;1,(INDEX(CONSOLIDA!$B$34:Q$207,($J$2-2)*29+11,10)),(INDEX(CONSOLIDA!$B$4:Q$207,($J$2-1)*30+12,10))))</f>
        <v>0</v>
      </c>
      <c r="L26" s="202">
        <f>IF($J$2="","",IF($J$2&gt;1,(INDEX(CONSOLIDA!$B$34:Q$207,($J$2-2)*29+11,11)),(INDEX(CONSOLIDA!$B$4:Q$207,($J$2-1)*30+12,11))))</f>
        <v>0</v>
      </c>
      <c r="M26" s="215">
        <f>IF($J$2="","",IF($J$2&gt;1,(INDEX(CONSOLIDA!$B$34:Q$207,($J$2-2)*29+11,12)),(INDEX(CONSOLIDA!$B$4:Q$207,($J$2-1)*30+12,12))))</f>
        <v>0</v>
      </c>
      <c r="N26" s="219">
        <f>IF($J$2="","",IF($J$2&gt;1,(INDEX(CONSOLIDA!$B$34:S$207,($J$2-2)*29+11,15)),(INDEX(CONSOLIDA!$B$4:S$207,($J$2-1)*30+12,15))))</f>
        <v>0</v>
      </c>
      <c r="O26" s="193">
        <f>IF($J$2="","",IF($J$2&gt;1,(INDEX(CONSOLIDA!$B$34:Q$207,($J$2-2)*29+11,12)),(INDEX(CONSOLIDA!$B$4:Q$207,($J$2-1)*30+12,12))))</f>
        <v>0</v>
      </c>
      <c r="P26" s="113">
        <f>IF($J$2="","",IF($J$2&gt;1,(INDEX(CONSOLIDA!$B$34:Q$207,($J$2-2)*29+11,13)),(INDEX(CONSOLIDA!$B$4:Q$207,($J$2-1)*30+12,13))))</f>
        <v>0</v>
      </c>
      <c r="Q26" s="61"/>
    </row>
    <row r="27" spans="1:17" ht="14.1" customHeight="1">
      <c r="A27" s="61"/>
      <c r="B27" s="55" t="str">
        <f>IF($J$2="","",IF($J$2&gt;1,INDEX(CONSOLIDA!$B$34:Q$207,($J$2-2)*29+12,1),INDEX(CONSOLIDA!$B$4:Q$207,($J$2-1)*30+13,1)))</f>
        <v/>
      </c>
      <c r="C27" s="294">
        <f>IF($J$2="","",IF($J$2&gt;1,(INDEX(CONSOLIDA!$B$34:Q$207,($J$2-2)*29+12,2)),(INDEX(CONSOLIDA!$B$4:Q$207,($J$2-1)*30+13,2))))</f>
        <v>0</v>
      </c>
      <c r="D27" s="295" t="str">
        <f>IF($J$2="","",IF($J$2&gt;1,PROPER(INDEX(CONSOLIDA!$B$34:Q$207,($J$2-2)*29+12,3)),PROPER(INDEX(CONSOLIDA!$B$4:Q$207,($J$2-1)*30+13,3))))</f>
        <v/>
      </c>
      <c r="E27" s="209">
        <f>IF($J$2="","",IF($J$2&gt;1,(INDEX(CONSOLIDA!$B$34:Q$207,($J$2-2)*29+12,4)),(INDEX(CONSOLIDA!$B$4:Q$207,($J$2-1)*30+13,4))))</f>
        <v>0</v>
      </c>
      <c r="F27" s="201">
        <f>IF($J$2="","",IF($J$2&gt;1,(INDEX(CONSOLIDA!$B$34:Q$207,($J$2-2)*29+12,5)),(INDEX(CONSOLIDA!$B$4:Q$207,($J$2-1)*30+13,5))))</f>
        <v>0</v>
      </c>
      <c r="G27" s="203">
        <f>IF($J$2="","",IF($J$2&gt;1,(INDEX(CONSOLIDA!$B$34:Q$207,($J$2-2)*29+12,6)),(INDEX(CONSOLIDA!$B$4:Q$207,($J$2-1)*30+13,6))))</f>
        <v>0</v>
      </c>
      <c r="H27" s="201">
        <f>IF($J$2="","",IF($J$2&gt;1,(INDEX(CONSOLIDA!$B$34:Q$207,($J$2-2)*29+12,7)),(INDEX(CONSOLIDA!$B$4:Q$207,($J$2-1)*30+13,7))))</f>
        <v>0</v>
      </c>
      <c r="I27" s="215">
        <f>IF($J$2="","",IF($J$2&gt;1,(INDEX(CONSOLIDA!$B$34:Q$207,($J$2-2)*29+12,8)),(INDEX(CONSOLIDA!$B$4:Q$207,($J$2-1)*30+13,8))))</f>
        <v>0</v>
      </c>
      <c r="J27" s="204">
        <f>IF($J$2="","",IF($J$2&gt;1,(INDEX(CONSOLIDA!$B$34:Q$207,($J$2-2)*29+12,9)),(INDEX(CONSOLIDA!$B$4:Q$207,($J$2-1)*30+13,9))))</f>
        <v>0</v>
      </c>
      <c r="K27" s="198">
        <f>IF($J$2="","",IF($J$2&gt;1,(INDEX(CONSOLIDA!$B$34:Q$207,($J$2-2)*29+12,10)),(INDEX(CONSOLIDA!$B$4:Q$207,($J$2-1)*30+13,10))))</f>
        <v>0</v>
      </c>
      <c r="L27" s="202">
        <f>IF($J$2="","",IF($J$2&gt;1,(INDEX(CONSOLIDA!$B$34:Q$207,($J$2-2)*29+12,11)),(INDEX(CONSOLIDA!$B$4:Q$207,($J$2-1)*30+13,11))))</f>
        <v>0</v>
      </c>
      <c r="M27" s="215">
        <f>IF($J$2="","",IF($J$2&gt;1,(INDEX(CONSOLIDA!$B$34:Q$207,($J$2-2)*29+12,12)),(INDEX(CONSOLIDA!$B$4:Q$207,($J$2-1)*30+13,12))))</f>
        <v>0</v>
      </c>
      <c r="N27" s="219">
        <f>IF($J$2="","",IF($J$2&gt;1,(INDEX(CONSOLIDA!$B$34:S$207,($J$2-2)*29+12,15)),(INDEX(CONSOLIDA!$B$4:S$207,($J$2-1)*30+13,15))))</f>
        <v>0</v>
      </c>
      <c r="O27" s="193">
        <f>IF($J$2="","",IF($J$2&gt;1,(INDEX(CONSOLIDA!$B$34:Q$207,($J$2-2)*29+12,12)),(INDEX(CONSOLIDA!$B$4:Q$207,($J$2-1)*30+13,12))))</f>
        <v>0</v>
      </c>
      <c r="P27" s="113">
        <f>IF($J$2="","",IF($J$2&gt;1,(INDEX(CONSOLIDA!$B$34:Q$207,($J$2-2)*29+12,13)),(INDEX(CONSOLIDA!$B$4:Q$207,($J$2-1)*30+13,13))))</f>
        <v>0</v>
      </c>
      <c r="Q27" s="61"/>
    </row>
    <row r="28" spans="1:17" ht="14.1" customHeight="1">
      <c r="A28" s="61"/>
      <c r="B28" s="55" t="str">
        <f>IF($J$2="","",IF($J$2&gt;1,INDEX(CONSOLIDA!$B$34:Q$207,($J$2-2)*29+13,1),INDEX(CONSOLIDA!$B$4:Q$207,($J$2-1)*30+14,1)))</f>
        <v/>
      </c>
      <c r="C28" s="294">
        <f>IF($J$2="","",IF($J$2&gt;1,(INDEX(CONSOLIDA!$B$34:Q$207,($J$2-2)*29+13,2)),(INDEX(CONSOLIDA!$B$4:Q$207,($J$2-1)*30+14,2))))</f>
        <v>0</v>
      </c>
      <c r="D28" s="295" t="str">
        <f>IF($J$2="","",IF($J$2&gt;1,PROPER(INDEX(CONSOLIDA!$B$34:Q$207,($J$2-2)*29+13,3)),PROPER(INDEX(CONSOLIDA!$B$4:Q$207,($J$2-1)*30+14,3))))</f>
        <v/>
      </c>
      <c r="E28" s="209">
        <f>IF($J$2="","",IF($J$2&gt;1,(INDEX(CONSOLIDA!$B$34:Q$207,($J$2-2)*29+13,4)),(INDEX(CONSOLIDA!$B$4:Q$207,($J$2-1)*30+14,4))))</f>
        <v>0</v>
      </c>
      <c r="F28" s="201">
        <f>IF($J$2="","",IF($J$2&gt;1,(INDEX(CONSOLIDA!$B$34:Q$207,($J$2-2)*29+13,5)),(INDEX(CONSOLIDA!$B$4:Q$207,($J$2-1)*30+14,5))))</f>
        <v>0</v>
      </c>
      <c r="G28" s="203">
        <f>IF($J$2="","",IF($J$2&gt;1,(INDEX(CONSOLIDA!$B$34:Q$207,($J$2-2)*29+13,6)),(INDEX(CONSOLIDA!$B$4:Q$207,($J$2-1)*30+14,6))))</f>
        <v>0</v>
      </c>
      <c r="H28" s="201">
        <f>IF($J$2="","",IF($J$2&gt;1,(INDEX(CONSOLIDA!$B$34:Q$207,($J$2-2)*29+13,7)),(INDEX(CONSOLIDA!$B$4:Q$207,($J$2-1)*30+14,7))))</f>
        <v>0</v>
      </c>
      <c r="I28" s="215">
        <f>IF($J$2="","",IF($J$2&gt;1,(INDEX(CONSOLIDA!$B$34:Q$207,($J$2-2)*29+13,8)),(INDEX(CONSOLIDA!$B$4:Q$207,($J$2-1)*30+14,8))))</f>
        <v>0</v>
      </c>
      <c r="J28" s="204">
        <f>IF($J$2="","",IF($J$2&gt;1,(INDEX(CONSOLIDA!$B$34:Q$207,($J$2-2)*29+13,9)),(INDEX(CONSOLIDA!$B$4:Q$207,($J$2-1)*30+14,9))))</f>
        <v>0</v>
      </c>
      <c r="K28" s="198">
        <f>IF($J$2="","",IF($J$2&gt;1,(INDEX(CONSOLIDA!$B$34:Q$207,($J$2-2)*29+13,10)),(INDEX(CONSOLIDA!$B$4:Q$207,($J$2-1)*30+14,10))))</f>
        <v>0</v>
      </c>
      <c r="L28" s="202">
        <f>IF($J$2="","",IF($J$2&gt;1,(INDEX(CONSOLIDA!$B$34:Q$207,($J$2-2)*29+13,11)),(INDEX(CONSOLIDA!$B$4:Q$207,($J$2-1)*30+14,11))))</f>
        <v>0</v>
      </c>
      <c r="M28" s="215">
        <f>IF($J$2="","",IF($J$2&gt;1,(INDEX(CONSOLIDA!$B$34:Q$207,($J$2-2)*29+13,12)),(INDEX(CONSOLIDA!$B$4:Q$207,($J$2-1)*30+14,12))))</f>
        <v>0</v>
      </c>
      <c r="N28" s="219">
        <f>IF($J$2="","",IF($J$2&gt;1,(INDEX(CONSOLIDA!$B$34:S$207,($J$2-2)*29+13,15)),(INDEX(CONSOLIDA!$B$4:S$207,($J$2-1)*30+14,15))))</f>
        <v>0</v>
      </c>
      <c r="O28" s="193">
        <f>IF($J$2="","",IF($J$2&gt;1,(INDEX(CONSOLIDA!$B$34:Q$207,($J$2-2)*29+13,12)),(INDEX(CONSOLIDA!$B$4:Q$207,($J$2-1)*30+14,12))))</f>
        <v>0</v>
      </c>
      <c r="P28" s="113">
        <f>IF($J$2="","",IF($J$2&gt;1,(INDEX(CONSOLIDA!$B$34:Q$207,($J$2-2)*29+13,13)),(INDEX(CONSOLIDA!$B$4:Q$207,($J$2-1)*30+14,13))))</f>
        <v>0</v>
      </c>
      <c r="Q28" s="61"/>
    </row>
    <row r="29" spans="1:17" ht="14.1" customHeight="1">
      <c r="A29" s="61"/>
      <c r="B29" s="55" t="str">
        <f>IF($J$2="","",IF($J$2&gt;1,INDEX(CONSOLIDA!$B$34:Q$207,($J$2-2)*29+14,1),INDEX(CONSOLIDA!$B$4:Q$207,($J$2-1)*30+15,1)))</f>
        <v/>
      </c>
      <c r="C29" s="294">
        <f>IF($J$2="","",IF($J$2&gt;1,(INDEX(CONSOLIDA!$B$34:Q$207,($J$2-2)*29+14,2)),(INDEX(CONSOLIDA!$B$4:Q$207,($J$2-1)*30+15,2))))</f>
        <v>0</v>
      </c>
      <c r="D29" s="295" t="str">
        <f>IF($J$2="","",IF($J$2&gt;1,PROPER(INDEX(CONSOLIDA!$B$34:Q$207,($J$2-2)*29+14,3)),PROPER(INDEX(CONSOLIDA!$B$4:Q$207,($J$2-1)*30+15,3))))</f>
        <v/>
      </c>
      <c r="E29" s="209">
        <f>IF($J$2="","",IF($J$2&gt;1,(INDEX(CONSOLIDA!$B$34:Q$207,($J$2-2)*29+14,4)),(INDEX(CONSOLIDA!$B$4:Q$207,($J$2-1)*30+15,4))))</f>
        <v>0</v>
      </c>
      <c r="F29" s="201">
        <f>IF($J$2="","",IF($J$2&gt;1,(INDEX(CONSOLIDA!$B$34:Q$207,($J$2-2)*29+14,5)),(INDEX(CONSOLIDA!$B$4:Q$207,($J$2-1)*30+15,5))))</f>
        <v>0</v>
      </c>
      <c r="G29" s="203">
        <f>IF($J$2="","",IF($J$2&gt;1,(INDEX(CONSOLIDA!$B$34:Q$207,($J$2-2)*29+14,6)),(INDEX(CONSOLIDA!$B$4:Q$207,($J$2-1)*30+15,6))))</f>
        <v>0</v>
      </c>
      <c r="H29" s="201">
        <f>IF($J$2="","",IF($J$2&gt;1,(INDEX(CONSOLIDA!$B$34:Q$207,($J$2-2)*29+14,7)),(INDEX(CONSOLIDA!$B$4:Q$207,($J$2-1)*30+15,7))))</f>
        <v>0</v>
      </c>
      <c r="I29" s="215">
        <f>IF($J$2="","",IF($J$2&gt;1,(INDEX(CONSOLIDA!$B$34:Q$207,($J$2-2)*29+14,8)),(INDEX(CONSOLIDA!$B$4:Q$207,($J$2-1)*30+15,8))))</f>
        <v>0</v>
      </c>
      <c r="J29" s="204">
        <f>IF($J$2="","",IF($J$2&gt;1,(INDEX(CONSOLIDA!$B$34:Q$207,($J$2-2)*29+14,9)),(INDEX(CONSOLIDA!$B$4:Q$207,($J$2-1)*30+15,9))))</f>
        <v>0</v>
      </c>
      <c r="K29" s="198">
        <f>IF($J$2="","",IF($J$2&gt;1,(INDEX(CONSOLIDA!$B$34:Q$207,($J$2-2)*29+14,10)),(INDEX(CONSOLIDA!$B$4:Q$207,($J$2-1)*30+15,10))))</f>
        <v>0</v>
      </c>
      <c r="L29" s="202">
        <f>IF($J$2="","",IF($J$2&gt;1,(INDEX(CONSOLIDA!$B$34:Q$207,($J$2-2)*29+14,11)),(INDEX(CONSOLIDA!$B$4:Q$207,($J$2-1)*30+15,11))))</f>
        <v>0</v>
      </c>
      <c r="M29" s="215">
        <f>IF($J$2="","",IF($J$2&gt;1,(INDEX(CONSOLIDA!$B$34:Q$207,($J$2-2)*29+14,12)),(INDEX(CONSOLIDA!$B$4:Q$207,($J$2-1)*30+15,12))))</f>
        <v>0</v>
      </c>
      <c r="N29" s="219">
        <f>IF($J$2="","",IF($J$2&gt;1,(INDEX(CONSOLIDA!$B$34:S$207,($J$2-2)*29+14,15)),(INDEX(CONSOLIDA!$B$4:S$207,($J$2-1)*30+15,15))))</f>
        <v>0</v>
      </c>
      <c r="O29" s="193">
        <f>IF($J$2="","",IF($J$2&gt;1,(INDEX(CONSOLIDA!$B$34:Q$207,($J$2-2)*29+14,12)),(INDEX(CONSOLIDA!$B$4:Q$207,($J$2-1)*30+15,12))))</f>
        <v>0</v>
      </c>
      <c r="P29" s="113">
        <f>IF($J$2="","",IF($J$2&gt;1,(INDEX(CONSOLIDA!$B$34:Q$207,($J$2-2)*29+14,13)),(INDEX(CONSOLIDA!$B$4:Q$207,($J$2-1)*30+15,13))))</f>
        <v>0</v>
      </c>
      <c r="Q29" s="61"/>
    </row>
    <row r="30" spans="1:17" ht="14.1" customHeight="1">
      <c r="A30" s="61"/>
      <c r="B30" s="55" t="str">
        <f>IF($J$2="","",IF($J$2&gt;1,INDEX(CONSOLIDA!$B$34:Q$207,($J$2-2)*29+15,1),INDEX(CONSOLIDA!$B$4:Q$207,($J$2-1)*30+16,1)))</f>
        <v/>
      </c>
      <c r="C30" s="294">
        <f>IF($J$2="","",IF($J$2&gt;1,(INDEX(CONSOLIDA!$B$34:Q$207,($J$2-2)*29+15,2)),(INDEX(CONSOLIDA!$B$4:Q$207,($J$2-1)*30+16,2))))</f>
        <v>0</v>
      </c>
      <c r="D30" s="295" t="str">
        <f>IF($J$2="","",IF($J$2&gt;1,PROPER(INDEX(CONSOLIDA!$B$34:Q$207,($J$2-2)*29+15,3)),PROPER(INDEX(CONSOLIDA!$B$4:Q$207,($J$2-1)*30+16,3))))</f>
        <v/>
      </c>
      <c r="E30" s="209">
        <f>IF($J$2="","",IF($J$2&gt;1,(INDEX(CONSOLIDA!$B$34:Q$207,($J$2-2)*29+15,4)),(INDEX(CONSOLIDA!$B$4:Q$207,($J$2-1)*30+16,4))))</f>
        <v>0</v>
      </c>
      <c r="F30" s="201">
        <f>IF($J$2="","",IF($J$2&gt;1,(INDEX(CONSOLIDA!$B$34:Q$207,($J$2-2)*29+15,5)),(INDEX(CONSOLIDA!$B$4:Q$207,($J$2-1)*30+16,5))))</f>
        <v>0</v>
      </c>
      <c r="G30" s="203">
        <f>IF($J$2="","",IF($J$2&gt;1,(INDEX(CONSOLIDA!$B$34:Q$207,($J$2-2)*29+15,6)),(INDEX(CONSOLIDA!$B$4:Q$207,($J$2-1)*30+16,6))))</f>
        <v>0</v>
      </c>
      <c r="H30" s="201">
        <f>IF($J$2="","",IF($J$2&gt;1,(INDEX(CONSOLIDA!$B$34:Q$207,($J$2-2)*29+15,7)),(INDEX(CONSOLIDA!$B$4:Q$207,($J$2-1)*30+16,7))))</f>
        <v>0</v>
      </c>
      <c r="I30" s="215">
        <f>IF($J$2="","",IF($J$2&gt;1,(INDEX(CONSOLIDA!$B$34:Q$207,($J$2-2)*29+15,8)),(INDEX(CONSOLIDA!$B$4:Q$207,($J$2-1)*30+16,8))))</f>
        <v>0</v>
      </c>
      <c r="J30" s="204">
        <f>IF($J$2="","",IF($J$2&gt;1,(INDEX(CONSOLIDA!$B$34:Q$207,($J$2-2)*29+15,9)),(INDEX(CONSOLIDA!$B$4:Q$207,($J$2-1)*30+16,9))))</f>
        <v>0</v>
      </c>
      <c r="K30" s="198">
        <f>IF($J$2="","",IF($J$2&gt;1,(INDEX(CONSOLIDA!$B$34:Q$207,($J$2-2)*29+15,10)),(INDEX(CONSOLIDA!$B$4:Q$207,($J$2-1)*30+16,10))))</f>
        <v>0</v>
      </c>
      <c r="L30" s="202">
        <f>IF($J$2="","",IF($J$2&gt;1,(INDEX(CONSOLIDA!$B$34:Q$207,($J$2-2)*29+15,11)),(INDEX(CONSOLIDA!$B$4:Q$207,($J$2-1)*30+16,11))))</f>
        <v>0</v>
      </c>
      <c r="M30" s="215">
        <f>IF($J$2="","",IF($J$2&gt;1,(INDEX(CONSOLIDA!$B$34:Q$207,($J$2-2)*29+15,12)),(INDEX(CONSOLIDA!$B$4:Q$207,($J$2-1)*30+16,12))))</f>
        <v>0</v>
      </c>
      <c r="N30" s="219">
        <f>IF($J$2="","",IF($J$2&gt;1,(INDEX(CONSOLIDA!$B$34:S$207,($J$2-2)*29+15,15)),(INDEX(CONSOLIDA!$B$4:S$207,($J$2-1)*30+16,15))))</f>
        <v>0</v>
      </c>
      <c r="O30" s="193">
        <f>IF($J$2="","",IF($J$2&gt;1,(INDEX(CONSOLIDA!$B$34:Q$207,($J$2-2)*29+15,12)),(INDEX(CONSOLIDA!$B$4:Q$207,($J$2-1)*30+16,12))))</f>
        <v>0</v>
      </c>
      <c r="P30" s="113">
        <f>IF($J$2="","",IF($J$2&gt;1,(INDEX(CONSOLIDA!$B$34:Q$207,($J$2-2)*29+15,13)),(INDEX(CONSOLIDA!$B$4:Q$207,($J$2-1)*30+16,13))))</f>
        <v>0</v>
      </c>
      <c r="Q30" s="61"/>
    </row>
    <row r="31" spans="1:17" ht="14.1" customHeight="1">
      <c r="A31" s="61"/>
      <c r="B31" s="55" t="str">
        <f>IF($J$2="","",IF($J$2&gt;1,INDEX(CONSOLIDA!$B$34:Q$207,($J$2-2)*29+16,1),INDEX(CONSOLIDA!$B$4:Q$207,($J$2-1)*30+17,1)))</f>
        <v/>
      </c>
      <c r="C31" s="294">
        <f>IF($J$2="","",IF($J$2&gt;1,(INDEX(CONSOLIDA!$B$34:Q$207,($J$2-2)*29+16,2)),(INDEX(CONSOLIDA!$B$4:Q$207,($J$2-1)*30+17,2))))</f>
        <v>0</v>
      </c>
      <c r="D31" s="295" t="str">
        <f>IF($J$2="","",IF($J$2&gt;1,PROPER(INDEX(CONSOLIDA!$B$34:Q$207,($J$2-2)*29+16,3)),PROPER(INDEX(CONSOLIDA!$B$4:Q$207,($J$2-1)*30+17,3))))</f>
        <v/>
      </c>
      <c r="E31" s="209">
        <f>IF($J$2="","",IF($J$2&gt;1,(INDEX(CONSOLIDA!$B$34:Q$207,($J$2-2)*29+16,4)),(INDEX(CONSOLIDA!$B$4:Q$207,($J$2-1)*30+17,4))))</f>
        <v>0</v>
      </c>
      <c r="F31" s="201">
        <f>IF($J$2="","",IF($J$2&gt;1,(INDEX(CONSOLIDA!$B$34:Q$207,($J$2-2)*29+16,5)),(INDEX(CONSOLIDA!$B$4:Q$207,($J$2-1)*30+17,5))))</f>
        <v>0</v>
      </c>
      <c r="G31" s="203">
        <f>IF($J$2="","",IF($J$2&gt;1,(INDEX(CONSOLIDA!$B$34:Q$207,($J$2-2)*29+16,6)),(INDEX(CONSOLIDA!$B$4:Q$207,($J$2-1)*30+17,6))))</f>
        <v>0</v>
      </c>
      <c r="H31" s="201">
        <f>IF($J$2="","",IF($J$2&gt;1,(INDEX(CONSOLIDA!$B$34:Q$207,($J$2-2)*29+16,7)),(INDEX(CONSOLIDA!$B$4:Q$207,($J$2-1)*30+17,7))))</f>
        <v>0</v>
      </c>
      <c r="I31" s="215">
        <f>IF($J$2="","",IF($J$2&gt;1,(INDEX(CONSOLIDA!$B$34:Q$207,($J$2-2)*29+16,8)),(INDEX(CONSOLIDA!$B$4:Q$207,($J$2-1)*30+17,8))))</f>
        <v>0</v>
      </c>
      <c r="J31" s="204">
        <f>IF($J$2="","",IF($J$2&gt;1,(INDEX(CONSOLIDA!$B$34:Q$207,($J$2-2)*29+16,9)),(INDEX(CONSOLIDA!$B$4:Q$207,($J$2-1)*30+17,9))))</f>
        <v>0</v>
      </c>
      <c r="K31" s="198">
        <f>IF($J$2="","",IF($J$2&gt;1,(INDEX(CONSOLIDA!$B$34:Q$207,($J$2-2)*29+16,10)),(INDEX(CONSOLIDA!$B$4:Q$207,($J$2-1)*30+17,10))))</f>
        <v>0</v>
      </c>
      <c r="L31" s="202">
        <f>IF($J$2="","",IF($J$2&gt;1,(INDEX(CONSOLIDA!$B$34:Q$207,($J$2-2)*29+16,11)),(INDEX(CONSOLIDA!$B$4:Q$207,($J$2-1)*30+17,11))))</f>
        <v>0</v>
      </c>
      <c r="M31" s="215">
        <f>IF($J$2="","",IF($J$2&gt;1,(INDEX(CONSOLIDA!$B$34:Q$207,($J$2-2)*29+16,12)),(INDEX(CONSOLIDA!$B$4:Q$207,($J$2-1)*30+17,12))))</f>
        <v>0</v>
      </c>
      <c r="N31" s="219">
        <f>IF($J$2="","",IF($J$2&gt;1,(INDEX(CONSOLIDA!$B$34:S$207,($J$2-2)*29+16,15)),(INDEX(CONSOLIDA!$B$4:S$207,($J$2-1)*30+17,15))))</f>
        <v>0</v>
      </c>
      <c r="O31" s="193">
        <f>IF($J$2="","",IF($J$2&gt;1,(INDEX(CONSOLIDA!$B$34:Q$207,($J$2-2)*29+16,12)),(INDEX(CONSOLIDA!$B$4:Q$207,($J$2-1)*30+17,12))))</f>
        <v>0</v>
      </c>
      <c r="P31" s="113">
        <f>IF($J$2="","",IF($J$2&gt;1,(INDEX(CONSOLIDA!$B$34:Q$207,($J$2-2)*29+16,13)),(INDEX(CONSOLIDA!$B$4:Q$207,($J$2-1)*30+17,13))))</f>
        <v>0</v>
      </c>
      <c r="Q31" s="61"/>
    </row>
    <row r="32" spans="1:17" ht="14.1" customHeight="1">
      <c r="A32" s="61"/>
      <c r="B32" s="55" t="str">
        <f>IF($J$2="","",IF($J$2&gt;1,INDEX(CONSOLIDA!$B$34:Q$207,($J$2-2)*29+17,1),INDEX(CONSOLIDA!$B$4:Q$207,($J$2-1)*30+18,1)))</f>
        <v/>
      </c>
      <c r="C32" s="294">
        <f>IF($J$2="","",IF($J$2&gt;1,(INDEX(CONSOLIDA!$B$34:Q$207,($J$2-2)*29+17,2)),(INDEX(CONSOLIDA!$B$4:Q$207,($J$2-1)*30+18,2))))</f>
        <v>0</v>
      </c>
      <c r="D32" s="295" t="str">
        <f>IF($J$2="","",IF($J$2&gt;1,PROPER(INDEX(CONSOLIDA!$B$34:Q$207,($J$2-2)*29+17,3)),PROPER(INDEX(CONSOLIDA!$B$4:Q$207,($J$2-1)*30+18,3))))</f>
        <v/>
      </c>
      <c r="E32" s="209">
        <f>IF($J$2="","",IF($J$2&gt;1,(INDEX(CONSOLIDA!$B$34:Q$207,($J$2-2)*29+17,4)),(INDEX(CONSOLIDA!$B$4:Q$207,($J$2-1)*30+18,4))))</f>
        <v>0</v>
      </c>
      <c r="F32" s="201">
        <f>IF($J$2="","",IF($J$2&gt;1,(INDEX(CONSOLIDA!$B$34:Q$207,($J$2-2)*29+17,5)),(INDEX(CONSOLIDA!$B$4:Q$207,($J$2-1)*30+18,5))))</f>
        <v>0</v>
      </c>
      <c r="G32" s="203">
        <f>IF($J$2="","",IF($J$2&gt;1,(INDEX(CONSOLIDA!$B$34:Q$207,($J$2-2)*29+17,6)),(INDEX(CONSOLIDA!$B$4:Q$207,($J$2-1)*30+18,6))))</f>
        <v>0</v>
      </c>
      <c r="H32" s="201">
        <f>IF($J$2="","",IF($J$2&gt;1,(INDEX(CONSOLIDA!$B$34:Q$207,($J$2-2)*29+17,7)),(INDEX(CONSOLIDA!$B$4:Q$207,($J$2-1)*30+18,7))))</f>
        <v>0</v>
      </c>
      <c r="I32" s="215">
        <f>IF($J$2="","",IF($J$2&gt;1,(INDEX(CONSOLIDA!$B$34:Q$207,($J$2-2)*29+17,8)),(INDEX(CONSOLIDA!$B$4:Q$207,($J$2-1)*30+18,8))))</f>
        <v>0</v>
      </c>
      <c r="J32" s="204">
        <f>IF($J$2="","",IF($J$2&gt;1,(INDEX(CONSOLIDA!$B$34:Q$207,($J$2-2)*29+17,9)),(INDEX(CONSOLIDA!$B$4:Q$207,($J$2-1)*30+18,9))))</f>
        <v>0</v>
      </c>
      <c r="K32" s="198">
        <f>IF($J$2="","",IF($J$2&gt;1,(INDEX(CONSOLIDA!$B$34:Q$207,($J$2-2)*29+17,10)),(INDEX(CONSOLIDA!$B$4:Q$207,($J$2-1)*30+18,10))))</f>
        <v>0</v>
      </c>
      <c r="L32" s="202">
        <f>IF($J$2="","",IF($J$2&gt;1,(INDEX(CONSOLIDA!$B$34:Q$207,($J$2-2)*29+17,11)),(INDEX(CONSOLIDA!$B$4:Q$207,($J$2-1)*30+18,11))))</f>
        <v>0</v>
      </c>
      <c r="M32" s="215">
        <f>IF($J$2="","",IF($J$2&gt;1,(INDEX(CONSOLIDA!$B$34:Q$207,($J$2-2)*29+17,12)),(INDEX(CONSOLIDA!$B$4:Q$207,($J$2-1)*30+18,12))))</f>
        <v>0</v>
      </c>
      <c r="N32" s="219">
        <f>IF($J$2="","",IF($J$2&gt;1,(INDEX(CONSOLIDA!$B$34:S$207,($J$2-2)*29+17,15)),(INDEX(CONSOLIDA!$B$4:S$207,($J$2-1)*30+18,15))))</f>
        <v>0</v>
      </c>
      <c r="O32" s="193">
        <f>IF($J$2="","",IF($J$2&gt;1,(INDEX(CONSOLIDA!$B$34:Q$207,($J$2-2)*29+17,12)),(INDEX(CONSOLIDA!$B$4:Q$207,($J$2-1)*30+18,12))))</f>
        <v>0</v>
      </c>
      <c r="P32" s="113">
        <f>IF($J$2="","",IF($J$2&gt;1,(INDEX(CONSOLIDA!$B$34:Q$207,($J$2-2)*29+17,13)),(INDEX(CONSOLIDA!$B$4:Q$207,($J$2-1)*30+18,13))))</f>
        <v>0</v>
      </c>
      <c r="Q32" s="61"/>
    </row>
    <row r="33" spans="1:18" ht="14.1" customHeight="1">
      <c r="A33" s="61"/>
      <c r="B33" s="55" t="str">
        <f>IF($J$2="","",IF($J$2&gt;1,INDEX(CONSOLIDA!$B$34:Q$207,($J$2-2)*29+18,1),INDEX(CONSOLIDA!$B$4:Q$207,($J$2-1)*30+19,1)))</f>
        <v/>
      </c>
      <c r="C33" s="294">
        <f>IF($J$2="","",IF($J$2&gt;1,(INDEX(CONSOLIDA!$B$34:Q$207,($J$2-2)*29+18,2)),(INDEX(CONSOLIDA!$B$4:Q$207,($J$2-1)*30+19,2))))</f>
        <v>0</v>
      </c>
      <c r="D33" s="295" t="str">
        <f>IF($J$2="","",IF($J$2&gt;1,PROPER(INDEX(CONSOLIDA!$B$34:Q$207,($J$2-2)*29+18,3)),PROPER(INDEX(CONSOLIDA!$B$4:Q$207,($J$2-1)*30+19,3))))</f>
        <v/>
      </c>
      <c r="E33" s="209">
        <f>IF($J$2="","",IF($J$2&gt;1,(INDEX(CONSOLIDA!$B$34:Q$207,($J$2-2)*29+18,4)),(INDEX(CONSOLIDA!$B$4:Q$207,($J$2-1)*30+19,4))))</f>
        <v>0</v>
      </c>
      <c r="F33" s="201">
        <f>IF($J$2="","",IF($J$2&gt;1,(INDEX(CONSOLIDA!$B$34:Q$207,($J$2-2)*29+18,5)),(INDEX(CONSOLIDA!$B$4:Q$207,($J$2-1)*30+19,5))))</f>
        <v>0</v>
      </c>
      <c r="G33" s="203">
        <f>IF($J$2="","",IF($J$2&gt;1,(INDEX(CONSOLIDA!$B$34:Q$207,($J$2-2)*29+18,6)),(INDEX(CONSOLIDA!$B$4:Q$207,($J$2-1)*30+19,6))))</f>
        <v>0</v>
      </c>
      <c r="H33" s="201">
        <f>IF($J$2="","",IF($J$2&gt;1,(INDEX(CONSOLIDA!$B$34:Q$207,($J$2-2)*29+18,7)),(INDEX(CONSOLIDA!$B$4:Q$207,($J$2-1)*30+19,7))))</f>
        <v>0</v>
      </c>
      <c r="I33" s="215">
        <f>IF($J$2="","",IF($J$2&gt;1,(INDEX(CONSOLIDA!$B$34:Q$207,($J$2-2)*29+18,8)),(INDEX(CONSOLIDA!$B$4:Q$207,($J$2-1)*30+19,8))))</f>
        <v>0</v>
      </c>
      <c r="J33" s="204">
        <f>IF($J$2="","",IF($J$2&gt;1,(INDEX(CONSOLIDA!$B$34:Q$207,($J$2-2)*29+18,9)),(INDEX(CONSOLIDA!$B$4:Q$207,($J$2-1)*30+19,9))))</f>
        <v>0</v>
      </c>
      <c r="K33" s="198">
        <f>IF($J$2="","",IF($J$2&gt;1,(INDEX(CONSOLIDA!$B$34:Q$207,($J$2-2)*29+18,10)),(INDEX(CONSOLIDA!$B$4:Q$207,($J$2-1)*30+19,10))))</f>
        <v>0</v>
      </c>
      <c r="L33" s="202">
        <f>IF($J$2="","",IF($J$2&gt;1,(INDEX(CONSOLIDA!$B$34:Q$207,($J$2-2)*29+18,11)),(INDEX(CONSOLIDA!$B$4:Q$207,($J$2-1)*30+19,11))))</f>
        <v>0</v>
      </c>
      <c r="M33" s="215">
        <f>IF($J$2="","",IF($J$2&gt;1,(INDEX(CONSOLIDA!$B$34:Q$207,($J$2-2)*29+18,12)),(INDEX(CONSOLIDA!$B$4:Q$207,($J$2-1)*30+19,12))))</f>
        <v>0</v>
      </c>
      <c r="N33" s="219">
        <f>IF($J$2="","",IF($J$2&gt;1,(INDEX(CONSOLIDA!$B$34:S$207,($J$2-2)*29+18,15)),(INDEX(CONSOLIDA!$B$4:S$207,($J$2-1)*30+19,15))))</f>
        <v>0</v>
      </c>
      <c r="O33" s="193">
        <f>IF($J$2="","",IF($J$2&gt;1,(INDEX(CONSOLIDA!$B$34:Q$207,($J$2-2)*29+18,12)),(INDEX(CONSOLIDA!$B$4:Q$207,($J$2-1)*30+19,12))))</f>
        <v>0</v>
      </c>
      <c r="P33" s="113">
        <f>IF($J$2="","",IF($J$2&gt;1,(INDEX(CONSOLIDA!$B$34:Q$207,($J$2-2)*29+18,13)),(INDEX(CONSOLIDA!$B$4:Q$207,($J$2-1)*30+19,13))))</f>
        <v>0</v>
      </c>
      <c r="Q33" s="61"/>
    </row>
    <row r="34" spans="1:18" ht="14.1" customHeight="1">
      <c r="A34" s="61"/>
      <c r="B34" s="55" t="str">
        <f>IF($J$2="","",IF($J$2&gt;1,INDEX(CONSOLIDA!$B$34:Q$207,($J$2-2)*29+19,1),INDEX(CONSOLIDA!$B$4:Q$207,($J$2-1)*30+20,1)))</f>
        <v/>
      </c>
      <c r="C34" s="294">
        <f>IF($J$2="","",IF($J$2&gt;1,(INDEX(CONSOLIDA!$B$34:Q$207,($J$2-2)*29+19,2)),(INDEX(CONSOLIDA!$B$4:Q$207,($J$2-1)*30+20,2))))</f>
        <v>0</v>
      </c>
      <c r="D34" s="295" t="str">
        <f>IF($J$2="","",IF($J$2&gt;1,PROPER(INDEX(CONSOLIDA!$B$34:Q$207,($J$2-2)*29+19,3)),PROPER(INDEX(CONSOLIDA!$B$4:Q$207,($J$2-1)*30+20,3))))</f>
        <v/>
      </c>
      <c r="E34" s="209">
        <f>IF($J$2="","",IF($J$2&gt;1,(INDEX(CONSOLIDA!$B$34:Q$207,($J$2-2)*29+19,4)),(INDEX(CONSOLIDA!$B$4:Q$207,($J$2-1)*30+20,4))))</f>
        <v>0</v>
      </c>
      <c r="F34" s="201">
        <f>IF($J$2="","",IF($J$2&gt;1,(INDEX(CONSOLIDA!$B$34:Q$207,($J$2-2)*29+19,5)),(INDEX(CONSOLIDA!$B$4:Q$207,($J$2-1)*30+20,5))))</f>
        <v>0</v>
      </c>
      <c r="G34" s="203">
        <f>IF($J$2="","",IF($J$2&gt;1,(INDEX(CONSOLIDA!$B$34:Q$207,($J$2-2)*29+19,6)),(INDEX(CONSOLIDA!$B$4:Q$207,($J$2-1)*30+20,6))))</f>
        <v>0</v>
      </c>
      <c r="H34" s="201">
        <f>IF($J$2="","",IF($J$2&gt;1,(INDEX(CONSOLIDA!$B$34:Q$207,($J$2-2)*29+19,7)),(INDEX(CONSOLIDA!$B$4:Q$207,($J$2-1)*30+20,7))))</f>
        <v>0</v>
      </c>
      <c r="I34" s="215">
        <f>IF($J$2="","",IF($J$2&gt;1,(INDEX(CONSOLIDA!$B$34:Q$207,($J$2-2)*29+19,8)),(INDEX(CONSOLIDA!$B$4:Q$207,($J$2-1)*30+20,8))))</f>
        <v>0</v>
      </c>
      <c r="J34" s="204">
        <f>IF($J$2="","",IF($J$2&gt;1,(INDEX(CONSOLIDA!$B$34:Q$207,($J$2-2)*29+19,9)),(INDEX(CONSOLIDA!$B$4:Q$207,($J$2-1)*30+20,9))))</f>
        <v>0</v>
      </c>
      <c r="K34" s="198">
        <f>IF($J$2="","",IF($J$2&gt;1,(INDEX(CONSOLIDA!$B$34:Q$207,($J$2-2)*29+19,10)),(INDEX(CONSOLIDA!$B$4:Q$207,($J$2-1)*30+20,10))))</f>
        <v>0</v>
      </c>
      <c r="L34" s="202">
        <f>IF($J$2="","",IF($J$2&gt;1,(INDEX(CONSOLIDA!$B$34:Q$207,($J$2-2)*29+19,11)),(INDEX(CONSOLIDA!$B$4:Q$207,($J$2-1)*30+20,11))))</f>
        <v>0</v>
      </c>
      <c r="M34" s="215">
        <f>IF($J$2="","",IF($J$2&gt;1,(INDEX(CONSOLIDA!$B$34:Q$207,($J$2-2)*29+19,12)),(INDEX(CONSOLIDA!$B$4:Q$207,($J$2-1)*30+20,12))))</f>
        <v>0</v>
      </c>
      <c r="N34" s="219">
        <f>IF($J$2="","",IF($J$2&gt;1,(INDEX(CONSOLIDA!$B$34:S$207,($J$2-2)*29+19,15)),(INDEX(CONSOLIDA!$B$4:S$207,($J$2-1)*30+20,15))))</f>
        <v>0</v>
      </c>
      <c r="O34" s="193">
        <f>IF($J$2="","",IF($J$2&gt;1,(INDEX(CONSOLIDA!$B$34:Q$207,($J$2-2)*29+19,12)),(INDEX(CONSOLIDA!$B$4:Q$207,($J$2-1)*30+20,12))))</f>
        <v>0</v>
      </c>
      <c r="P34" s="113">
        <f>IF($J$2="","",IF($J$2&gt;1,(INDEX(CONSOLIDA!$B$34:Q$207,($J$2-2)*29+19,13)),(INDEX(CONSOLIDA!$B$4:Q$207,($J$2-1)*30+20,13))))</f>
        <v>0</v>
      </c>
      <c r="Q34" s="61"/>
    </row>
    <row r="35" spans="1:18" ht="14.1" customHeight="1">
      <c r="A35" s="61"/>
      <c r="B35" s="55" t="str">
        <f>IF($J$2="","",IF($J$2&gt;1,INDEX(CONSOLIDA!$B$34:Q$207,($J$2-2)*29+20,1),INDEX(CONSOLIDA!$B$4:Q$207,($J$2-1)*30+21,1)))</f>
        <v/>
      </c>
      <c r="C35" s="294">
        <f>IF($J$2="","",IF($J$2&gt;1,(INDEX(CONSOLIDA!$B$34:Q$207,($J$2-2)*29+20,2)),(INDEX(CONSOLIDA!$B$4:Q$207,($J$2-1)*30+21,2))))</f>
        <v>0</v>
      </c>
      <c r="D35" s="295" t="str">
        <f>IF($J$2="","",IF($J$2&gt;1,PROPER(INDEX(CONSOLIDA!$B$34:Q$207,($J$2-2)*29+20,3)),PROPER(INDEX(CONSOLIDA!$B$4:Q$207,($J$2-1)*30+21,3))))</f>
        <v/>
      </c>
      <c r="E35" s="209">
        <f>IF($J$2="","",IF($J$2&gt;1,(INDEX(CONSOLIDA!$B$34:Q$207,($J$2-2)*29+20,4)),(INDEX(CONSOLIDA!$B$4:Q$207,($J$2-1)*30+21,4))))</f>
        <v>0</v>
      </c>
      <c r="F35" s="201">
        <f>IF($J$2="","",IF($J$2&gt;1,(INDEX(CONSOLIDA!$B$34:Q$207,($J$2-2)*29+20,5)),(INDEX(CONSOLIDA!$B$4:Q$207,($J$2-1)*30+21,5))))</f>
        <v>0</v>
      </c>
      <c r="G35" s="203">
        <f>IF($J$2="","",IF($J$2&gt;1,(INDEX(CONSOLIDA!$B$34:Q$207,($J$2-2)*29+20,6)),(INDEX(CONSOLIDA!$B$4:Q$207,($J$2-1)*30+21,6))))</f>
        <v>0</v>
      </c>
      <c r="H35" s="201">
        <f>IF($J$2="","",IF($J$2&gt;1,(INDEX(CONSOLIDA!$B$34:Q$207,($J$2-2)*29+20,7)),(INDEX(CONSOLIDA!$B$4:Q$207,($J$2-1)*30+21,7))))</f>
        <v>0</v>
      </c>
      <c r="I35" s="215">
        <f>IF($J$2="","",IF($J$2&gt;1,(INDEX(CONSOLIDA!$B$34:Q$207,($J$2-2)*29+20,8)),(INDEX(CONSOLIDA!$B$4:Q$207,($J$2-1)*30+21,8))))</f>
        <v>0</v>
      </c>
      <c r="J35" s="204">
        <f>IF($J$2="","",IF($J$2&gt;1,(INDEX(CONSOLIDA!$B$34:Q$207,($J$2-2)*29+20,9)),(INDEX(CONSOLIDA!$B$4:Q$207,($J$2-1)*30+21,9))))</f>
        <v>0</v>
      </c>
      <c r="K35" s="198">
        <f>IF($J$2="","",IF($J$2&gt;1,(INDEX(CONSOLIDA!$B$34:Q$207,($J$2-2)*29+20,10)),(INDEX(CONSOLIDA!$B$4:Q$207,($J$2-1)*30+21,10))))</f>
        <v>0</v>
      </c>
      <c r="L35" s="202">
        <f>IF($J$2="","",IF($J$2&gt;1,(INDEX(CONSOLIDA!$B$34:Q$207,($J$2-2)*29+20,11)),(INDEX(CONSOLIDA!$B$4:Q$207,($J$2-1)*30+21,11))))</f>
        <v>0</v>
      </c>
      <c r="M35" s="215">
        <f>IF($J$2="","",IF($J$2&gt;1,(INDEX(CONSOLIDA!$B$34:Q$207,($J$2-2)*29+20,12)),(INDEX(CONSOLIDA!$B$4:Q$207,($J$2-1)*30+21,12))))</f>
        <v>0</v>
      </c>
      <c r="N35" s="219">
        <f>IF($J$2="","",IF($J$2&gt;1,(INDEX(CONSOLIDA!$B$34:S$207,($J$2-2)*29+20,15)),(INDEX(CONSOLIDA!$B$4:S$207,($J$2-1)*30+21,15))))</f>
        <v>0</v>
      </c>
      <c r="O35" s="193">
        <f>IF($J$2="","",IF($J$2&gt;1,(INDEX(CONSOLIDA!$B$34:Q$207,($J$2-2)*29+20,12)),(INDEX(CONSOLIDA!$B$4:Q$207,($J$2-1)*30+21,12))))</f>
        <v>0</v>
      </c>
      <c r="P35" s="113">
        <f>IF($J$2="","",IF($J$2&gt;1,(INDEX(CONSOLIDA!$B$34:Q$207,($J$2-2)*29+20,13)),(INDEX(CONSOLIDA!$B$4:Q$207,($J$2-1)*30+21,13))))</f>
        <v>0</v>
      </c>
      <c r="Q35" s="61"/>
    </row>
    <row r="36" spans="1:18" ht="14.1" customHeight="1">
      <c r="A36" s="61"/>
      <c r="B36" s="55" t="str">
        <f>IF($J$2="","",IF($J$2&gt;1,INDEX(CONSOLIDA!$B$34:Q$207,($J$2-2)*29+21,1),INDEX(CONSOLIDA!$B$4:Q$207,($J$2-1)*30+22,1)))</f>
        <v/>
      </c>
      <c r="C36" s="294">
        <f>IF($J$2="","",IF($J$2&gt;1,(INDEX(CONSOLIDA!$B$34:Q$207,($J$2-2)*29+21,2)),(INDEX(CONSOLIDA!$B$4:Q$207,($J$2-1)*30+22,2))))</f>
        <v>0</v>
      </c>
      <c r="D36" s="295" t="str">
        <f>IF($J$2="","",IF($J$2&gt;1,PROPER(INDEX(CONSOLIDA!$B$34:Q$207,($J$2-2)*29+21,3)),PROPER(INDEX(CONSOLIDA!$B$4:Q$207,($J$2-1)*30+22,3))))</f>
        <v/>
      </c>
      <c r="E36" s="209">
        <f>IF($J$2="","",IF($J$2&gt;1,(INDEX(CONSOLIDA!$B$34:Q$207,($J$2-2)*29+21,4)),(INDEX(CONSOLIDA!$B$4:Q$207,($J$2-1)*30+22,4))))</f>
        <v>0</v>
      </c>
      <c r="F36" s="201">
        <f>IF($J$2="","",IF($J$2&gt;1,(INDEX(CONSOLIDA!$B$34:Q$207,($J$2-2)*29+21,5)),(INDEX(CONSOLIDA!$B$4:Q$207,($J$2-1)*30+22,5))))</f>
        <v>0</v>
      </c>
      <c r="G36" s="203">
        <f>IF($J$2="","",IF($J$2&gt;1,(INDEX(CONSOLIDA!$B$34:Q$207,($J$2-2)*29+21,6)),(INDEX(CONSOLIDA!$B$4:Q$207,($J$2-1)*30+22,6))))</f>
        <v>0</v>
      </c>
      <c r="H36" s="201">
        <f>IF($J$2="","",IF($J$2&gt;1,(INDEX(CONSOLIDA!$B$34:Q$207,($J$2-2)*29+21,7)),(INDEX(CONSOLIDA!$B$4:Q$207,($J$2-1)*30+22,7))))</f>
        <v>0</v>
      </c>
      <c r="I36" s="215">
        <f>IF($J$2="","",IF($J$2&gt;1,(INDEX(CONSOLIDA!$B$34:Q$207,($J$2-2)*29+21,8)),(INDEX(CONSOLIDA!$B$4:Q$207,($J$2-1)*30+22,8))))</f>
        <v>0</v>
      </c>
      <c r="J36" s="204">
        <f>IF($J$2="","",IF($J$2&gt;1,(INDEX(CONSOLIDA!$B$34:Q$207,($J$2-2)*29+21,9)),(INDEX(CONSOLIDA!$B$4:Q$207,($J$2-1)*30+22,9))))</f>
        <v>0</v>
      </c>
      <c r="K36" s="198">
        <f>IF($J$2="","",IF($J$2&gt;1,(INDEX(CONSOLIDA!$B$34:Q$207,($J$2-2)*29+21,10)),(INDEX(CONSOLIDA!$B$4:Q$207,($J$2-1)*30+22,10))))</f>
        <v>0</v>
      </c>
      <c r="L36" s="202">
        <f>IF($J$2="","",IF($J$2&gt;1,(INDEX(CONSOLIDA!$B$34:Q$207,($J$2-2)*29+21,11)),(INDEX(CONSOLIDA!$B$4:Q$207,($J$2-1)*30+22,11))))</f>
        <v>0</v>
      </c>
      <c r="M36" s="215">
        <f>IF($J$2="","",IF($J$2&gt;1,(INDEX(CONSOLIDA!$B$34:Q$207,($J$2-2)*29+21,12)),(INDEX(CONSOLIDA!$B$4:Q$207,($J$2-1)*30+22,12))))</f>
        <v>0</v>
      </c>
      <c r="N36" s="219">
        <f>IF($J$2="","",IF($J$2&gt;1,(INDEX(CONSOLIDA!$B$34:S$207,($J$2-2)*29+21,15)),(INDEX(CONSOLIDA!$B$4:S$207,($J$2-1)*30+22,15))))</f>
        <v>0</v>
      </c>
      <c r="O36" s="193">
        <f>IF($J$2="","",IF($J$2&gt;1,(INDEX(CONSOLIDA!$B$34:Q$207,($J$2-2)*29+21,12)),(INDEX(CONSOLIDA!$B$4:Q$207,($J$2-1)*30+22,12))))</f>
        <v>0</v>
      </c>
      <c r="P36" s="113">
        <f>IF($J$2="","",IF($J$2&gt;1,(INDEX(CONSOLIDA!$B$34:Q$207,($J$2-2)*29+21,13)),(INDEX(CONSOLIDA!$B$4:Q$207,($J$2-1)*30+22,13))))</f>
        <v>0</v>
      </c>
      <c r="Q36" s="61"/>
    </row>
    <row r="37" spans="1:18" ht="14.1" customHeight="1">
      <c r="A37" s="61"/>
      <c r="B37" s="55" t="str">
        <f>IF($J$2="","",IF($J$2&gt;1,INDEX(CONSOLIDA!$B$34:Q$207,($J$2-2)*29+22,1),INDEX(CONSOLIDA!$B$4:Q$207,($J$2-1)*30+23,1)))</f>
        <v/>
      </c>
      <c r="C37" s="294">
        <f>IF($J$2="","",IF($J$2&gt;1,(INDEX(CONSOLIDA!$B$34:Q$207,($J$2-2)*29+22,2)),(INDEX(CONSOLIDA!$B$4:Q$207,($J$2-1)*30+23,2))))</f>
        <v>0</v>
      </c>
      <c r="D37" s="295" t="str">
        <f>IF($J$2="","",IF($J$2&gt;1,PROPER(INDEX(CONSOLIDA!$B$34:Q$207,($J$2-2)*29+22,3)),PROPER(INDEX(CONSOLIDA!$B$4:Q$207,($J$2-1)*30+23,3))))</f>
        <v/>
      </c>
      <c r="E37" s="209">
        <f>IF($J$2="","",IF($J$2&gt;1,(INDEX(CONSOLIDA!$B$34:Q$207,($J$2-2)*29+22,4)),(INDEX(CONSOLIDA!$B$4:Q$207,($J$2-1)*30+23,4))))</f>
        <v>0</v>
      </c>
      <c r="F37" s="201">
        <f>IF($J$2="","",IF($J$2&gt;1,(INDEX(CONSOLIDA!$B$34:Q$207,($J$2-2)*29+22,5)),(INDEX(CONSOLIDA!$B$4:Q$207,($J$2-1)*30+23,5))))</f>
        <v>0</v>
      </c>
      <c r="G37" s="203">
        <f>IF($J$2="","",IF($J$2&gt;1,(INDEX(CONSOLIDA!$B$34:Q$207,($J$2-2)*29+22,6)),(INDEX(CONSOLIDA!$B$4:Q$207,($J$2-1)*30+23,6))))</f>
        <v>0</v>
      </c>
      <c r="H37" s="201">
        <f>IF($J$2="","",IF($J$2&gt;1,(INDEX(CONSOLIDA!$B$34:Q$207,($J$2-2)*29+22,7)),(INDEX(CONSOLIDA!$B$4:Q$207,($J$2-1)*30+23,7))))</f>
        <v>0</v>
      </c>
      <c r="I37" s="215">
        <f>IF($J$2="","",IF($J$2&gt;1,(INDEX(CONSOLIDA!$B$34:Q$207,($J$2-2)*29+22,8)),(INDEX(CONSOLIDA!$B$4:Q$207,($J$2-1)*30+23,8))))</f>
        <v>0</v>
      </c>
      <c r="J37" s="204">
        <f>IF($J$2="","",IF($J$2&gt;1,(INDEX(CONSOLIDA!$B$34:Q$207,($J$2-2)*29+22,9)),(INDEX(CONSOLIDA!$B$4:Q$207,($J$2-1)*30+23,9))))</f>
        <v>0</v>
      </c>
      <c r="K37" s="198">
        <f>IF($J$2="","",IF($J$2&gt;1,(INDEX(CONSOLIDA!$B$34:Q$207,($J$2-2)*29+22,10)),(INDEX(CONSOLIDA!$B$4:Q$207,($J$2-1)*30+23,10))))</f>
        <v>0</v>
      </c>
      <c r="L37" s="202">
        <f>IF($J$2="","",IF($J$2&gt;1,(INDEX(CONSOLIDA!$B$34:Q$207,($J$2-2)*29+22,11)),(INDEX(CONSOLIDA!$B$4:Q$207,($J$2-1)*30+23,11))))</f>
        <v>0</v>
      </c>
      <c r="M37" s="215">
        <f>IF($J$2="","",IF($J$2&gt;1,(INDEX(CONSOLIDA!$B$34:Q$207,($J$2-2)*29+22,12)),(INDEX(CONSOLIDA!$B$4:Q$207,($J$2-1)*30+23,12))))</f>
        <v>0</v>
      </c>
      <c r="N37" s="219">
        <f>IF($J$2="","",IF($J$2&gt;1,(INDEX(CONSOLIDA!$B$34:S$207,($J$2-2)*29+22,15)),(INDEX(CONSOLIDA!$B$4:S$207,($J$2-1)*30+23,15))))</f>
        <v>0</v>
      </c>
      <c r="O37" s="193">
        <f>IF($J$2="","",IF($J$2&gt;1,(INDEX(CONSOLIDA!$B$34:Q$207,($J$2-2)*29+22,12)),(INDEX(CONSOLIDA!$B$4:Q$207,($J$2-1)*30+23,12))))</f>
        <v>0</v>
      </c>
      <c r="P37" s="113">
        <f>IF($J$2="","",IF($J$2&gt;1,(INDEX(CONSOLIDA!$B$34:Q$207,($J$2-2)*29+22,13)),(INDEX(CONSOLIDA!$B$4:Q$207,($J$2-1)*30+23,13))))</f>
        <v>0</v>
      </c>
      <c r="Q37" s="61"/>
    </row>
    <row r="38" spans="1:18" ht="14.1" customHeight="1">
      <c r="A38" s="61"/>
      <c r="B38" s="55" t="str">
        <f>IF($J$2="","",IF($J$2&gt;1,INDEX(CONSOLIDA!$B$34:Q$207,($J$2-2)*29+23,1),INDEX(CONSOLIDA!$B$4:Q$207,($J$2-1)*30+24,1)))</f>
        <v/>
      </c>
      <c r="C38" s="294">
        <f>IF($J$2="","",IF($J$2&gt;1,(INDEX(CONSOLIDA!$B$34:Q$207,($J$2-2)*29+23,2)),(INDEX(CONSOLIDA!$B$4:Q$207,($J$2-1)*30+24,2))))</f>
        <v>0</v>
      </c>
      <c r="D38" s="295" t="str">
        <f>IF($J$2="","",IF($J$2&gt;1,PROPER(INDEX(CONSOLIDA!$B$34:Q$207,($J$2-2)*29+23,3)),PROPER(INDEX(CONSOLIDA!$B$4:Q$207,($J$2-1)*30+24,3))))</f>
        <v/>
      </c>
      <c r="E38" s="209">
        <f>IF($J$2="","",IF($J$2&gt;1,(INDEX(CONSOLIDA!$B$34:Q$207,($J$2-2)*29+23,4)),(INDEX(CONSOLIDA!$B$4:Q$207,($J$2-1)*30+24,4))))</f>
        <v>0</v>
      </c>
      <c r="F38" s="201">
        <f>IF($J$2="","",IF($J$2&gt;1,(INDEX(CONSOLIDA!$B$34:Q$207,($J$2-2)*29+23,5)),(INDEX(CONSOLIDA!$B$4:Q$207,($J$2-1)*30+24,5))))</f>
        <v>0</v>
      </c>
      <c r="G38" s="203">
        <f>IF($J$2="","",IF($J$2&gt;1,(INDEX(CONSOLIDA!$B$34:Q$207,($J$2-2)*29+23,6)),(INDEX(CONSOLIDA!$B$4:Q$207,($J$2-1)*30+24,6))))</f>
        <v>0</v>
      </c>
      <c r="H38" s="201">
        <f>IF($J$2="","",IF($J$2&gt;1,(INDEX(CONSOLIDA!$B$34:Q$207,($J$2-2)*29+23,7)),(INDEX(CONSOLIDA!$B$4:Q$207,($J$2-1)*30+24,7))))</f>
        <v>0</v>
      </c>
      <c r="I38" s="215">
        <f>IF($J$2="","",IF($J$2&gt;1,(INDEX(CONSOLIDA!$B$34:Q$207,($J$2-2)*29+23,8)),(INDEX(CONSOLIDA!$B$4:Q$207,($J$2-1)*30+24,8))))</f>
        <v>0</v>
      </c>
      <c r="J38" s="204">
        <f>IF($J$2="","",IF($J$2&gt;1,(INDEX(CONSOLIDA!$B$34:Q$207,($J$2-2)*29+23,9)),(INDEX(CONSOLIDA!$B$4:Q$207,($J$2-1)*30+24,9))))</f>
        <v>0</v>
      </c>
      <c r="K38" s="198">
        <f>IF($J$2="","",IF($J$2&gt;1,(INDEX(CONSOLIDA!$B$34:Q$207,($J$2-2)*29+23,10)),(INDEX(CONSOLIDA!$B$4:Q$207,($J$2-1)*30+24,10))))</f>
        <v>0</v>
      </c>
      <c r="L38" s="202">
        <f>IF($J$2="","",IF($J$2&gt;1,(INDEX(CONSOLIDA!$B$34:Q$207,($J$2-2)*29+23,11)),(INDEX(CONSOLIDA!$B$4:Q$207,($J$2-1)*30+24,11))))</f>
        <v>0</v>
      </c>
      <c r="M38" s="215">
        <f>IF($J$2="","",IF($J$2&gt;1,(INDEX(CONSOLIDA!$B$34:Q$207,($J$2-2)*29+23,12)),(INDEX(CONSOLIDA!$B$4:Q$207,($J$2-1)*30+24,12))))</f>
        <v>0</v>
      </c>
      <c r="N38" s="219">
        <f>IF($J$2="","",IF($J$2&gt;1,(INDEX(CONSOLIDA!$B$34:S$207,($J$2-2)*29+23,15)),(INDEX(CONSOLIDA!$B$4:S$207,($J$2-1)*30+24,15))))</f>
        <v>0</v>
      </c>
      <c r="O38" s="193">
        <f>IF($J$2="","",IF($J$2&gt;1,(INDEX(CONSOLIDA!$B$34:Q$207,($J$2-2)*29+23,12)),(INDEX(CONSOLIDA!$B$4:Q$207,($J$2-1)*30+24,12))))</f>
        <v>0</v>
      </c>
      <c r="P38" s="113">
        <f>IF($J$2="","",IF($J$2&gt;1,(INDEX(CONSOLIDA!$B$34:Q$207,($J$2-2)*29+23,13)),(INDEX(CONSOLIDA!$B$4:Q$207,($J$2-1)*30+24,13))))</f>
        <v>0</v>
      </c>
      <c r="Q38" s="61"/>
    </row>
    <row r="39" spans="1:18" ht="14.1" customHeight="1">
      <c r="A39" s="61"/>
      <c r="B39" s="55" t="str">
        <f>IF($J$2="","",IF($J$2&gt;1,INDEX(CONSOLIDA!$B$34:Q$207,($J$2-2)*29+24,1),INDEX(CONSOLIDA!$B$4:Q$207,($J$2-1)*30+25,1)))</f>
        <v/>
      </c>
      <c r="C39" s="294">
        <f>IF($J$2="","",IF($J$2&gt;1,(INDEX(CONSOLIDA!$B$34:Q$207,($J$2-2)*29+24,2)),(INDEX(CONSOLIDA!$B$4:Q$207,($J$2-1)*30+25,2))))</f>
        <v>0</v>
      </c>
      <c r="D39" s="295" t="str">
        <f>IF($J$2="","",IF($J$2&gt;1,PROPER(INDEX(CONSOLIDA!$B$34:Q$207,($J$2-2)*29+24,3)),PROPER(INDEX(CONSOLIDA!$B$4:Q$207,($J$2-1)*30+25,3))))</f>
        <v/>
      </c>
      <c r="E39" s="209">
        <f>IF($J$2="","",IF($J$2&gt;1,(INDEX(CONSOLIDA!$B$34:Q$207,($J$2-2)*29+24,4)),(INDEX(CONSOLIDA!$B$4:Q$207,($J$2-1)*30+25,4))))</f>
        <v>0</v>
      </c>
      <c r="F39" s="201">
        <f>IF($J$2="","",IF($J$2&gt;1,(INDEX(CONSOLIDA!$B$34:Q$207,($J$2-2)*29+24,5)),(INDEX(CONSOLIDA!$B$4:Q$207,($J$2-1)*30+25,5))))</f>
        <v>0</v>
      </c>
      <c r="G39" s="203">
        <f>IF($J$2="","",IF($J$2&gt;1,(INDEX(CONSOLIDA!$B$34:Q$207,($J$2-2)*29+24,6)),(INDEX(CONSOLIDA!$B$4:Q$207,($J$2-1)*30+25,6))))</f>
        <v>0</v>
      </c>
      <c r="H39" s="201">
        <f>IF($J$2="","",IF($J$2&gt;1,(INDEX(CONSOLIDA!$B$34:Q$207,($J$2-2)*29+24,7)),(INDEX(CONSOLIDA!$B$4:Q$207,($J$2-1)*30+25,7))))</f>
        <v>0</v>
      </c>
      <c r="I39" s="215">
        <f>IF($J$2="","",IF($J$2&gt;1,(INDEX(CONSOLIDA!$B$34:Q$207,($J$2-2)*29+24,8)),(INDEX(CONSOLIDA!$B$4:Q$207,($J$2-1)*30+25,8))))</f>
        <v>0</v>
      </c>
      <c r="J39" s="204">
        <f>IF($J$2="","",IF($J$2&gt;1,(INDEX(CONSOLIDA!$B$34:Q$207,($J$2-2)*29+24,9)),(INDEX(CONSOLIDA!$B$4:Q$207,($J$2-1)*30+25,9))))</f>
        <v>0</v>
      </c>
      <c r="K39" s="198">
        <f>IF($J$2="","",IF($J$2&gt;1,(INDEX(CONSOLIDA!$B$34:Q$207,($J$2-2)*29+24,10)),(INDEX(CONSOLIDA!$B$4:Q$207,($J$2-1)*30+25,10))))</f>
        <v>0</v>
      </c>
      <c r="L39" s="202">
        <f>IF($J$2="","",IF($J$2&gt;1,(INDEX(CONSOLIDA!$B$34:Q$207,($J$2-2)*29+24,11)),(INDEX(CONSOLIDA!$B$4:Q$207,($J$2-1)*30+25,11))))</f>
        <v>0</v>
      </c>
      <c r="M39" s="215">
        <f>IF($J$2="","",IF($J$2&gt;1,(INDEX(CONSOLIDA!$B$34:Q$207,($J$2-2)*29+24,12)),(INDEX(CONSOLIDA!$B$4:Q$207,($J$2-1)*30+25,12))))</f>
        <v>0</v>
      </c>
      <c r="N39" s="219">
        <f>IF($J$2="","",IF($J$2&gt;1,(INDEX(CONSOLIDA!$B$34:S$207,($J$2-2)*29+24,15)),(INDEX(CONSOLIDA!$B$4:S$207,($J$2-1)*30+25,15))))</f>
        <v>0</v>
      </c>
      <c r="O39" s="193">
        <f>IF($J$2="","",IF($J$2&gt;1,(INDEX(CONSOLIDA!$B$34:Q$207,($J$2-2)*29+24,12)),(INDEX(CONSOLIDA!$B$4:Q$207,($J$2-1)*30+25,12))))</f>
        <v>0</v>
      </c>
      <c r="P39" s="113">
        <f>IF($J$2="","",IF($J$2&gt;1,(INDEX(CONSOLIDA!$B$34:Q$207,($J$2-2)*29+24,13)),(INDEX(CONSOLIDA!$B$4:Q$207,($J$2-1)*30+25,13))))</f>
        <v>0</v>
      </c>
      <c r="Q39" s="61"/>
    </row>
    <row r="40" spans="1:18" ht="14.1" customHeight="1">
      <c r="A40" s="61"/>
      <c r="B40" s="55" t="str">
        <f>IF($J$2="","",IF($J$2&gt;1,INDEX(CONSOLIDA!$B$34:Q$207,($J$2-2)*29+25,1),INDEX(CONSOLIDA!$B$4:Q$207,($J$2-1)*30+26,1)))</f>
        <v/>
      </c>
      <c r="C40" s="294">
        <f>IF($J$2="","",IF($J$2&gt;1,(INDEX(CONSOLIDA!$B$34:Q$207,($J$2-2)*29+25,2)),(INDEX(CONSOLIDA!$B$4:Q$207,($J$2-1)*30+26,2))))</f>
        <v>0</v>
      </c>
      <c r="D40" s="295" t="str">
        <f>IF($J$2="","",IF($J$2&gt;1,PROPER(INDEX(CONSOLIDA!$B$34:Q$207,($J$2-2)*29+25,3)),PROPER(INDEX(CONSOLIDA!$B$4:Q$207,($J$2-1)*30+26,3))))</f>
        <v/>
      </c>
      <c r="E40" s="209">
        <f>IF($J$2="","",IF($J$2&gt;1,(INDEX(CONSOLIDA!$B$34:Q$207,($J$2-2)*29+25,4)),(INDEX(CONSOLIDA!$B$4:Q$207,($J$2-1)*30+26,4))))</f>
        <v>0</v>
      </c>
      <c r="F40" s="201">
        <f>IF($J$2="","",IF($J$2&gt;1,(INDEX(CONSOLIDA!$B$34:Q$207,($J$2-2)*29+25,5)),(INDEX(CONSOLIDA!$B$4:Q$207,($J$2-1)*30+26,5))))</f>
        <v>0</v>
      </c>
      <c r="G40" s="203">
        <f>IF($J$2="","",IF($J$2&gt;1,(INDEX(CONSOLIDA!$B$34:Q$207,($J$2-2)*29+25,6)),(INDEX(CONSOLIDA!$B$4:Q$207,($J$2-1)*30+26,6))))</f>
        <v>0</v>
      </c>
      <c r="H40" s="201">
        <f>IF($J$2="","",IF($J$2&gt;1,(INDEX(CONSOLIDA!$B$34:Q$207,($J$2-2)*29+25,7)),(INDEX(CONSOLIDA!$B$4:Q$207,($J$2-1)*30+26,7))))</f>
        <v>0</v>
      </c>
      <c r="I40" s="215">
        <f>IF($J$2="","",IF($J$2&gt;1,(INDEX(CONSOLIDA!$B$34:Q$207,($J$2-2)*29+25,8)),(INDEX(CONSOLIDA!$B$4:Q$207,($J$2-1)*30+26,8))))</f>
        <v>0</v>
      </c>
      <c r="J40" s="204">
        <f>IF($J$2="","",IF($J$2&gt;1,(INDEX(CONSOLIDA!$B$34:Q$207,($J$2-2)*29+25,9)),(INDEX(CONSOLIDA!$B$4:Q$207,($J$2-1)*30+26,9))))</f>
        <v>0</v>
      </c>
      <c r="K40" s="198">
        <f>IF($J$2="","",IF($J$2&gt;1,(INDEX(CONSOLIDA!$B$34:Q$207,($J$2-2)*29+25,10)),(INDEX(CONSOLIDA!$B$4:Q$207,($J$2-1)*30+26,10))))</f>
        <v>0</v>
      </c>
      <c r="L40" s="202">
        <f>IF($J$2="","",IF($J$2&gt;1,(INDEX(CONSOLIDA!$B$34:Q$207,($J$2-2)*29+25,11)),(INDEX(CONSOLIDA!$B$4:Q$207,($J$2-1)*30+26,11))))</f>
        <v>0</v>
      </c>
      <c r="M40" s="215">
        <f>IF($J$2="","",IF($J$2&gt;1,(INDEX(CONSOLIDA!$B$34:Q$207,($J$2-2)*29+25,12)),(INDEX(CONSOLIDA!$B$4:Q$207,($J$2-1)*30+26,12))))</f>
        <v>0</v>
      </c>
      <c r="N40" s="219">
        <f>IF($J$2="","",IF($J$2&gt;1,(INDEX(CONSOLIDA!$B$34:S$207,($J$2-2)*29+25,15)),(INDEX(CONSOLIDA!$B$4:S$207,($J$2-1)*30+26,15))))</f>
        <v>0</v>
      </c>
      <c r="O40" s="193">
        <f>IF($J$2="","",IF($J$2&gt;1,(INDEX(CONSOLIDA!$B$34:Q$207,($J$2-2)*29+25,12)),(INDEX(CONSOLIDA!$B$4:Q$207,($J$2-1)*30+26,12))))</f>
        <v>0</v>
      </c>
      <c r="P40" s="113">
        <f>IF($J$2="","",IF($J$2&gt;1,(INDEX(CONSOLIDA!$B$34:Q$207,($J$2-2)*29+25,13)),(INDEX(CONSOLIDA!$B$4:Q$207,($J$2-1)*30+26,13))))</f>
        <v>0</v>
      </c>
      <c r="Q40" s="61"/>
    </row>
    <row r="41" spans="1:18" ht="14.1" customHeight="1">
      <c r="A41" s="61"/>
      <c r="B41" s="55" t="str">
        <f>IF($J$2="","",IF($J$2&gt;1,INDEX(CONSOLIDA!$B$34:Q$207,($J$2-2)*29+26,1),INDEX(CONSOLIDA!$B$4:Q$207,($J$2-1)*30+27,1)))</f>
        <v/>
      </c>
      <c r="C41" s="294">
        <f>IF($J$2="","",IF($J$2&gt;1,(INDEX(CONSOLIDA!$B$34:Q$207,($J$2-2)*29+26,2)),(INDEX(CONSOLIDA!$B$4:Q$207,($J$2-1)*30+27,2))))</f>
        <v>0</v>
      </c>
      <c r="D41" s="295" t="str">
        <f>IF($J$2="","",IF($J$2&gt;1,PROPER(INDEX(CONSOLIDA!$B$34:Q$207,($J$2-2)*29+26,3)),PROPER(INDEX(CONSOLIDA!$B$4:Q$207,($J$2-1)*30+27,3))))</f>
        <v/>
      </c>
      <c r="E41" s="209">
        <f>IF($J$2="","",IF($J$2&gt;1,(INDEX(CONSOLIDA!$B$34:Q$207,($J$2-2)*29+26,4)),(INDEX(CONSOLIDA!$B$4:Q$207,($J$2-1)*30+27,4))))</f>
        <v>0</v>
      </c>
      <c r="F41" s="201">
        <f>IF($J$2="","",IF($J$2&gt;1,(INDEX(CONSOLIDA!$B$34:Q$207,($J$2-2)*29+26,5)),(INDEX(CONSOLIDA!$B$4:Q$207,($J$2-1)*30+27,5))))</f>
        <v>0</v>
      </c>
      <c r="G41" s="203">
        <f>IF($J$2="","",IF($J$2&gt;1,(INDEX(CONSOLIDA!$B$34:Q$207,($J$2-2)*29+26,6)),(INDEX(CONSOLIDA!$B$4:Q$207,($J$2-1)*30+27,6))))</f>
        <v>0</v>
      </c>
      <c r="H41" s="201">
        <f>IF($J$2="","",IF($J$2&gt;1,(INDEX(CONSOLIDA!$B$34:Q$207,($J$2-2)*29+26,7)),(INDEX(CONSOLIDA!$B$4:Q$207,($J$2-1)*30+27,7))))</f>
        <v>0</v>
      </c>
      <c r="I41" s="215">
        <f>IF($J$2="","",IF($J$2&gt;1,(INDEX(CONSOLIDA!$B$34:Q$207,($J$2-2)*29+26,8)),(INDEX(CONSOLIDA!$B$4:Q$207,($J$2-1)*30+27,8))))</f>
        <v>0</v>
      </c>
      <c r="J41" s="204">
        <f>IF($J$2="","",IF($J$2&gt;1,(INDEX(CONSOLIDA!$B$34:Q$207,($J$2-2)*29+26,9)),(INDEX(CONSOLIDA!$B$4:Q$207,($J$2-1)*30+27,9))))</f>
        <v>0</v>
      </c>
      <c r="K41" s="198">
        <f>IF($J$2="","",IF($J$2&gt;1,(INDEX(CONSOLIDA!$B$34:Q$207,($J$2-2)*29+26,10)),(INDEX(CONSOLIDA!$B$4:Q$207,($J$2-1)*30+27,10))))</f>
        <v>0</v>
      </c>
      <c r="L41" s="202">
        <f>IF($J$2="","",IF($J$2&gt;1,(INDEX(CONSOLIDA!$B$34:Q$207,($J$2-2)*29+26,11)),(INDEX(CONSOLIDA!$B$4:Q$207,($J$2-1)*30+27,11))))</f>
        <v>0</v>
      </c>
      <c r="M41" s="215">
        <f>IF($J$2="","",IF($J$2&gt;1,(INDEX(CONSOLIDA!$B$34:Q$207,($J$2-2)*29+26,12)),(INDEX(CONSOLIDA!$B$4:Q$207,($J$2-1)*30+27,12))))</f>
        <v>0</v>
      </c>
      <c r="N41" s="219">
        <f>IF($J$2="","",IF($J$2&gt;1,(INDEX(CONSOLIDA!$B$34:S$207,($J$2-2)*29+26,15)),(INDEX(CONSOLIDA!$B$4:S$207,($J$2-1)*30+27,15))))</f>
        <v>0</v>
      </c>
      <c r="O41" s="193">
        <f>IF($J$2="","",IF($J$2&gt;1,(INDEX(CONSOLIDA!$B$34:Q$207,($J$2-2)*29+26,12)),(INDEX(CONSOLIDA!$B$4:Q$207,($J$2-1)*30+27,12))))</f>
        <v>0</v>
      </c>
      <c r="P41" s="113">
        <f>IF($J$2="","",IF($J$2&gt;1,(INDEX(CONSOLIDA!$B$34:Q$207,($J$2-2)*29+26,13)),(INDEX(CONSOLIDA!$B$4:Q$207,($J$2-1)*30+27,13))))</f>
        <v>0</v>
      </c>
      <c r="Q41" s="61"/>
    </row>
    <row r="42" spans="1:18" ht="14.1" customHeight="1">
      <c r="A42" s="61"/>
      <c r="B42" s="55" t="str">
        <f>IF($J$2="","",IF($J$2&gt;1,INDEX(CONSOLIDA!$B$34:Q$207,($J$2-2)*29+27,1),INDEX(CONSOLIDA!$B$4:Q$207,($J$2-1)*30+28,1)))</f>
        <v/>
      </c>
      <c r="C42" s="294">
        <f>IF($J$2="","",IF($J$2&gt;1,(INDEX(CONSOLIDA!$B$34:Q$207,($J$2-2)*29+27,2)),(INDEX(CONSOLIDA!$B$4:Q$207,($J$2-1)*30+28,2))))</f>
        <v>0</v>
      </c>
      <c r="D42" s="295" t="str">
        <f>IF($J$2="","",IF($J$2&gt;1,PROPER(INDEX(CONSOLIDA!$B$34:Q$207,($J$2-2)*29+27,3)),PROPER(INDEX(CONSOLIDA!$B$4:Q$207,($J$2-1)*30+28,3))))</f>
        <v/>
      </c>
      <c r="E42" s="209">
        <f>IF($J$2="","",IF($J$2&gt;1,(INDEX(CONSOLIDA!$B$34:Q$207,($J$2-2)*29+27,4)),(INDEX(CONSOLIDA!$B$4:Q$207,($J$2-1)*30+28,4))))</f>
        <v>0</v>
      </c>
      <c r="F42" s="201">
        <f>IF($J$2="","",IF($J$2&gt;1,(INDEX(CONSOLIDA!$B$34:Q$207,($J$2-2)*29+27,5)),(INDEX(CONSOLIDA!$B$4:Q$207,($J$2-1)*30+28,5))))</f>
        <v>0</v>
      </c>
      <c r="G42" s="203">
        <f>IF($J$2="","",IF($J$2&gt;1,(INDEX(CONSOLIDA!$B$34:Q$207,($J$2-2)*29+27,6)),(INDEX(CONSOLIDA!$B$4:Q$207,($J$2-1)*30+28,6))))</f>
        <v>0</v>
      </c>
      <c r="H42" s="201">
        <f>IF($J$2="","",IF($J$2&gt;1,(INDEX(CONSOLIDA!$B$34:Q$207,($J$2-2)*29+27,7)),(INDEX(CONSOLIDA!$B$4:Q$207,($J$2-1)*30+28,7))))</f>
        <v>0</v>
      </c>
      <c r="I42" s="215">
        <f>IF($J$2="","",IF($J$2&gt;1,(INDEX(CONSOLIDA!$B$34:Q$207,($J$2-2)*29+27,8)),(INDEX(CONSOLIDA!$B$4:Q$207,($J$2-1)*30+28,8))))</f>
        <v>0</v>
      </c>
      <c r="J42" s="204">
        <f>IF($J$2="","",IF($J$2&gt;1,(INDEX(CONSOLIDA!$B$34:Q$207,($J$2-2)*29+27,9)),(INDEX(CONSOLIDA!$B$4:Q$207,($J$2-1)*30+28,9))))</f>
        <v>0</v>
      </c>
      <c r="K42" s="198">
        <f>IF($J$2="","",IF($J$2&gt;1,(INDEX(CONSOLIDA!$B$34:Q$207,($J$2-2)*29+27,10)),(INDEX(CONSOLIDA!$B$4:Q$207,($J$2-1)*30+28,10))))</f>
        <v>0</v>
      </c>
      <c r="L42" s="202">
        <f>IF($J$2="","",IF($J$2&gt;1,(INDEX(CONSOLIDA!$B$34:Q$207,($J$2-2)*29+27,11)),(INDEX(CONSOLIDA!$B$4:Q$207,($J$2-1)*30+28,11))))</f>
        <v>0</v>
      </c>
      <c r="M42" s="215">
        <f>IF($J$2="","",IF($J$2&gt;1,(INDEX(CONSOLIDA!$B$34:Q$207,($J$2-2)*29+27,12)),(INDEX(CONSOLIDA!$B$4:Q$207,($J$2-1)*30+28,12))))</f>
        <v>0</v>
      </c>
      <c r="N42" s="219">
        <f>IF($J$2="","",IF($J$2&gt;1,(INDEX(CONSOLIDA!$B$34:S$207,($J$2-2)*29+27,15)),(INDEX(CONSOLIDA!$B$4:S$207,($J$2-1)*30+28,15))))</f>
        <v>0</v>
      </c>
      <c r="O42" s="193">
        <f>IF($J$2="","",IF($J$2&gt;1,(INDEX(CONSOLIDA!$B$34:Q$207,($J$2-2)*29+27,12)),(INDEX(CONSOLIDA!$B$4:Q$207,($J$2-1)*30+28,12))))</f>
        <v>0</v>
      </c>
      <c r="P42" s="113">
        <f>IF($J$2="","",IF($J$2&gt;1,(INDEX(CONSOLIDA!$B$34:Q$207,($J$2-2)*29+27,13)),(INDEX(CONSOLIDA!$B$4:Q$207,($J$2-1)*30+28,13))))</f>
        <v>0</v>
      </c>
      <c r="Q42" s="61"/>
    </row>
    <row r="43" spans="1:18" ht="14.1" customHeight="1">
      <c r="A43" s="61"/>
      <c r="B43" s="55" t="str">
        <f>IF($J$2="","",IF($J$2&gt;1,INDEX(CONSOLIDA!$B$34:Q$207,($J$2-2)*29+28,1),INDEX(CONSOLIDA!$B$4:Q$207,($J$2-1)*30+29,1)))</f>
        <v/>
      </c>
      <c r="C43" s="294">
        <f>IF($J$2="","",IF($J$2&gt;1,(INDEX(CONSOLIDA!$B$34:Q$207,($J$2-2)*29+28,2)),(INDEX(CONSOLIDA!$B$4:Q$207,($J$2-1)*30+29,2))))</f>
        <v>0</v>
      </c>
      <c r="D43" s="295" t="str">
        <f>IF($J$2="","",IF($J$2&gt;1,PROPER(INDEX(CONSOLIDA!$B$34:Q$207,($J$2-2)*29+28,3)),PROPER(INDEX(CONSOLIDA!$B$4:Q$207,($J$2-1)*30+29,3))))</f>
        <v/>
      </c>
      <c r="E43" s="209">
        <f>IF($J$2="","",IF($J$2&gt;1,(INDEX(CONSOLIDA!$B$34:Q$207,($J$2-2)*29+28,4)),(INDEX(CONSOLIDA!$B$4:Q$207,($J$2-1)*30+29,4))))</f>
        <v>0</v>
      </c>
      <c r="F43" s="201">
        <f>IF($J$2="","",IF($J$2&gt;1,(INDEX(CONSOLIDA!$B$34:Q$207,($J$2-2)*29+28,5)),(INDEX(CONSOLIDA!$B$4:Q$207,($J$2-1)*30+29,5))))</f>
        <v>0</v>
      </c>
      <c r="G43" s="203">
        <f>IF($J$2="","",IF($J$2&gt;1,(INDEX(CONSOLIDA!$B$34:Q$207,($J$2-2)*29+28,6)),(INDEX(CONSOLIDA!$B$4:Q$207,($J$2-1)*30+29,6))))</f>
        <v>0</v>
      </c>
      <c r="H43" s="201">
        <f>IF($J$2="","",IF($J$2&gt;1,(INDEX(CONSOLIDA!$B$34:Q$207,($J$2-2)*29+28,7)),(INDEX(CONSOLIDA!$B$4:Q$207,($J$2-1)*30+29,7))))</f>
        <v>0</v>
      </c>
      <c r="I43" s="215">
        <f>IF($J$2="","",IF($J$2&gt;1,(INDEX(CONSOLIDA!$B$34:Q$207,($J$2-2)*29+28,8)),(INDEX(CONSOLIDA!$B$4:Q$207,($J$2-1)*30+29,8))))</f>
        <v>0</v>
      </c>
      <c r="J43" s="204">
        <f>IF($J$2="","",IF($J$2&gt;1,(INDEX(CONSOLIDA!$B$34:Q$207,($J$2-2)*29+28,9)),(INDEX(CONSOLIDA!$B$4:Q$207,($J$2-1)*30+29,9))))</f>
        <v>0</v>
      </c>
      <c r="K43" s="198">
        <f>IF($J$2="","",IF($J$2&gt;1,(INDEX(CONSOLIDA!$B$34:Q$207,($J$2-2)*29+28,10)),(INDEX(CONSOLIDA!$B$4:Q$207,($J$2-1)*30+29,10))))</f>
        <v>0</v>
      </c>
      <c r="L43" s="202">
        <f>IF($J$2="","",IF($J$2&gt;1,(INDEX(CONSOLIDA!$B$34:Q$207,($J$2-2)*29+28,11)),(INDEX(CONSOLIDA!$B$4:Q$207,($J$2-1)*30+29,11))))</f>
        <v>0</v>
      </c>
      <c r="M43" s="215">
        <f>IF($J$2="","",IF($J$2&gt;1,(INDEX(CONSOLIDA!$B$34:Q$207,($J$2-2)*29+28,12)),(INDEX(CONSOLIDA!$B$4:Q$207,($J$2-1)*30+29,12))))</f>
        <v>0</v>
      </c>
      <c r="N43" s="219">
        <f>IF($J$2="","",IF($J$2&gt;1,(INDEX(CONSOLIDA!$B$34:S$207,($J$2-2)*29+28,15)),(INDEX(CONSOLIDA!$B$4:S$207,($J$2-1)*30+29,15))))</f>
        <v>0</v>
      </c>
      <c r="O43" s="193">
        <f>IF($J$2="","",IF($J$2&gt;1,(INDEX(CONSOLIDA!$B$34:Q$207,($J$2-2)*29+28,12)),(INDEX(CONSOLIDA!$B$4:Q$207,($J$2-1)*30+29,12))))</f>
        <v>0</v>
      </c>
      <c r="P43" s="113">
        <f>IF($J$2="","",IF($J$2&gt;1,(INDEX(CONSOLIDA!$B$34:Q$207,($J$2-2)*29+28,13)),(INDEX(CONSOLIDA!$B$4:Q$207,($J$2-1)*30+29,13))))</f>
        <v>0</v>
      </c>
      <c r="Q43" s="61"/>
    </row>
    <row r="44" spans="1:18" ht="14.1" customHeight="1" thickBot="1">
      <c r="A44" s="61"/>
      <c r="B44" s="55" t="str">
        <f>IF($J$2="","",IF($J$2&gt;1,INDEX(CONSOLIDA!$B$34:Q$207,($J$2-2)*29+29,1),INDEX(CONSOLIDA!$B$4:Q$207,($J$2-1)*30+30,1)))</f>
        <v/>
      </c>
      <c r="C44" s="296">
        <f>IF($J$2="","",IF($J$2&gt;1,(INDEX(CONSOLIDA!$B$34:Q$207,($J$2-2)*29+29,2)),(INDEX(CONSOLIDA!$B$4:Q$207,($J$2-1)*30+30,2))))</f>
        <v>0</v>
      </c>
      <c r="D44" s="297" t="str">
        <f>IF($J$2="","",IF($J$2&gt;1,PROPER(INDEX(CONSOLIDA!$B$34:Q$207,($J$2-2)*29+29,3)),PROPER(INDEX(CONSOLIDA!$B$4:Q$207,($J$2-1)*30+30,3))))</f>
        <v/>
      </c>
      <c r="E44" s="210">
        <f>IF($J$2="","",IF($J$2&gt;1,(INDEX(CONSOLIDA!$B$34:Q$207,($J$2-2)*29+29,4)),(INDEX(CONSOLIDA!$B$4:Q$207,($J$2-1)*30+30,4))))</f>
        <v>0</v>
      </c>
      <c r="F44" s="205">
        <f>IF($J$2="","",IF($J$2&gt;1,(INDEX(CONSOLIDA!$B$34:Q$207,($J$2-2)*29+29,5)),(INDEX(CONSOLIDA!$B$4:Q$207,($J$2-1)*30+30,5))))</f>
        <v>0</v>
      </c>
      <c r="G44" s="207">
        <f>IF($J$2="","",IF($J$2&gt;1,(INDEX(CONSOLIDA!$B$34:Q$207,($J$2-2)*29+29,6)),(INDEX(CONSOLIDA!$B$4:Q$207,($J$2-1)*30+30,6))))</f>
        <v>0</v>
      </c>
      <c r="H44" s="205">
        <f>IF($J$2="","",IF($J$2&gt;1,(INDEX(CONSOLIDA!$B$34:Q$207,($J$2-2)*29+29,7)),(INDEX(CONSOLIDA!$B$4:Q$207,($J$2-1)*30+30,7))))</f>
        <v>0</v>
      </c>
      <c r="I44" s="216">
        <f>IF($J$2="","",IF($J$2&gt;1,(INDEX(CONSOLIDA!$B$34:Q$207,($J$2-2)*29+29,8)),(INDEX(CONSOLIDA!$B$4:Q$207,($J$2-1)*30+30,8))))</f>
        <v>0</v>
      </c>
      <c r="J44" s="208">
        <f>IF($J$2="","",IF($J$2&gt;1,(INDEX(CONSOLIDA!$B$34:Q$207,($J$2-2)*29+29,9)),(INDEX(CONSOLIDA!$B$4:Q$207,($J$2-1)*30+30,9))))</f>
        <v>0</v>
      </c>
      <c r="K44" s="217">
        <f>IF($J$2="","",IF($J$2&gt;1,(INDEX(CONSOLIDA!$B$34:Q$207,($J$2-2)*29+29,10)),(INDEX(CONSOLIDA!$B$4:Q$207,($J$2-1)*30+30,10))))</f>
        <v>0</v>
      </c>
      <c r="L44" s="206">
        <f>IF($J$2="","",IF($J$2&gt;1,(INDEX(CONSOLIDA!$B$34:Q$207,($J$2-2)*29+29,11)),(INDEX(CONSOLIDA!$B$4:Q$207,($J$2-1)*30+30,11))))</f>
        <v>0</v>
      </c>
      <c r="M44" s="216">
        <f>IF($J$2="","",IF($J$2&gt;1,(INDEX(CONSOLIDA!$B$34:Q$207,($J$2-2)*29+29,12)),(INDEX(CONSOLIDA!$B$4:Q$207,($J$2-1)*30+30,12))))</f>
        <v>0</v>
      </c>
      <c r="N44" s="220">
        <f>IF($J$2="","",IF($J$2&gt;1,(INDEX(CONSOLIDA!$B$34:S$207,($J$2-2)*29+29,15)),(INDEX(CONSOLIDA!$B$4:S$207,($J$2-1)*30+30,15))))</f>
        <v>0</v>
      </c>
      <c r="O44" s="193">
        <f>IF($J$2="","",IF($J$2&gt;1,(INDEX(CONSOLIDA!$B$34:Q$207,($J$2-2)*29+29,12)),(INDEX(CONSOLIDA!$B$4:Q$207,($J$2-1)*30+30,12))))</f>
        <v>0</v>
      </c>
      <c r="P44" s="113">
        <f>IF($J$2="","",IF($J$2&gt;1,(INDEX(CONSOLIDA!$B$34:Q$207,($J$2-2)*29+29,13)),(INDEX(CONSOLIDA!$B$4:Q$207,($J$2-1)*30+30,13))))</f>
        <v>0</v>
      </c>
      <c r="Q44" s="61"/>
    </row>
    <row r="45" spans="1:18" ht="14.1" customHeight="1" thickBot="1">
      <c r="A45" s="61"/>
      <c r="B45" s="63"/>
      <c r="C45" s="298"/>
      <c r="D45" s="62" t="s">
        <v>18</v>
      </c>
      <c r="E45" s="150">
        <f t="shared" ref="E45:M45" si="0">SUM(E15:E44)</f>
        <v>132008.59</v>
      </c>
      <c r="F45" s="151">
        <f t="shared" si="0"/>
        <v>611370</v>
      </c>
      <c r="G45" s="151">
        <f t="shared" si="0"/>
        <v>0</v>
      </c>
      <c r="H45" s="151">
        <f t="shared" si="0"/>
        <v>0</v>
      </c>
      <c r="I45" s="152">
        <f t="shared" si="0"/>
        <v>743378.59000000008</v>
      </c>
      <c r="J45" s="150">
        <f t="shared" si="0"/>
        <v>39293</v>
      </c>
      <c r="K45" s="151">
        <f t="shared" si="0"/>
        <v>2600</v>
      </c>
      <c r="L45" s="151">
        <f t="shared" si="0"/>
        <v>0</v>
      </c>
      <c r="M45" s="153">
        <f t="shared" si="0"/>
        <v>41893</v>
      </c>
      <c r="N45" s="64"/>
      <c r="O45" s="21"/>
      <c r="P45" s="107"/>
      <c r="Q45" s="61"/>
      <c r="R45" s="61"/>
    </row>
    <row r="46" spans="1:18" ht="3.75" customHeight="1" thickBot="1">
      <c r="A46" s="61"/>
      <c r="B46" s="986"/>
      <c r="C46" s="986"/>
      <c r="D46" s="987"/>
      <c r="E46" s="987"/>
      <c r="F46" s="987"/>
      <c r="G46" s="987"/>
      <c r="H46" s="987"/>
      <c r="I46" s="987"/>
      <c r="J46" s="987"/>
      <c r="K46" s="987"/>
      <c r="L46" s="987"/>
      <c r="M46" s="987"/>
      <c r="N46" s="988"/>
      <c r="O46" s="21"/>
      <c r="P46" s="21"/>
      <c r="Q46" s="61"/>
      <c r="R46" s="61"/>
    </row>
    <row r="47" spans="1:18" ht="12.75" thickBot="1">
      <c r="A47" s="61"/>
      <c r="B47" s="1020" t="s">
        <v>16</v>
      </c>
      <c r="C47" s="1021"/>
      <c r="D47" s="1021"/>
      <c r="E47" s="1021"/>
      <c r="F47" s="1021"/>
      <c r="G47" s="1021"/>
      <c r="H47" s="1021"/>
      <c r="I47" s="1021"/>
      <c r="J47" s="1021"/>
      <c r="K47" s="1021"/>
      <c r="L47" s="1021"/>
      <c r="M47" s="1021"/>
      <c r="N47" s="1022"/>
      <c r="O47" s="21"/>
      <c r="P47" s="21"/>
      <c r="Q47" s="61"/>
      <c r="R47" s="61"/>
    </row>
    <row r="48" spans="1:18" ht="12" customHeight="1">
      <c r="A48" s="61"/>
      <c r="B48" s="1011" t="str">
        <f>CONSOLIDA!HR3</f>
        <v/>
      </c>
      <c r="C48" s="1012"/>
      <c r="D48" s="1012"/>
      <c r="E48" s="1012"/>
      <c r="F48" s="1012"/>
      <c r="G48" s="1012"/>
      <c r="H48" s="1012"/>
      <c r="I48" s="1012"/>
      <c r="J48" s="1012"/>
      <c r="K48" s="1012"/>
      <c r="L48" s="1012"/>
      <c r="M48" s="1012"/>
      <c r="N48" s="1013"/>
      <c r="O48" s="211">
        <v>1</v>
      </c>
      <c r="P48" s="212">
        <f>COUNTIF($N$15:$N$44,1)</f>
        <v>0</v>
      </c>
      <c r="Q48" s="61"/>
      <c r="R48" s="61"/>
    </row>
    <row r="49" spans="1:18" ht="15.75" customHeight="1">
      <c r="A49" s="61"/>
      <c r="B49" s="1014"/>
      <c r="C49" s="1015"/>
      <c r="D49" s="1015"/>
      <c r="E49" s="1015"/>
      <c r="F49" s="1015"/>
      <c r="G49" s="1015"/>
      <c r="H49" s="1015"/>
      <c r="I49" s="1015"/>
      <c r="J49" s="1015"/>
      <c r="K49" s="1015"/>
      <c r="L49" s="1015"/>
      <c r="M49" s="1015"/>
      <c r="N49" s="1016"/>
      <c r="O49" s="211">
        <v>2</v>
      </c>
      <c r="P49" s="212">
        <f>COUNTIF($N$15:$N$44,2)</f>
        <v>0</v>
      </c>
      <c r="Q49" s="61"/>
      <c r="R49" s="61"/>
    </row>
    <row r="50" spans="1:18" ht="15.75" customHeight="1" thickBot="1">
      <c r="A50" s="61"/>
      <c r="B50" s="991"/>
      <c r="C50" s="992"/>
      <c r="D50" s="992"/>
      <c r="E50" s="992"/>
      <c r="F50" s="992"/>
      <c r="G50" s="992"/>
      <c r="H50" s="992"/>
      <c r="I50" s="992"/>
      <c r="J50" s="992"/>
      <c r="K50" s="992"/>
      <c r="L50" s="992"/>
      <c r="M50" s="992"/>
      <c r="N50" s="993"/>
      <c r="O50" s="211"/>
      <c r="P50" s="212"/>
      <c r="Q50" s="61"/>
      <c r="R50" s="61"/>
    </row>
    <row r="51" spans="1:18" ht="12.75" customHeight="1" thickBot="1">
      <c r="A51" s="61"/>
      <c r="B51" s="1017" t="s">
        <v>17</v>
      </c>
      <c r="C51" s="1018"/>
      <c r="D51" s="1018"/>
      <c r="E51" s="1018"/>
      <c r="F51" s="1018"/>
      <c r="G51" s="1018"/>
      <c r="H51" s="1018"/>
      <c r="I51" s="1018"/>
      <c r="J51" s="1018"/>
      <c r="K51" s="1018"/>
      <c r="L51" s="1018"/>
      <c r="M51" s="1018"/>
      <c r="N51" s="1019"/>
      <c r="O51" s="211">
        <v>3</v>
      </c>
      <c r="P51" s="212">
        <f>COUNTIF($N$15:$N$44,3)</f>
        <v>0</v>
      </c>
      <c r="Q51" s="61"/>
      <c r="R51" s="61"/>
    </row>
    <row r="52" spans="1:18" ht="18" customHeight="1">
      <c r="A52" s="61"/>
      <c r="B52" s="277"/>
      <c r="C52" s="291"/>
      <c r="D52" s="278" t="str">
        <f>IF('Modelo 6'!$D$36="","",'Modelo 6'!$D$36)</f>
        <v/>
      </c>
      <c r="E52" s="275"/>
      <c r="F52" s="276"/>
      <c r="G52" s="279" t="str">
        <f>IF('Modelo 6'!$G$36="","",'Modelo 6'!$G$36)</f>
        <v/>
      </c>
      <c r="H52" s="989"/>
      <c r="I52" s="990"/>
      <c r="J52" s="274"/>
      <c r="K52" s="279" t="str">
        <f>IF('Modelo 6'!$L$36="","",'Modelo 6'!$L$36)</f>
        <v/>
      </c>
      <c r="L52" s="989"/>
      <c r="M52" s="990"/>
      <c r="N52" s="273"/>
      <c r="O52" s="211"/>
      <c r="P52" s="213"/>
      <c r="Q52" s="61"/>
    </row>
    <row r="53" spans="1:18" ht="19.5" customHeight="1">
      <c r="A53" s="61"/>
      <c r="B53" s="56"/>
      <c r="C53" s="292"/>
      <c r="D53" s="965" t="s">
        <v>19</v>
      </c>
      <c r="E53" s="965"/>
      <c r="F53" s="57"/>
      <c r="G53" s="964" t="s">
        <v>20</v>
      </c>
      <c r="H53" s="965"/>
      <c r="I53" s="965"/>
      <c r="J53" s="997"/>
      <c r="K53" s="964" t="s">
        <v>21</v>
      </c>
      <c r="L53" s="965"/>
      <c r="M53" s="965"/>
      <c r="N53" s="966"/>
      <c r="O53" s="21"/>
      <c r="P53" s="21"/>
      <c r="Q53" s="61"/>
    </row>
    <row r="54" spans="1:18" ht="12" customHeight="1" thickBot="1">
      <c r="A54" s="61"/>
      <c r="B54" s="999" t="s">
        <v>0</v>
      </c>
      <c r="C54" s="968"/>
      <c r="D54" s="968"/>
      <c r="E54" s="968"/>
      <c r="F54" s="998"/>
      <c r="G54" s="967" t="s">
        <v>1</v>
      </c>
      <c r="H54" s="968"/>
      <c r="I54" s="968"/>
      <c r="J54" s="998"/>
      <c r="K54" s="967" t="s">
        <v>96</v>
      </c>
      <c r="L54" s="968"/>
      <c r="M54" s="968"/>
      <c r="N54" s="969"/>
      <c r="O54" s="21"/>
      <c r="P54" s="21"/>
      <c r="Q54" s="61"/>
    </row>
    <row r="55" spans="1:18" ht="12" customHeight="1">
      <c r="A55" s="61"/>
      <c r="B55" s="59"/>
      <c r="C55" s="59"/>
      <c r="D55" s="913" t="s">
        <v>155</v>
      </c>
      <c r="E55" s="913"/>
      <c r="F55" s="913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61"/>
    </row>
    <row r="56" spans="1:18" ht="12" customHeight="1">
      <c r="A56" s="61"/>
      <c r="B56" s="59"/>
      <c r="C56" s="59"/>
      <c r="D56" s="913"/>
      <c r="E56" s="913"/>
      <c r="F56" s="913"/>
      <c r="G56" s="59"/>
      <c r="H56" s="49"/>
      <c r="I56" s="49"/>
      <c r="J56" s="49"/>
      <c r="K56" s="49"/>
      <c r="L56" s="49"/>
      <c r="M56" s="49"/>
      <c r="N56" s="49"/>
      <c r="O56" s="58"/>
      <c r="P56" s="58"/>
      <c r="Q56" s="61"/>
    </row>
    <row r="57" spans="1:18" hidden="1">
      <c r="B57" s="60"/>
      <c r="C57" s="60"/>
      <c r="D57" s="60"/>
      <c r="E57" s="61"/>
      <c r="F57" s="59"/>
      <c r="G57" s="59"/>
      <c r="H57" s="49"/>
      <c r="I57" s="49"/>
      <c r="J57" s="49"/>
      <c r="K57" s="49"/>
      <c r="L57" s="49"/>
      <c r="M57" s="49"/>
      <c r="N57" s="49"/>
      <c r="O57" s="47"/>
      <c r="P57" s="47"/>
      <c r="Q57" s="61"/>
    </row>
    <row r="58" spans="1:18" hidden="1">
      <c r="B58" s="60"/>
      <c r="C58" s="60"/>
      <c r="D58" s="60"/>
      <c r="E58" s="61"/>
      <c r="F58" s="59"/>
      <c r="G58" s="59"/>
      <c r="H58" s="49"/>
      <c r="I58" s="49"/>
      <c r="J58" s="49"/>
      <c r="K58" s="49"/>
      <c r="L58" s="49"/>
      <c r="M58" s="49"/>
      <c r="N58" s="49"/>
      <c r="O58" s="47"/>
      <c r="P58" s="47"/>
      <c r="Q58" s="61"/>
    </row>
    <row r="59" spans="1:18" hidden="1">
      <c r="B59" s="148"/>
      <c r="C59" s="148"/>
      <c r="D59" s="149"/>
      <c r="E59" s="149"/>
      <c r="F59" s="149"/>
      <c r="H59" s="149"/>
      <c r="I59" s="149"/>
      <c r="J59" s="149"/>
      <c r="K59" s="149"/>
      <c r="L59" s="149"/>
      <c r="M59" s="149"/>
      <c r="N59" s="149"/>
      <c r="O59" s="47"/>
      <c r="P59" s="47"/>
    </row>
  </sheetData>
  <sheetProtection password="F326" sheet="1" objects="1" scenarios="1"/>
  <mergeCells count="30">
    <mergeCell ref="B12:N12"/>
    <mergeCell ref="B13:B14"/>
    <mergeCell ref="J13:M13"/>
    <mergeCell ref="C13:D13"/>
    <mergeCell ref="H52:I52"/>
    <mergeCell ref="B48:N49"/>
    <mergeCell ref="B51:N51"/>
    <mergeCell ref="B47:N47"/>
    <mergeCell ref="E13:I13"/>
    <mergeCell ref="D56:F56"/>
    <mergeCell ref="G53:J53"/>
    <mergeCell ref="G54:J54"/>
    <mergeCell ref="D53:E53"/>
    <mergeCell ref="B54:F54"/>
    <mergeCell ref="K53:N53"/>
    <mergeCell ref="K54:N54"/>
    <mergeCell ref="D55:F55"/>
    <mergeCell ref="B8:N8"/>
    <mergeCell ref="B10:F10"/>
    <mergeCell ref="B9:F9"/>
    <mergeCell ref="L9:N9"/>
    <mergeCell ref="L10:N10"/>
    <mergeCell ref="G9:H9"/>
    <mergeCell ref="G10:H10"/>
    <mergeCell ref="I9:K9"/>
    <mergeCell ref="B46:N46"/>
    <mergeCell ref="L52:M52"/>
    <mergeCell ref="B50:N50"/>
    <mergeCell ref="C14:D14"/>
    <mergeCell ref="B11:N11"/>
  </mergeCells>
  <phoneticPr fontId="7" type="noConversion"/>
  <conditionalFormatting sqref="E15:N44">
    <cfRule type="expression" dxfId="36" priority="1" stopIfTrue="1">
      <formula>$D15=""</formula>
    </cfRule>
  </conditionalFormatting>
  <conditionalFormatting sqref="O15:P44">
    <cfRule type="cellIs" dxfId="35" priority="2" stopIfTrue="1" operator="lessThanOrEqual">
      <formula>0</formula>
    </cfRule>
  </conditionalFormatting>
  <conditionalFormatting sqref="C15:C44">
    <cfRule type="expression" dxfId="34" priority="3" stopIfTrue="1">
      <formula>$D15=""</formula>
    </cfRule>
  </conditionalFormatting>
  <dataValidations count="3">
    <dataValidation type="whole" allowBlank="1" showInputMessage="1" showErrorMessage="1" errorTitle="IMPRIMIR" error="NÚMERO MAIOR QUE O TOTAL DE PÁGINAS_x000a__x000a_PREVISTO!!!_x000a__x000a_ou _x000a__x000a_ZERO NÃO É PERMITIDO !!!" sqref="J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G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E2">
      <formula1>K2</formula1>
      <formula2>N2</formula2>
    </dataValidation>
  </dataValidations>
  <printOptions horizontalCentered="1" verticalCentered="1"/>
  <pageMargins left="0" right="0" top="0.23622047244094491" bottom="0" header="0.23622047244094491" footer="0"/>
  <pageSetup paperSize="9" scale="79" orientation="landscape" r:id="rId1"/>
  <headerFooter alignWithMargins="0"/>
  <ignoredErrors>
    <ignoredError sqref="D45 B4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>
    <tabColor indexed="35"/>
  </sheetPr>
  <dimension ref="A1:R50"/>
  <sheetViews>
    <sheetView showRowColHeaders="0" view="pageBreakPreview" zoomScale="85" zoomScaleNormal="75" workbookViewId="0"/>
  </sheetViews>
  <sheetFormatPr defaultColWidth="0" defaultRowHeight="12.75" zeroHeight="1"/>
  <cols>
    <col min="1" max="1" width="4.140625" style="3" customWidth="1"/>
    <col min="2" max="2" width="5.85546875" style="3" customWidth="1"/>
    <col min="3" max="3" width="6.28515625" style="3" customWidth="1"/>
    <col min="4" max="4" width="35.42578125" style="3" customWidth="1"/>
    <col min="5" max="5" width="9.85546875" style="3" customWidth="1"/>
    <col min="6" max="6" width="8.7109375" style="3" customWidth="1"/>
    <col min="7" max="8" width="7.42578125" style="3" customWidth="1"/>
    <col min="9" max="13" width="13.140625" style="3" customWidth="1"/>
    <col min="14" max="14" width="13.28515625" style="3" customWidth="1"/>
    <col min="15" max="15" width="4.140625" style="3" customWidth="1"/>
    <col min="16" max="16384" width="0" style="3" hidden="1"/>
  </cols>
  <sheetData>
    <row r="1" spans="1:18" ht="12" customHeight="1" thickBot="1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23" t="s">
        <v>163</v>
      </c>
      <c r="O1" s="29"/>
    </row>
    <row r="2" spans="1:18" ht="26.25" customHeight="1" thickBot="1">
      <c r="A2" s="29"/>
      <c r="B2" s="29"/>
      <c r="C2" s="29"/>
      <c r="D2" s="29"/>
      <c r="E2" s="29"/>
      <c r="F2" s="235">
        <v>1</v>
      </c>
      <c r="G2" s="231" t="s">
        <v>27</v>
      </c>
      <c r="H2" s="235"/>
      <c r="I2" s="29"/>
      <c r="J2" s="235">
        <v>1</v>
      </c>
      <c r="K2" s="29">
        <v>1</v>
      </c>
      <c r="L2" s="29"/>
      <c r="M2" s="242"/>
      <c r="N2" s="289">
        <f>CONSOLIDA!FN3</f>
        <v>1</v>
      </c>
      <c r="O2" s="29"/>
    </row>
    <row r="3" spans="1:18" ht="15" customHeight="1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8" s="4" customFormat="1" ht="27.75" customHeight="1">
      <c r="A4" s="40"/>
      <c r="B4" s="40"/>
      <c r="C4" s="41"/>
      <c r="D4" s="42"/>
      <c r="E4" s="42"/>
      <c r="F4" s="42"/>
      <c r="G4" s="42"/>
      <c r="H4" s="40"/>
      <c r="I4" s="40"/>
      <c r="J4" s="40"/>
      <c r="K4" s="40"/>
      <c r="L4" s="1025" t="s">
        <v>125</v>
      </c>
      <c r="M4" s="1026"/>
      <c r="N4" s="1026"/>
      <c r="O4" s="30"/>
      <c r="P4" s="162"/>
      <c r="Q4" s="162"/>
      <c r="R4" s="163"/>
    </row>
    <row r="5" spans="1:18" s="4" customFormat="1" ht="24.95" customHeight="1">
      <c r="A5" s="40"/>
      <c r="B5" s="40"/>
      <c r="C5" s="41"/>
      <c r="D5" s="40"/>
      <c r="E5" s="40"/>
      <c r="F5" s="40"/>
      <c r="G5" s="40"/>
      <c r="H5" s="40"/>
      <c r="I5" s="40"/>
      <c r="J5" s="40"/>
      <c r="K5" s="1027" t="s">
        <v>126</v>
      </c>
      <c r="L5" s="1028"/>
      <c r="M5" s="1028"/>
      <c r="N5" s="1028"/>
      <c r="O5" s="30"/>
      <c r="P5" s="162"/>
      <c r="Q5" s="162"/>
      <c r="R5" s="164"/>
    </row>
    <row r="6" spans="1:18" ht="4.5" customHeight="1" thickBot="1">
      <c r="A6" s="29"/>
      <c r="B6" s="29"/>
      <c r="C6" s="29"/>
      <c r="D6" s="29"/>
      <c r="E6" s="29"/>
      <c r="F6" s="29"/>
      <c r="G6" s="29"/>
      <c r="H6" s="29"/>
      <c r="I6" s="29"/>
      <c r="J6" s="29"/>
      <c r="K6" s="1027"/>
      <c r="L6" s="1028"/>
      <c r="M6" s="1028"/>
      <c r="N6" s="1028"/>
      <c r="O6" s="29"/>
    </row>
    <row r="7" spans="1:18" ht="15.75" customHeight="1">
      <c r="A7" s="29"/>
      <c r="B7" s="1029" t="s">
        <v>3</v>
      </c>
      <c r="C7" s="1030"/>
      <c r="D7" s="1030"/>
      <c r="E7" s="1030"/>
      <c r="F7" s="1030"/>
      <c r="G7" s="1030"/>
      <c r="H7" s="1030"/>
      <c r="I7" s="1030"/>
      <c r="J7" s="1030"/>
      <c r="K7" s="1030"/>
      <c r="L7" s="1030"/>
      <c r="M7" s="1030"/>
      <c r="N7" s="1031"/>
      <c r="O7" s="29"/>
    </row>
    <row r="8" spans="1:18" ht="12.75" customHeight="1">
      <c r="A8" s="29"/>
      <c r="B8" s="1034" t="s">
        <v>28</v>
      </c>
      <c r="C8" s="1032"/>
      <c r="D8" s="1032"/>
      <c r="E8" s="1032"/>
      <c r="F8" s="1033"/>
      <c r="G8" s="1023" t="s">
        <v>75</v>
      </c>
      <c r="H8" s="1032"/>
      <c r="I8" s="1033"/>
      <c r="J8" s="1023" t="s">
        <v>36</v>
      </c>
      <c r="K8" s="1032"/>
      <c r="L8" s="1033"/>
      <c r="M8" s="1023" t="s">
        <v>37</v>
      </c>
      <c r="N8" s="1024"/>
      <c r="O8" s="29"/>
    </row>
    <row r="9" spans="1:18" ht="16.5" customHeight="1" thickBot="1">
      <c r="A9" s="29"/>
      <c r="B9" s="1042" t="str">
        <f>BASE!$D$5</f>
        <v>CAMPO LIMPO</v>
      </c>
      <c r="C9" s="1036"/>
      <c r="D9" s="1036"/>
      <c r="E9" s="1036"/>
      <c r="F9" s="1037"/>
      <c r="G9" s="1035" t="str">
        <f>BASE!$D$7</f>
        <v>46.392.114/0007-10</v>
      </c>
      <c r="H9" s="1036"/>
      <c r="I9" s="1037"/>
      <c r="J9" s="167" t="str">
        <f>BASE!$D$11</f>
        <v>01/12/2019</v>
      </c>
      <c r="K9" s="165" t="s">
        <v>27</v>
      </c>
      <c r="L9" s="166" t="str">
        <f>BASE!$F$11</f>
        <v>31/10/2020</v>
      </c>
      <c r="M9" s="1038">
        <f>BASE!$D$9</f>
        <v>2020</v>
      </c>
      <c r="N9" s="1039"/>
      <c r="O9" s="29"/>
    </row>
    <row r="10" spans="1:18" ht="3.75" customHeight="1" thickBot="1">
      <c r="A10" s="29"/>
      <c r="B10" s="1050"/>
      <c r="C10" s="1050"/>
      <c r="D10" s="1050"/>
      <c r="E10" s="1050"/>
      <c r="F10" s="1050"/>
      <c r="G10" s="1050"/>
      <c r="H10" s="1050"/>
      <c r="I10" s="1050"/>
      <c r="J10" s="1050"/>
      <c r="K10" s="1050"/>
      <c r="L10" s="1050"/>
      <c r="M10" s="1050"/>
      <c r="N10" s="1050"/>
      <c r="O10" s="29"/>
    </row>
    <row r="11" spans="1:18" ht="13.5" thickBot="1">
      <c r="A11" s="29"/>
      <c r="B11" s="1043" t="s">
        <v>76</v>
      </c>
      <c r="C11" s="1044"/>
      <c r="D11" s="1044"/>
      <c r="E11" s="1044"/>
      <c r="F11" s="1044"/>
      <c r="G11" s="1044"/>
      <c r="H11" s="1044"/>
      <c r="I11" s="1044"/>
      <c r="J11" s="1044"/>
      <c r="K11" s="1044"/>
      <c r="L11" s="1044"/>
      <c r="M11" s="1044"/>
      <c r="N11" s="1045"/>
      <c r="O11" s="29"/>
    </row>
    <row r="12" spans="1:18" s="65" customFormat="1" ht="10.5" customHeight="1">
      <c r="A12" s="100"/>
      <c r="B12" s="1046" t="s">
        <v>127</v>
      </c>
      <c r="C12" s="1048" t="s">
        <v>146</v>
      </c>
      <c r="D12" s="1049"/>
      <c r="E12" s="1054" t="s">
        <v>78</v>
      </c>
      <c r="F12" s="1055"/>
      <c r="G12" s="1054" t="s">
        <v>79</v>
      </c>
      <c r="H12" s="1055"/>
      <c r="I12" s="1056" t="s">
        <v>128</v>
      </c>
      <c r="J12" s="1052"/>
      <c r="K12" s="1057"/>
      <c r="L12" s="1051" t="s">
        <v>129</v>
      </c>
      <c r="M12" s="1052"/>
      <c r="N12" s="1053"/>
      <c r="O12" s="100"/>
    </row>
    <row r="13" spans="1:18" s="65" customFormat="1" ht="12" customHeight="1">
      <c r="A13" s="100"/>
      <c r="B13" s="1047"/>
      <c r="C13" s="1040"/>
      <c r="D13" s="1041"/>
      <c r="E13" s="1056"/>
      <c r="F13" s="1057"/>
      <c r="G13" s="1056"/>
      <c r="H13" s="1057"/>
      <c r="I13" s="168" t="s">
        <v>130</v>
      </c>
      <c r="J13" s="168" t="s">
        <v>131</v>
      </c>
      <c r="K13" s="169" t="s">
        <v>11</v>
      </c>
      <c r="L13" s="168" t="s">
        <v>130</v>
      </c>
      <c r="M13" s="168" t="s">
        <v>131</v>
      </c>
      <c r="N13" s="170" t="s">
        <v>11</v>
      </c>
      <c r="O13" s="100"/>
    </row>
    <row r="14" spans="1:18" ht="14.25" customHeight="1">
      <c r="A14" s="29"/>
      <c r="B14" s="525" t="str">
        <f>IF($J$2="","",IF($J$2&gt;1,"",INDEX(CONSOLIDA!$EV$4:$FN$207,($J$2-1)*27+1,1)))</f>
        <v/>
      </c>
      <c r="C14" s="526">
        <f>IF($J$2="","",IF($J$2&gt;1,"",INDEX(CONSOLIDA!$EV$4:$FN$207,($J$2-1)*27+1,3)))</f>
        <v>0</v>
      </c>
      <c r="D14" s="527" t="str">
        <f>IF($J$2="","",IF($J$2&gt;1,"TRANSPORTADO....................",PROPER(INDEX(CONSOLIDA!$EV$4:$FN$207,($J$2-1)*27+1,4))))</f>
        <v/>
      </c>
      <c r="E14" s="1060">
        <f>IF($J$2="","",IF($J$2&gt;1,"",INDEX(CONSOLIDA!$EV$4:$FN$207,($J$2-1)*27+1,14)))</f>
        <v>0</v>
      </c>
      <c r="F14" s="1061"/>
      <c r="G14" s="1058">
        <f>IF($J$2="","",IF($J$2&gt;1,"",INDEX(CONSOLIDA!$EV$4:$FN$207,($J$2-1)*27+1,15)))</f>
        <v>0</v>
      </c>
      <c r="H14" s="1062"/>
      <c r="I14" s="528" t="str">
        <f>IF($J$2="","",IF($J$2&gt;1,INDEX(CONSOLIDA!$FO$4:FY$11,($J$2)-1,10),INDEX(CONSOLIDA!$EV$4:$FN$207,($J$2-1)*27+1,18)))</f>
        <v/>
      </c>
      <c r="J14" s="528">
        <f>IF($J$2="","",IF($J$2&gt;1,INDEX(CONSOLIDA!$FO$4:FY$11,($J$2)-1,4),INDEX(CONSOLIDA!$EV$4:$FN$207,($J$2-1)*27+1,8)))</f>
        <v>0</v>
      </c>
      <c r="K14" s="177">
        <f>IF($J$2="","",IF($J$2&gt;1,INDEX(CONSOLIDA!$FO$4:FY$11,($J$2)-1,5),INDEX(CONSOLIDA!$EV$4:$FN$207,($J$2-1)*27+1,9)))</f>
        <v>0</v>
      </c>
      <c r="L14" s="528" t="str">
        <f>IF($J$2="","",IF($J$2&gt;1,INDEX(CONSOLIDA!$FO$4:FY$11,($J$2)-1,11),INDEX(CONSOLIDA!$EV$4:$FN$207,($J$2-1)*27+1,19)))</f>
        <v/>
      </c>
      <c r="M14" s="528">
        <f>IF($J$2="","",IF($J$2&gt;1,INDEX(CONSOLIDA!$FO$4:FY$11,($J$2)-1,8),INDEX(CONSOLIDA!$EV$4:$FN$207,($J$2-1)*27+1,12)))</f>
        <v>0</v>
      </c>
      <c r="N14" s="178">
        <f>IF($J$2="","",IF($J$2&gt;1,INDEX(CONSOLIDA!$FO$4:FY$11,($J$2)-1,9),INDEX(CONSOLIDA!$EV$4:$FN$207,($J$2-1)*27+1,13)))</f>
        <v>0</v>
      </c>
      <c r="O14" s="29"/>
    </row>
    <row r="15" spans="1:18" ht="12.75" customHeight="1">
      <c r="A15" s="29"/>
      <c r="B15" s="525" t="str">
        <f>IF($J$2="","",IF($J$2&gt;1,INDEX(CONSOLIDA!$EV$31:$FN$207,($J$2-2)*27+1,1),INDEX(CONSOLIDA!$EV$4:$FN$207,($J$2-1)*27+2,1)))</f>
        <v/>
      </c>
      <c r="C15" s="526">
        <f>IF($J$2="","",IF($J$2&gt;1,(INDEX(CONSOLIDA!$EV$31:$FN$207,($J$2-2)*26+1,3)),(INDEX(CONSOLIDA!$EV$4:$FN$207,($J$2-1)*27+2,3))))</f>
        <v>0</v>
      </c>
      <c r="D15" s="527" t="str">
        <f>IF($J$2="","",IF($J$2&gt;1,PROPER(INDEX(CONSOLIDA!$EV$31:$FN$207,($J$2-2)*26+1,4)),PROPER(INDEX(CONSOLIDA!$EV$4:$FN$207,($J$2-1)*27+2,4))))</f>
        <v/>
      </c>
      <c r="E15" s="1060">
        <f>IF($J$2="","",IF($J$2&gt;1,INDEX(CONSOLIDA!$EV$31:$FN$207,($J$2-2)*26+1,14),INDEX(CONSOLIDA!$EV$4:$FN$207,($J$2-1)*27+2,14)))</f>
        <v>0</v>
      </c>
      <c r="F15" s="1061"/>
      <c r="G15" s="1058">
        <f>IF($J$2="","",IF($J$2&gt;1,INDEX(CONSOLIDA!$EV$31:$FN$207,($J$2-2)*26+1,15),INDEX(CONSOLIDA!$EV$4:$FN$207,($J$2-1)*27+2,15)))</f>
        <v>0</v>
      </c>
      <c r="H15" s="1059"/>
      <c r="I15" s="528" t="str">
        <f>IF($J$2="","",IF($J$2&gt;1,INDEX(CONSOLIDA!$EV$31:$FN$207,($J$2-2)*26+1,18),INDEX(CONSOLIDA!$EV$4:$FN$207,($J$2-1)*27+2,18)))</f>
        <v/>
      </c>
      <c r="J15" s="528">
        <f>IF($J$2="","",IF($J$2&gt;1,INDEX(CONSOLIDA!$EV$31:$FN$207,($J$2-2)*26+1,8),INDEX(CONSOLIDA!$EV$4:$FN$207,($J$2-1)*27+2,8)))</f>
        <v>0</v>
      </c>
      <c r="K15" s="177">
        <f>IF($J$2="","",IF($J$2&gt;1,INDEX(CONSOLIDA!$EV$31:$FN$207,($J$2-2)*26+1,9),INDEX(CONSOLIDA!$EV$4:$FN$207,($J$2-1)*27+2,9)))</f>
        <v>0</v>
      </c>
      <c r="L15" s="528" t="str">
        <f>IF($J$2="","",IF($J$2&gt;1,INDEX(CONSOLIDA!$EV$31:$FN$207,($J$2-2)*26+1,19),INDEX(CONSOLIDA!$EV$4:$FN$207,($J$2-1)*27+2,19)))</f>
        <v/>
      </c>
      <c r="M15" s="528">
        <f>IF($J$2="","",IF($J$2&gt;1,INDEX(CONSOLIDA!$EV$31:$FN$207,($J$2-2)*26+1,12),INDEX(CONSOLIDA!$EV$4:$FN$207,($J$2-1)*27+2,12)))</f>
        <v>0</v>
      </c>
      <c r="N15" s="178">
        <f>IF($J$2="","",IF($J$2&gt;1,INDEX(CONSOLIDA!$EV$31:$FN$207,($J$2-2)*26+1,13),INDEX(CONSOLIDA!$EV$4:$FN$207,($J$2-1)*27+2,13)))</f>
        <v>0</v>
      </c>
      <c r="O15" s="29"/>
    </row>
    <row r="16" spans="1:18" ht="12.75" customHeight="1">
      <c r="A16" s="29"/>
      <c r="B16" s="525" t="str">
        <f>IF($J$2="","",IF($J$2&gt;1,INDEX(CONSOLIDA!$EV$31:$FN$207,($J$2-2)*26+2,1),INDEX(CONSOLIDA!$EV$4:$FN$207,($J$2-1)*27+3,1)))</f>
        <v/>
      </c>
      <c r="C16" s="526">
        <f>IF($J$2="","",IF($J$2&gt;1,(INDEX(CONSOLIDA!$EV$31:$FN$207,($J$2-2)*26+2,3)),(INDEX(CONSOLIDA!$EV$4:$FN$207,($J$2-1)*27+3,3))))</f>
        <v>0</v>
      </c>
      <c r="D16" s="527" t="str">
        <f>IF($J$2="","",IF($J$2&gt;1,PROPER(INDEX(CONSOLIDA!$EV$31:$FN$207,($J$2-2)*26+2,4)),PROPER(INDEX(CONSOLIDA!$EV$4:$FN$207,($J$2-1)*27+3,4))))</f>
        <v/>
      </c>
      <c r="E16" s="1060">
        <f>IF($J$2="","",IF($J$2&gt;1,INDEX(CONSOLIDA!$EV$31:$FN$207,($J$2-2)*26+2,14),INDEX(CONSOLIDA!$EV$4:$FN$207,($J$2-1)*27+3,14)))</f>
        <v>0</v>
      </c>
      <c r="F16" s="1061"/>
      <c r="G16" s="1058">
        <f>IF($J$2="","",IF($J$2&gt;1,INDEX(CONSOLIDA!$EV$31:$FN$207,($J$2-2)*26+2,15),INDEX(CONSOLIDA!$EV$4:$FN$207,($J$2-1)*27+3,15)))</f>
        <v>0</v>
      </c>
      <c r="H16" s="1059"/>
      <c r="I16" s="528" t="str">
        <f>IF($J$2="","",IF($J$2&gt;1,INDEX(CONSOLIDA!$EV$31:$FN$207,($J$2-2)*26+2,18),INDEX(CONSOLIDA!$EV$4:$FN$207,($J$2-1)*27+3,18)))</f>
        <v/>
      </c>
      <c r="J16" s="528">
        <f>IF($J$2="","",IF($J$2&gt;1,INDEX(CONSOLIDA!$EV$31:$FN$207,($J$2-2)*26+2,8),INDEX(CONSOLIDA!$EV$4:$FN$207,($J$2-1)*27+3,8)))</f>
        <v>0</v>
      </c>
      <c r="K16" s="177">
        <f>IF($J$2="","",IF($J$2&gt;1,INDEX(CONSOLIDA!$EV$31:$FN$207,($J$2-2)*26+2,9),INDEX(CONSOLIDA!$EV$4:$FN$207,($J$2-1)*27+3,9)))</f>
        <v>0</v>
      </c>
      <c r="L16" s="528" t="str">
        <f>IF($J$2="","",IF($J$2&gt;1,INDEX(CONSOLIDA!$EV$31:$FN$207,($J$2-2)*26+2,19),INDEX(CONSOLIDA!$EV$4:$FN$207,($J$2-1)*27+3,19)))</f>
        <v/>
      </c>
      <c r="M16" s="528">
        <f>IF($J$2="","",IF($J$2&gt;1,INDEX(CONSOLIDA!$EV$31:$FN$207,($J$2-2)*26+2,12),INDEX(CONSOLIDA!$EV$4:$FN$207,($J$2-1)*27+3,12)))</f>
        <v>0</v>
      </c>
      <c r="N16" s="178">
        <f>IF($J$2="","",IF($J$2&gt;1,INDEX(CONSOLIDA!$EV$31:$FN$207,($J$2-2)*26+2,13),INDEX(CONSOLIDA!$EV$4:$FN$207,($J$2-1)*27+3,13)))</f>
        <v>0</v>
      </c>
      <c r="O16" s="29"/>
    </row>
    <row r="17" spans="1:15" ht="12.75" customHeight="1">
      <c r="A17" s="29"/>
      <c r="B17" s="525" t="str">
        <f>IF($J$2="","",IF($J$2&gt;1,INDEX(CONSOLIDA!$EV$31:$FN$207,($J$2-2)*26+3,1),INDEX(CONSOLIDA!$EV$4:$FN$207,($J$2-1)*27+4,1)))</f>
        <v/>
      </c>
      <c r="C17" s="526">
        <f>IF($J$2="","",IF($J$2&gt;1,(INDEX(CONSOLIDA!$EV$31:$FN$207,($J$2-2)*26+3,3)),(INDEX(CONSOLIDA!$EV$4:$FN$207,($J$2-1)*27+4,3))))</f>
        <v>0</v>
      </c>
      <c r="D17" s="527" t="str">
        <f>IF($J$2="","",IF($J$2&gt;1,PROPER(INDEX(CONSOLIDA!$EV$31:$FN$207,($J$2-2)*26+3,4)),PROPER(INDEX(CONSOLIDA!$EV$4:$FN$207,($J$2-1)*27+4,4))))</f>
        <v/>
      </c>
      <c r="E17" s="1060">
        <f>IF($J$2="","",IF($J$2&gt;1,INDEX(CONSOLIDA!$EV$31:$FN$207,($J$2-2)*26+3,14),INDEX(CONSOLIDA!$EV$4:$FN$207,($J$2-1)*27+4,14)))</f>
        <v>0</v>
      </c>
      <c r="F17" s="1061"/>
      <c r="G17" s="1058">
        <f>IF($J$2="","",IF($J$2&gt;1,INDEX(CONSOLIDA!$EV$31:$FN$207,($J$2-2)*26+3,15),INDEX(CONSOLIDA!$EV$4:$FN$207,($J$2-1)*27+4,15)))</f>
        <v>0</v>
      </c>
      <c r="H17" s="1059"/>
      <c r="I17" s="528" t="str">
        <f>IF($J$2="","",IF($J$2&gt;1,INDEX(CONSOLIDA!$EV$31:$FN$207,($J$2-2)*26+3,18),INDEX(CONSOLIDA!$EV$4:$FN$207,($J$2-1)*27+4,18)))</f>
        <v/>
      </c>
      <c r="J17" s="528">
        <f>IF($J$2="","",IF($J$2&gt;1,INDEX(CONSOLIDA!$EV$31:$FN$207,($J$2-2)*26+3,8),INDEX(CONSOLIDA!$EV$4:$FN$207,($J$2-1)*27+4,8)))</f>
        <v>0</v>
      </c>
      <c r="K17" s="177">
        <f>IF($J$2="","",IF($J$2&gt;1,INDEX(CONSOLIDA!$EV$31:$FN$207,($J$2-2)*26+3,9),INDEX(CONSOLIDA!$EV$4:$FN$207,($J$2-1)*27+4,9)))</f>
        <v>0</v>
      </c>
      <c r="L17" s="528" t="str">
        <f>IF($J$2="","",IF($J$2&gt;1,INDEX(CONSOLIDA!$EV$31:$FN$207,($J$2-2)*26+3,19),INDEX(CONSOLIDA!$EV$4:$FN$207,($J$2-1)*27+4,19)))</f>
        <v/>
      </c>
      <c r="M17" s="528">
        <f>IF($J$2="","",IF($J$2&gt;1,INDEX(CONSOLIDA!$EV$31:$FN$207,($J$2-2)*26+3,12),INDEX(CONSOLIDA!$EV$4:$FN$207,($J$2-1)*27+4,12)))</f>
        <v>0</v>
      </c>
      <c r="N17" s="178">
        <f>IF($J$2="","",IF($J$2&gt;1,INDEX(CONSOLIDA!$EV$31:$FN$207,($J$2-2)*26+3,13),INDEX(CONSOLIDA!$EV$4:$FN$207,($J$2-1)*27+4,13)))</f>
        <v>0</v>
      </c>
      <c r="O17" s="29"/>
    </row>
    <row r="18" spans="1:15" ht="12.75" customHeight="1">
      <c r="A18" s="29"/>
      <c r="B18" s="525" t="str">
        <f>IF($J$2="","",IF($J$2&gt;1,INDEX(CONSOLIDA!$EV$31:$FN$207,($J$2-2)*26+4,1),INDEX(CONSOLIDA!$EV$4:$FN$207,($J$2-1)*27+5,1)))</f>
        <v/>
      </c>
      <c r="C18" s="526">
        <f>IF($J$2="","",IF($J$2&gt;1,(INDEX(CONSOLIDA!$EV$31:$FN$207,($J$2-2)*26+4,3)),(INDEX(CONSOLIDA!$EV$4:$FN$207,($J$2-1)*27+5,3))))</f>
        <v>0</v>
      </c>
      <c r="D18" s="527" t="str">
        <f>IF($J$2="","",IF($J$2&gt;1,PROPER(INDEX(CONSOLIDA!$EV$31:$FN$207,($J$2-2)*26+4,4)),PROPER(INDEX(CONSOLIDA!$EV$4:$FN$207,($J$2-1)*27+5,4))))</f>
        <v/>
      </c>
      <c r="E18" s="1060">
        <f>IF($J$2="","",IF($J$2&gt;1,INDEX(CONSOLIDA!$EV$31:$FN$207,($J$2-2)*26+4,14),INDEX(CONSOLIDA!$EV$4:$FN$207,($J$2-1)*27+5,14)))</f>
        <v>0</v>
      </c>
      <c r="F18" s="1061"/>
      <c r="G18" s="1058">
        <f>IF($J$2="","",IF($J$2&gt;1,INDEX(CONSOLIDA!$EV$31:$FN$207,($J$2-2)*26+4,15),INDEX(CONSOLIDA!$EV$4:$FN$207,($J$2-1)*27+5,15)))</f>
        <v>0</v>
      </c>
      <c r="H18" s="1059"/>
      <c r="I18" s="528" t="str">
        <f>IF($J$2="","",IF($J$2&gt;1,INDEX(CONSOLIDA!$EV$31:$FN$207,($J$2-2)*26+4,18),INDEX(CONSOLIDA!$EV$4:$FN$207,($J$2-1)*27+5,18)))</f>
        <v/>
      </c>
      <c r="J18" s="528">
        <f>IF($J$2="","",IF($J$2&gt;1,INDEX(CONSOLIDA!$EV$31:$FN$207,($J$2-2)*26+4,8),INDEX(CONSOLIDA!$EV$4:$FN$207,($J$2-1)*27+5,8)))</f>
        <v>0</v>
      </c>
      <c r="K18" s="177">
        <f>IF($J$2="","",IF($J$2&gt;1,INDEX(CONSOLIDA!$EV$31:$FN$207,($J$2-2)*26+4,9),INDEX(CONSOLIDA!$EV$4:$FN$207,($J$2-1)*27+5,9)))</f>
        <v>0</v>
      </c>
      <c r="L18" s="528" t="str">
        <f>IF($J$2="","",IF($J$2&gt;1,INDEX(CONSOLIDA!$EV$31:$FN$207,($J$2-2)*26+4,19),INDEX(CONSOLIDA!$EV$4:$FN$207,($J$2-1)*27+5,19)))</f>
        <v/>
      </c>
      <c r="M18" s="528">
        <f>IF($J$2="","",IF($J$2&gt;1,INDEX(CONSOLIDA!$EV$31:$FN$207,($J$2-2)*26+4,12),INDEX(CONSOLIDA!$EV$4:$FN$207,($J$2-1)*27+5,12)))</f>
        <v>0</v>
      </c>
      <c r="N18" s="178">
        <f>IF($J$2="","",IF($J$2&gt;1,INDEX(CONSOLIDA!$EV$31:$FN$207,($J$2-2)*26+4,13),INDEX(CONSOLIDA!$EV$4:$FN$207,($J$2-1)*27+5,13)))</f>
        <v>0</v>
      </c>
      <c r="O18" s="29"/>
    </row>
    <row r="19" spans="1:15" ht="12.75" customHeight="1">
      <c r="A19" s="29"/>
      <c r="B19" s="525" t="str">
        <f>IF($J$2="","",IF($J$2&gt;1,INDEX(CONSOLIDA!$EV$31:$FN$207,($J$2-2)*26+5,1),INDEX(CONSOLIDA!$EV$4:$FN$207,($J$2-1)*27+6,1)))</f>
        <v/>
      </c>
      <c r="C19" s="526">
        <f>IF($J$2="","",IF($J$2&gt;1,(INDEX(CONSOLIDA!$EV$31:$FN$207,($J$2-2)*26+5,3)),(INDEX(CONSOLIDA!$EV$4:$FN$207,($J$2-1)*27+6,3))))</f>
        <v>0</v>
      </c>
      <c r="D19" s="527" t="str">
        <f>IF($J$2="","",IF($J$2&gt;1,PROPER(INDEX(CONSOLIDA!$EV$31:$FN$207,($J$2-2)*26+5,4)),PROPER(INDEX(CONSOLIDA!$EV$4:$FN$207,($J$2-1)*27+6,4))))</f>
        <v/>
      </c>
      <c r="E19" s="1060">
        <f>IF($J$2="","",IF($J$2&gt;1,INDEX(CONSOLIDA!$EV$31:$FN$207,($J$2-2)*26+5,14),INDEX(CONSOLIDA!$EV$4:$FN$207,($J$2-1)*27+6,14)))</f>
        <v>0</v>
      </c>
      <c r="F19" s="1061"/>
      <c r="G19" s="1058">
        <f>IF($J$2="","",IF($J$2&gt;1,INDEX(CONSOLIDA!$EV$31:$FN$207,($J$2-2)*26+5,15),INDEX(CONSOLIDA!$EV$4:$FN$207,($J$2-1)*27+6,15)))</f>
        <v>0</v>
      </c>
      <c r="H19" s="1059"/>
      <c r="I19" s="528" t="str">
        <f>IF($J$2="","",IF($J$2&gt;1,INDEX(CONSOLIDA!$EV$31:$FN$207,($J$2-2)*26+5,18),INDEX(CONSOLIDA!$EV$4:$FN$207,($J$2-1)*27+6,18)))</f>
        <v/>
      </c>
      <c r="J19" s="528">
        <f>IF($J$2="","",IF($J$2&gt;1,INDEX(CONSOLIDA!$EV$31:$FN$207,($J$2-2)*26+5,8),INDEX(CONSOLIDA!$EV$4:$FN$207,($J$2-1)*27+6,8)))</f>
        <v>0</v>
      </c>
      <c r="K19" s="177">
        <f>IF($J$2="","",IF($J$2&gt;1,INDEX(CONSOLIDA!$EV$31:$FN$207,($J$2-2)*26+5,9),INDEX(CONSOLIDA!$EV$4:$FN$207,($J$2-1)*27+6,9)))</f>
        <v>0</v>
      </c>
      <c r="L19" s="528" t="str">
        <f>IF($J$2="","",IF($J$2&gt;1,INDEX(CONSOLIDA!$EV$31:$FN$207,($J$2-2)*26+5,19),INDEX(CONSOLIDA!$EV$4:$FN$207,($J$2-1)*27+6,19)))</f>
        <v/>
      </c>
      <c r="M19" s="528">
        <f>IF($J$2="","",IF($J$2&gt;1,INDEX(CONSOLIDA!$EV$31:$FN$207,($J$2-2)*26+5,12),INDEX(CONSOLIDA!$EV$4:$FN$207,($J$2-1)*27+6,12)))</f>
        <v>0</v>
      </c>
      <c r="N19" s="178">
        <f>IF($J$2="","",IF($J$2&gt;1,INDEX(CONSOLIDA!$EV$31:$FN$207,($J$2-2)*26+5,13),INDEX(CONSOLIDA!$EV$4:$FN$207,($J$2-1)*27+6,13)))</f>
        <v>0</v>
      </c>
      <c r="O19" s="29"/>
    </row>
    <row r="20" spans="1:15" ht="12.75" customHeight="1">
      <c r="A20" s="29"/>
      <c r="B20" s="525" t="str">
        <f>IF($J$2="","",IF($J$2&gt;1,INDEX(CONSOLIDA!$EV$31:$FN$207,($J$2-2)*26+6,1),INDEX(CONSOLIDA!$EV$4:$FN$207,($J$2-1)*27+7,1)))</f>
        <v/>
      </c>
      <c r="C20" s="526">
        <f>IF($J$2="","",IF($J$2&gt;1,(INDEX(CONSOLIDA!$EV$31:$FN$207,($J$2-2)*26+6,3)),(INDEX(CONSOLIDA!$EV$4:$FN$207,($J$2-1)*27+7,3))))</f>
        <v>0</v>
      </c>
      <c r="D20" s="527" t="str">
        <f>IF($J$2="","",IF($J$2&gt;1,PROPER(INDEX(CONSOLIDA!$EV$31:$FN$207,($J$2-2)*26+6,4)),PROPER(INDEX(CONSOLIDA!$EV$4:$FN$207,($J$2-1)*27+7,4))))</f>
        <v/>
      </c>
      <c r="E20" s="1060">
        <f>IF($J$2="","",IF($J$2&gt;1,INDEX(CONSOLIDA!$EV$31:$FN$207,($J$2-2)*26+6,14),INDEX(CONSOLIDA!$EV$4:$FN$207,($J$2-1)*27+7,14)))</f>
        <v>0</v>
      </c>
      <c r="F20" s="1061"/>
      <c r="G20" s="1058">
        <f>IF($J$2="","",IF($J$2&gt;1,INDEX(CONSOLIDA!$EV$31:$FN$207,($J$2-2)*26+6,15),INDEX(CONSOLIDA!$EV$4:$FN$207,($J$2-1)*27+7,15)))</f>
        <v>0</v>
      </c>
      <c r="H20" s="1059"/>
      <c r="I20" s="528" t="str">
        <f>IF($J$2="","",IF($J$2&gt;1,INDEX(CONSOLIDA!$EV$31:$FN$207,($J$2-2)*26+6,18),INDEX(CONSOLIDA!$EV$4:$FN$207,($J$2-1)*27+7,18)))</f>
        <v/>
      </c>
      <c r="J20" s="528">
        <f>IF($J$2="","",IF($J$2&gt;1,INDEX(CONSOLIDA!$EV$31:$FN$207,($J$2-2)*26+6,8),INDEX(CONSOLIDA!$EV$4:$FN$207,($J$2-1)*27+7,8)))</f>
        <v>0</v>
      </c>
      <c r="K20" s="177">
        <f>IF($J$2="","",IF($J$2&gt;1,INDEX(CONSOLIDA!$EV$31:$FN$207,($J$2-2)*26+6,9),INDEX(CONSOLIDA!$EV$4:$FN$207,($J$2-1)*27+7,9)))</f>
        <v>0</v>
      </c>
      <c r="L20" s="528" t="str">
        <f>IF($J$2="","",IF($J$2&gt;1,INDEX(CONSOLIDA!$EV$31:$FN$207,($J$2-2)*26+6,19),INDEX(CONSOLIDA!$EV$4:$FN$207,($J$2-1)*27+7,19)))</f>
        <v/>
      </c>
      <c r="M20" s="528">
        <f>IF($J$2="","",IF($J$2&gt;1,INDEX(CONSOLIDA!$EV$31:$FN$207,($J$2-2)*26+6,12),INDEX(CONSOLIDA!$EV$4:$FN$207,($J$2-1)*27+7,12)))</f>
        <v>0</v>
      </c>
      <c r="N20" s="178">
        <f>IF($J$2="","",IF($J$2&gt;1,INDEX(CONSOLIDA!$EV$31:$FN$207,($J$2-2)*26+6,13),INDEX(CONSOLIDA!$EV$4:$FN$207,($J$2-1)*27+7,13)))</f>
        <v>0</v>
      </c>
      <c r="O20" s="29"/>
    </row>
    <row r="21" spans="1:15" ht="12.75" customHeight="1">
      <c r="A21" s="29"/>
      <c r="B21" s="525" t="str">
        <f>IF($J$2="","",IF($J$2&gt;1,INDEX(CONSOLIDA!$EV$31:$FN$207,($J$2-2)*26+7,1),INDEX(CONSOLIDA!$EV$4:$FN$207,($J$2-1)*27+8,1)))</f>
        <v/>
      </c>
      <c r="C21" s="526">
        <f>IF($J$2="","",IF($J$2&gt;1,(INDEX(CONSOLIDA!$EV$31:$FN$207,($J$2-2)*26+7,3)),(INDEX(CONSOLIDA!$EV$4:$FN$207,($J$2-1)*27+8,3))))</f>
        <v>0</v>
      </c>
      <c r="D21" s="527" t="str">
        <f>IF($J$2="","",IF($J$2&gt;1,PROPER(INDEX(CONSOLIDA!$EV$31:$FN$207,($J$2-2)*26+7,4)),PROPER(INDEX(CONSOLIDA!$EV$4:$FN$207,($J$2-1)*27+8,4))))</f>
        <v/>
      </c>
      <c r="E21" s="1060">
        <f>IF($J$2="","",IF($J$2&gt;1,INDEX(CONSOLIDA!$EV$31:$FN$207,($J$2-2)*26+7,14),INDEX(CONSOLIDA!$EV$4:$FN$207,($J$2-1)*27+8,14)))</f>
        <v>0</v>
      </c>
      <c r="F21" s="1061"/>
      <c r="G21" s="1058">
        <f>IF($J$2="","",IF($J$2&gt;1,INDEX(CONSOLIDA!$EV$31:$FN$207,($J$2-2)*26+7,15),INDEX(CONSOLIDA!$EV$4:$FN$207,($J$2-1)*27+8,15)))</f>
        <v>0</v>
      </c>
      <c r="H21" s="1059"/>
      <c r="I21" s="528" t="str">
        <f>IF($J$2="","",IF($J$2&gt;1,INDEX(CONSOLIDA!$EV$31:$FN$207,($J$2-2)*26+7,18),INDEX(CONSOLIDA!$EV$4:$FN$207,($J$2-1)*27+8,18)))</f>
        <v/>
      </c>
      <c r="J21" s="528">
        <f>IF($J$2="","",IF($J$2&gt;1,INDEX(CONSOLIDA!$EV$31:$FN$207,($J$2-2)*26+7,8),INDEX(CONSOLIDA!$EV$4:$FN$207,($J$2-1)*27+8,8)))</f>
        <v>0</v>
      </c>
      <c r="K21" s="177">
        <f>IF($J$2="","",IF($J$2&gt;1,INDEX(CONSOLIDA!$EV$31:$FN$207,($J$2-2)*26+7,9),INDEX(CONSOLIDA!$EV$4:$FN$207,($J$2-1)*27+8,9)))</f>
        <v>0</v>
      </c>
      <c r="L21" s="528" t="str">
        <f>IF($J$2="","",IF($J$2&gt;1,INDEX(CONSOLIDA!$EV$31:$FN$207,($J$2-2)*26+7,19),INDEX(CONSOLIDA!$EV$4:$FN$207,($J$2-1)*27+8,19)))</f>
        <v/>
      </c>
      <c r="M21" s="528">
        <f>IF($J$2="","",IF($J$2&gt;1,INDEX(CONSOLIDA!$EV$31:$FN$207,($J$2-2)*26+7,12),INDEX(CONSOLIDA!$EV$4:$FN$207,($J$2-1)*27+8,12)))</f>
        <v>0</v>
      </c>
      <c r="N21" s="178">
        <f>IF($J$2="","",IF($J$2&gt;1,INDEX(CONSOLIDA!$EV$31:$FN$207,($J$2-2)*26+7,13),INDEX(CONSOLIDA!$EV$4:$FN$207,($J$2-1)*27+8,13)))</f>
        <v>0</v>
      </c>
      <c r="O21" s="29"/>
    </row>
    <row r="22" spans="1:15" ht="12.75" customHeight="1">
      <c r="A22" s="29"/>
      <c r="B22" s="525" t="str">
        <f>IF($J$2="","",IF($J$2&gt;1,INDEX(CONSOLIDA!$EV$31:$FN$207,($J$2-2)*26+8,1),INDEX(CONSOLIDA!$EV$4:$FN$207,($J$2-1)*27+9,1)))</f>
        <v/>
      </c>
      <c r="C22" s="526">
        <f>IF($J$2="","",IF($J$2&gt;1,(INDEX(CONSOLIDA!$EV$31:$FN$207,($J$2-2)*26+8,3)),(INDEX(CONSOLIDA!$EV$4:$FN$207,($J$2-1)*27+9,3))))</f>
        <v>0</v>
      </c>
      <c r="D22" s="527" t="str">
        <f>IF($J$2="","",IF($J$2&gt;1,PROPER(INDEX(CONSOLIDA!$EV$31:$FN$207,($J$2-2)*26+8,4)),PROPER(INDEX(CONSOLIDA!$EV$4:$FN$207,($J$2-1)*27+9,4))))</f>
        <v/>
      </c>
      <c r="E22" s="1060">
        <f>IF($J$2="","",IF($J$2&gt;1,INDEX(CONSOLIDA!$EV$31:$FN$207,($J$2-2)*26+8,14),INDEX(CONSOLIDA!$EV$4:$FN$207,($J$2-1)*27+9,14)))</f>
        <v>0</v>
      </c>
      <c r="F22" s="1061"/>
      <c r="G22" s="1058">
        <f>IF($J$2="","",IF($J$2&gt;1,INDEX(CONSOLIDA!$EV$31:$FN$207,($J$2-2)*26+8,15),INDEX(CONSOLIDA!$EV$4:$FN$207,($J$2-1)*27+9,15)))</f>
        <v>0</v>
      </c>
      <c r="H22" s="1059"/>
      <c r="I22" s="528" t="str">
        <f>IF($J$2="","",IF($J$2&gt;1,INDEX(CONSOLIDA!$EV$31:$FN$207,($J$2-2)*26+8,18),INDEX(CONSOLIDA!$EV$4:$FN$207,($J$2-1)*27+9,18)))</f>
        <v/>
      </c>
      <c r="J22" s="528">
        <f>IF($J$2="","",IF($J$2&gt;1,INDEX(CONSOLIDA!$EV$31:$FN$207,($J$2-2)*26+8,8),INDEX(CONSOLIDA!$EV$4:$FN$207,($J$2-1)*27+9,8)))</f>
        <v>0</v>
      </c>
      <c r="K22" s="177">
        <f>IF($J$2="","",IF($J$2&gt;1,INDEX(CONSOLIDA!$EV$31:$FN$207,($J$2-2)*26+8,9),INDEX(CONSOLIDA!$EV$4:$FN$207,($J$2-1)*27+9,9)))</f>
        <v>0</v>
      </c>
      <c r="L22" s="528" t="str">
        <f>IF($J$2="","",IF($J$2&gt;1,INDEX(CONSOLIDA!$EV$31:$FN$207,($J$2-2)*26+8,19),INDEX(CONSOLIDA!$EV$4:$FN$207,($J$2-1)*27+9,19)))</f>
        <v/>
      </c>
      <c r="M22" s="528">
        <f>IF($J$2="","",IF($J$2&gt;1,INDEX(CONSOLIDA!$EV$31:$FN$207,($J$2-2)*26+8,12),INDEX(CONSOLIDA!$EV$4:$FN$207,($J$2-1)*27+9,12)))</f>
        <v>0</v>
      </c>
      <c r="N22" s="178">
        <f>IF($J$2="","",IF($J$2&gt;1,INDEX(CONSOLIDA!$EV$31:$FN$207,($J$2-2)*26+8,13),INDEX(CONSOLIDA!$EV$4:$FN$207,($J$2-1)*27+9,13)))</f>
        <v>0</v>
      </c>
      <c r="O22" s="29"/>
    </row>
    <row r="23" spans="1:15" ht="12.75" customHeight="1">
      <c r="A23" s="29"/>
      <c r="B23" s="525" t="str">
        <f>IF($J$2="","",IF($J$2&gt;1,INDEX(CONSOLIDA!$EV$31:$FN$207,($J$2-2)*26+9,1),INDEX(CONSOLIDA!$EV$4:$FN$207,($J$2-1)*27+10,1)))</f>
        <v/>
      </c>
      <c r="C23" s="526">
        <f>IF($J$2="","",IF($J$2&gt;1,(INDEX(CONSOLIDA!$EV$31:$FN$207,($J$2-2)*26+9,3)),(INDEX(CONSOLIDA!$EV$4:$FN$207,($J$2-1)*27+10,3))))</f>
        <v>0</v>
      </c>
      <c r="D23" s="527" t="str">
        <f>IF($J$2="","",IF($J$2&gt;1,PROPER(INDEX(CONSOLIDA!$EV$31:$FN$207,($J$2-2)*26+9,4)),PROPER(INDEX(CONSOLIDA!$EV$4:$FN$207,($J$2-1)*27+10,4))))</f>
        <v/>
      </c>
      <c r="E23" s="1060">
        <f>IF($J$2="","",IF($J$2&gt;1,INDEX(CONSOLIDA!$EV$31:$FN$207,($J$2-2)*26+9,14),INDEX(CONSOLIDA!$EV$4:$FN$207,($J$2-1)*27+10,14)))</f>
        <v>0</v>
      </c>
      <c r="F23" s="1061"/>
      <c r="G23" s="1058">
        <f>IF($J$2="","",IF($J$2&gt;1,INDEX(CONSOLIDA!$EV$31:$FN$207,($J$2-2)*26+9,15),INDEX(CONSOLIDA!$EV$4:$FN$207,($J$2-1)*27+10,15)))</f>
        <v>0</v>
      </c>
      <c r="H23" s="1059"/>
      <c r="I23" s="528" t="str">
        <f>IF($J$2="","",IF($J$2&gt;1,INDEX(CONSOLIDA!$EV$31:$FN$207,($J$2-2)*26+9,18),INDEX(CONSOLIDA!$EV$4:$FN$207,($J$2-1)*27+10,18)))</f>
        <v/>
      </c>
      <c r="J23" s="528">
        <f>IF($J$2="","",IF($J$2&gt;1,INDEX(CONSOLIDA!$EV$31:$FN$207,($J$2-2)*26+9,8),INDEX(CONSOLIDA!$EV$4:$FN$207,($J$2-1)*27+10,8)))</f>
        <v>0</v>
      </c>
      <c r="K23" s="177">
        <f>IF($J$2="","",IF($J$2&gt;1,INDEX(CONSOLIDA!$EV$31:$FN$207,($J$2-2)*26+9,9),INDEX(CONSOLIDA!$EV$4:$FN$207,($J$2-1)*27+10,9)))</f>
        <v>0</v>
      </c>
      <c r="L23" s="528" t="str">
        <f>IF($J$2="","",IF($J$2&gt;1,INDEX(CONSOLIDA!$EV$31:$FN$207,($J$2-2)*26+9,19),INDEX(CONSOLIDA!$EV$4:$FN$207,($J$2-1)*27+10,19)))</f>
        <v/>
      </c>
      <c r="M23" s="528">
        <f>IF($J$2="","",IF($J$2&gt;1,INDEX(CONSOLIDA!$EV$31:$FN$207,($J$2-2)*26+9,12),INDEX(CONSOLIDA!$EV$4:$FN$207,($J$2-1)*27+10,12)))</f>
        <v>0</v>
      </c>
      <c r="N23" s="178">
        <f>IF($J$2="","",IF($J$2&gt;1,INDEX(CONSOLIDA!$EV$31:$FN$207,($J$2-2)*26+9,13),INDEX(CONSOLIDA!$EV$4:$FN$207,($J$2-1)*27+10,13)))</f>
        <v>0</v>
      </c>
      <c r="O23" s="29"/>
    </row>
    <row r="24" spans="1:15" ht="12.75" customHeight="1">
      <c r="A24" s="29"/>
      <c r="B24" s="525" t="str">
        <f>IF($J$2="","",IF($J$2&gt;1,INDEX(CONSOLIDA!$EV$31:$FN$207,($J$2-2)*26+10,1),INDEX(CONSOLIDA!$EV$4:$FN$207,($J$2-1)*27+11,1)))</f>
        <v/>
      </c>
      <c r="C24" s="526">
        <f>IF($J$2="","",IF($J$2&gt;1,(INDEX(CONSOLIDA!$EV$31:$FN$207,($J$2-2)*26+10,3)),(INDEX(CONSOLIDA!$EV$4:$FN$207,($J$2-1)*27+11,3))))</f>
        <v>0</v>
      </c>
      <c r="D24" s="527" t="str">
        <f>IF($J$2="","",IF($J$2&gt;1,PROPER(INDEX(CONSOLIDA!$EV$31:$FN$207,($J$2-2)*26+10,4)),PROPER(INDEX(CONSOLIDA!$EV$4:$FN$207,($J$2-1)*27+11,4))))</f>
        <v/>
      </c>
      <c r="E24" s="1060">
        <f>IF($J$2="","",IF($J$2&gt;1,INDEX(CONSOLIDA!$EV$31:$FN$207,($J$2-2)*26+10,14),INDEX(CONSOLIDA!$EV$4:$FN$207,($J$2-1)*27+11,14)))</f>
        <v>0</v>
      </c>
      <c r="F24" s="1061"/>
      <c r="G24" s="1058">
        <f>IF($J$2="","",IF($J$2&gt;1,INDEX(CONSOLIDA!$EV$31:$FN$207,($J$2-2)*26+10,15),INDEX(CONSOLIDA!$EV$4:$FN$207,($J$2-1)*27+11,15)))</f>
        <v>0</v>
      </c>
      <c r="H24" s="1059"/>
      <c r="I24" s="528" t="str">
        <f>IF($J$2="","",IF($J$2&gt;1,INDEX(CONSOLIDA!$EV$31:$FN$207,($J$2-2)*26+10,18),INDEX(CONSOLIDA!$EV$4:$FN$207,($J$2-1)*27+11,18)))</f>
        <v/>
      </c>
      <c r="J24" s="528">
        <f>IF($J$2="","",IF($J$2&gt;1,INDEX(CONSOLIDA!$EV$31:$FN$207,($J$2-2)*26+10,8),INDEX(CONSOLIDA!$EV$4:$FN$207,($J$2-1)*27+11,8)))</f>
        <v>0</v>
      </c>
      <c r="K24" s="177">
        <f>IF($J$2="","",IF($J$2&gt;1,INDEX(CONSOLIDA!$EV$31:$FN$207,($J$2-2)*26+10,9),INDEX(CONSOLIDA!$EV$4:$FN$207,($J$2-1)*27+11,9)))</f>
        <v>0</v>
      </c>
      <c r="L24" s="528" t="str">
        <f>IF($J$2="","",IF($J$2&gt;1,INDEX(CONSOLIDA!$EV$31:$FN$207,($J$2-2)*26+10,19),INDEX(CONSOLIDA!$EV$4:$FN$207,($J$2-1)*27+11,19)))</f>
        <v/>
      </c>
      <c r="M24" s="528">
        <f>IF($J$2="","",IF($J$2&gt;1,INDEX(CONSOLIDA!$EV$31:$FN$207,($J$2-2)*26+10,12),INDEX(CONSOLIDA!$EV$4:$FN$207,($J$2-1)*27+11,12)))</f>
        <v>0</v>
      </c>
      <c r="N24" s="178">
        <f>IF($J$2="","",IF($J$2&gt;1,INDEX(CONSOLIDA!$EV$31:$FN$207,($J$2-2)*26+10,13),INDEX(CONSOLIDA!$EV$4:$FN$207,($J$2-1)*27+11,13)))</f>
        <v>0</v>
      </c>
      <c r="O24" s="29"/>
    </row>
    <row r="25" spans="1:15" ht="12.75" customHeight="1">
      <c r="A25" s="29"/>
      <c r="B25" s="525" t="str">
        <f>IF($J$2="","",IF($J$2&gt;1,INDEX(CONSOLIDA!$EV$31:$FN$207,($J$2-2)*26+11,1),INDEX(CONSOLIDA!$EV$4:$FN$207,($J$2-1)*27+12,1)))</f>
        <v/>
      </c>
      <c r="C25" s="526">
        <f>IF($J$2="","",IF($J$2&gt;1,(INDEX(CONSOLIDA!$EV$31:$FN$207,($J$2-2)*26+11,3)),(INDEX(CONSOLIDA!$EV$4:$FN$207,($J$2-1)*27+12,3))))</f>
        <v>0</v>
      </c>
      <c r="D25" s="527" t="str">
        <f>IF($J$2="","",IF($J$2&gt;1,PROPER(INDEX(CONSOLIDA!$EV$31:$FN$207,($J$2-2)*26+11,4)),PROPER(INDEX(CONSOLIDA!$EV$4:$FN$207,($J$2-1)*27+12,4))))</f>
        <v/>
      </c>
      <c r="E25" s="1060">
        <f>IF($J$2="","",IF($J$2&gt;1,INDEX(CONSOLIDA!$EV$31:$FN$207,($J$2-2)*26+11,14),INDEX(CONSOLIDA!$EV$4:$FN$207,($J$2-1)*27+12,14)))</f>
        <v>0</v>
      </c>
      <c r="F25" s="1061"/>
      <c r="G25" s="1058">
        <f>IF($J$2="","",IF($J$2&gt;1,INDEX(CONSOLIDA!$EV$31:$FN$207,($J$2-2)*26+11,15),INDEX(CONSOLIDA!$EV$4:$FN$207,($J$2-1)*27+12,15)))</f>
        <v>0</v>
      </c>
      <c r="H25" s="1059"/>
      <c r="I25" s="528" t="str">
        <f>IF($J$2="","",IF($J$2&gt;1,INDEX(CONSOLIDA!$EV$31:$FN$207,($J$2-2)*26+11,18),INDEX(CONSOLIDA!$EV$4:$FN$207,($J$2-1)*27+12,18)))</f>
        <v/>
      </c>
      <c r="J25" s="528">
        <f>IF($J$2="","",IF($J$2&gt;1,INDEX(CONSOLIDA!$EV$31:$FN$207,($J$2-2)*26+11,8),INDEX(CONSOLIDA!$EV$4:$FN$207,($J$2-1)*27+12,8)))</f>
        <v>0</v>
      </c>
      <c r="K25" s="177">
        <f>IF($J$2="","",IF($J$2&gt;1,INDEX(CONSOLIDA!$EV$31:$FN$207,($J$2-2)*26+11,9),INDEX(CONSOLIDA!$EV$4:$FN$207,($J$2-1)*27+12,9)))</f>
        <v>0</v>
      </c>
      <c r="L25" s="528" t="str">
        <f>IF($J$2="","",IF($J$2&gt;1,INDEX(CONSOLIDA!$EV$31:$FN$207,($J$2-2)*26+11,19),INDEX(CONSOLIDA!$EV$4:$FN$207,($J$2-1)*27+12,19)))</f>
        <v/>
      </c>
      <c r="M25" s="528">
        <f>IF($J$2="","",IF($J$2&gt;1,INDEX(CONSOLIDA!$EV$31:$FN$207,($J$2-2)*26+11,12),INDEX(CONSOLIDA!$EV$4:$FN$207,($J$2-1)*27+12,12)))</f>
        <v>0</v>
      </c>
      <c r="N25" s="178">
        <f>IF($J$2="","",IF($J$2&gt;1,INDEX(CONSOLIDA!$EV$31:$FN$207,($J$2-2)*26+11,13),INDEX(CONSOLIDA!$EV$4:$FN$207,($J$2-1)*27+12,13)))</f>
        <v>0</v>
      </c>
      <c r="O25" s="29"/>
    </row>
    <row r="26" spans="1:15" ht="12.75" customHeight="1">
      <c r="A26" s="29"/>
      <c r="B26" s="525" t="str">
        <f>IF($J$2="","",IF($J$2&gt;1,INDEX(CONSOLIDA!$EV$31:$FN$207,($J$2-2)*26+12,1),INDEX(CONSOLIDA!$EV$4:$FN$207,($J$2-1)*27+13,1)))</f>
        <v/>
      </c>
      <c r="C26" s="526">
        <f>IF($J$2="","",IF($J$2&gt;1,(INDEX(CONSOLIDA!$EV$31:$FN$207,($J$2-2)*26+12,3)),(INDEX(CONSOLIDA!$EV$4:$FN$207,($J$2-1)*27+13,3))))</f>
        <v>0</v>
      </c>
      <c r="D26" s="527" t="str">
        <f>IF($J$2="","",IF($J$2&gt;1,PROPER(INDEX(CONSOLIDA!$EV$31:$FN$207,($J$2-2)*26+12,4)),PROPER(INDEX(CONSOLIDA!$EV$4:$FN$207,($J$2-1)*27+13,4))))</f>
        <v/>
      </c>
      <c r="E26" s="1060">
        <f>IF($J$2="","",IF($J$2&gt;1,INDEX(CONSOLIDA!$EV$31:$FN$207,($J$2-2)*26+12,14),INDEX(CONSOLIDA!$EV$4:$FN$207,($J$2-1)*27+13,14)))</f>
        <v>0</v>
      </c>
      <c r="F26" s="1061"/>
      <c r="G26" s="1058">
        <f>IF($J$2="","",IF($J$2&gt;1,INDEX(CONSOLIDA!$EV$31:$FN$207,($J$2-2)*26+12,15),INDEX(CONSOLIDA!$EV$4:$FN$207,($J$2-1)*27+13,15)))</f>
        <v>0</v>
      </c>
      <c r="H26" s="1059"/>
      <c r="I26" s="528" t="str">
        <f>IF($J$2="","",IF($J$2&gt;1,INDEX(CONSOLIDA!$EV$31:$FN$207,($J$2-2)*26+12,18),INDEX(CONSOLIDA!$EV$4:$FN$207,($J$2-1)*27+13,18)))</f>
        <v/>
      </c>
      <c r="J26" s="528">
        <f>IF($J$2="","",IF($J$2&gt;1,INDEX(CONSOLIDA!$EV$31:$FN$207,($J$2-2)*26+12,8),INDEX(CONSOLIDA!$EV$4:$FN$207,($J$2-1)*27+13,8)))</f>
        <v>0</v>
      </c>
      <c r="K26" s="177">
        <f>IF($J$2="","",IF($J$2&gt;1,INDEX(CONSOLIDA!$EV$31:$FN$207,($J$2-2)*26+12,9),INDEX(CONSOLIDA!$EV$4:$FN$207,($J$2-1)*27+13,9)))</f>
        <v>0</v>
      </c>
      <c r="L26" s="528" t="str">
        <f>IF($J$2="","",IF($J$2&gt;1,INDEX(CONSOLIDA!$EV$31:$FN$207,($J$2-2)*26+12,19),INDEX(CONSOLIDA!$EV$4:$FN$207,($J$2-1)*27+13,19)))</f>
        <v/>
      </c>
      <c r="M26" s="528">
        <f>IF($J$2="","",IF($J$2&gt;1,INDEX(CONSOLIDA!$EV$31:$FN$207,($J$2-2)*26+12,12),INDEX(CONSOLIDA!$EV$4:$FN$207,($J$2-1)*27+13,12)))</f>
        <v>0</v>
      </c>
      <c r="N26" s="178">
        <f>IF($J$2="","",IF($J$2&gt;1,INDEX(CONSOLIDA!$EV$31:$FN$207,($J$2-2)*26+12,13),INDEX(CONSOLIDA!$EV$4:$FN$207,($J$2-1)*27+13,13)))</f>
        <v>0</v>
      </c>
      <c r="O26" s="29"/>
    </row>
    <row r="27" spans="1:15" ht="12.75" customHeight="1">
      <c r="A27" s="29"/>
      <c r="B27" s="525" t="str">
        <f>IF($J$2="","",IF($J$2&gt;1,INDEX(CONSOLIDA!$EV$31:$FN$207,($J$2-2)*26+13,1),INDEX(CONSOLIDA!$EV$4:$FN$207,($J$2-1)*27+14,1)))</f>
        <v/>
      </c>
      <c r="C27" s="526">
        <f>IF($J$2="","",IF($J$2&gt;1,(INDEX(CONSOLIDA!$EV$31:$FN$207,($J$2-2)*26+13,3)),(INDEX(CONSOLIDA!$EV$4:$FN$207,($J$2-1)*27+14,3))))</f>
        <v>0</v>
      </c>
      <c r="D27" s="527" t="str">
        <f>IF($J$2="","",IF($J$2&gt;1,PROPER(INDEX(CONSOLIDA!$EV$31:$FN$207,($J$2-2)*26+13,4)),PROPER(INDEX(CONSOLIDA!$EV$4:$FN$207,($J$2-1)*27+14,4))))</f>
        <v/>
      </c>
      <c r="E27" s="1060">
        <f>IF($J$2="","",IF($J$2&gt;1,INDEX(CONSOLIDA!$EV$31:$FN$207,($J$2-2)*26+13,14),INDEX(CONSOLIDA!$EV$4:$FN$207,($J$2-1)*27+14,14)))</f>
        <v>0</v>
      </c>
      <c r="F27" s="1061"/>
      <c r="G27" s="1058">
        <f>IF($J$2="","",IF($J$2&gt;1,INDEX(CONSOLIDA!$EV$31:$FN$207,($J$2-2)*26+13,15),INDEX(CONSOLIDA!$EV$4:$FN$207,($J$2-1)*27+14,15)))</f>
        <v>0</v>
      </c>
      <c r="H27" s="1059"/>
      <c r="I27" s="528" t="str">
        <f>IF($J$2="","",IF($J$2&gt;1,INDEX(CONSOLIDA!$EV$31:$FN$207,($J$2-2)*26+13,18),INDEX(CONSOLIDA!$EV$4:$FN$207,($J$2-1)*27+14,18)))</f>
        <v/>
      </c>
      <c r="J27" s="528">
        <f>IF($J$2="","",IF($J$2&gt;1,INDEX(CONSOLIDA!$EV$31:$FN$207,($J$2-2)*26+13,8),INDEX(CONSOLIDA!$EV$4:$FN$207,($J$2-1)*27+14,8)))</f>
        <v>0</v>
      </c>
      <c r="K27" s="177">
        <f>IF($J$2="","",IF($J$2&gt;1,INDEX(CONSOLIDA!$EV$31:$FN$207,($J$2-2)*26+13,9),INDEX(CONSOLIDA!$EV$4:$FN$207,($J$2-1)*27+14,9)))</f>
        <v>0</v>
      </c>
      <c r="L27" s="528" t="str">
        <f>IF($J$2="","",IF($J$2&gt;1,INDEX(CONSOLIDA!$EV$31:$FN$207,($J$2-2)*26+13,19),INDEX(CONSOLIDA!$EV$4:$FN$207,($J$2-1)*27+14,19)))</f>
        <v/>
      </c>
      <c r="M27" s="528">
        <f>IF($J$2="","",IF($J$2&gt;1,INDEX(CONSOLIDA!$EV$31:$FN$207,($J$2-2)*26+13,12),INDEX(CONSOLIDA!$EV$4:$FN$207,($J$2-1)*27+14,12)))</f>
        <v>0</v>
      </c>
      <c r="N27" s="178">
        <f>IF($J$2="","",IF($J$2&gt;1,INDEX(CONSOLIDA!$EV$31:$FN$207,($J$2-2)*26+13,13),INDEX(CONSOLIDA!$EV$4:$FN$207,($J$2-1)*27+14,13)))</f>
        <v>0</v>
      </c>
      <c r="O27" s="29"/>
    </row>
    <row r="28" spans="1:15" ht="12.75" customHeight="1">
      <c r="A28" s="29"/>
      <c r="B28" s="525" t="str">
        <f>IF($J$2="","",IF($J$2&gt;1,INDEX(CONSOLIDA!$EV$31:$FN$207,($J$2-2)*26+14,1),INDEX(CONSOLIDA!$EV$4:$FN$207,($J$2-1)*27+15,1)))</f>
        <v/>
      </c>
      <c r="C28" s="526">
        <f>IF($J$2="","",IF($J$2&gt;1,(INDEX(CONSOLIDA!$EV$31:$FN$207,($J$2-2)*26+14,3)),(INDEX(CONSOLIDA!$EV$4:$FN$207,($J$2-1)*27+15,3))))</f>
        <v>0</v>
      </c>
      <c r="D28" s="527" t="str">
        <f>IF($J$2="","",IF($J$2&gt;1,PROPER(INDEX(CONSOLIDA!$EV$31:$FN$207,($J$2-2)*26+14,4)),PROPER(INDEX(CONSOLIDA!$EV$4:$FN$207,($J$2-1)*27+15,4))))</f>
        <v/>
      </c>
      <c r="E28" s="1060">
        <f>IF($J$2="","",IF($J$2&gt;1,INDEX(CONSOLIDA!$EV$31:$FN$207,($J$2-2)*26+14,14),INDEX(CONSOLIDA!$EV$4:$FN$207,($J$2-1)*27+15,14)))</f>
        <v>0</v>
      </c>
      <c r="F28" s="1061"/>
      <c r="G28" s="1058">
        <f>IF($J$2="","",IF($J$2&gt;1,INDEX(CONSOLIDA!$EV$31:$FN$207,($J$2-2)*26+14,15),INDEX(CONSOLIDA!$EV$4:$FN$207,($J$2-1)*27+15,15)))</f>
        <v>0</v>
      </c>
      <c r="H28" s="1059"/>
      <c r="I28" s="528" t="str">
        <f>IF($J$2="","",IF($J$2&gt;1,INDEX(CONSOLIDA!$EV$31:$FN$207,($J$2-2)*26+14,18),INDEX(CONSOLIDA!$EV$4:$FN$207,($J$2-1)*27+15,18)))</f>
        <v/>
      </c>
      <c r="J28" s="528">
        <f>IF($J$2="","",IF($J$2&gt;1,INDEX(CONSOLIDA!$EV$31:$FN$207,($J$2-2)*26+14,8),INDEX(CONSOLIDA!$EV$4:$FN$207,($J$2-1)*27+15,8)))</f>
        <v>0</v>
      </c>
      <c r="K28" s="177">
        <f>IF($J$2="","",IF($J$2&gt;1,INDEX(CONSOLIDA!$EV$31:$FN$207,($J$2-2)*26+14,9),INDEX(CONSOLIDA!$EV$4:$FN$207,($J$2-1)*27+15,9)))</f>
        <v>0</v>
      </c>
      <c r="L28" s="528" t="str">
        <f>IF($J$2="","",IF($J$2&gt;1,INDEX(CONSOLIDA!$EV$31:$FN$207,($J$2-2)*26+14,19),INDEX(CONSOLIDA!$EV$4:$FN$207,($J$2-1)*27+15,19)))</f>
        <v/>
      </c>
      <c r="M28" s="528">
        <f>IF($J$2="","",IF($J$2&gt;1,INDEX(CONSOLIDA!$EV$31:$FN$207,($J$2-2)*26+14,12),INDEX(CONSOLIDA!$EV$4:$FN$207,($J$2-1)*27+15,12)))</f>
        <v>0</v>
      </c>
      <c r="N28" s="178">
        <f>IF($J$2="","",IF($J$2&gt;1,INDEX(CONSOLIDA!$EV$31:$FN$207,($J$2-2)*26+14,13),INDEX(CONSOLIDA!$EV$4:$FN$207,($J$2-1)*27+15,13)))</f>
        <v>0</v>
      </c>
      <c r="O28" s="29"/>
    </row>
    <row r="29" spans="1:15" ht="12.75" customHeight="1">
      <c r="A29" s="29"/>
      <c r="B29" s="525" t="str">
        <f>IF($J$2="","",IF($J$2&gt;1,INDEX(CONSOLIDA!$EV$31:$FN$207,($J$2-2)*26+15,1),INDEX(CONSOLIDA!$EV$4:$FN$207,($J$2-1)*27+16,1)))</f>
        <v/>
      </c>
      <c r="C29" s="526">
        <f>IF($J$2="","",IF($J$2&gt;1,(INDEX(CONSOLIDA!$EV$31:$FN$207,($J$2-2)*26+15,3)),(INDEX(CONSOLIDA!$EV$4:$FN$207,($J$2-1)*27+16,3))))</f>
        <v>0</v>
      </c>
      <c r="D29" s="527" t="str">
        <f>IF($J$2="","",IF($J$2&gt;1,PROPER(INDEX(CONSOLIDA!$EV$31:$FN$207,($J$2-2)*26+15,4)),PROPER(INDEX(CONSOLIDA!$EV$4:$FN$207,($J$2-1)*27+16,4))))</f>
        <v/>
      </c>
      <c r="E29" s="1060">
        <f>IF($J$2="","",IF($J$2&gt;1,INDEX(CONSOLIDA!$EV$31:$FN$207,($J$2-2)*26+15,14),INDEX(CONSOLIDA!$EV$4:$FN$207,($J$2-1)*27+16,14)))</f>
        <v>0</v>
      </c>
      <c r="F29" s="1061"/>
      <c r="G29" s="1058">
        <f>IF($J$2="","",IF($J$2&gt;1,INDEX(CONSOLIDA!$EV$31:$FN$207,($J$2-2)*26+15,15),INDEX(CONSOLIDA!$EV$4:$FN$207,($J$2-1)*27+16,15)))</f>
        <v>0</v>
      </c>
      <c r="H29" s="1059"/>
      <c r="I29" s="528" t="str">
        <f>IF($J$2="","",IF($J$2&gt;1,INDEX(CONSOLIDA!$EV$31:$FN$207,($J$2-2)*26+15,18),INDEX(CONSOLIDA!$EV$4:$FN$207,($J$2-1)*27+16,18)))</f>
        <v/>
      </c>
      <c r="J29" s="528">
        <f>IF($J$2="","",IF($J$2&gt;1,INDEX(CONSOLIDA!$EV$31:$FN$207,($J$2-2)*26+15,8),INDEX(CONSOLIDA!$EV$4:$FN$207,($J$2-1)*27+16,8)))</f>
        <v>0</v>
      </c>
      <c r="K29" s="177">
        <f>IF($J$2="","",IF($J$2&gt;1,INDEX(CONSOLIDA!$EV$31:$FN$207,($J$2-2)*26+15,9),INDEX(CONSOLIDA!$EV$4:$FN$207,($J$2-1)*27+16,9)))</f>
        <v>0</v>
      </c>
      <c r="L29" s="528" t="str">
        <f>IF($J$2="","",IF($J$2&gt;1,INDEX(CONSOLIDA!$EV$31:$FN$207,($J$2-2)*26+15,19),INDEX(CONSOLIDA!$EV$4:$FN$207,($J$2-1)*27+16,19)))</f>
        <v/>
      </c>
      <c r="M29" s="528">
        <f>IF($J$2="","",IF($J$2&gt;1,INDEX(CONSOLIDA!$EV$31:$FN$207,($J$2-2)*26+15,12),INDEX(CONSOLIDA!$EV$4:$FN$207,($J$2-1)*27+16,12)))</f>
        <v>0</v>
      </c>
      <c r="N29" s="178">
        <f>IF($J$2="","",IF($J$2&gt;1,INDEX(CONSOLIDA!$EV$31:$FN$207,($J$2-2)*26+15,13),INDEX(CONSOLIDA!$EV$4:$FN$207,($J$2-1)*27+16,13)))</f>
        <v>0</v>
      </c>
      <c r="O29" s="29"/>
    </row>
    <row r="30" spans="1:15" ht="12.75" customHeight="1">
      <c r="A30" s="29"/>
      <c r="B30" s="525" t="str">
        <f>IF($J$2="","",IF($J$2&gt;1,INDEX(CONSOLIDA!$EV$31:$FN$207,($J$2-2)*26+16,1),INDEX(CONSOLIDA!$EV$4:$FN$207,($J$2-1)*27+17,1)))</f>
        <v/>
      </c>
      <c r="C30" s="526">
        <f>IF($J$2="","",IF($J$2&gt;1,(INDEX(CONSOLIDA!$EV$31:$FN$207,($J$2-2)*26+16,3)),(INDEX(CONSOLIDA!$EV$4:$FN$207,($J$2-1)*27+17,3))))</f>
        <v>0</v>
      </c>
      <c r="D30" s="527" t="str">
        <f>IF($J$2="","",IF($J$2&gt;1,PROPER(INDEX(CONSOLIDA!$EV$31:$FN$207,($J$2-2)*26+16,4)),PROPER(INDEX(CONSOLIDA!$EV$4:$FN$207,($J$2-1)*27+17,4))))</f>
        <v/>
      </c>
      <c r="E30" s="1060">
        <f>IF($J$2="","",IF($J$2&gt;1,INDEX(CONSOLIDA!$EV$31:$FN$207,($J$2-2)*26+16,14),INDEX(CONSOLIDA!$EV$4:$FN$207,($J$2-1)*27+17,14)))</f>
        <v>0</v>
      </c>
      <c r="F30" s="1061"/>
      <c r="G30" s="1058">
        <f>IF($J$2="","",IF($J$2&gt;1,INDEX(CONSOLIDA!$EV$31:$FN$207,($J$2-2)*26+16,15),INDEX(CONSOLIDA!$EV$4:$FN$207,($J$2-1)*27+17,15)))</f>
        <v>0</v>
      </c>
      <c r="H30" s="1059"/>
      <c r="I30" s="528" t="str">
        <f>IF($J$2="","",IF($J$2&gt;1,INDEX(CONSOLIDA!$EV$31:$FN$207,($J$2-2)*26+16,18),INDEX(CONSOLIDA!$EV$4:$FN$207,($J$2-1)*27+17,18)))</f>
        <v/>
      </c>
      <c r="J30" s="528">
        <f>IF($J$2="","",IF($J$2&gt;1,INDEX(CONSOLIDA!$EV$31:$FN$207,($J$2-2)*26+16,8),INDEX(CONSOLIDA!$EV$4:$FN$207,($J$2-1)*27+17,8)))</f>
        <v>0</v>
      </c>
      <c r="K30" s="177">
        <f>IF($J$2="","",IF($J$2&gt;1,INDEX(CONSOLIDA!$EV$31:$FN$207,($J$2-2)*26+16,9),INDEX(CONSOLIDA!$EV$4:$FN$207,($J$2-1)*27+17,9)))</f>
        <v>0</v>
      </c>
      <c r="L30" s="528" t="str">
        <f>IF($J$2="","",IF($J$2&gt;1,INDEX(CONSOLIDA!$EV$31:$FN$207,($J$2-2)*26+16,19),INDEX(CONSOLIDA!$EV$4:$FN$207,($J$2-1)*27+17,19)))</f>
        <v/>
      </c>
      <c r="M30" s="528">
        <f>IF($J$2="","",IF($J$2&gt;1,INDEX(CONSOLIDA!$EV$31:$FN$207,($J$2-2)*26+16,12),INDEX(CONSOLIDA!$EV$4:$FN$207,($J$2-1)*27+17,12)))</f>
        <v>0</v>
      </c>
      <c r="N30" s="178">
        <f>IF($J$2="","",IF($J$2&gt;1,INDEX(CONSOLIDA!$EV$31:$FN$207,($J$2-2)*26+16,13),INDEX(CONSOLIDA!$EV$4:$FN$207,($J$2-1)*27+17,13)))</f>
        <v>0</v>
      </c>
      <c r="O30" s="29"/>
    </row>
    <row r="31" spans="1:15" ht="12.75" customHeight="1">
      <c r="A31" s="29"/>
      <c r="B31" s="525" t="str">
        <f>IF($J$2="","",IF($J$2&gt;1,INDEX(CONSOLIDA!$EV$31:$FN$207,($J$2-2)*26+17,1),INDEX(CONSOLIDA!$EV$4:$FN$207,($J$2-1)*27+18,1)))</f>
        <v/>
      </c>
      <c r="C31" s="526">
        <f>IF($J$2="","",IF($J$2&gt;1,(INDEX(CONSOLIDA!$EV$31:$FN$207,($J$2-2)*26+17,3)),(INDEX(CONSOLIDA!$EV$4:$FN$207,($J$2-1)*27+18,3))))</f>
        <v>0</v>
      </c>
      <c r="D31" s="527" t="str">
        <f>IF($J$2="","",IF($J$2&gt;1,PROPER(INDEX(CONSOLIDA!$EV$31:$FN$207,($J$2-2)*26+17,4)),PROPER(INDEX(CONSOLIDA!$EV$4:$FN$207,($J$2-1)*27+18,4))))</f>
        <v/>
      </c>
      <c r="E31" s="1060">
        <f>IF($J$2="","",IF($J$2&gt;1,INDEX(CONSOLIDA!$EV$31:$FN$207,($J$2-2)*26+17,14),INDEX(CONSOLIDA!$EV$4:$FN$207,($J$2-1)*27+18,14)))</f>
        <v>0</v>
      </c>
      <c r="F31" s="1061"/>
      <c r="G31" s="1058">
        <f>IF($J$2="","",IF($J$2&gt;1,INDEX(CONSOLIDA!$EV$31:$FN$207,($J$2-2)*26+17,15),INDEX(CONSOLIDA!$EV$4:$FN$207,($J$2-1)*27+18,15)))</f>
        <v>0</v>
      </c>
      <c r="H31" s="1059"/>
      <c r="I31" s="528" t="str">
        <f>IF($J$2="","",IF($J$2&gt;1,INDEX(CONSOLIDA!$EV$31:$FN$207,($J$2-2)*26+17,18),INDEX(CONSOLIDA!$EV$4:$FN$207,($J$2-1)*27+18,18)))</f>
        <v/>
      </c>
      <c r="J31" s="528">
        <f>IF($J$2="","",IF($J$2&gt;1,INDEX(CONSOLIDA!$EV$31:$FN$207,($J$2-2)*26+17,8),INDEX(CONSOLIDA!$EV$4:$FN$207,($J$2-1)*27+18,8)))</f>
        <v>0</v>
      </c>
      <c r="K31" s="177">
        <f>IF($J$2="","",IF($J$2&gt;1,INDEX(CONSOLIDA!$EV$31:$FN$207,($J$2-2)*26+17,9),INDEX(CONSOLIDA!$EV$4:$FN$207,($J$2-1)*27+18,9)))</f>
        <v>0</v>
      </c>
      <c r="L31" s="528" t="str">
        <f>IF($J$2="","",IF($J$2&gt;1,INDEX(CONSOLIDA!$EV$31:$FN$207,($J$2-2)*26+17,19),INDEX(CONSOLIDA!$EV$4:$FN$207,($J$2-1)*27+18,19)))</f>
        <v/>
      </c>
      <c r="M31" s="528">
        <f>IF($J$2="","",IF($J$2&gt;1,INDEX(CONSOLIDA!$EV$31:$FN$207,($J$2-2)*26+17,12),INDEX(CONSOLIDA!$EV$4:$FN$207,($J$2-1)*27+18,12)))</f>
        <v>0</v>
      </c>
      <c r="N31" s="178">
        <f>IF($J$2="","",IF($J$2&gt;1,INDEX(CONSOLIDA!$EV$31:$FN$207,($J$2-2)*26+17,13),INDEX(CONSOLIDA!$EV$4:$FN$207,($J$2-1)*27+18,13)))</f>
        <v>0</v>
      </c>
      <c r="O31" s="29"/>
    </row>
    <row r="32" spans="1:15" ht="12.75" customHeight="1">
      <c r="A32" s="29"/>
      <c r="B32" s="525" t="str">
        <f>IF($J$2="","",IF($J$2&gt;1,INDEX(CONSOLIDA!$EV$31:$FN$207,($J$2-2)*26+18,1),INDEX(CONSOLIDA!$EV$4:$FN$207,($J$2-1)*27+19,1)))</f>
        <v/>
      </c>
      <c r="C32" s="526">
        <f>IF($J$2="","",IF($J$2&gt;1,(INDEX(CONSOLIDA!$EV$31:$FN$207,($J$2-2)*26+18,3)),(INDEX(CONSOLIDA!$EV$4:$FN$207,($J$2-1)*27+19,3))))</f>
        <v>0</v>
      </c>
      <c r="D32" s="527" t="str">
        <f>IF($J$2="","",IF($J$2&gt;1,PROPER(INDEX(CONSOLIDA!$EV$31:$FN$207,($J$2-2)*26+18,4)),PROPER(INDEX(CONSOLIDA!$EV$4:$FN$207,($J$2-1)*27+19,4))))</f>
        <v/>
      </c>
      <c r="E32" s="1060">
        <f>IF($J$2="","",IF($J$2&gt;1,INDEX(CONSOLIDA!$EV$31:$FN$207,($J$2-2)*26+18,14),INDEX(CONSOLIDA!$EV$4:$FN$207,($J$2-1)*27+19,14)))</f>
        <v>0</v>
      </c>
      <c r="F32" s="1061"/>
      <c r="G32" s="1058">
        <f>IF($J$2="","",IF($J$2&gt;1,INDEX(CONSOLIDA!$EV$31:$FN$207,($J$2-2)*26+18,15),INDEX(CONSOLIDA!$EV$4:$FN$207,($J$2-1)*27+19,15)))</f>
        <v>0</v>
      </c>
      <c r="H32" s="1059"/>
      <c r="I32" s="528" t="str">
        <f>IF($J$2="","",IF($J$2&gt;1,INDEX(CONSOLIDA!$EV$31:$FN$207,($J$2-2)*26+18,18),INDEX(CONSOLIDA!$EV$4:$FN$207,($J$2-1)*27+19,18)))</f>
        <v/>
      </c>
      <c r="J32" s="528">
        <f>IF($J$2="","",IF($J$2&gt;1,INDEX(CONSOLIDA!$EV$31:$FN$207,($J$2-2)*26+18,8),INDEX(CONSOLIDA!$EV$4:$FN$207,($J$2-1)*27+19,8)))</f>
        <v>0</v>
      </c>
      <c r="K32" s="177">
        <f>IF($J$2="","",IF($J$2&gt;1,INDEX(CONSOLIDA!$EV$31:$FN$207,($J$2-2)*26+18,9),INDEX(CONSOLIDA!$EV$4:$FN$207,($J$2-1)*27+19,9)))</f>
        <v>0</v>
      </c>
      <c r="L32" s="528" t="str">
        <f>IF($J$2="","",IF($J$2&gt;1,INDEX(CONSOLIDA!$EV$31:$FN$207,($J$2-2)*26+18,19),INDEX(CONSOLIDA!$EV$4:$FN$207,($J$2-1)*27+19,19)))</f>
        <v/>
      </c>
      <c r="M32" s="528">
        <f>IF($J$2="","",IF($J$2&gt;1,INDEX(CONSOLIDA!$EV$31:$FN$207,($J$2-2)*26+18,12),INDEX(CONSOLIDA!$EV$4:$FN$207,($J$2-1)*27+19,12)))</f>
        <v>0</v>
      </c>
      <c r="N32" s="178">
        <f>IF($J$2="","",IF($J$2&gt;1,INDEX(CONSOLIDA!$EV$31:$FN$207,($J$2-2)*26+18,13),INDEX(CONSOLIDA!$EV$4:$FN$207,($J$2-1)*27+19,13)))</f>
        <v>0</v>
      </c>
      <c r="O32" s="29"/>
    </row>
    <row r="33" spans="1:15" ht="12.75" customHeight="1">
      <c r="A33" s="29"/>
      <c r="B33" s="525" t="str">
        <f>IF($J$2="","",IF($J$2&gt;1,INDEX(CONSOLIDA!$EV$31:$FN$207,($J$2-2)*26+19,1),INDEX(CONSOLIDA!$EV$4:$FN$207,($J$2-1)*27+20,1)))</f>
        <v/>
      </c>
      <c r="C33" s="526">
        <f>IF($J$2="","",IF($J$2&gt;1,(INDEX(CONSOLIDA!$EV$31:$FN$207,($J$2-2)*26+19,3)),(INDEX(CONSOLIDA!$EV$4:$FN$207,($J$2-1)*27+20,3))))</f>
        <v>0</v>
      </c>
      <c r="D33" s="527" t="str">
        <f>IF($J$2="","",IF($J$2&gt;1,PROPER(INDEX(CONSOLIDA!$EV$31:$FN$207,($J$2-2)*26+19,4)),PROPER(INDEX(CONSOLIDA!$EV$4:$FN$207,($J$2-1)*27+20,4))))</f>
        <v/>
      </c>
      <c r="E33" s="1060">
        <f>IF($J$2="","",IF($J$2&gt;1,INDEX(CONSOLIDA!$EV$31:$FN$207,($J$2-2)*26+19,14),INDEX(CONSOLIDA!$EV$4:$FN$207,($J$2-1)*27+20,14)))</f>
        <v>0</v>
      </c>
      <c r="F33" s="1061"/>
      <c r="G33" s="1058">
        <f>IF($J$2="","",IF($J$2&gt;1,INDEX(CONSOLIDA!$EV$31:$FN$207,($J$2-2)*26+19,15),INDEX(CONSOLIDA!$EV$4:$FN$207,($J$2-1)*27+20,15)))</f>
        <v>0</v>
      </c>
      <c r="H33" s="1059"/>
      <c r="I33" s="528" t="str">
        <f>IF($J$2="","",IF($J$2&gt;1,INDEX(CONSOLIDA!$EV$31:$FN$207,($J$2-2)*26+19,18),INDEX(CONSOLIDA!$EV$4:$FN$207,($J$2-1)*27+20,18)))</f>
        <v/>
      </c>
      <c r="J33" s="528">
        <f>IF($J$2="","",IF($J$2&gt;1,INDEX(CONSOLIDA!$EV$31:$FN$207,($J$2-2)*26+19,8),INDEX(CONSOLIDA!$EV$4:$FN$207,($J$2-1)*27+20,8)))</f>
        <v>0</v>
      </c>
      <c r="K33" s="177">
        <f>IF($J$2="","",IF($J$2&gt;1,INDEX(CONSOLIDA!$EV$31:$FN$207,($J$2-2)*26+19,9),INDEX(CONSOLIDA!$EV$4:$FN$207,($J$2-1)*27+20,9)))</f>
        <v>0</v>
      </c>
      <c r="L33" s="528" t="str">
        <f>IF($J$2="","",IF($J$2&gt;1,INDEX(CONSOLIDA!$EV$31:$FN$207,($J$2-2)*26+19,19),INDEX(CONSOLIDA!$EV$4:$FN$207,($J$2-1)*27+20,19)))</f>
        <v/>
      </c>
      <c r="M33" s="528">
        <f>IF($J$2="","",IF($J$2&gt;1,INDEX(CONSOLIDA!$EV$31:$FN$207,($J$2-2)*26+19,12),INDEX(CONSOLIDA!$EV$4:$FN$207,($J$2-1)*27+20,12)))</f>
        <v>0</v>
      </c>
      <c r="N33" s="178">
        <f>IF($J$2="","",IF($J$2&gt;1,INDEX(CONSOLIDA!$EV$31:$FN$207,($J$2-2)*26+19,13),INDEX(CONSOLIDA!$EV$4:$FN$207,($J$2-1)*27+20,13)))</f>
        <v>0</v>
      </c>
      <c r="O33" s="29"/>
    </row>
    <row r="34" spans="1:15" ht="12.75" customHeight="1">
      <c r="A34" s="29"/>
      <c r="B34" s="525" t="str">
        <f>IF($J$2="","",IF($J$2&gt;1,INDEX(CONSOLIDA!$EV$31:$FN$207,($J$2-2)*26+20,1),INDEX(CONSOLIDA!$EV$4:$FN$207,($J$2-1)*27+21,1)))</f>
        <v/>
      </c>
      <c r="C34" s="526">
        <f>IF($J$2="","",IF($J$2&gt;1,(INDEX(CONSOLIDA!$EV$31:$FN$207,($J$2-2)*26+20,3)),(INDEX(CONSOLIDA!$EV$4:$FN$207,($J$2-1)*27+21,3))))</f>
        <v>0</v>
      </c>
      <c r="D34" s="527" t="str">
        <f>IF($J$2="","",IF($J$2&gt;1,PROPER(INDEX(CONSOLIDA!$EV$31:$FN$207,($J$2-2)*26+20,4)),PROPER(INDEX(CONSOLIDA!$EV$4:$FN$207,($J$2-1)*27+21,4))))</f>
        <v/>
      </c>
      <c r="E34" s="1060">
        <f>IF($J$2="","",IF($J$2&gt;1,INDEX(CONSOLIDA!$EV$31:$FN$207,($J$2-2)*26+20,14),INDEX(CONSOLIDA!$EV$4:$FN$207,($J$2-1)*27+21,14)))</f>
        <v>0</v>
      </c>
      <c r="F34" s="1061"/>
      <c r="G34" s="1058">
        <f>IF($J$2="","",IF($J$2&gt;1,INDEX(CONSOLIDA!$EV$31:$FN$207,($J$2-2)*26+20,15),INDEX(CONSOLIDA!$EV$4:$FN$207,($J$2-1)*27+21,15)))</f>
        <v>0</v>
      </c>
      <c r="H34" s="1059"/>
      <c r="I34" s="528" t="str">
        <f>IF($J$2="","",IF($J$2&gt;1,INDEX(CONSOLIDA!$EV$31:$FN$207,($J$2-2)*26+20,18),INDEX(CONSOLIDA!$EV$4:$FN$207,($J$2-1)*27+21,18)))</f>
        <v/>
      </c>
      <c r="J34" s="528">
        <f>IF($J$2="","",IF($J$2&gt;1,INDEX(CONSOLIDA!$EV$31:$FN$207,($J$2-2)*26+20,8),INDEX(CONSOLIDA!$EV$4:$FN$207,($J$2-1)*27+21,8)))</f>
        <v>0</v>
      </c>
      <c r="K34" s="177">
        <f>IF($J$2="","",IF($J$2&gt;1,INDEX(CONSOLIDA!$EV$31:$FN$207,($J$2-2)*26+20,9),INDEX(CONSOLIDA!$EV$4:$FN$207,($J$2-1)*27+21,9)))</f>
        <v>0</v>
      </c>
      <c r="L34" s="528" t="str">
        <f>IF($J$2="","",IF($J$2&gt;1,INDEX(CONSOLIDA!$EV$31:$FN$207,($J$2-2)*26+20,19),INDEX(CONSOLIDA!$EV$4:$FN$207,($J$2-1)*27+21,19)))</f>
        <v/>
      </c>
      <c r="M34" s="528">
        <f>IF($J$2="","",IF($J$2&gt;1,INDEX(CONSOLIDA!$EV$31:$FN$207,($J$2-2)*26+20,12),INDEX(CONSOLIDA!$EV$4:$FN$207,($J$2-1)*27+21,12)))</f>
        <v>0</v>
      </c>
      <c r="N34" s="178">
        <f>IF($J$2="","",IF($J$2&gt;1,INDEX(CONSOLIDA!$EV$31:$FN$207,($J$2-2)*26+20,13),INDEX(CONSOLIDA!$EV$4:$FN$207,($J$2-1)*27+21,13)))</f>
        <v>0</v>
      </c>
      <c r="O34" s="29"/>
    </row>
    <row r="35" spans="1:15" ht="12.75" customHeight="1">
      <c r="A35" s="29"/>
      <c r="B35" s="525" t="str">
        <f>IF($J$2="","",IF($J$2&gt;1,INDEX(CONSOLIDA!$EV$31:$FN$207,($J$2-2)*26+21,1),INDEX(CONSOLIDA!$EV$4:$FN$207,($J$2-1)*27+22,1)))</f>
        <v/>
      </c>
      <c r="C35" s="526">
        <f>IF($J$2="","",IF($J$2&gt;1,(INDEX(CONSOLIDA!$EV$31:$FN$207,($J$2-2)*26+21,3)),(INDEX(CONSOLIDA!$EV$4:$FN$207,($J$2-1)*27+22,3))))</f>
        <v>0</v>
      </c>
      <c r="D35" s="527" t="str">
        <f>IF($J$2="","",IF($J$2&gt;1,PROPER(INDEX(CONSOLIDA!$EV$31:$FN$207,($J$2-2)*26+21,4)),PROPER(INDEX(CONSOLIDA!$EV$4:$FN$207,($J$2-1)*27+22,4))))</f>
        <v/>
      </c>
      <c r="E35" s="1060">
        <f>IF($J$2="","",IF($J$2&gt;1,INDEX(CONSOLIDA!$EV$31:$FN$207,($J$2-2)*26+21,14),INDEX(CONSOLIDA!$EV$4:$FN$207,($J$2-1)*27+22,14)))</f>
        <v>0</v>
      </c>
      <c r="F35" s="1061"/>
      <c r="G35" s="1058">
        <f>IF($J$2="","",IF($J$2&gt;1,INDEX(CONSOLIDA!$EV$31:$FN$207,($J$2-2)*26+21,15),INDEX(CONSOLIDA!$EV$4:$FN$207,($J$2-1)*27+22,15)))</f>
        <v>0</v>
      </c>
      <c r="H35" s="1059"/>
      <c r="I35" s="528" t="str">
        <f>IF($J$2="","",IF($J$2&gt;1,INDEX(CONSOLIDA!$EV$31:$FN$207,($J$2-2)*26+21,18),INDEX(CONSOLIDA!$EV$4:$FN$207,($J$2-1)*27+22,18)))</f>
        <v/>
      </c>
      <c r="J35" s="528">
        <f>IF($J$2="","",IF($J$2&gt;1,INDEX(CONSOLIDA!$EV$31:$FN$207,($J$2-2)*26+21,8),INDEX(CONSOLIDA!$EV$4:$FN$207,($J$2-1)*27+22,8)))</f>
        <v>0</v>
      </c>
      <c r="K35" s="177">
        <f>IF($J$2="","",IF($J$2&gt;1,INDEX(CONSOLIDA!$EV$31:$FN$207,($J$2-2)*26+21,9),INDEX(CONSOLIDA!$EV$4:$FN$207,($J$2-1)*27+22,9)))</f>
        <v>0</v>
      </c>
      <c r="L35" s="528" t="str">
        <f>IF($J$2="","",IF($J$2&gt;1,INDEX(CONSOLIDA!$EV$31:$FN$207,($J$2-2)*26+21,19),INDEX(CONSOLIDA!$EV$4:$FN$207,($J$2-1)*27+22,19)))</f>
        <v/>
      </c>
      <c r="M35" s="528">
        <f>IF($J$2="","",IF($J$2&gt;1,INDEX(CONSOLIDA!$EV$31:$FN$207,($J$2-2)*26+21,12),INDEX(CONSOLIDA!$EV$4:$FN$207,($J$2-1)*27+22,12)))</f>
        <v>0</v>
      </c>
      <c r="N35" s="178">
        <f>IF($J$2="","",IF($J$2&gt;1,INDEX(CONSOLIDA!$EV$31:$FN$207,($J$2-2)*26+21,13),INDEX(CONSOLIDA!$EV$4:$FN$207,($J$2-1)*27+22,13)))</f>
        <v>0</v>
      </c>
      <c r="O35" s="29"/>
    </row>
    <row r="36" spans="1:15" ht="12.75" customHeight="1">
      <c r="A36" s="29"/>
      <c r="B36" s="525" t="str">
        <f>IF($J$2="","",IF($J$2&gt;1,INDEX(CONSOLIDA!$EV$31:$FN$207,($J$2-2)*26+22,1),INDEX(CONSOLIDA!$EV$4:$FN$207,($J$2-1)*27+23,1)))</f>
        <v/>
      </c>
      <c r="C36" s="526">
        <f>IF($J$2="","",IF($J$2&gt;1,(INDEX(CONSOLIDA!$EV$31:$FN$207,($J$2-2)*26+22,3)),(INDEX(CONSOLIDA!$EV$4:$FN$207,($J$2-1)*27+23,3))))</f>
        <v>0</v>
      </c>
      <c r="D36" s="527" t="str">
        <f>IF($J$2="","",IF($J$2&gt;1,PROPER(INDEX(CONSOLIDA!$EV$31:$FN$207,($J$2-2)*26+22,4)),PROPER(INDEX(CONSOLIDA!$EV$4:$FN$207,($J$2-1)*27+23,4))))</f>
        <v/>
      </c>
      <c r="E36" s="1060">
        <f>IF($J$2="","",IF($J$2&gt;1,INDEX(CONSOLIDA!$EV$31:$FN$207,($J$2-2)*26+22,14),INDEX(CONSOLIDA!$EV$4:$FN$207,($J$2-1)*27+23,14)))</f>
        <v>0</v>
      </c>
      <c r="F36" s="1061"/>
      <c r="G36" s="1058">
        <f>IF($J$2="","",IF($J$2&gt;1,INDEX(CONSOLIDA!$EV$31:$FN$207,($J$2-2)*26+22,15),INDEX(CONSOLIDA!$EV$4:$FN$207,($J$2-1)*27+23,15)))</f>
        <v>0</v>
      </c>
      <c r="H36" s="1059"/>
      <c r="I36" s="528" t="str">
        <f>IF($J$2="","",IF($J$2&gt;1,INDEX(CONSOLIDA!$EV$31:$FN$207,($J$2-2)*26+22,18),INDEX(CONSOLIDA!$EV$4:$FN$207,($J$2-1)*27+23,18)))</f>
        <v/>
      </c>
      <c r="J36" s="528">
        <f>IF($J$2="","",IF($J$2&gt;1,INDEX(CONSOLIDA!$EV$31:$FN$207,($J$2-2)*26+22,8),INDEX(CONSOLIDA!$EV$4:$FN$207,($J$2-1)*27+23,8)))</f>
        <v>0</v>
      </c>
      <c r="K36" s="177">
        <f>IF($J$2="","",IF($J$2&gt;1,INDEX(CONSOLIDA!$EV$31:$FN$207,($J$2-2)*26+22,9),INDEX(CONSOLIDA!$EV$4:$FN$207,($J$2-1)*27+23,9)))</f>
        <v>0</v>
      </c>
      <c r="L36" s="528" t="str">
        <f>IF($J$2="","",IF($J$2&gt;1,INDEX(CONSOLIDA!$EV$31:$FN$207,($J$2-2)*26+22,19),INDEX(CONSOLIDA!$EV$4:$FN$207,($J$2-1)*27+23,19)))</f>
        <v/>
      </c>
      <c r="M36" s="528">
        <f>IF($J$2="","",IF($J$2&gt;1,INDEX(CONSOLIDA!$EV$31:$FN$207,($J$2-2)*26+22,12),INDEX(CONSOLIDA!$EV$4:$FN$207,($J$2-1)*27+23,12)))</f>
        <v>0</v>
      </c>
      <c r="N36" s="178">
        <f>IF($J$2="","",IF($J$2&gt;1,INDEX(CONSOLIDA!$EV$31:$FN$207,($J$2-2)*26+22,13),INDEX(CONSOLIDA!$EV$4:$FN$207,($J$2-1)*27+23,13)))</f>
        <v>0</v>
      </c>
      <c r="O36" s="29"/>
    </row>
    <row r="37" spans="1:15" ht="12.75" customHeight="1">
      <c r="A37" s="29"/>
      <c r="B37" s="525" t="str">
        <f>IF($J$2="","",IF($J$2&gt;1,INDEX(CONSOLIDA!$EV$31:$FN$207,($J$2-2)*26+23,1),INDEX(CONSOLIDA!$EV$4:$FN$207,($J$2-1)*27+24,1)))</f>
        <v/>
      </c>
      <c r="C37" s="526">
        <f>IF($J$2="","",IF($J$2&gt;1,(INDEX(CONSOLIDA!$EV$31:$FN$207,($J$2-2)*26+23,3)),(INDEX(CONSOLIDA!$EV$4:$FN$207,($J$2-1)*27+24,3))))</f>
        <v>0</v>
      </c>
      <c r="D37" s="527" t="str">
        <f>IF($J$2="","",IF($J$2&gt;1,PROPER(INDEX(CONSOLIDA!$EV$31:$FN$207,($J$2-2)*26+23,4)),PROPER(INDEX(CONSOLIDA!$EV$4:$FN$207,($J$2-1)*27+24,4))))</f>
        <v/>
      </c>
      <c r="E37" s="1060">
        <f>IF($J$2="","",IF($J$2&gt;1,INDEX(CONSOLIDA!$EV$31:$FN$207,($J$2-2)*26+23,14),INDEX(CONSOLIDA!$EV$4:$FN$207,($J$2-1)*27+24,14)))</f>
        <v>0</v>
      </c>
      <c r="F37" s="1061"/>
      <c r="G37" s="1058">
        <f>IF($J$2="","",IF($J$2&gt;1,INDEX(CONSOLIDA!$EV$31:$FN$207,($J$2-2)*26+23,15),INDEX(CONSOLIDA!$EV$4:$FN$207,($J$2-1)*27+24,15)))</f>
        <v>0</v>
      </c>
      <c r="H37" s="1059"/>
      <c r="I37" s="528" t="str">
        <f>IF($J$2="","",IF($J$2&gt;1,INDEX(CONSOLIDA!$EV$31:$FN$207,($J$2-2)*26+23,18),INDEX(CONSOLIDA!$EV$4:$FN$207,($J$2-1)*27+24,18)))</f>
        <v/>
      </c>
      <c r="J37" s="528">
        <f>IF($J$2="","",IF($J$2&gt;1,INDEX(CONSOLIDA!$EV$31:$FN$207,($J$2-2)*26+23,8),INDEX(CONSOLIDA!$EV$4:$FN$207,($J$2-1)*27+24,8)))</f>
        <v>0</v>
      </c>
      <c r="K37" s="177">
        <f>IF($J$2="","",IF($J$2&gt;1,INDEX(CONSOLIDA!$EV$31:$FN$207,($J$2-2)*26+23,9),INDEX(CONSOLIDA!$EV$4:$FN$207,($J$2-1)*27+24,9)))</f>
        <v>0</v>
      </c>
      <c r="L37" s="528" t="str">
        <f>IF($J$2="","",IF($J$2&gt;1,INDEX(CONSOLIDA!$EV$31:$FN$207,($J$2-2)*26+23,19),INDEX(CONSOLIDA!$EV$4:$FN$207,($J$2-1)*27+24,19)))</f>
        <v/>
      </c>
      <c r="M37" s="528">
        <f>IF($J$2="","",IF($J$2&gt;1,INDEX(CONSOLIDA!$EV$31:$FN$207,($J$2-2)*26+23,12),INDEX(CONSOLIDA!$EV$4:$FN$207,($J$2-1)*27+24,12)))</f>
        <v>0</v>
      </c>
      <c r="N37" s="178">
        <f>IF($J$2="","",IF($J$2&gt;1,INDEX(CONSOLIDA!$EV$31:$FN$207,($J$2-2)*26+23,13),INDEX(CONSOLIDA!$EV$4:$FN$207,($J$2-1)*27+24,13)))</f>
        <v>0</v>
      </c>
      <c r="O37" s="29"/>
    </row>
    <row r="38" spans="1:15" ht="12.75" customHeight="1">
      <c r="A38" s="29"/>
      <c r="B38" s="525" t="str">
        <f>IF($J$2="","",IF($J$2&gt;1,INDEX(CONSOLIDA!$EV$31:$FN$207,($J$2-2)*26+24,1),INDEX(CONSOLIDA!$EV$4:$FN$207,($J$2-1)*27+25,1)))</f>
        <v/>
      </c>
      <c r="C38" s="526">
        <f>IF($J$2="","",IF($J$2&gt;1,(INDEX(CONSOLIDA!$EV$31:$FN$207,($J$2-2)*26+24,3)),(INDEX(CONSOLIDA!$EV$4:$FN$207,($J$2-1)*27+25,3))))</f>
        <v>0</v>
      </c>
      <c r="D38" s="527" t="str">
        <f>IF($J$2="","",IF($J$2&gt;1,PROPER(INDEX(CONSOLIDA!$EV$31:$FN$207,($J$2-2)*26+24,4)),PROPER(INDEX(CONSOLIDA!$EV$4:$FN$207,($J$2-1)*27+25,4))))</f>
        <v/>
      </c>
      <c r="E38" s="1060">
        <f>IF($J$2="","",IF($J$2&gt;1,INDEX(CONSOLIDA!$EV$31:$FN$207,($J$2-2)*26+24,14),INDEX(CONSOLIDA!$EV$4:$FN$207,($J$2-1)*27+25,14)))</f>
        <v>0</v>
      </c>
      <c r="F38" s="1061"/>
      <c r="G38" s="1058">
        <f>IF($J$2="","",IF($J$2&gt;1,INDEX(CONSOLIDA!$EV$31:$FN$207,($J$2-2)*26+24,15),INDEX(CONSOLIDA!$EV$4:$FN$207,($J$2-1)*27+25,15)))</f>
        <v>0</v>
      </c>
      <c r="H38" s="1059"/>
      <c r="I38" s="528" t="str">
        <f>IF($J$2="","",IF($J$2&gt;1,INDEX(CONSOLIDA!$EV$31:$FN$207,($J$2-2)*26+24,18),INDEX(CONSOLIDA!$EV$4:$FN$207,($J$2-1)*27+25,18)))</f>
        <v/>
      </c>
      <c r="J38" s="528">
        <f>IF($J$2="","",IF($J$2&gt;1,INDEX(CONSOLIDA!$EV$31:$FN$207,($J$2-2)*26+24,8),INDEX(CONSOLIDA!$EV$4:$FN$207,($J$2-1)*27+25,8)))</f>
        <v>0</v>
      </c>
      <c r="K38" s="177">
        <f>IF($J$2="","",IF($J$2&gt;1,INDEX(CONSOLIDA!$EV$31:$FN$207,($J$2-2)*26+24,9),INDEX(CONSOLIDA!$EV$4:$FN$207,($J$2-1)*27+25,9)))</f>
        <v>0</v>
      </c>
      <c r="L38" s="528" t="str">
        <f>IF($J$2="","",IF($J$2&gt;1,INDEX(CONSOLIDA!$EV$31:$FN$207,($J$2-2)*26+24,19),INDEX(CONSOLIDA!$EV$4:$FN$207,($J$2-1)*27+25,19)))</f>
        <v/>
      </c>
      <c r="M38" s="528">
        <f>IF($J$2="","",IF($J$2&gt;1,INDEX(CONSOLIDA!$EV$31:$FN$207,($J$2-2)*26+24,12),INDEX(CONSOLIDA!$EV$4:$FN$207,($J$2-1)*27+25,12)))</f>
        <v>0</v>
      </c>
      <c r="N38" s="178">
        <f>IF($J$2="","",IF($J$2&gt;1,INDEX(CONSOLIDA!$EV$31:$FN$207,($J$2-2)*26+24,13),INDEX(CONSOLIDA!$EV$4:$FN$207,($J$2-1)*27+25,13)))</f>
        <v>0</v>
      </c>
      <c r="O38" s="29"/>
    </row>
    <row r="39" spans="1:15" ht="12.75" customHeight="1">
      <c r="A39" s="29"/>
      <c r="B39" s="525" t="str">
        <f>IF($J$2="","",IF($J$2&gt;1,INDEX(CONSOLIDA!$EV$31:$FN$207,($J$2-2)*26+25,1),INDEX(CONSOLIDA!$EV$4:$FN$207,($J$2-1)*27+26,1)))</f>
        <v/>
      </c>
      <c r="C39" s="526">
        <f>IF($J$2="","",IF($J$2&gt;1,(INDEX(CONSOLIDA!$EV$31:$FN$207,($J$2-2)*26+25,3)),(INDEX(CONSOLIDA!$EV$4:$FN$207,($J$2-1)*27+26,3))))</f>
        <v>0</v>
      </c>
      <c r="D39" s="527" t="str">
        <f>IF($J$2="","",IF($J$2&gt;1,PROPER(INDEX(CONSOLIDA!$EV$31:$FN$207,($J$2-2)*26+25,4)),PROPER(INDEX(CONSOLIDA!$EV$4:$FN$207,($J$2-1)*27+26,4))))</f>
        <v/>
      </c>
      <c r="E39" s="1060">
        <f>IF($J$2="","",IF($J$2&gt;1,INDEX(CONSOLIDA!$EV$31:$FN$207,($J$2-2)*26+25,14),INDEX(CONSOLIDA!$EV$4:$FN$207,($J$2-1)*27+26,14)))</f>
        <v>0</v>
      </c>
      <c r="F39" s="1061"/>
      <c r="G39" s="1058">
        <f>IF($J$2="","",IF($J$2&gt;1,INDEX(CONSOLIDA!$EV$31:$FN$207,($J$2-2)*26+25,15),INDEX(CONSOLIDA!$EV$4:$FN$207,($J$2-1)*27+26,15)))</f>
        <v>0</v>
      </c>
      <c r="H39" s="1059"/>
      <c r="I39" s="528" t="str">
        <f>IF($J$2="","",IF($J$2&gt;1,INDEX(CONSOLIDA!$EV$31:$FN$207,($J$2-2)*26+25,18),INDEX(CONSOLIDA!$EV$4:$FN$207,($J$2-1)*27+26,18)))</f>
        <v/>
      </c>
      <c r="J39" s="528">
        <f>IF($J$2="","",IF($J$2&gt;1,INDEX(CONSOLIDA!$EV$31:$FN$207,($J$2-2)*26+25,8),INDEX(CONSOLIDA!$EV$4:$FN$207,($J$2-1)*27+26,8)))</f>
        <v>0</v>
      </c>
      <c r="K39" s="177">
        <f>IF($J$2="","",IF($J$2&gt;1,INDEX(CONSOLIDA!$EV$31:$FN$207,($J$2-2)*26+25,9),INDEX(CONSOLIDA!$EV$4:$FN$207,($J$2-1)*27+26,9)))</f>
        <v>0</v>
      </c>
      <c r="L39" s="528" t="str">
        <f>IF($J$2="","",IF($J$2&gt;1,INDEX(CONSOLIDA!$EV$31:$FN$207,($J$2-2)*26+25,19),INDEX(CONSOLIDA!$EV$4:$FN$207,($J$2-1)*27+26,19)))</f>
        <v/>
      </c>
      <c r="M39" s="528">
        <f>IF($J$2="","",IF($J$2&gt;1,INDEX(CONSOLIDA!$EV$31:$FN$207,($J$2-2)*26+25,12),INDEX(CONSOLIDA!$EV$4:$FN$207,($J$2-1)*27+26,12)))</f>
        <v>0</v>
      </c>
      <c r="N39" s="178">
        <f>IF($J$2="","",IF($J$2&gt;1,INDEX(CONSOLIDA!$EV$31:$FN$207,($J$2-2)*26+25,13),INDEX(CONSOLIDA!$EV$4:$FN$207,($J$2-1)*27+26,13)))</f>
        <v>0</v>
      </c>
      <c r="O39" s="29"/>
    </row>
    <row r="40" spans="1:15" ht="13.5" customHeight="1" thickBot="1">
      <c r="A40" s="29"/>
      <c r="B40" s="525" t="str">
        <f>IF($J$2="","",IF($J$2&gt;1,INDEX(CONSOLIDA!$EV$31:$FN$207,($J$2-2)*26+26,1),INDEX(CONSOLIDA!$EV$4:$FN$207,($J$2-1)*27+27,1)))</f>
        <v/>
      </c>
      <c r="C40" s="529">
        <f>IF($J$2="","",IF($J$2&gt;1,(INDEX(CONSOLIDA!$EV$31:$FN$207,($J$2-2)*26+26,3)),(INDEX(CONSOLIDA!$EV$4:$FN$207,($J$2-1)*27+27,3))))</f>
        <v>0</v>
      </c>
      <c r="D40" s="530" t="str">
        <f>IF($J$2="","",IF($J$2&gt;1,PROPER(INDEX(CONSOLIDA!$EV$31:$FN$207,($J$2-2)*26+26,4)),PROPER(INDEX(CONSOLIDA!$EV$4:$FN$207,($J$2-1)*27+27,4))))</f>
        <v/>
      </c>
      <c r="E40" s="1060">
        <f>IF($J$2="","",IF($J$2&gt;1,INDEX(CONSOLIDA!$EV$31:$FN$207,($J$2-2)*26+26,14),INDEX(CONSOLIDA!$EV$4:$FN$207,($J$2-1)*27+27,14)))</f>
        <v>0</v>
      </c>
      <c r="F40" s="1061"/>
      <c r="G40" s="1058">
        <f>IF($J$2="","",IF($J$2&gt;1,INDEX(CONSOLIDA!$EV$31:$FN$207,($J$2-2)*26+26,15),INDEX(CONSOLIDA!$EV$4:$FN$207,($J$2-1)*27+27,15)))</f>
        <v>0</v>
      </c>
      <c r="H40" s="1059"/>
      <c r="I40" s="528" t="str">
        <f>IF($J$2="","",IF($J$2&gt;1,INDEX(CONSOLIDA!$EV$31:$FN$207,($J$2-2)*26+26,18),INDEX(CONSOLIDA!$EV$4:$FN$207,($J$2-1)*27+27,18)))</f>
        <v/>
      </c>
      <c r="J40" s="528">
        <f>IF($J$2="","",IF($J$2&gt;1,INDEX(CONSOLIDA!$EV$31:$FN$207,($J$2-2)*26+26,8),INDEX(CONSOLIDA!$EV$4:$FN$207,($J$2-1)*27+27,8)))</f>
        <v>0</v>
      </c>
      <c r="K40" s="177">
        <f>IF($J$2="","",IF($J$2&gt;1,INDEX(CONSOLIDA!$EV$31:$FN$207,($J$2-2)*26+26,9),INDEX(CONSOLIDA!$EV$4:$FN$207,($J$2-1)*27+27,9)))</f>
        <v>0</v>
      </c>
      <c r="L40" s="528" t="str">
        <f>IF($J$2="","",IF($J$2&gt;1,INDEX(CONSOLIDA!$EV$31:$FN$207,($J$2-2)*26+26,19),INDEX(CONSOLIDA!$EV$4:$FN$207,($J$2-1)*27+27,19)))</f>
        <v/>
      </c>
      <c r="M40" s="528">
        <f>IF($J$2="","",IF($J$2&gt;1,INDEX(CONSOLIDA!$EV$31:$FN$207,($J$2-2)*26+26,12),INDEX(CONSOLIDA!$EV$4:$FN$207,($J$2-1)*27+27,12)))</f>
        <v>0</v>
      </c>
      <c r="N40" s="178">
        <f>IF($J$2="","",IF($J$2&gt;1,INDEX(CONSOLIDA!$EV$31:$FN$207,($J$2-2)*26+26,13),INDEX(CONSOLIDA!$EV$4:$FN$207,($J$2-1)*27+27,13)))</f>
        <v>0</v>
      </c>
      <c r="O40" s="29"/>
    </row>
    <row r="41" spans="1:15" ht="15.75" customHeight="1" thickBot="1">
      <c r="A41" s="29"/>
      <c r="B41" s="1077"/>
      <c r="C41" s="1078"/>
      <c r="D41" s="1078"/>
      <c r="E41" s="1078"/>
      <c r="F41" s="1079"/>
      <c r="G41" s="1066" t="s">
        <v>132</v>
      </c>
      <c r="H41" s="1067"/>
      <c r="I41" s="290">
        <f t="shared" ref="I41:N41" si="0">SUM(I14:I40)</f>
        <v>0</v>
      </c>
      <c r="J41" s="290">
        <f t="shared" si="0"/>
        <v>0</v>
      </c>
      <c r="K41" s="171">
        <f t="shared" si="0"/>
        <v>0</v>
      </c>
      <c r="L41" s="171">
        <f t="shared" si="0"/>
        <v>0</v>
      </c>
      <c r="M41" s="171">
        <f t="shared" si="0"/>
        <v>0</v>
      </c>
      <c r="N41" s="172">
        <f t="shared" si="0"/>
        <v>0</v>
      </c>
      <c r="O41" s="29"/>
    </row>
    <row r="42" spans="1:15" ht="3.75" customHeight="1" thickBot="1">
      <c r="A42" s="29"/>
      <c r="B42" s="933"/>
      <c r="C42" s="933"/>
      <c r="D42" s="933"/>
      <c r="E42" s="933"/>
      <c r="F42" s="933"/>
      <c r="G42" s="933"/>
      <c r="H42" s="933"/>
      <c r="I42" s="933"/>
      <c r="J42" s="933"/>
      <c r="K42" s="933"/>
      <c r="L42" s="933"/>
      <c r="M42" s="933"/>
      <c r="N42" s="933"/>
      <c r="O42" s="29"/>
    </row>
    <row r="43" spans="1:15" ht="15.75" customHeight="1" thickBot="1">
      <c r="A43" s="29"/>
      <c r="B43" s="1043" t="s">
        <v>133</v>
      </c>
      <c r="C43" s="1044"/>
      <c r="D43" s="1080"/>
      <c r="E43" s="1081" t="s">
        <v>134</v>
      </c>
      <c r="F43" s="1082"/>
      <c r="G43" s="1082"/>
      <c r="H43" s="1082"/>
      <c r="I43" s="1082"/>
      <c r="J43" s="1082"/>
      <c r="K43" s="1082"/>
      <c r="L43" s="1082"/>
      <c r="M43" s="1082"/>
      <c r="N43" s="1083"/>
      <c r="O43" s="29"/>
    </row>
    <row r="44" spans="1:15">
      <c r="A44" s="29"/>
      <c r="B44" s="1068" t="s">
        <v>135</v>
      </c>
      <c r="C44" s="1069"/>
      <c r="D44" s="1070"/>
      <c r="E44" s="173"/>
      <c r="F44" s="173"/>
      <c r="G44" s="173"/>
      <c r="H44" s="174"/>
      <c r="I44" s="173"/>
      <c r="J44" s="173"/>
      <c r="K44" s="173"/>
      <c r="L44" s="175"/>
      <c r="M44" s="173"/>
      <c r="N44" s="176"/>
      <c r="O44" s="29"/>
    </row>
    <row r="45" spans="1:15" ht="15.75" customHeight="1">
      <c r="A45" s="29"/>
      <c r="B45" s="1068"/>
      <c r="C45" s="1069"/>
      <c r="D45" s="1070"/>
      <c r="E45" s="1075" t="str">
        <f>IF('Modelo 6'!$D$36="","",'Modelo 6'!$D$36)</f>
        <v/>
      </c>
      <c r="F45" s="1076"/>
      <c r="G45" s="173"/>
      <c r="H45" s="174"/>
      <c r="I45" s="280" t="str">
        <f>IF('Modelo 6'!$G$36="","",'Modelo 6'!$G$36)</f>
        <v/>
      </c>
      <c r="J45" s="173"/>
      <c r="K45" s="174"/>
      <c r="L45" s="280" t="str">
        <f>IF('Modelo 6'!$L$36="","",'Modelo 6'!$L$36)</f>
        <v/>
      </c>
      <c r="M45" s="173"/>
      <c r="N45" s="176"/>
      <c r="O45" s="29"/>
    </row>
    <row r="46" spans="1:15">
      <c r="A46" s="29"/>
      <c r="B46" s="1068"/>
      <c r="C46" s="1069"/>
      <c r="D46" s="1070"/>
      <c r="E46" s="173"/>
      <c r="F46" s="173"/>
      <c r="G46" s="173"/>
      <c r="H46" s="174"/>
      <c r="I46" s="173"/>
      <c r="J46" s="173"/>
      <c r="K46" s="173"/>
      <c r="L46" s="175"/>
      <c r="M46" s="173"/>
      <c r="N46" s="176"/>
      <c r="O46" s="29"/>
    </row>
    <row r="47" spans="1:15" ht="15.75" customHeight="1">
      <c r="A47" s="29"/>
      <c r="B47" s="1068"/>
      <c r="C47" s="1069"/>
      <c r="D47" s="1070"/>
      <c r="E47" s="914" t="s">
        <v>60</v>
      </c>
      <c r="F47" s="915"/>
      <c r="G47" s="915"/>
      <c r="H47" s="925"/>
      <c r="I47" s="914" t="s">
        <v>136</v>
      </c>
      <c r="J47" s="915"/>
      <c r="K47" s="925"/>
      <c r="L47" s="914" t="s">
        <v>137</v>
      </c>
      <c r="M47" s="915"/>
      <c r="N47" s="916"/>
      <c r="O47" s="29"/>
    </row>
    <row r="48" spans="1:15" ht="12.75" customHeight="1" thickBot="1">
      <c r="A48" s="29"/>
      <c r="B48" s="1071"/>
      <c r="C48" s="1072"/>
      <c r="D48" s="1073"/>
      <c r="E48" s="1063" t="s">
        <v>138</v>
      </c>
      <c r="F48" s="1064"/>
      <c r="G48" s="1064"/>
      <c r="H48" s="1065"/>
      <c r="I48" s="1063" t="s">
        <v>58</v>
      </c>
      <c r="J48" s="1064"/>
      <c r="K48" s="1074"/>
      <c r="L48" s="1064" t="s">
        <v>61</v>
      </c>
      <c r="M48" s="1064"/>
      <c r="N48" s="1084"/>
      <c r="O48" s="29"/>
    </row>
    <row r="49" spans="1:1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1:15" hidden="1"/>
  </sheetData>
  <sheetProtection password="F326" sheet="1" objects="1" scenarios="1"/>
  <mergeCells count="87">
    <mergeCell ref="E34:F34"/>
    <mergeCell ref="E35:F35"/>
    <mergeCell ref="G29:H29"/>
    <mergeCell ref="G30:H30"/>
    <mergeCell ref="E29:F29"/>
    <mergeCell ref="E30:F30"/>
    <mergeCell ref="E31:F31"/>
    <mergeCell ref="B44:D48"/>
    <mergeCell ref="I48:K48"/>
    <mergeCell ref="E39:F39"/>
    <mergeCell ref="E40:F40"/>
    <mergeCell ref="G40:H40"/>
    <mergeCell ref="G39:H39"/>
    <mergeCell ref="E47:H47"/>
    <mergeCell ref="I47:K47"/>
    <mergeCell ref="E45:F45"/>
    <mergeCell ref="B41:F41"/>
    <mergeCell ref="B43:D43"/>
    <mergeCell ref="E43:N43"/>
    <mergeCell ref="L48:N48"/>
    <mergeCell ref="L47:N47"/>
    <mergeCell ref="E24:F24"/>
    <mergeCell ref="E17:F17"/>
    <mergeCell ref="E18:F18"/>
    <mergeCell ref="E19:F19"/>
    <mergeCell ref="E20:F20"/>
    <mergeCell ref="E21:F21"/>
    <mergeCell ref="E22:F22"/>
    <mergeCell ref="E23:F23"/>
    <mergeCell ref="E37:F37"/>
    <mergeCell ref="E48:H48"/>
    <mergeCell ref="G37:H37"/>
    <mergeCell ref="G38:H38"/>
    <mergeCell ref="G25:H25"/>
    <mergeCell ref="G36:H36"/>
    <mergeCell ref="E27:F27"/>
    <mergeCell ref="E28:F28"/>
    <mergeCell ref="B42:N42"/>
    <mergeCell ref="E38:F38"/>
    <mergeCell ref="G33:H33"/>
    <mergeCell ref="G34:H34"/>
    <mergeCell ref="G35:H35"/>
    <mergeCell ref="G41:H41"/>
    <mergeCell ref="E36:F36"/>
    <mergeCell ref="E33:F33"/>
    <mergeCell ref="E14:F14"/>
    <mergeCell ref="G14:H14"/>
    <mergeCell ref="E15:F15"/>
    <mergeCell ref="E16:F16"/>
    <mergeCell ref="G15:H15"/>
    <mergeCell ref="G16:H16"/>
    <mergeCell ref="G24:H24"/>
    <mergeCell ref="E25:F25"/>
    <mergeCell ref="E26:F26"/>
    <mergeCell ref="E32:F32"/>
    <mergeCell ref="G17:H17"/>
    <mergeCell ref="G18:H18"/>
    <mergeCell ref="G19:H19"/>
    <mergeCell ref="G26:H26"/>
    <mergeCell ref="G20:H20"/>
    <mergeCell ref="G31:H31"/>
    <mergeCell ref="G21:H21"/>
    <mergeCell ref="G22:H22"/>
    <mergeCell ref="G32:H32"/>
    <mergeCell ref="G27:H27"/>
    <mergeCell ref="G28:H28"/>
    <mergeCell ref="G23:H23"/>
    <mergeCell ref="G9:I9"/>
    <mergeCell ref="M9:N9"/>
    <mergeCell ref="C13:D13"/>
    <mergeCell ref="B9:F9"/>
    <mergeCell ref="B11:N11"/>
    <mergeCell ref="B12:B13"/>
    <mergeCell ref="C12:D12"/>
    <mergeCell ref="B10:N10"/>
    <mergeCell ref="L12:N12"/>
    <mergeCell ref="E12:F13"/>
    <mergeCell ref="I12:K12"/>
    <mergeCell ref="G12:H13"/>
    <mergeCell ref="M8:N8"/>
    <mergeCell ref="L4:N4"/>
    <mergeCell ref="K5:N5"/>
    <mergeCell ref="K6:N6"/>
    <mergeCell ref="B7:N7"/>
    <mergeCell ref="G8:I8"/>
    <mergeCell ref="B8:F8"/>
    <mergeCell ref="J8:L8"/>
  </mergeCells>
  <phoneticPr fontId="7" type="noConversion"/>
  <conditionalFormatting sqref="B14:N40">
    <cfRule type="expression" dxfId="33" priority="1">
      <formula>IF($D14="",TRUE)</formula>
    </cfRule>
  </conditionalFormatting>
  <dataValidations count="3">
    <dataValidation type="whole" allowBlank="1" showInputMessage="1" showErrorMessage="1" errorTitle="IMPRIMIR" error="NÚMERO MAIOR QUE O TOTAL DE PÁGINAS_x000a__x000a_PREVISTO!!!_x000a__x000a_ou _x000a__x000a_ZERO NÃO É PERMITIDO !!!" sqref="J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F2">
      <formula1>K2</formula1>
      <formula2>N2</formula2>
    </dataValidation>
    <dataValidation type="whole" allowBlank="1" showInputMessage="1" showErrorMessage="1" errorTitle="IMPRIMIR" error="NÚMERO MAIOR QUE O TOTAL DE PÁGINAS_x000a__x000a_PREVISTO!!!_x000a__x000a_ou _x000a__x000a_ZERO NÃO É PERMITIDO !!!" sqref="H2">
      <formula1>K2</formula1>
      <formula2>N2</formula2>
    </dataValidation>
  </dataValidations>
  <printOptions horizontalCentered="1" verticalCentered="1"/>
  <pageMargins left="0" right="0" top="0.23622047244094491" bottom="0" header="0.23622047244094491" footer="0"/>
  <pageSetup paperSize="9" scale="90" orientation="landscape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>
    <tabColor indexed="46"/>
    <pageSetUpPr fitToPage="1"/>
  </sheetPr>
  <dimension ref="A1:DD268"/>
  <sheetViews>
    <sheetView zoomScaleNormal="100" workbookViewId="0">
      <pane ySplit="1" topLeftCell="A15" activePane="bottomLeft" state="frozen"/>
      <selection pane="bottomLeft" activeCell="A2" sqref="A2"/>
    </sheetView>
  </sheetViews>
  <sheetFormatPr defaultColWidth="0" defaultRowHeight="12.75" zeroHeight="1"/>
  <cols>
    <col min="1" max="1" width="16.85546875" style="3" customWidth="1"/>
    <col min="2" max="2" width="4" style="75" bestFit="1" customWidth="1"/>
    <col min="3" max="57" width="1.7109375" style="75" customWidth="1"/>
    <col min="58" max="58" width="2" style="3" customWidth="1"/>
    <col min="59" max="59" width="9.140625" style="3" hidden="1" customWidth="1"/>
    <col min="60" max="60" width="15.7109375" style="3" hidden="1" customWidth="1"/>
    <col min="61" max="61" width="17.140625" style="3" hidden="1" customWidth="1"/>
    <col min="62" max="62" width="18.85546875" style="3" hidden="1" customWidth="1"/>
    <col min="63" max="73" width="9.140625" style="3" hidden="1" customWidth="1"/>
    <col min="74" max="74" width="5.5703125" style="3" hidden="1" customWidth="1"/>
    <col min="75" max="75" width="9.140625" style="3" hidden="1" customWidth="1"/>
    <col min="76" max="76" width="4.42578125" style="3" customWidth="1"/>
    <col min="77" max="16384" width="9.140625" style="3" hidden="1"/>
  </cols>
  <sheetData>
    <row r="1" spans="1:108" s="182" customFormat="1" ht="38.25" customHeight="1">
      <c r="A1" s="3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29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X1" s="29"/>
    </row>
    <row r="2" spans="1:108" s="182" customFormat="1" ht="15.75">
      <c r="A2" s="29"/>
      <c r="B2" s="1107" t="s">
        <v>91</v>
      </c>
      <c r="C2" s="1107"/>
      <c r="D2" s="1107"/>
      <c r="E2" s="1107"/>
      <c r="F2" s="1107"/>
      <c r="G2" s="1107"/>
      <c r="H2" s="1107"/>
      <c r="I2" s="1107"/>
      <c r="J2" s="1107"/>
      <c r="K2" s="1107"/>
      <c r="L2" s="1107"/>
      <c r="M2" s="1107"/>
      <c r="N2" s="1107"/>
      <c r="O2" s="1107"/>
      <c r="P2" s="1107"/>
      <c r="Q2" s="1107"/>
      <c r="R2" s="1107"/>
      <c r="S2" s="1107"/>
      <c r="T2" s="1107"/>
      <c r="U2" s="1107"/>
      <c r="V2" s="1107"/>
      <c r="W2" s="1107"/>
      <c r="X2" s="1107"/>
      <c r="Y2" s="1107"/>
      <c r="Z2" s="1107"/>
      <c r="AA2" s="1107"/>
      <c r="AB2" s="1107"/>
      <c r="AC2" s="1107"/>
      <c r="AD2" s="1107"/>
      <c r="AE2" s="1107"/>
      <c r="AF2" s="1107"/>
      <c r="AG2" s="1107"/>
      <c r="AH2" s="1107"/>
      <c r="AI2" s="1107"/>
      <c r="AJ2" s="1107"/>
      <c r="AK2" s="1107"/>
      <c r="AL2" s="1107"/>
      <c r="AM2" s="1107"/>
      <c r="AN2" s="1107"/>
      <c r="AO2" s="1107"/>
      <c r="AP2" s="1107"/>
      <c r="AQ2" s="1107"/>
      <c r="AR2" s="1107"/>
      <c r="AS2" s="1107"/>
      <c r="AT2" s="1107"/>
      <c r="AU2" s="1107"/>
      <c r="AV2" s="1107"/>
      <c r="AW2" s="1107"/>
      <c r="AX2" s="1107"/>
      <c r="AY2" s="1107"/>
      <c r="AZ2" s="1107"/>
      <c r="BA2" s="1107"/>
      <c r="BB2" s="1107"/>
      <c r="BC2" s="1107"/>
      <c r="BD2" s="1107"/>
      <c r="BE2" s="1107"/>
      <c r="BF2" s="1107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29"/>
      <c r="BX2" s="29"/>
    </row>
    <row r="3" spans="1:108" s="182" customFormat="1" ht="15.75">
      <c r="A3" s="29"/>
      <c r="B3" s="1107" t="s">
        <v>92</v>
      </c>
      <c r="C3" s="1107"/>
      <c r="D3" s="1107"/>
      <c r="E3" s="1107"/>
      <c r="F3" s="1107"/>
      <c r="G3" s="1107"/>
      <c r="H3" s="1107"/>
      <c r="I3" s="1107"/>
      <c r="J3" s="1107"/>
      <c r="K3" s="1107"/>
      <c r="L3" s="1107"/>
      <c r="M3" s="1107"/>
      <c r="N3" s="1107"/>
      <c r="O3" s="1107"/>
      <c r="P3" s="1107"/>
      <c r="Q3" s="1107"/>
      <c r="R3" s="1107"/>
      <c r="S3" s="1107"/>
      <c r="T3" s="1107"/>
      <c r="U3" s="1107"/>
      <c r="V3" s="1107"/>
      <c r="W3" s="1107"/>
      <c r="X3" s="1107"/>
      <c r="Y3" s="1107"/>
      <c r="Z3" s="1107"/>
      <c r="AA3" s="1107"/>
      <c r="AB3" s="1107"/>
      <c r="AC3" s="1107"/>
      <c r="AD3" s="1107"/>
      <c r="AE3" s="1107"/>
      <c r="AF3" s="1107"/>
      <c r="AG3" s="1107"/>
      <c r="AH3" s="1107"/>
      <c r="AI3" s="1107"/>
      <c r="AJ3" s="1107"/>
      <c r="AK3" s="1107"/>
      <c r="AL3" s="1107"/>
      <c r="AM3" s="1107"/>
      <c r="AN3" s="1107"/>
      <c r="AO3" s="1107"/>
      <c r="AP3" s="1107"/>
      <c r="AQ3" s="1107"/>
      <c r="AR3" s="1107"/>
      <c r="AS3" s="1107"/>
      <c r="AT3" s="1107"/>
      <c r="AU3" s="1107"/>
      <c r="AV3" s="1107"/>
      <c r="AW3" s="1107"/>
      <c r="AX3" s="1107"/>
      <c r="AY3" s="1107"/>
      <c r="AZ3" s="1107"/>
      <c r="BA3" s="1107"/>
      <c r="BB3" s="1107"/>
      <c r="BC3" s="1107"/>
      <c r="BD3" s="1107"/>
      <c r="BE3" s="1107"/>
      <c r="BF3" s="1107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29"/>
      <c r="BX3" s="29"/>
    </row>
    <row r="4" spans="1:108" s="182" customFormat="1" ht="15.75">
      <c r="A4" s="29"/>
      <c r="B4" s="1107" t="s">
        <v>93</v>
      </c>
      <c r="C4" s="1107"/>
      <c r="D4" s="1107"/>
      <c r="E4" s="1107"/>
      <c r="F4" s="1107"/>
      <c r="G4" s="1107"/>
      <c r="H4" s="1107"/>
      <c r="I4" s="1107"/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1107"/>
      <c r="BB4" s="1107"/>
      <c r="BC4" s="1107"/>
      <c r="BD4" s="1107"/>
      <c r="BE4" s="1107"/>
      <c r="BF4" s="1107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29"/>
      <c r="BX4" s="29"/>
    </row>
    <row r="5" spans="1:108" s="182" customFormat="1" ht="18">
      <c r="A5" s="29"/>
      <c r="B5" s="1108" t="str">
        <f>BASE!$D$5</f>
        <v>CAMPO LIMPO</v>
      </c>
      <c r="C5" s="1108"/>
      <c r="D5" s="1108"/>
      <c r="E5" s="1108"/>
      <c r="F5" s="1108"/>
      <c r="G5" s="1108"/>
      <c r="H5" s="1108"/>
      <c r="I5" s="1108"/>
      <c r="J5" s="1108"/>
      <c r="K5" s="1108"/>
      <c r="L5" s="1108"/>
      <c r="M5" s="1108"/>
      <c r="N5" s="1108"/>
      <c r="O5" s="1108"/>
      <c r="P5" s="1108"/>
      <c r="Q5" s="1108"/>
      <c r="R5" s="1108"/>
      <c r="S5" s="1108"/>
      <c r="T5" s="1108"/>
      <c r="U5" s="1108"/>
      <c r="V5" s="1108"/>
      <c r="W5" s="1108"/>
      <c r="X5" s="1108"/>
      <c r="Y5" s="1108"/>
      <c r="Z5" s="1108"/>
      <c r="AA5" s="1108"/>
      <c r="AB5" s="1108"/>
      <c r="AC5" s="1108"/>
      <c r="AD5" s="1108"/>
      <c r="AE5" s="1108"/>
      <c r="AF5" s="1108"/>
      <c r="AG5" s="1108"/>
      <c r="AH5" s="1108"/>
      <c r="AI5" s="1108"/>
      <c r="AJ5" s="1108"/>
      <c r="AK5" s="1108"/>
      <c r="AL5" s="1108"/>
      <c r="AM5" s="1108"/>
      <c r="AN5" s="1108"/>
      <c r="AO5" s="1108"/>
      <c r="AP5" s="1108"/>
      <c r="AQ5" s="1108"/>
      <c r="AR5" s="1108"/>
      <c r="AS5" s="1108"/>
      <c r="AT5" s="1108"/>
      <c r="AU5" s="1108"/>
      <c r="AV5" s="1108"/>
      <c r="AW5" s="1108"/>
      <c r="AX5" s="1108"/>
      <c r="AY5" s="1108"/>
      <c r="AZ5" s="1108"/>
      <c r="BA5" s="1108"/>
      <c r="BB5" s="1108"/>
      <c r="BC5" s="1108"/>
      <c r="BD5" s="1108"/>
      <c r="BE5" s="1108"/>
      <c r="BF5" s="1108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29"/>
      <c r="BX5" s="29"/>
    </row>
    <row r="6" spans="1:108" s="182" customFormat="1" ht="6" customHeight="1">
      <c r="A6" s="29"/>
      <c r="B6" s="1089"/>
      <c r="C6" s="1089"/>
      <c r="D6" s="1089"/>
      <c r="E6" s="1089"/>
      <c r="F6" s="1089"/>
      <c r="G6" s="1089"/>
      <c r="H6" s="1089"/>
      <c r="I6" s="1089"/>
      <c r="J6" s="1089"/>
      <c r="K6" s="1089"/>
      <c r="L6" s="1089"/>
      <c r="M6" s="1089"/>
      <c r="N6" s="1089"/>
      <c r="O6" s="1089"/>
      <c r="P6" s="1089"/>
      <c r="Q6" s="1089"/>
      <c r="R6" s="1089"/>
      <c r="S6" s="1089"/>
      <c r="T6" s="1089"/>
      <c r="U6" s="1089"/>
      <c r="V6" s="1089"/>
      <c r="W6" s="1089"/>
      <c r="X6" s="1089"/>
      <c r="Y6" s="1089"/>
      <c r="Z6" s="1089"/>
      <c r="AA6" s="1089"/>
      <c r="AB6" s="1089"/>
      <c r="AC6" s="1089"/>
      <c r="AD6" s="1089"/>
      <c r="AE6" s="1089"/>
      <c r="AF6" s="1089"/>
      <c r="AG6" s="1089"/>
      <c r="AH6" s="1089"/>
      <c r="AI6" s="1089"/>
      <c r="AJ6" s="1089"/>
      <c r="AK6" s="1089"/>
      <c r="AL6" s="1089"/>
      <c r="AM6" s="1089"/>
      <c r="AN6" s="1089"/>
      <c r="AO6" s="1089"/>
      <c r="AP6" s="1089"/>
      <c r="AQ6" s="1089"/>
      <c r="AR6" s="1089"/>
      <c r="AS6" s="1089"/>
      <c r="AT6" s="1089"/>
      <c r="AU6" s="1089"/>
      <c r="AV6" s="1089"/>
      <c r="AW6" s="1089"/>
      <c r="AX6" s="1089"/>
      <c r="AY6" s="1089"/>
      <c r="AZ6" s="1089"/>
      <c r="BA6" s="1089"/>
      <c r="BB6" s="1089"/>
      <c r="BC6" s="1089"/>
      <c r="BD6" s="1089"/>
      <c r="BE6" s="1089"/>
      <c r="BF6" s="1089"/>
      <c r="BG6" s="83">
        <v>1</v>
      </c>
      <c r="BH6" s="78" t="s">
        <v>572</v>
      </c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29"/>
      <c r="BX6" s="29"/>
    </row>
    <row r="7" spans="1:108" s="182" customFormat="1" ht="6" customHeight="1">
      <c r="A7" s="29"/>
      <c r="B7" s="1089"/>
      <c r="C7" s="1089"/>
      <c r="D7" s="1089"/>
      <c r="E7" s="1089"/>
      <c r="F7" s="1089"/>
      <c r="G7" s="1089"/>
      <c r="H7" s="1089"/>
      <c r="I7" s="1089"/>
      <c r="J7" s="1089"/>
      <c r="K7" s="1089"/>
      <c r="L7" s="1089"/>
      <c r="M7" s="1089"/>
      <c r="N7" s="1089"/>
      <c r="O7" s="1089"/>
      <c r="P7" s="1089"/>
      <c r="Q7" s="1089"/>
      <c r="R7" s="1089"/>
      <c r="S7" s="1089"/>
      <c r="T7" s="1089"/>
      <c r="U7" s="1089"/>
      <c r="V7" s="1089"/>
      <c r="W7" s="1089"/>
      <c r="X7" s="1089"/>
      <c r="Y7" s="1089"/>
      <c r="Z7" s="1089"/>
      <c r="AA7" s="1089"/>
      <c r="AB7" s="1089"/>
      <c r="AC7" s="1089"/>
      <c r="AD7" s="1089"/>
      <c r="AE7" s="1089"/>
      <c r="AF7" s="1089"/>
      <c r="AG7" s="1089"/>
      <c r="AH7" s="1089"/>
      <c r="AI7" s="1089"/>
      <c r="AJ7" s="1089"/>
      <c r="AK7" s="1089"/>
      <c r="AL7" s="1089"/>
      <c r="AM7" s="1089"/>
      <c r="AN7" s="1089"/>
      <c r="AO7" s="1089"/>
      <c r="AP7" s="1089"/>
      <c r="AQ7" s="1089"/>
      <c r="AR7" s="1089"/>
      <c r="AS7" s="1089"/>
      <c r="AT7" s="1089"/>
      <c r="AU7" s="1089"/>
      <c r="AV7" s="1089"/>
      <c r="AW7" s="1089"/>
      <c r="AX7" s="1089"/>
      <c r="AY7" s="1089"/>
      <c r="AZ7" s="1089"/>
      <c r="BA7" s="1089"/>
      <c r="BB7" s="1089"/>
      <c r="BC7" s="1089"/>
      <c r="BD7" s="1089"/>
      <c r="BE7" s="1089"/>
      <c r="BF7" s="1089"/>
      <c r="BG7" s="83">
        <v>2</v>
      </c>
      <c r="BH7" s="78" t="str">
        <f>BASE!$B$14</f>
        <v>1º Repasse de</v>
      </c>
      <c r="BI7" s="78">
        <f>BASE!$C$14</f>
        <v>2020</v>
      </c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29"/>
      <c r="BX7" s="29"/>
    </row>
    <row r="8" spans="1:108" s="182" customFormat="1" ht="1.5" customHeight="1">
      <c r="A8" s="29"/>
      <c r="B8" s="1089"/>
      <c r="C8" s="1089"/>
      <c r="D8" s="1089"/>
      <c r="E8" s="1089"/>
      <c r="F8" s="1089"/>
      <c r="G8" s="1089"/>
      <c r="H8" s="1089"/>
      <c r="I8" s="1089"/>
      <c r="J8" s="1089"/>
      <c r="K8" s="1089"/>
      <c r="L8" s="1089"/>
      <c r="M8" s="1089"/>
      <c r="N8" s="1089"/>
      <c r="O8" s="1089"/>
      <c r="P8" s="1089"/>
      <c r="Q8" s="1089"/>
      <c r="R8" s="1089"/>
      <c r="S8" s="1089"/>
      <c r="T8" s="1089"/>
      <c r="U8" s="1089"/>
      <c r="V8" s="1089"/>
      <c r="W8" s="1089"/>
      <c r="X8" s="1089"/>
      <c r="Y8" s="1089"/>
      <c r="Z8" s="1089"/>
      <c r="AA8" s="1089"/>
      <c r="AB8" s="1089"/>
      <c r="AC8" s="1089"/>
      <c r="AD8" s="1089"/>
      <c r="AE8" s="1089"/>
      <c r="AF8" s="1089"/>
      <c r="AG8" s="1089"/>
      <c r="AH8" s="1089"/>
      <c r="AI8" s="1089"/>
      <c r="AJ8" s="1089"/>
      <c r="AK8" s="1089"/>
      <c r="AL8" s="1089"/>
      <c r="AM8" s="1089"/>
      <c r="AN8" s="1089"/>
      <c r="AO8" s="1089"/>
      <c r="AP8" s="1089"/>
      <c r="AQ8" s="1089"/>
      <c r="AR8" s="1089"/>
      <c r="AS8" s="1089"/>
      <c r="AT8" s="1089"/>
      <c r="AU8" s="1089"/>
      <c r="AV8" s="1089"/>
      <c r="AW8" s="1089"/>
      <c r="AX8" s="1089"/>
      <c r="AY8" s="1089"/>
      <c r="AZ8" s="1089"/>
      <c r="BA8" s="1089"/>
      <c r="BB8" s="1089"/>
      <c r="BC8" s="1089"/>
      <c r="BD8" s="1089"/>
      <c r="BE8" s="1089"/>
      <c r="BF8" s="1089"/>
      <c r="BG8" s="83">
        <v>3</v>
      </c>
      <c r="BH8" s="78" t="s">
        <v>266</v>
      </c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29"/>
      <c r="BX8" s="29"/>
    </row>
    <row r="9" spans="1:108" s="182" customFormat="1">
      <c r="A9" s="29"/>
      <c r="B9" s="1089"/>
      <c r="C9" s="1089"/>
      <c r="D9" s="1089"/>
      <c r="E9" s="1089"/>
      <c r="F9" s="1089"/>
      <c r="G9" s="1089"/>
      <c r="H9" s="1089"/>
      <c r="I9" s="1089"/>
      <c r="J9" s="1089"/>
      <c r="K9" s="1089"/>
      <c r="L9" s="1089"/>
      <c r="M9" s="1089"/>
      <c r="N9" s="1089"/>
      <c r="O9" s="1089"/>
      <c r="P9" s="1089"/>
      <c r="Q9" s="1089"/>
      <c r="R9" s="1089"/>
      <c r="S9" s="1089"/>
      <c r="T9" s="1089"/>
      <c r="U9" s="1089"/>
      <c r="V9" s="1089"/>
      <c r="W9" s="1089"/>
      <c r="X9" s="1089"/>
      <c r="Y9" s="1089"/>
      <c r="Z9" s="1089"/>
      <c r="AA9" s="1089"/>
      <c r="AB9" s="1089"/>
      <c r="AC9" s="1089"/>
      <c r="AD9" s="1087" t="s">
        <v>94</v>
      </c>
      <c r="AE9" s="1087"/>
      <c r="AF9" s="1087"/>
      <c r="AG9" s="1087"/>
      <c r="AH9" s="1087"/>
      <c r="AI9" s="1087"/>
      <c r="AJ9" s="1110"/>
      <c r="AK9" s="1110"/>
      <c r="AL9" s="1089" t="s">
        <v>64</v>
      </c>
      <c r="AM9" s="1089"/>
      <c r="AN9" s="1112"/>
      <c r="AO9" s="1110"/>
      <c r="AP9" s="1110"/>
      <c r="AQ9" s="1110"/>
      <c r="AR9" s="1110"/>
      <c r="AS9" s="1110"/>
      <c r="AT9" s="1110"/>
      <c r="AU9" s="1110"/>
      <c r="AV9" s="1110"/>
      <c r="AW9" s="1110"/>
      <c r="AX9" s="1110"/>
      <c r="AY9" s="1111" t="s">
        <v>64</v>
      </c>
      <c r="AZ9" s="1111"/>
      <c r="BA9" s="1110"/>
      <c r="BB9" s="1110"/>
      <c r="BC9" s="1110"/>
      <c r="BD9" s="1110"/>
      <c r="BE9" s="76"/>
      <c r="BF9" s="3"/>
      <c r="BG9" s="83">
        <v>4</v>
      </c>
      <c r="BH9" s="79" t="str">
        <f>BASE!$D$11</f>
        <v>01/12/2019</v>
      </c>
      <c r="BI9" s="65" t="s">
        <v>97</v>
      </c>
      <c r="BJ9" s="77" t="str">
        <f>BASE!$F$11</f>
        <v>31/10/2020</v>
      </c>
      <c r="BK9" s="448" t="s">
        <v>335</v>
      </c>
      <c r="BL9" s="3"/>
      <c r="BM9" s="99" t="s">
        <v>300</v>
      </c>
      <c r="BN9" s="99" t="s">
        <v>308</v>
      </c>
      <c r="BO9" s="99" t="s">
        <v>309</v>
      </c>
      <c r="BP9" s="99" t="s">
        <v>301</v>
      </c>
      <c r="BQ9" s="3"/>
      <c r="BR9" s="3"/>
      <c r="BS9" s="3"/>
      <c r="BT9" s="3"/>
      <c r="BU9" s="3"/>
      <c r="BV9" s="29"/>
      <c r="BX9" s="29"/>
    </row>
    <row r="10" spans="1:108" s="182" customFormat="1">
      <c r="A10" s="29"/>
      <c r="B10" s="1089"/>
      <c r="C10" s="1089"/>
      <c r="D10" s="1089"/>
      <c r="E10" s="1089"/>
      <c r="F10" s="1089"/>
      <c r="G10" s="1089"/>
      <c r="H10" s="1089"/>
      <c r="I10" s="1089"/>
      <c r="J10" s="1089"/>
      <c r="K10" s="1089"/>
      <c r="L10" s="1089"/>
      <c r="M10" s="1089"/>
      <c r="N10" s="1089"/>
      <c r="O10" s="1089"/>
      <c r="P10" s="1089"/>
      <c r="Q10" s="1089"/>
      <c r="R10" s="1089"/>
      <c r="S10" s="1089"/>
      <c r="T10" s="1089"/>
      <c r="U10" s="1089"/>
      <c r="V10" s="1089"/>
      <c r="W10" s="1089"/>
      <c r="X10" s="1089"/>
      <c r="Y10" s="1089"/>
      <c r="Z10" s="1089"/>
      <c r="AA10" s="1089"/>
      <c r="AB10" s="1089"/>
      <c r="AC10" s="1089"/>
      <c r="AD10" s="1089"/>
      <c r="AE10" s="1089"/>
      <c r="AF10" s="1089"/>
      <c r="AG10" s="1089"/>
      <c r="AH10" s="1089"/>
      <c r="AI10" s="1089"/>
      <c r="AJ10" s="1089"/>
      <c r="AK10" s="1089"/>
      <c r="AL10" s="1089"/>
      <c r="AM10" s="1089"/>
      <c r="AN10" s="1089"/>
      <c r="AO10" s="1089"/>
      <c r="AP10" s="1089"/>
      <c r="AQ10" s="1089"/>
      <c r="AR10" s="1089"/>
      <c r="AS10" s="1089"/>
      <c r="AT10" s="1089"/>
      <c r="AU10" s="1089"/>
      <c r="AV10" s="1089"/>
      <c r="AW10" s="1089"/>
      <c r="AX10" s="1089"/>
      <c r="AY10" s="1089"/>
      <c r="AZ10" s="1089"/>
      <c r="BA10" s="1089"/>
      <c r="BB10" s="1089"/>
      <c r="BC10" s="1089"/>
      <c r="BD10" s="1089"/>
      <c r="BE10" s="1089"/>
      <c r="BF10" s="1089"/>
      <c r="BG10" s="83">
        <v>5</v>
      </c>
      <c r="BH10" s="78" t="s">
        <v>267</v>
      </c>
      <c r="BI10" s="3"/>
      <c r="BJ10" s="3"/>
      <c r="BK10" s="3"/>
      <c r="BL10" s="3"/>
      <c r="BM10" s="3" t="s">
        <v>298</v>
      </c>
      <c r="BN10" s="99" t="s">
        <v>303</v>
      </c>
      <c r="BO10" s="3"/>
      <c r="BP10" s="3"/>
      <c r="BQ10" s="99" t="s">
        <v>310</v>
      </c>
      <c r="BR10" s="3"/>
      <c r="BS10" s="3"/>
      <c r="BT10" s="3"/>
      <c r="BU10" s="3"/>
      <c r="BV10" s="29"/>
      <c r="BX10" s="29"/>
    </row>
    <row r="11" spans="1:108" s="182" customFormat="1" ht="14.25" customHeight="1">
      <c r="A11" s="29" t="str">
        <f>IF(A12="",BO9,"")</f>
        <v/>
      </c>
      <c r="B11" s="76"/>
      <c r="C11" s="1087" t="s">
        <v>95</v>
      </c>
      <c r="D11" s="1087"/>
      <c r="E11" s="1087"/>
      <c r="F11" s="1087"/>
      <c r="G11" s="1087"/>
      <c r="H11" s="1087"/>
      <c r="I11" s="1087"/>
      <c r="J11" s="1109"/>
      <c r="K11" s="1109"/>
      <c r="L11" s="1109"/>
      <c r="M11" s="1109"/>
      <c r="N11" s="1109"/>
      <c r="O11" s="1109"/>
      <c r="P11" s="1109"/>
      <c r="Q11" s="1109"/>
      <c r="R11" s="1109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83">
        <v>6</v>
      </c>
      <c r="BH11" s="78">
        <f>BASE!$D$9</f>
        <v>2020</v>
      </c>
      <c r="BI11" s="3" t="s">
        <v>107</v>
      </c>
      <c r="BJ11" s="3"/>
      <c r="BK11" s="3"/>
      <c r="BL11" s="3"/>
      <c r="BM11" s="3" t="s">
        <v>299</v>
      </c>
      <c r="BN11" s="99" t="s">
        <v>304</v>
      </c>
      <c r="BO11" s="3"/>
      <c r="BP11" s="3"/>
      <c r="BQ11" s="99" t="s">
        <v>311</v>
      </c>
      <c r="BR11" s="3"/>
      <c r="BS11" s="3"/>
      <c r="BT11" s="3"/>
      <c r="BU11" s="3"/>
      <c r="BV11" s="29"/>
      <c r="BX11" s="29"/>
    </row>
    <row r="12" spans="1:108" s="182" customFormat="1" ht="12.75" customHeight="1">
      <c r="A12" s="373" t="s">
        <v>298</v>
      </c>
      <c r="B12" s="76"/>
      <c r="C12" s="76"/>
      <c r="D12" s="1087"/>
      <c r="E12" s="1087"/>
      <c r="F12" s="1087"/>
      <c r="G12" s="1087"/>
      <c r="H12" s="1087"/>
      <c r="I12" s="1087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84">
        <v>7</v>
      </c>
      <c r="BH12" s="75" t="s">
        <v>279</v>
      </c>
      <c r="BI12" s="75"/>
      <c r="BJ12" s="75"/>
      <c r="BK12" s="75"/>
      <c r="BL12" s="75"/>
      <c r="BM12" s="75"/>
      <c r="BN12" s="370" t="s">
        <v>305</v>
      </c>
      <c r="BO12" s="75"/>
      <c r="BP12" s="75"/>
      <c r="BQ12" s="370" t="s">
        <v>312</v>
      </c>
      <c r="BR12" s="75"/>
      <c r="BS12" s="75"/>
      <c r="BT12" s="75"/>
      <c r="BU12" s="75"/>
      <c r="BV12" s="76"/>
      <c r="BW12" s="23"/>
      <c r="BX12" s="76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</row>
    <row r="13" spans="1:108" s="182" customFormat="1" ht="12.75" customHeight="1">
      <c r="A13" s="371" t="str">
        <f>IF(AND(A12="",A14=""),"",IF(A14="",BO9,""))</f>
        <v/>
      </c>
      <c r="B13" s="76"/>
      <c r="C13" s="1113" t="str">
        <f>BJ14</f>
        <v>Publicação - Única</v>
      </c>
      <c r="D13" s="1113"/>
      <c r="E13" s="1113"/>
      <c r="F13" s="1113"/>
      <c r="G13" s="1113"/>
      <c r="H13" s="1113"/>
      <c r="I13" s="1113"/>
      <c r="J13" s="1113"/>
      <c r="K13" s="1113"/>
      <c r="L13" s="1113"/>
      <c r="M13" s="1113"/>
      <c r="N13" s="283"/>
      <c r="O13" s="283"/>
      <c r="P13" s="1113" t="str">
        <f>IF(AND(A12="",C13=""),BQ10,IF(A12="",BQ10,IF(AND(A12=BM10,A14=""),BQ11,IF(AND(A12=BM11,A14=""),BQ12,""))))</f>
        <v/>
      </c>
      <c r="Q13" s="1113"/>
      <c r="R13" s="1113"/>
      <c r="S13" s="1113"/>
      <c r="T13" s="1113"/>
      <c r="U13" s="1113"/>
      <c r="V13" s="1113"/>
      <c r="W13" s="1113"/>
      <c r="X13" s="1113"/>
      <c r="Y13" s="1113"/>
      <c r="Z13" s="1113"/>
      <c r="AA13" s="1113"/>
      <c r="AB13" s="1113"/>
      <c r="AC13" s="1113"/>
      <c r="AD13" s="1113"/>
      <c r="AE13" s="1113"/>
      <c r="AF13" s="1113"/>
      <c r="AG13" s="1113"/>
      <c r="AH13" s="1113"/>
      <c r="AI13" s="1113"/>
      <c r="AJ13" s="1113"/>
      <c r="AK13" s="1113"/>
      <c r="AL13" s="1113"/>
      <c r="AM13" s="1113"/>
      <c r="AN13" s="1113"/>
      <c r="AO13" s="1113"/>
      <c r="AP13" s="1113"/>
      <c r="AQ13" s="1113"/>
      <c r="AR13" s="1113"/>
      <c r="AS13" s="1113"/>
      <c r="AT13" s="1113"/>
      <c r="AU13" s="1113"/>
      <c r="AV13" s="1113"/>
      <c r="AW13" s="1113"/>
      <c r="AX13" s="1113"/>
      <c r="AY13" s="1113"/>
      <c r="AZ13" s="1113"/>
      <c r="BA13" s="1113"/>
      <c r="BB13" s="1113"/>
      <c r="BC13" s="1113"/>
      <c r="BD13" s="1113"/>
      <c r="BE13" s="1113"/>
      <c r="BF13" s="76"/>
      <c r="BG13" s="84">
        <v>8</v>
      </c>
      <c r="BH13" s="82"/>
      <c r="BI13" s="82"/>
      <c r="BJ13" s="82"/>
      <c r="BK13" s="3"/>
      <c r="BL13" s="3"/>
      <c r="BM13" s="3"/>
      <c r="BN13" s="99" t="s">
        <v>306</v>
      </c>
      <c r="BO13" s="3"/>
      <c r="BP13" s="3"/>
      <c r="BQ13" s="99" t="s">
        <v>302</v>
      </c>
      <c r="BR13" s="3"/>
      <c r="BS13" s="3"/>
      <c r="BT13" s="3"/>
      <c r="BU13" s="3"/>
      <c r="BV13" s="29"/>
      <c r="BX13" s="29"/>
    </row>
    <row r="14" spans="1:108" s="182" customFormat="1">
      <c r="A14" s="374" t="s">
        <v>308</v>
      </c>
      <c r="B14" s="76"/>
      <c r="C14" s="76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1089"/>
      <c r="T14" s="1089"/>
      <c r="U14" s="1089"/>
      <c r="V14" s="1089"/>
      <c r="W14" s="1089"/>
      <c r="X14" s="1089"/>
      <c r="Y14" s="1089"/>
      <c r="Z14" s="1089"/>
      <c r="AA14" s="1089"/>
      <c r="AB14" s="1089"/>
      <c r="AC14" s="1089"/>
      <c r="AD14" s="1089"/>
      <c r="AE14" s="1089"/>
      <c r="AF14" s="1089"/>
      <c r="AG14" s="1089"/>
      <c r="AH14" s="1089"/>
      <c r="AI14" s="1089"/>
      <c r="AJ14" s="1089"/>
      <c r="AK14" s="1089"/>
      <c r="AL14" s="1089"/>
      <c r="AM14" s="1089"/>
      <c r="AN14" s="1089"/>
      <c r="AO14" s="1089"/>
      <c r="AP14" s="1089"/>
      <c r="AQ14" s="1089"/>
      <c r="AR14" s="1089"/>
      <c r="AS14" s="1089"/>
      <c r="AT14" s="1089"/>
      <c r="AU14" s="1089"/>
      <c r="AV14" s="1089"/>
      <c r="AW14" s="1089"/>
      <c r="AX14" s="1089"/>
      <c r="AY14" s="1089"/>
      <c r="AZ14" s="1089"/>
      <c r="BA14" s="1089"/>
      <c r="BB14" s="1089"/>
      <c r="BC14" s="1089"/>
      <c r="BD14" s="1089"/>
      <c r="BE14" s="1089"/>
      <c r="BF14" s="1089"/>
      <c r="BG14" s="84">
        <v>9</v>
      </c>
      <c r="BH14" s="3"/>
      <c r="BI14" s="3"/>
      <c r="BJ14" s="3" t="str">
        <f>IF(A14="","",IF(A14="Única",A12&amp;" - "&amp;A14,A14&amp;" - "&amp;A12))</f>
        <v>Publicação - Única</v>
      </c>
      <c r="BK14" s="3"/>
      <c r="BL14" s="3"/>
      <c r="BM14" s="3"/>
      <c r="BN14" s="99" t="s">
        <v>307</v>
      </c>
      <c r="BO14" s="3"/>
      <c r="BP14" s="3"/>
      <c r="BQ14" s="3"/>
      <c r="BR14" s="3"/>
      <c r="BS14" s="3"/>
      <c r="BT14" s="3"/>
      <c r="BU14" s="3"/>
      <c r="BV14" s="29"/>
      <c r="BX14" s="29"/>
    </row>
    <row r="15" spans="1:108" s="182" customFormat="1" ht="12" customHeight="1">
      <c r="A15" s="29"/>
      <c r="B15" s="76"/>
      <c r="C15" s="321" t="s">
        <v>287</v>
      </c>
      <c r="D15" s="321"/>
      <c r="E15" s="321"/>
      <c r="F15" s="321"/>
      <c r="G15" s="321"/>
      <c r="H15" s="321"/>
      <c r="I15" s="321"/>
      <c r="J15" s="321"/>
      <c r="K15" s="321"/>
      <c r="L15" s="321"/>
      <c r="M15" s="321"/>
      <c r="N15" s="321"/>
      <c r="O15" s="321"/>
      <c r="P15" s="321"/>
      <c r="Q15" s="321"/>
      <c r="R15" s="321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84">
        <v>10</v>
      </c>
      <c r="BH15" s="75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29"/>
      <c r="BX15" s="29"/>
    </row>
    <row r="16" spans="1:108" s="182" customFormat="1" ht="3" customHeight="1">
      <c r="A16" s="29"/>
      <c r="B16" s="1089"/>
      <c r="C16" s="1089"/>
      <c r="D16" s="1089"/>
      <c r="E16" s="1089"/>
      <c r="F16" s="1089"/>
      <c r="G16" s="1089"/>
      <c r="H16" s="1089"/>
      <c r="I16" s="1089"/>
      <c r="J16" s="1089"/>
      <c r="K16" s="1089"/>
      <c r="L16" s="1089"/>
      <c r="M16" s="1089"/>
      <c r="N16" s="1089"/>
      <c r="O16" s="1089"/>
      <c r="P16" s="1089"/>
      <c r="Q16" s="1089"/>
      <c r="R16" s="1089"/>
      <c r="S16" s="1089"/>
      <c r="T16" s="1089"/>
      <c r="U16" s="1089"/>
      <c r="V16" s="1089"/>
      <c r="W16" s="1089"/>
      <c r="X16" s="1089"/>
      <c r="Y16" s="1089"/>
      <c r="Z16" s="1089"/>
      <c r="AA16" s="1089"/>
      <c r="AB16" s="1089"/>
      <c r="AC16" s="1089"/>
      <c r="AD16" s="1089"/>
      <c r="AE16" s="1089"/>
      <c r="AF16" s="1089"/>
      <c r="AG16" s="1089"/>
      <c r="AH16" s="1089"/>
      <c r="AI16" s="1089"/>
      <c r="AJ16" s="1089"/>
      <c r="AK16" s="1089"/>
      <c r="AL16" s="1089"/>
      <c r="AM16" s="1089"/>
      <c r="AN16" s="1089"/>
      <c r="AO16" s="1089"/>
      <c r="AP16" s="1089"/>
      <c r="AQ16" s="1089"/>
      <c r="AR16" s="1089"/>
      <c r="AS16" s="1089"/>
      <c r="AT16" s="1089"/>
      <c r="AU16" s="1089"/>
      <c r="AV16" s="1089"/>
      <c r="AW16" s="1089"/>
      <c r="AX16" s="1089"/>
      <c r="AY16" s="1089"/>
      <c r="AZ16" s="1089"/>
      <c r="BA16" s="1089"/>
      <c r="BB16" s="1089"/>
      <c r="BC16" s="1089"/>
      <c r="BD16" s="1089"/>
      <c r="BE16" s="1089"/>
      <c r="BF16" s="1089"/>
      <c r="BG16" s="84">
        <v>11</v>
      </c>
      <c r="BH16" s="82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29"/>
      <c r="BX16" s="29"/>
    </row>
    <row r="17" spans="1:76" s="23" customFormat="1" ht="46.5" customHeight="1">
      <c r="A17" s="76" t="str">
        <f>IF($P$13="","","OK")</f>
        <v/>
      </c>
      <c r="B17" s="76"/>
      <c r="C17" s="1115" t="str">
        <f>BH6&amp;BH7&amp;" "&amp;BI7&amp;BH8&amp;BH9&amp;BI9&amp;BJ9&amp;BK9&amp;BH10</f>
        <v>Encaminhamos a Vossa Senhoria documentos referentes à prestação de contas do 1º Repasse de 2020, período de 01/12/2019 a 31/10/2020 para as APM's / APMSUAC's do Programa de Transferência de Recursos Financeiros - PTRF.</v>
      </c>
      <c r="D17" s="1115"/>
      <c r="E17" s="1115"/>
      <c r="F17" s="1115"/>
      <c r="G17" s="1115"/>
      <c r="H17" s="1115"/>
      <c r="I17" s="1115"/>
      <c r="J17" s="1115"/>
      <c r="K17" s="1115"/>
      <c r="L17" s="1115"/>
      <c r="M17" s="1115"/>
      <c r="N17" s="1115"/>
      <c r="O17" s="1115"/>
      <c r="P17" s="1115"/>
      <c r="Q17" s="1115"/>
      <c r="R17" s="1115"/>
      <c r="S17" s="1115"/>
      <c r="T17" s="1115"/>
      <c r="U17" s="1115"/>
      <c r="V17" s="1115"/>
      <c r="W17" s="1115"/>
      <c r="X17" s="1115"/>
      <c r="Y17" s="1115"/>
      <c r="Z17" s="1115"/>
      <c r="AA17" s="1115"/>
      <c r="AB17" s="1115"/>
      <c r="AC17" s="1115"/>
      <c r="AD17" s="1115"/>
      <c r="AE17" s="1115"/>
      <c r="AF17" s="1115"/>
      <c r="AG17" s="1115"/>
      <c r="AH17" s="1115"/>
      <c r="AI17" s="1115"/>
      <c r="AJ17" s="1115"/>
      <c r="AK17" s="1115"/>
      <c r="AL17" s="1115"/>
      <c r="AM17" s="1115"/>
      <c r="AN17" s="1115"/>
      <c r="AO17" s="1115"/>
      <c r="AP17" s="1115"/>
      <c r="AQ17" s="1115"/>
      <c r="AR17" s="1115"/>
      <c r="AS17" s="1115"/>
      <c r="AT17" s="1115"/>
      <c r="AU17" s="1115"/>
      <c r="AV17" s="1115"/>
      <c r="AW17" s="1115"/>
      <c r="AX17" s="1115"/>
      <c r="AY17" s="1115"/>
      <c r="AZ17" s="1115"/>
      <c r="BA17" s="1115"/>
      <c r="BB17" s="1115"/>
      <c r="BC17" s="1115"/>
      <c r="BD17" s="1115"/>
      <c r="BE17" s="1115"/>
      <c r="BF17" s="1115"/>
      <c r="BG17" s="84">
        <v>12</v>
      </c>
      <c r="BH17" s="80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453"/>
      <c r="BX17" s="76"/>
    </row>
    <row r="18" spans="1:76" s="23" customFormat="1" ht="15" customHeight="1">
      <c r="A18" s="76" t="str">
        <f>IF($P$13="","","OK")</f>
        <v/>
      </c>
      <c r="B18" s="76"/>
      <c r="C18" s="249" t="s">
        <v>176</v>
      </c>
      <c r="D18" s="1087" t="str">
        <f>BH12</f>
        <v>No quadro abaixo encontra-se a sintese dos valores do período:</v>
      </c>
      <c r="E18" s="1087"/>
      <c r="F18" s="1087"/>
      <c r="G18" s="1087"/>
      <c r="H18" s="1087"/>
      <c r="I18" s="1087"/>
      <c r="J18" s="1087"/>
      <c r="K18" s="1087"/>
      <c r="L18" s="1087"/>
      <c r="M18" s="1087"/>
      <c r="N18" s="1087"/>
      <c r="O18" s="1087"/>
      <c r="P18" s="1087"/>
      <c r="Q18" s="1087"/>
      <c r="R18" s="1087"/>
      <c r="S18" s="1087"/>
      <c r="T18" s="1087"/>
      <c r="U18" s="1087"/>
      <c r="V18" s="1087"/>
      <c r="W18" s="1087"/>
      <c r="X18" s="1087"/>
      <c r="Y18" s="1087"/>
      <c r="Z18" s="1087"/>
      <c r="AA18" s="1087"/>
      <c r="AB18" s="1087"/>
      <c r="AC18" s="1087"/>
      <c r="AD18" s="1087"/>
      <c r="AE18" s="1087"/>
      <c r="AF18" s="1087"/>
      <c r="AG18" s="1087"/>
      <c r="AH18" s="1087"/>
      <c r="AI18" s="1087"/>
      <c r="AJ18" s="1087"/>
      <c r="AK18" s="1087"/>
      <c r="AL18" s="1087"/>
      <c r="AM18" s="1087"/>
      <c r="AN18" s="1087"/>
      <c r="AO18" s="1087"/>
      <c r="AP18" s="1087"/>
      <c r="AQ18" s="1087"/>
      <c r="AR18" s="1087"/>
      <c r="AS18" s="1087"/>
      <c r="AT18" s="1087"/>
      <c r="AU18" s="1087"/>
      <c r="AV18" s="1087"/>
      <c r="AW18" s="1087"/>
      <c r="AX18" s="1087"/>
      <c r="AY18" s="1087"/>
      <c r="AZ18" s="1087"/>
      <c r="BA18" s="1087"/>
      <c r="BB18" s="1087"/>
      <c r="BC18" s="1087"/>
      <c r="BD18" s="1087"/>
      <c r="BE18" s="1087"/>
      <c r="BF18" s="1087"/>
      <c r="BG18" s="84">
        <v>13</v>
      </c>
      <c r="BH18" s="75" t="s">
        <v>174</v>
      </c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453"/>
      <c r="BX18" s="76"/>
    </row>
    <row r="19" spans="1:76" s="23" customFormat="1" ht="8.25" hidden="1" customHeight="1">
      <c r="A19" s="76" t="s">
        <v>240</v>
      </c>
      <c r="B19" s="225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84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453"/>
      <c r="BX19" s="76"/>
    </row>
    <row r="20" spans="1:76" s="182" customFormat="1" ht="8.25" customHeight="1">
      <c r="A20" s="76" t="str">
        <f t="shared" ref="A20:A29" si="0">IF($P$13="","","OK")</f>
        <v/>
      </c>
      <c r="B20" s="76"/>
      <c r="C20" s="247"/>
      <c r="D20" s="249"/>
      <c r="E20" s="1102"/>
      <c r="F20" s="1102"/>
      <c r="G20" s="1102"/>
      <c r="H20" s="1102"/>
      <c r="I20" s="1102"/>
      <c r="J20" s="1102"/>
      <c r="K20" s="1102"/>
      <c r="L20" s="1102"/>
      <c r="M20" s="1102"/>
      <c r="N20" s="1102"/>
      <c r="O20" s="1104"/>
      <c r="P20" s="1104"/>
      <c r="Q20" s="1104"/>
      <c r="R20" s="1104"/>
      <c r="S20" s="1104"/>
      <c r="T20" s="1104"/>
      <c r="U20" s="1104"/>
      <c r="V20" s="1104"/>
      <c r="W20" s="1104"/>
      <c r="X20" s="1104"/>
      <c r="Y20" s="1104"/>
      <c r="Z20" s="1104"/>
      <c r="AA20" s="1104"/>
      <c r="AB20" s="1104"/>
      <c r="AC20" s="1104"/>
      <c r="AD20" s="1104"/>
      <c r="AE20" s="1104"/>
      <c r="AF20" s="1104"/>
      <c r="AG20" s="1104"/>
      <c r="AH20" s="1104"/>
      <c r="AI20" s="1104"/>
      <c r="AJ20" s="1104"/>
      <c r="AK20" s="1104"/>
      <c r="AL20" s="1104"/>
      <c r="AM20" s="1104"/>
      <c r="AN20" s="1104"/>
      <c r="AO20" s="1104"/>
      <c r="AP20" s="1104"/>
      <c r="AQ20" s="1104"/>
      <c r="AR20" s="1104"/>
      <c r="AS20" s="1104"/>
      <c r="AT20" s="1104"/>
      <c r="AU20" s="1104"/>
      <c r="AV20" s="1104"/>
      <c r="AW20" s="1104"/>
      <c r="AX20" s="1104"/>
      <c r="AY20" s="1104"/>
      <c r="AZ20" s="1104"/>
      <c r="BA20" s="1104"/>
      <c r="BB20" s="1104"/>
      <c r="BC20" s="1104"/>
      <c r="BD20" s="1104"/>
      <c r="BE20" s="1104"/>
      <c r="BF20" s="1104"/>
      <c r="BG20" s="84">
        <v>14</v>
      </c>
      <c r="BH20" s="81"/>
      <c r="BI20" s="75"/>
      <c r="BJ20" s="75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92"/>
      <c r="BX20" s="29"/>
    </row>
    <row r="21" spans="1:76" s="182" customFormat="1" ht="15" customHeight="1">
      <c r="A21" s="76" t="str">
        <f t="shared" si="0"/>
        <v/>
      </c>
      <c r="B21" s="76"/>
      <c r="C21" s="249"/>
      <c r="D21" s="1114" t="s">
        <v>256</v>
      </c>
      <c r="E21" s="1114"/>
      <c r="F21" s="1114"/>
      <c r="G21" s="1114"/>
      <c r="H21" s="1114"/>
      <c r="I21" s="1114"/>
      <c r="J21" s="1114"/>
      <c r="K21" s="1114"/>
      <c r="L21" s="1114"/>
      <c r="M21" s="1114"/>
      <c r="N21" s="1114"/>
      <c r="O21" s="1114"/>
      <c r="P21" s="1114"/>
      <c r="Q21" s="1114"/>
      <c r="R21" s="1114"/>
      <c r="S21" s="1114"/>
      <c r="T21" s="1114"/>
      <c r="U21" s="1114"/>
      <c r="V21" s="1114"/>
      <c r="W21" s="1114"/>
      <c r="X21" s="1114"/>
      <c r="Y21" s="1114"/>
      <c r="Z21" s="1114"/>
      <c r="AA21" s="1114"/>
      <c r="AB21" s="1114"/>
      <c r="AC21" s="1094" t="s">
        <v>258</v>
      </c>
      <c r="AD21" s="1094"/>
      <c r="AE21" s="1094"/>
      <c r="AF21" s="1094"/>
      <c r="AG21" s="1094"/>
      <c r="AH21" s="1094"/>
      <c r="AI21" s="1094"/>
      <c r="AJ21" s="1094"/>
      <c r="AK21" s="1094"/>
      <c r="AL21" s="1094"/>
      <c r="AM21" s="1094" t="s">
        <v>259</v>
      </c>
      <c r="AN21" s="1094"/>
      <c r="AO21" s="1094"/>
      <c r="AP21" s="1094"/>
      <c r="AQ21" s="1094"/>
      <c r="AR21" s="1094"/>
      <c r="AS21" s="1094"/>
      <c r="AT21" s="1094"/>
      <c r="AU21" s="1094"/>
      <c r="AV21" s="1094"/>
      <c r="AW21" s="1094" t="s">
        <v>43</v>
      </c>
      <c r="AX21" s="1094"/>
      <c r="AY21" s="1094"/>
      <c r="AZ21" s="1094"/>
      <c r="BA21" s="1094"/>
      <c r="BB21" s="1094"/>
      <c r="BC21" s="1094"/>
      <c r="BD21" s="1094"/>
      <c r="BE21" s="1094"/>
      <c r="BF21" s="1094"/>
      <c r="BG21" s="84"/>
      <c r="BH21" s="81"/>
      <c r="BI21" s="75"/>
      <c r="BJ21" s="75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92"/>
      <c r="BX21" s="29"/>
    </row>
    <row r="22" spans="1:76" s="182" customFormat="1" ht="15" customHeight="1">
      <c r="A22" s="76" t="str">
        <f t="shared" si="0"/>
        <v/>
      </c>
      <c r="B22" s="76"/>
      <c r="C22" s="247"/>
      <c r="D22" s="1095" t="s">
        <v>261</v>
      </c>
      <c r="E22" s="1095"/>
      <c r="F22" s="1095"/>
      <c r="G22" s="1095"/>
      <c r="H22" s="1095"/>
      <c r="I22" s="1095"/>
      <c r="J22" s="1095"/>
      <c r="K22" s="1095"/>
      <c r="L22" s="1095"/>
      <c r="M22" s="1095"/>
      <c r="N22" s="1095"/>
      <c r="O22" s="1095"/>
      <c r="P22" s="1095"/>
      <c r="Q22" s="1095"/>
      <c r="R22" s="1095"/>
      <c r="S22" s="1095"/>
      <c r="T22" s="1095"/>
      <c r="U22" s="1095"/>
      <c r="V22" s="1095"/>
      <c r="W22" s="1095"/>
      <c r="X22" s="1095"/>
      <c r="Y22" s="1095"/>
      <c r="Z22" s="1095"/>
      <c r="AA22" s="1095"/>
      <c r="AB22" s="1095"/>
      <c r="AC22" s="1093">
        <f>'Modelo 6'!$C12</f>
        <v>132008.59</v>
      </c>
      <c r="AD22" s="1093">
        <f>'Modelo 6'!$C$12</f>
        <v>132008.59</v>
      </c>
      <c r="AE22" s="1093">
        <f>'Modelo 6'!$C$12</f>
        <v>132008.59</v>
      </c>
      <c r="AF22" s="1093">
        <f>'Modelo 6'!$C$12</f>
        <v>132008.59</v>
      </c>
      <c r="AG22" s="1093">
        <f>'Modelo 6'!$C$12</f>
        <v>132008.59</v>
      </c>
      <c r="AH22" s="1093">
        <f>'Modelo 6'!$C$12</f>
        <v>132008.59</v>
      </c>
      <c r="AI22" s="1093">
        <f>'Modelo 6'!$C$12</f>
        <v>132008.59</v>
      </c>
      <c r="AJ22" s="1093">
        <f>'Modelo 6'!$C$12</f>
        <v>132008.59</v>
      </c>
      <c r="AK22" s="1093">
        <f>'Modelo 6'!$C$12</f>
        <v>132008.59</v>
      </c>
      <c r="AL22" s="1093">
        <f>'Modelo 6'!$C$12</f>
        <v>132008.59</v>
      </c>
      <c r="AM22" s="1093">
        <f>'Modelo 6'!$D12</f>
        <v>39293</v>
      </c>
      <c r="AN22" s="1093">
        <f>'Modelo 6'!$D$12</f>
        <v>39293</v>
      </c>
      <c r="AO22" s="1093">
        <f>'Modelo 6'!$D$12</f>
        <v>39293</v>
      </c>
      <c r="AP22" s="1093">
        <f>'Modelo 6'!$D$12</f>
        <v>39293</v>
      </c>
      <c r="AQ22" s="1093">
        <f>'Modelo 6'!$D$12</f>
        <v>39293</v>
      </c>
      <c r="AR22" s="1093">
        <f>'Modelo 6'!$D$12</f>
        <v>39293</v>
      </c>
      <c r="AS22" s="1093">
        <f>'Modelo 6'!$D$12</f>
        <v>39293</v>
      </c>
      <c r="AT22" s="1093">
        <f>'Modelo 6'!$D$12</f>
        <v>39293</v>
      </c>
      <c r="AU22" s="1093">
        <f>'Modelo 6'!$D$12</f>
        <v>39293</v>
      </c>
      <c r="AV22" s="1093">
        <f>'Modelo 6'!$D$12</f>
        <v>39293</v>
      </c>
      <c r="AW22" s="1093">
        <f>'Modelo 6'!$E12</f>
        <v>171301.59</v>
      </c>
      <c r="AX22" s="1093">
        <f>'Modelo 6'!$E$12</f>
        <v>171301.59</v>
      </c>
      <c r="AY22" s="1093">
        <f>'Modelo 6'!$E$12</f>
        <v>171301.59</v>
      </c>
      <c r="AZ22" s="1093">
        <f>'Modelo 6'!$E$12</f>
        <v>171301.59</v>
      </c>
      <c r="BA22" s="1093">
        <f>'Modelo 6'!$E$12</f>
        <v>171301.59</v>
      </c>
      <c r="BB22" s="1093">
        <f>'Modelo 6'!$E$12</f>
        <v>171301.59</v>
      </c>
      <c r="BC22" s="1093">
        <f>'Modelo 6'!$E$12</f>
        <v>171301.59</v>
      </c>
      <c r="BD22" s="1093">
        <f>'Modelo 6'!$E$12</f>
        <v>171301.59</v>
      </c>
      <c r="BE22" s="1093">
        <f>'Modelo 6'!$E$12</f>
        <v>171301.59</v>
      </c>
      <c r="BF22" s="1093">
        <f>'Modelo 6'!$E$12</f>
        <v>171301.59</v>
      </c>
      <c r="BG22" s="84">
        <v>15</v>
      </c>
      <c r="BH22" s="82"/>
      <c r="BI22" s="82"/>
      <c r="BJ22" s="82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92"/>
      <c r="BX22" s="29"/>
    </row>
    <row r="23" spans="1:76" s="182" customFormat="1" ht="15" customHeight="1">
      <c r="A23" s="76" t="str">
        <f t="shared" si="0"/>
        <v/>
      </c>
      <c r="B23" s="225"/>
      <c r="C23" s="249"/>
      <c r="D23" s="1095" t="s">
        <v>268</v>
      </c>
      <c r="E23" s="1095"/>
      <c r="F23" s="1095"/>
      <c r="G23" s="1095"/>
      <c r="H23" s="1095"/>
      <c r="I23" s="1095"/>
      <c r="J23" s="1095"/>
      <c r="K23" s="1095"/>
      <c r="L23" s="1095"/>
      <c r="M23" s="1095"/>
      <c r="N23" s="1095"/>
      <c r="O23" s="1095"/>
      <c r="P23" s="1095"/>
      <c r="Q23" s="1095"/>
      <c r="R23" s="1095"/>
      <c r="S23" s="1095"/>
      <c r="T23" s="1095"/>
      <c r="U23" s="1095"/>
      <c r="V23" s="1095"/>
      <c r="W23" s="1095"/>
      <c r="X23" s="1095"/>
      <c r="Y23" s="1095"/>
      <c r="Z23" s="1095"/>
      <c r="AA23" s="1095"/>
      <c r="AB23" s="1095"/>
      <c r="AC23" s="1093">
        <f>'Modelo 6'!$C13</f>
        <v>611370</v>
      </c>
      <c r="AD23" s="1093">
        <f>'Modelo 6'!$C$12</f>
        <v>132008.59</v>
      </c>
      <c r="AE23" s="1093">
        <f>'Modelo 6'!$C$12</f>
        <v>132008.59</v>
      </c>
      <c r="AF23" s="1093">
        <f>'Modelo 6'!$C$12</f>
        <v>132008.59</v>
      </c>
      <c r="AG23" s="1093">
        <f>'Modelo 6'!$C$12</f>
        <v>132008.59</v>
      </c>
      <c r="AH23" s="1093">
        <f>'Modelo 6'!$C$12</f>
        <v>132008.59</v>
      </c>
      <c r="AI23" s="1093">
        <f>'Modelo 6'!$C$12</f>
        <v>132008.59</v>
      </c>
      <c r="AJ23" s="1093">
        <f>'Modelo 6'!$C$12</f>
        <v>132008.59</v>
      </c>
      <c r="AK23" s="1093">
        <f>'Modelo 6'!$C$12</f>
        <v>132008.59</v>
      </c>
      <c r="AL23" s="1093">
        <f>'Modelo 6'!$C$12</f>
        <v>132008.59</v>
      </c>
      <c r="AM23" s="1093">
        <f>'Modelo 6'!$D13</f>
        <v>2600</v>
      </c>
      <c r="AN23" s="1093">
        <f>'Modelo 6'!$D$12</f>
        <v>39293</v>
      </c>
      <c r="AO23" s="1093">
        <f>'Modelo 6'!$D$12</f>
        <v>39293</v>
      </c>
      <c r="AP23" s="1093">
        <f>'Modelo 6'!$D$12</f>
        <v>39293</v>
      </c>
      <c r="AQ23" s="1093">
        <f>'Modelo 6'!$D$12</f>
        <v>39293</v>
      </c>
      <c r="AR23" s="1093">
        <f>'Modelo 6'!$D$12</f>
        <v>39293</v>
      </c>
      <c r="AS23" s="1093">
        <f>'Modelo 6'!$D$12</f>
        <v>39293</v>
      </c>
      <c r="AT23" s="1093">
        <f>'Modelo 6'!$D$12</f>
        <v>39293</v>
      </c>
      <c r="AU23" s="1093">
        <f>'Modelo 6'!$D$12</f>
        <v>39293</v>
      </c>
      <c r="AV23" s="1093">
        <f>'Modelo 6'!$D$12</f>
        <v>39293</v>
      </c>
      <c r="AW23" s="1093">
        <f>'Modelo 6'!$E13</f>
        <v>613970</v>
      </c>
      <c r="AX23" s="1093">
        <f>'Modelo 6'!$E$12</f>
        <v>171301.59</v>
      </c>
      <c r="AY23" s="1093">
        <f>'Modelo 6'!$E$12</f>
        <v>171301.59</v>
      </c>
      <c r="AZ23" s="1093">
        <f>'Modelo 6'!$E$12</f>
        <v>171301.59</v>
      </c>
      <c r="BA23" s="1093">
        <f>'Modelo 6'!$E$12</f>
        <v>171301.59</v>
      </c>
      <c r="BB23" s="1093">
        <f>'Modelo 6'!$E$12</f>
        <v>171301.59</v>
      </c>
      <c r="BC23" s="1093">
        <f>'Modelo 6'!$E$12</f>
        <v>171301.59</v>
      </c>
      <c r="BD23" s="1093">
        <f>'Modelo 6'!$E$12</f>
        <v>171301.59</v>
      </c>
      <c r="BE23" s="1093">
        <f>'Modelo 6'!$E$12</f>
        <v>171301.59</v>
      </c>
      <c r="BF23" s="1093">
        <f>'Modelo 6'!$E$12</f>
        <v>171301.59</v>
      </c>
      <c r="BG23" s="84"/>
      <c r="BH23" s="82"/>
      <c r="BI23" s="82"/>
      <c r="BJ23" s="82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92"/>
      <c r="BX23" s="29"/>
    </row>
    <row r="24" spans="1:76" s="182" customFormat="1" ht="15" customHeight="1">
      <c r="A24" s="76" t="str">
        <f t="shared" si="0"/>
        <v/>
      </c>
      <c r="B24" s="225"/>
      <c r="C24" s="247"/>
      <c r="D24" s="1095" t="s">
        <v>260</v>
      </c>
      <c r="E24" s="1095"/>
      <c r="F24" s="1095"/>
      <c r="G24" s="1095"/>
      <c r="H24" s="1095"/>
      <c r="I24" s="1095"/>
      <c r="J24" s="1095"/>
      <c r="K24" s="1095"/>
      <c r="L24" s="1095"/>
      <c r="M24" s="1095"/>
      <c r="N24" s="1095"/>
      <c r="O24" s="1095"/>
      <c r="P24" s="1095"/>
      <c r="Q24" s="1095"/>
      <c r="R24" s="1095"/>
      <c r="S24" s="1095"/>
      <c r="T24" s="1095"/>
      <c r="U24" s="1095"/>
      <c r="V24" s="1095"/>
      <c r="W24" s="1095"/>
      <c r="X24" s="1095"/>
      <c r="Y24" s="1095"/>
      <c r="Z24" s="1095"/>
      <c r="AA24" s="1095"/>
      <c r="AB24" s="1095"/>
      <c r="AC24" s="1093">
        <f>'Modelo 6'!$C14</f>
        <v>0</v>
      </c>
      <c r="AD24" s="1093">
        <f>'Modelo 6'!$C$12</f>
        <v>132008.59</v>
      </c>
      <c r="AE24" s="1093">
        <f>'Modelo 6'!$C$12</f>
        <v>132008.59</v>
      </c>
      <c r="AF24" s="1093">
        <f>'Modelo 6'!$C$12</f>
        <v>132008.59</v>
      </c>
      <c r="AG24" s="1093">
        <f>'Modelo 6'!$C$12</f>
        <v>132008.59</v>
      </c>
      <c r="AH24" s="1093">
        <f>'Modelo 6'!$C$12</f>
        <v>132008.59</v>
      </c>
      <c r="AI24" s="1093">
        <f>'Modelo 6'!$C$12</f>
        <v>132008.59</v>
      </c>
      <c r="AJ24" s="1093">
        <f>'Modelo 6'!$C$12</f>
        <v>132008.59</v>
      </c>
      <c r="AK24" s="1093">
        <f>'Modelo 6'!$C$12</f>
        <v>132008.59</v>
      </c>
      <c r="AL24" s="1093">
        <f>'Modelo 6'!$C$12</f>
        <v>132008.59</v>
      </c>
      <c r="AM24" s="1101"/>
      <c r="AN24" s="1101"/>
      <c r="AO24" s="1101"/>
      <c r="AP24" s="1101"/>
      <c r="AQ24" s="1101"/>
      <c r="AR24" s="1101"/>
      <c r="AS24" s="1101"/>
      <c r="AT24" s="1101"/>
      <c r="AU24" s="1101"/>
      <c r="AV24" s="1101"/>
      <c r="AW24" s="1093">
        <f>'Modelo 6'!$E14</f>
        <v>0</v>
      </c>
      <c r="AX24" s="1093">
        <f>'Modelo 6'!$E$12</f>
        <v>171301.59</v>
      </c>
      <c r="AY24" s="1093">
        <f>'Modelo 6'!$E$12</f>
        <v>171301.59</v>
      </c>
      <c r="AZ24" s="1093">
        <f>'Modelo 6'!$E$12</f>
        <v>171301.59</v>
      </c>
      <c r="BA24" s="1093">
        <f>'Modelo 6'!$E$12</f>
        <v>171301.59</v>
      </c>
      <c r="BB24" s="1093">
        <f>'Modelo 6'!$E$12</f>
        <v>171301.59</v>
      </c>
      <c r="BC24" s="1093">
        <f>'Modelo 6'!$E$12</f>
        <v>171301.59</v>
      </c>
      <c r="BD24" s="1093">
        <f>'Modelo 6'!$E$12</f>
        <v>171301.59</v>
      </c>
      <c r="BE24" s="1093">
        <f>'Modelo 6'!$E$12</f>
        <v>171301.59</v>
      </c>
      <c r="BF24" s="1093">
        <f>'Modelo 6'!$E$12</f>
        <v>171301.59</v>
      </c>
      <c r="BG24" s="84"/>
      <c r="BH24" s="80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92"/>
      <c r="BX24" s="29"/>
    </row>
    <row r="25" spans="1:76" s="182" customFormat="1" ht="15" customHeight="1">
      <c r="A25" s="76" t="str">
        <f t="shared" si="0"/>
        <v/>
      </c>
      <c r="B25" s="225"/>
      <c r="C25" s="249"/>
      <c r="D25" s="1095" t="s">
        <v>257</v>
      </c>
      <c r="E25" s="1095"/>
      <c r="F25" s="1095"/>
      <c r="G25" s="1095"/>
      <c r="H25" s="1095"/>
      <c r="I25" s="1095"/>
      <c r="J25" s="1095"/>
      <c r="K25" s="1095"/>
      <c r="L25" s="1095"/>
      <c r="M25" s="1095"/>
      <c r="N25" s="1095"/>
      <c r="O25" s="1095"/>
      <c r="P25" s="1095"/>
      <c r="Q25" s="1095"/>
      <c r="R25" s="1095"/>
      <c r="S25" s="1095"/>
      <c r="T25" s="1095"/>
      <c r="U25" s="1095"/>
      <c r="V25" s="1095"/>
      <c r="W25" s="1095"/>
      <c r="X25" s="1095"/>
      <c r="Y25" s="1095"/>
      <c r="Z25" s="1095"/>
      <c r="AA25" s="1095"/>
      <c r="AB25" s="1095"/>
      <c r="AC25" s="1093">
        <f>'Modelo 6'!$C15</f>
        <v>743378.59</v>
      </c>
      <c r="AD25" s="1093">
        <f>'Modelo 6'!$C$12</f>
        <v>132008.59</v>
      </c>
      <c r="AE25" s="1093">
        <f>'Modelo 6'!$C$12</f>
        <v>132008.59</v>
      </c>
      <c r="AF25" s="1093">
        <f>'Modelo 6'!$C$12</f>
        <v>132008.59</v>
      </c>
      <c r="AG25" s="1093">
        <f>'Modelo 6'!$C$12</f>
        <v>132008.59</v>
      </c>
      <c r="AH25" s="1093">
        <f>'Modelo 6'!$C$12</f>
        <v>132008.59</v>
      </c>
      <c r="AI25" s="1093">
        <f>'Modelo 6'!$C$12</f>
        <v>132008.59</v>
      </c>
      <c r="AJ25" s="1093">
        <f>'Modelo 6'!$C$12</f>
        <v>132008.59</v>
      </c>
      <c r="AK25" s="1093">
        <f>'Modelo 6'!$C$12</f>
        <v>132008.59</v>
      </c>
      <c r="AL25" s="1093">
        <f>'Modelo 6'!$C$12</f>
        <v>132008.59</v>
      </c>
      <c r="AM25" s="1093">
        <f>'Modelo 6'!$D15</f>
        <v>41893</v>
      </c>
      <c r="AN25" s="1093">
        <f>'Modelo 6'!$D$12</f>
        <v>39293</v>
      </c>
      <c r="AO25" s="1093">
        <f>'Modelo 6'!$D$12</f>
        <v>39293</v>
      </c>
      <c r="AP25" s="1093">
        <f>'Modelo 6'!$D$12</f>
        <v>39293</v>
      </c>
      <c r="AQ25" s="1093">
        <f>'Modelo 6'!$D$12</f>
        <v>39293</v>
      </c>
      <c r="AR25" s="1093">
        <f>'Modelo 6'!$D$12</f>
        <v>39293</v>
      </c>
      <c r="AS25" s="1093">
        <f>'Modelo 6'!$D$12</f>
        <v>39293</v>
      </c>
      <c r="AT25" s="1093">
        <f>'Modelo 6'!$D$12</f>
        <v>39293</v>
      </c>
      <c r="AU25" s="1093">
        <f>'Modelo 6'!$D$12</f>
        <v>39293</v>
      </c>
      <c r="AV25" s="1093">
        <f>'Modelo 6'!$D$12</f>
        <v>39293</v>
      </c>
      <c r="AW25" s="1093">
        <f>'Modelo 6'!$E15</f>
        <v>785271.59</v>
      </c>
      <c r="AX25" s="1093">
        <f>'Modelo 6'!$E$12</f>
        <v>171301.59</v>
      </c>
      <c r="AY25" s="1093">
        <f>'Modelo 6'!$E$12</f>
        <v>171301.59</v>
      </c>
      <c r="AZ25" s="1093">
        <f>'Modelo 6'!$E$12</f>
        <v>171301.59</v>
      </c>
      <c r="BA25" s="1093">
        <f>'Modelo 6'!$E$12</f>
        <v>171301.59</v>
      </c>
      <c r="BB25" s="1093">
        <f>'Modelo 6'!$E$12</f>
        <v>171301.59</v>
      </c>
      <c r="BC25" s="1093">
        <f>'Modelo 6'!$E$12</f>
        <v>171301.59</v>
      </c>
      <c r="BD25" s="1093">
        <f>'Modelo 6'!$E$12</f>
        <v>171301.59</v>
      </c>
      <c r="BE25" s="1093">
        <f>'Modelo 6'!$E$12</f>
        <v>171301.59</v>
      </c>
      <c r="BF25" s="1093">
        <f>'Modelo 6'!$E$12</f>
        <v>171301.59</v>
      </c>
      <c r="BG25" s="84"/>
      <c r="BH25" s="80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92"/>
      <c r="BX25" s="29"/>
    </row>
    <row r="26" spans="1:76" s="182" customFormat="1" ht="15" customHeight="1">
      <c r="A26" s="76" t="str">
        <f t="shared" si="0"/>
        <v/>
      </c>
      <c r="B26" s="225"/>
      <c r="C26" s="247"/>
      <c r="D26" s="1095" t="s">
        <v>262</v>
      </c>
      <c r="E26" s="1095"/>
      <c r="F26" s="1095"/>
      <c r="G26" s="1095"/>
      <c r="H26" s="1095"/>
      <c r="I26" s="1095"/>
      <c r="J26" s="1095"/>
      <c r="K26" s="1095"/>
      <c r="L26" s="1095"/>
      <c r="M26" s="1095"/>
      <c r="N26" s="1095"/>
      <c r="O26" s="1095"/>
      <c r="P26" s="1095"/>
      <c r="Q26" s="1095"/>
      <c r="R26" s="1095"/>
      <c r="S26" s="1095"/>
      <c r="T26" s="1095"/>
      <c r="U26" s="1095"/>
      <c r="V26" s="1095"/>
      <c r="W26" s="1095"/>
      <c r="X26" s="1095"/>
      <c r="Y26" s="1095"/>
      <c r="Z26" s="1095"/>
      <c r="AA26" s="1095"/>
      <c r="AB26" s="1095"/>
      <c r="AC26" s="1093">
        <f>'Modelo 6'!$C16</f>
        <v>0</v>
      </c>
      <c r="AD26" s="1093">
        <f>'Modelo 6'!$C$12</f>
        <v>132008.59</v>
      </c>
      <c r="AE26" s="1093">
        <f>'Modelo 6'!$C$12</f>
        <v>132008.59</v>
      </c>
      <c r="AF26" s="1093">
        <f>'Modelo 6'!$C$12</f>
        <v>132008.59</v>
      </c>
      <c r="AG26" s="1093">
        <f>'Modelo 6'!$C$12</f>
        <v>132008.59</v>
      </c>
      <c r="AH26" s="1093">
        <f>'Modelo 6'!$C$12</f>
        <v>132008.59</v>
      </c>
      <c r="AI26" s="1093">
        <f>'Modelo 6'!$C$12</f>
        <v>132008.59</v>
      </c>
      <c r="AJ26" s="1093">
        <f>'Modelo 6'!$C$12</f>
        <v>132008.59</v>
      </c>
      <c r="AK26" s="1093">
        <f>'Modelo 6'!$C$12</f>
        <v>132008.59</v>
      </c>
      <c r="AL26" s="1093">
        <f>'Modelo 6'!$C$12</f>
        <v>132008.59</v>
      </c>
      <c r="AM26" s="1093">
        <f>'Modelo 6'!$D16</f>
        <v>0</v>
      </c>
      <c r="AN26" s="1093">
        <f>'Modelo 6'!$D$12</f>
        <v>39293</v>
      </c>
      <c r="AO26" s="1093">
        <f>'Modelo 6'!$D$12</f>
        <v>39293</v>
      </c>
      <c r="AP26" s="1093">
        <f>'Modelo 6'!$D$12</f>
        <v>39293</v>
      </c>
      <c r="AQ26" s="1093">
        <f>'Modelo 6'!$D$12</f>
        <v>39293</v>
      </c>
      <c r="AR26" s="1093">
        <f>'Modelo 6'!$D$12</f>
        <v>39293</v>
      </c>
      <c r="AS26" s="1093">
        <f>'Modelo 6'!$D$12</f>
        <v>39293</v>
      </c>
      <c r="AT26" s="1093">
        <f>'Modelo 6'!$D$12</f>
        <v>39293</v>
      </c>
      <c r="AU26" s="1093">
        <f>'Modelo 6'!$D$12</f>
        <v>39293</v>
      </c>
      <c r="AV26" s="1093">
        <f>'Modelo 6'!$D$12</f>
        <v>39293</v>
      </c>
      <c r="AW26" s="1093">
        <f>'Modelo 6'!$E16</f>
        <v>0</v>
      </c>
      <c r="AX26" s="1093">
        <f>'Modelo 6'!$E$12</f>
        <v>171301.59</v>
      </c>
      <c r="AY26" s="1093">
        <f>'Modelo 6'!$E$12</f>
        <v>171301.59</v>
      </c>
      <c r="AZ26" s="1093">
        <f>'Modelo 6'!$E$12</f>
        <v>171301.59</v>
      </c>
      <c r="BA26" s="1093">
        <f>'Modelo 6'!$E$12</f>
        <v>171301.59</v>
      </c>
      <c r="BB26" s="1093">
        <f>'Modelo 6'!$E$12</f>
        <v>171301.59</v>
      </c>
      <c r="BC26" s="1093">
        <f>'Modelo 6'!$E$12</f>
        <v>171301.59</v>
      </c>
      <c r="BD26" s="1093">
        <f>'Modelo 6'!$E$12</f>
        <v>171301.59</v>
      </c>
      <c r="BE26" s="1093">
        <f>'Modelo 6'!$E$12</f>
        <v>171301.59</v>
      </c>
      <c r="BF26" s="1093">
        <f>'Modelo 6'!$E$12</f>
        <v>171301.59</v>
      </c>
      <c r="BG26" s="84"/>
      <c r="BH26" s="80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92"/>
      <c r="BX26" s="29"/>
    </row>
    <row r="27" spans="1:76" s="182" customFormat="1" ht="22.5" customHeight="1">
      <c r="A27" s="76" t="str">
        <f t="shared" si="0"/>
        <v/>
      </c>
      <c r="B27" s="225"/>
      <c r="C27" s="249"/>
      <c r="D27" s="1095" t="s">
        <v>263</v>
      </c>
      <c r="E27" s="1095"/>
      <c r="F27" s="1095"/>
      <c r="G27" s="1095"/>
      <c r="H27" s="1095"/>
      <c r="I27" s="1095"/>
      <c r="J27" s="1095"/>
      <c r="K27" s="1095"/>
      <c r="L27" s="1095"/>
      <c r="M27" s="1095"/>
      <c r="N27" s="1095"/>
      <c r="O27" s="1095"/>
      <c r="P27" s="1095"/>
      <c r="Q27" s="1095"/>
      <c r="R27" s="1095"/>
      <c r="S27" s="1095"/>
      <c r="T27" s="1095"/>
      <c r="U27" s="1095"/>
      <c r="V27" s="1095"/>
      <c r="W27" s="1095"/>
      <c r="X27" s="1095"/>
      <c r="Y27" s="1095"/>
      <c r="Z27" s="1095"/>
      <c r="AA27" s="1095"/>
      <c r="AB27" s="1095"/>
      <c r="AC27" s="1093">
        <f>'Modelo 6'!$C17</f>
        <v>743378.59000000008</v>
      </c>
      <c r="AD27" s="1093">
        <f>'Modelo 6'!$C$12</f>
        <v>132008.59</v>
      </c>
      <c r="AE27" s="1093">
        <f>'Modelo 6'!$C$12</f>
        <v>132008.59</v>
      </c>
      <c r="AF27" s="1093">
        <f>'Modelo 6'!$C$12</f>
        <v>132008.59</v>
      </c>
      <c r="AG27" s="1093">
        <f>'Modelo 6'!$C$12</f>
        <v>132008.59</v>
      </c>
      <c r="AH27" s="1093">
        <f>'Modelo 6'!$C$12</f>
        <v>132008.59</v>
      </c>
      <c r="AI27" s="1093">
        <f>'Modelo 6'!$C$12</f>
        <v>132008.59</v>
      </c>
      <c r="AJ27" s="1093">
        <f>'Modelo 6'!$C$12</f>
        <v>132008.59</v>
      </c>
      <c r="AK27" s="1093">
        <f>'Modelo 6'!$C$12</f>
        <v>132008.59</v>
      </c>
      <c r="AL27" s="1093">
        <f>'Modelo 6'!$C$12</f>
        <v>132008.59</v>
      </c>
      <c r="AM27" s="1093">
        <f>'Modelo 6'!$D17</f>
        <v>41893</v>
      </c>
      <c r="AN27" s="1093">
        <f>'Modelo 6'!$D$12</f>
        <v>39293</v>
      </c>
      <c r="AO27" s="1093">
        <f>'Modelo 6'!$D$12</f>
        <v>39293</v>
      </c>
      <c r="AP27" s="1093">
        <f>'Modelo 6'!$D$12</f>
        <v>39293</v>
      </c>
      <c r="AQ27" s="1093">
        <f>'Modelo 6'!$D$12</f>
        <v>39293</v>
      </c>
      <c r="AR27" s="1093">
        <f>'Modelo 6'!$D$12</f>
        <v>39293</v>
      </c>
      <c r="AS27" s="1093">
        <f>'Modelo 6'!$D$12</f>
        <v>39293</v>
      </c>
      <c r="AT27" s="1093">
        <f>'Modelo 6'!$D$12</f>
        <v>39293</v>
      </c>
      <c r="AU27" s="1093">
        <f>'Modelo 6'!$D$12</f>
        <v>39293</v>
      </c>
      <c r="AV27" s="1093">
        <f>'Modelo 6'!$D$12</f>
        <v>39293</v>
      </c>
      <c r="AW27" s="1093">
        <f>'Modelo 6'!$E17</f>
        <v>785271.59000000008</v>
      </c>
      <c r="AX27" s="1093">
        <f>'Modelo 6'!$E$12</f>
        <v>171301.59</v>
      </c>
      <c r="AY27" s="1093">
        <f>'Modelo 6'!$E$12</f>
        <v>171301.59</v>
      </c>
      <c r="AZ27" s="1093">
        <f>'Modelo 6'!$E$12</f>
        <v>171301.59</v>
      </c>
      <c r="BA27" s="1093">
        <f>'Modelo 6'!$E$12</f>
        <v>171301.59</v>
      </c>
      <c r="BB27" s="1093">
        <f>'Modelo 6'!$E$12</f>
        <v>171301.59</v>
      </c>
      <c r="BC27" s="1093">
        <f>'Modelo 6'!$E$12</f>
        <v>171301.59</v>
      </c>
      <c r="BD27" s="1093">
        <f>'Modelo 6'!$E$12</f>
        <v>171301.59</v>
      </c>
      <c r="BE27" s="1093">
        <f>'Modelo 6'!$E$12</f>
        <v>171301.59</v>
      </c>
      <c r="BF27" s="1093">
        <f>'Modelo 6'!$E$12</f>
        <v>171301.59</v>
      </c>
      <c r="BG27" s="84"/>
      <c r="BH27" s="80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92"/>
      <c r="BX27" s="29"/>
    </row>
    <row r="28" spans="1:76" s="182" customFormat="1" ht="15" customHeight="1">
      <c r="A28" s="76" t="str">
        <f t="shared" si="0"/>
        <v/>
      </c>
      <c r="B28" s="225"/>
      <c r="C28" s="247"/>
      <c r="D28" s="1095" t="s">
        <v>269</v>
      </c>
      <c r="E28" s="1095"/>
      <c r="F28" s="1095"/>
      <c r="G28" s="1095"/>
      <c r="H28" s="1095"/>
      <c r="I28" s="1095"/>
      <c r="J28" s="1095"/>
      <c r="K28" s="1095"/>
      <c r="L28" s="1095"/>
      <c r="M28" s="1095"/>
      <c r="N28" s="1095"/>
      <c r="O28" s="1095"/>
      <c r="P28" s="1095"/>
      <c r="Q28" s="1095"/>
      <c r="R28" s="1095"/>
      <c r="S28" s="1095"/>
      <c r="T28" s="1095"/>
      <c r="U28" s="1095"/>
      <c r="V28" s="1095"/>
      <c r="W28" s="1095"/>
      <c r="X28" s="1095"/>
      <c r="Y28" s="1095"/>
      <c r="Z28" s="1095"/>
      <c r="AA28" s="1095"/>
      <c r="AB28" s="1095"/>
      <c r="AC28" s="1093">
        <f>BASE!$C$16</f>
        <v>611370</v>
      </c>
      <c r="AD28" s="1093"/>
      <c r="AE28" s="1093"/>
      <c r="AF28" s="1093"/>
      <c r="AG28" s="1093"/>
      <c r="AH28" s="1093"/>
      <c r="AI28" s="1093"/>
      <c r="AJ28" s="1093"/>
      <c r="AK28" s="1093"/>
      <c r="AL28" s="1093"/>
      <c r="AM28" s="1093">
        <f>BASE!$C$17</f>
        <v>2600</v>
      </c>
      <c r="AN28" s="1093"/>
      <c r="AO28" s="1093"/>
      <c r="AP28" s="1093"/>
      <c r="AQ28" s="1093"/>
      <c r="AR28" s="1093"/>
      <c r="AS28" s="1093"/>
      <c r="AT28" s="1093"/>
      <c r="AU28" s="1093"/>
      <c r="AV28" s="1093"/>
      <c r="AW28" s="1093">
        <f>AC28+AM28</f>
        <v>613970</v>
      </c>
      <c r="AX28" s="1093"/>
      <c r="AY28" s="1093"/>
      <c r="AZ28" s="1093"/>
      <c r="BA28" s="1093"/>
      <c r="BB28" s="1093"/>
      <c r="BC28" s="1093"/>
      <c r="BD28" s="1093"/>
      <c r="BE28" s="1093"/>
      <c r="BF28" s="1093"/>
      <c r="BG28" s="84"/>
      <c r="BH28" s="80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92"/>
      <c r="BX28" s="29"/>
    </row>
    <row r="29" spans="1:76" s="182" customFormat="1" ht="23.25" customHeight="1">
      <c r="A29" s="76" t="str">
        <f t="shared" si="0"/>
        <v/>
      </c>
      <c r="B29" s="225"/>
      <c r="C29" s="249"/>
      <c r="D29" s="1095" t="s">
        <v>270</v>
      </c>
      <c r="E29" s="1095"/>
      <c r="F29" s="1095"/>
      <c r="G29" s="1095"/>
      <c r="H29" s="1095"/>
      <c r="I29" s="1095"/>
      <c r="J29" s="1095"/>
      <c r="K29" s="1095"/>
      <c r="L29" s="1095"/>
      <c r="M29" s="1095"/>
      <c r="N29" s="1095"/>
      <c r="O29" s="1095"/>
      <c r="P29" s="1095"/>
      <c r="Q29" s="1095"/>
      <c r="R29" s="1095"/>
      <c r="S29" s="1095"/>
      <c r="T29" s="1095"/>
      <c r="U29" s="1095"/>
      <c r="V29" s="1095"/>
      <c r="W29" s="1095"/>
      <c r="X29" s="1095"/>
      <c r="Y29" s="1095"/>
      <c r="Z29" s="1095"/>
      <c r="AA29" s="1095"/>
      <c r="AB29" s="1095"/>
      <c r="AC29" s="1093">
        <f>AC28-AC23</f>
        <v>0</v>
      </c>
      <c r="AD29" s="1093"/>
      <c r="AE29" s="1093"/>
      <c r="AF29" s="1093"/>
      <c r="AG29" s="1093"/>
      <c r="AH29" s="1093"/>
      <c r="AI29" s="1093"/>
      <c r="AJ29" s="1093"/>
      <c r="AK29" s="1093"/>
      <c r="AL29" s="1093"/>
      <c r="AM29" s="1093">
        <f>AM28-AM23</f>
        <v>0</v>
      </c>
      <c r="AN29" s="1093"/>
      <c r="AO29" s="1093"/>
      <c r="AP29" s="1093"/>
      <c r="AQ29" s="1093"/>
      <c r="AR29" s="1093"/>
      <c r="AS29" s="1093"/>
      <c r="AT29" s="1093"/>
      <c r="AU29" s="1093"/>
      <c r="AV29" s="1093"/>
      <c r="AW29" s="1093">
        <f>AW28-AW23</f>
        <v>0</v>
      </c>
      <c r="AX29" s="1093"/>
      <c r="AY29" s="1093"/>
      <c r="AZ29" s="1093"/>
      <c r="BA29" s="1093"/>
      <c r="BB29" s="1093"/>
      <c r="BC29" s="1093"/>
      <c r="BD29" s="1093"/>
      <c r="BE29" s="1093"/>
      <c r="BF29" s="1093"/>
      <c r="BG29" s="84"/>
      <c r="BH29" s="80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92"/>
      <c r="BX29" s="29"/>
    </row>
    <row r="30" spans="1:76" s="182" customFormat="1" ht="16.5" customHeight="1">
      <c r="A30" s="29"/>
      <c r="B30" s="76"/>
      <c r="C30" s="247"/>
      <c r="D30" s="248"/>
      <c r="E30" s="1102"/>
      <c r="F30" s="1102"/>
      <c r="G30" s="1102"/>
      <c r="H30" s="1102"/>
      <c r="I30" s="1102"/>
      <c r="J30" s="1102"/>
      <c r="K30" s="1102"/>
      <c r="L30" s="1102"/>
      <c r="M30" s="1102"/>
      <c r="N30" s="1102"/>
      <c r="O30" s="1104"/>
      <c r="P30" s="1104"/>
      <c r="Q30" s="1104"/>
      <c r="R30" s="1104"/>
      <c r="S30" s="1104"/>
      <c r="T30" s="1104"/>
      <c r="U30" s="1104"/>
      <c r="V30" s="1104"/>
      <c r="W30" s="1104"/>
      <c r="X30" s="1104"/>
      <c r="Y30" s="1104"/>
      <c r="Z30" s="1104"/>
      <c r="AA30" s="1104"/>
      <c r="AB30" s="1104"/>
      <c r="AC30" s="1104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  <c r="AZ30" s="1104"/>
      <c r="BA30" s="1104"/>
      <c r="BB30" s="1104"/>
      <c r="BC30" s="1104"/>
      <c r="BD30" s="1104"/>
      <c r="BE30" s="1104"/>
      <c r="BF30" s="1104"/>
      <c r="BG30" s="84">
        <v>16</v>
      </c>
      <c r="BH30" s="98" t="s">
        <v>175</v>
      </c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92"/>
      <c r="BX30" s="29"/>
    </row>
    <row r="31" spans="1:76" s="182" customFormat="1" ht="15.75" hidden="1" customHeight="1">
      <c r="A31" s="537" t="str">
        <f>IF(C31="","OK","")</f>
        <v>OK</v>
      </c>
      <c r="B31" s="76"/>
      <c r="C31" s="1103" t="str">
        <f>IF(AW29&lt;&gt;0,BH41,"")</f>
        <v/>
      </c>
      <c r="D31" s="1103"/>
      <c r="E31" s="1103"/>
      <c r="F31" s="1103"/>
      <c r="G31" s="1103"/>
      <c r="H31" s="1103"/>
      <c r="I31" s="1103"/>
      <c r="J31" s="1103"/>
      <c r="K31" s="1103"/>
      <c r="L31" s="1103"/>
      <c r="M31" s="1103"/>
      <c r="N31" s="1103"/>
      <c r="O31" s="1103"/>
      <c r="P31" s="1103"/>
      <c r="Q31" s="1103"/>
      <c r="R31" s="1103"/>
      <c r="S31" s="1103"/>
      <c r="T31" s="1103"/>
      <c r="U31" s="1103"/>
      <c r="V31" s="1103"/>
      <c r="W31" s="1103"/>
      <c r="X31" s="1103"/>
      <c r="Y31" s="1103"/>
      <c r="Z31" s="1103"/>
      <c r="AA31" s="1103"/>
      <c r="AB31" s="1103"/>
      <c r="AC31" s="1103"/>
      <c r="AD31" s="1103"/>
      <c r="AE31" s="1103"/>
      <c r="AF31" s="1103"/>
      <c r="AG31" s="1103"/>
      <c r="AH31" s="1103"/>
      <c r="AI31" s="1103"/>
      <c r="AJ31" s="1103"/>
      <c r="AK31" s="1103"/>
      <c r="AL31" s="1103"/>
      <c r="AM31" s="1103"/>
      <c r="AN31" s="1103"/>
      <c r="AO31" s="1103"/>
      <c r="AP31" s="1103"/>
      <c r="AQ31" s="1103"/>
      <c r="AR31" s="1103"/>
      <c r="AS31" s="1103"/>
      <c r="AT31" s="1103"/>
      <c r="AU31" s="1103"/>
      <c r="AV31" s="1103"/>
      <c r="AW31" s="1103"/>
      <c r="AX31" s="1103"/>
      <c r="AY31" s="1103"/>
      <c r="AZ31" s="1103"/>
      <c r="BA31" s="1103"/>
      <c r="BB31" s="1103"/>
      <c r="BC31" s="1103"/>
      <c r="BD31" s="1103"/>
      <c r="BE31" s="1103"/>
      <c r="BF31" s="1103"/>
      <c r="BG31" s="84">
        <v>17</v>
      </c>
      <c r="BH31" s="82">
        <f>'Modelo 6'!$E$15</f>
        <v>785271.59</v>
      </c>
      <c r="BI31" s="75" t="s">
        <v>98</v>
      </c>
      <c r="BJ31" s="75" t="s">
        <v>99</v>
      </c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92"/>
      <c r="BX31" s="29"/>
    </row>
    <row r="32" spans="1:76" s="182" customFormat="1" ht="27" hidden="1" customHeight="1">
      <c r="A32" s="486" t="str">
        <f>IF(AW29=0,"OK","")</f>
        <v>OK</v>
      </c>
      <c r="B32" s="76"/>
      <c r="C32" s="1100" t="s">
        <v>403</v>
      </c>
      <c r="D32" s="1098"/>
      <c r="E32" s="1098"/>
      <c r="F32" s="1098"/>
      <c r="G32" s="1098"/>
      <c r="H32" s="1098"/>
      <c r="I32" s="1098"/>
      <c r="J32" s="1098"/>
      <c r="K32" s="1098"/>
      <c r="L32" s="1098"/>
      <c r="M32" s="1098"/>
      <c r="N32" s="1098"/>
      <c r="O32" s="1098"/>
      <c r="P32" s="1098"/>
      <c r="Q32" s="1098"/>
      <c r="R32" s="1098"/>
      <c r="S32" s="1098"/>
      <c r="T32" s="1098"/>
      <c r="U32" s="1098"/>
      <c r="V32" s="1098"/>
      <c r="W32" s="1098"/>
      <c r="X32" s="1098"/>
      <c r="Y32" s="1098"/>
      <c r="Z32" s="1098"/>
      <c r="AA32" s="1098"/>
      <c r="AB32" s="1098"/>
      <c r="AC32" s="1098"/>
      <c r="AD32" s="1098"/>
      <c r="AE32" s="1098"/>
      <c r="AF32" s="1098"/>
      <c r="AG32" s="1098"/>
      <c r="AH32" s="1098"/>
      <c r="AI32" s="1098"/>
      <c r="AJ32" s="1098"/>
      <c r="AK32" s="1098"/>
      <c r="AL32" s="1098"/>
      <c r="AM32" s="1098"/>
      <c r="AN32" s="1098"/>
      <c r="AO32" s="1098"/>
      <c r="AP32" s="1098"/>
      <c r="AQ32" s="1098"/>
      <c r="AR32" s="1098"/>
      <c r="AS32" s="1098"/>
      <c r="AT32" s="1098"/>
      <c r="AU32" s="1098"/>
      <c r="AV32" s="1098"/>
      <c r="AW32" s="1098"/>
      <c r="AX32" s="1098"/>
      <c r="AY32" s="1098"/>
      <c r="AZ32" s="1098"/>
      <c r="BA32" s="1098"/>
      <c r="BB32" s="1098"/>
      <c r="BC32" s="1098"/>
      <c r="BD32" s="1098"/>
      <c r="BE32" s="1098"/>
      <c r="BF32" s="1098"/>
      <c r="BG32" s="84">
        <v>18</v>
      </c>
      <c r="BH32" s="80" t="str">
        <f>Extenso($BH$31,"real","reais","centavo","centavos")</f>
        <v>setecentos e oitenta e cinco mil, duzentos e setenta e um reais e cinqüenta e nove centavos</v>
      </c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92"/>
      <c r="BX32" s="29"/>
    </row>
    <row r="33" spans="1:76" s="182" customFormat="1" ht="27" hidden="1" customHeight="1">
      <c r="A33" s="537" t="str">
        <f>IF(C33="","OK","")</f>
        <v>OK</v>
      </c>
      <c r="B33" s="76"/>
      <c r="C33" s="1100"/>
      <c r="D33" s="1098"/>
      <c r="E33" s="1098"/>
      <c r="F33" s="1098"/>
      <c r="G33" s="1098"/>
      <c r="H33" s="1098"/>
      <c r="I33" s="1098"/>
      <c r="J33" s="1098"/>
      <c r="K33" s="1098"/>
      <c r="L33" s="1098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1098"/>
      <c r="Z33" s="1098"/>
      <c r="AA33" s="1098"/>
      <c r="AB33" s="1098"/>
      <c r="AC33" s="1098"/>
      <c r="AD33" s="1098"/>
      <c r="AE33" s="1098"/>
      <c r="AF33" s="1098"/>
      <c r="AG33" s="1098"/>
      <c r="AH33" s="1098"/>
      <c r="AI33" s="1098"/>
      <c r="AJ33" s="1098"/>
      <c r="AK33" s="1098"/>
      <c r="AL33" s="1098"/>
      <c r="AM33" s="1098"/>
      <c r="AN33" s="1098"/>
      <c r="AO33" s="1098"/>
      <c r="AP33" s="1098"/>
      <c r="AQ33" s="1098"/>
      <c r="AR33" s="1098"/>
      <c r="AS33" s="1098"/>
      <c r="AT33" s="1098"/>
      <c r="AU33" s="1098"/>
      <c r="AV33" s="1098"/>
      <c r="AW33" s="1098"/>
      <c r="AX33" s="1098"/>
      <c r="AY33" s="1098"/>
      <c r="AZ33" s="1098"/>
      <c r="BA33" s="1098"/>
      <c r="BB33" s="1098"/>
      <c r="BC33" s="1098"/>
      <c r="BD33" s="1098"/>
      <c r="BE33" s="1098"/>
      <c r="BF33" s="1098"/>
      <c r="BG33" s="84">
        <v>19</v>
      </c>
      <c r="BH33" s="98" t="s">
        <v>177</v>
      </c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92"/>
      <c r="BX33" s="29"/>
    </row>
    <row r="34" spans="1:76" s="182" customFormat="1" ht="27" hidden="1" customHeight="1">
      <c r="A34" s="537" t="str">
        <f>IF(C34="","OK","")</f>
        <v>OK</v>
      </c>
      <c r="B34" s="76"/>
      <c r="C34" s="1098"/>
      <c r="D34" s="1098"/>
      <c r="E34" s="1098"/>
      <c r="F34" s="1098"/>
      <c r="G34" s="1098"/>
      <c r="H34" s="1098"/>
      <c r="I34" s="1098"/>
      <c r="J34" s="1098"/>
      <c r="K34" s="1098"/>
      <c r="L34" s="1098"/>
      <c r="M34" s="1098"/>
      <c r="N34" s="1098"/>
      <c r="O34" s="1098"/>
      <c r="P34" s="1098"/>
      <c r="Q34" s="1098"/>
      <c r="R34" s="1098"/>
      <c r="S34" s="1098"/>
      <c r="T34" s="1098"/>
      <c r="U34" s="1098"/>
      <c r="V34" s="1098"/>
      <c r="W34" s="1098"/>
      <c r="X34" s="1098"/>
      <c r="Y34" s="1098"/>
      <c r="Z34" s="1098"/>
      <c r="AA34" s="1098"/>
      <c r="AB34" s="1098"/>
      <c r="AC34" s="1098"/>
      <c r="AD34" s="1098"/>
      <c r="AE34" s="1098"/>
      <c r="AF34" s="1098"/>
      <c r="AG34" s="1098"/>
      <c r="AH34" s="1098"/>
      <c r="AI34" s="1098"/>
      <c r="AJ34" s="1098"/>
      <c r="AK34" s="1098"/>
      <c r="AL34" s="1098"/>
      <c r="AM34" s="1098"/>
      <c r="AN34" s="1098"/>
      <c r="AO34" s="1098"/>
      <c r="AP34" s="1098"/>
      <c r="AQ34" s="1098"/>
      <c r="AR34" s="1098"/>
      <c r="AS34" s="1098"/>
      <c r="AT34" s="1098"/>
      <c r="AU34" s="1098"/>
      <c r="AV34" s="1098"/>
      <c r="AW34" s="1098"/>
      <c r="AX34" s="1098"/>
      <c r="AY34" s="1098"/>
      <c r="AZ34" s="1098"/>
      <c r="BA34" s="1098"/>
      <c r="BB34" s="1098"/>
      <c r="BC34" s="1098"/>
      <c r="BD34" s="1098"/>
      <c r="BE34" s="1098"/>
      <c r="BF34" s="1098"/>
      <c r="BG34" s="84">
        <v>20</v>
      </c>
      <c r="BH34" s="82">
        <f>'Modelo 6'!$E$16</f>
        <v>0</v>
      </c>
      <c r="BI34" s="75" t="s">
        <v>98</v>
      </c>
      <c r="BJ34" s="75" t="s">
        <v>99</v>
      </c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92"/>
      <c r="BX34" s="29"/>
    </row>
    <row r="35" spans="1:76" s="182" customFormat="1" ht="27" hidden="1" customHeight="1">
      <c r="A35" s="537" t="str">
        <f>IF(C35="","OK","")</f>
        <v>OK</v>
      </c>
      <c r="B35" s="76"/>
      <c r="C35" s="1098"/>
      <c r="D35" s="1098"/>
      <c r="E35" s="1098"/>
      <c r="F35" s="1098"/>
      <c r="G35" s="1098"/>
      <c r="H35" s="1098"/>
      <c r="I35" s="1098"/>
      <c r="J35" s="1098"/>
      <c r="K35" s="1098"/>
      <c r="L35" s="1098"/>
      <c r="M35" s="1098"/>
      <c r="N35" s="1098"/>
      <c r="O35" s="1098"/>
      <c r="P35" s="1098"/>
      <c r="Q35" s="1098"/>
      <c r="R35" s="1098"/>
      <c r="S35" s="1098"/>
      <c r="T35" s="1098"/>
      <c r="U35" s="1098"/>
      <c r="V35" s="1098"/>
      <c r="W35" s="1098"/>
      <c r="X35" s="1098"/>
      <c r="Y35" s="1098"/>
      <c r="Z35" s="1098"/>
      <c r="AA35" s="1098"/>
      <c r="AB35" s="1098"/>
      <c r="AC35" s="1098"/>
      <c r="AD35" s="1098"/>
      <c r="AE35" s="1098"/>
      <c r="AF35" s="1098"/>
      <c r="AG35" s="1098"/>
      <c r="AH35" s="1098"/>
      <c r="AI35" s="1098"/>
      <c r="AJ35" s="1098"/>
      <c r="AK35" s="1098"/>
      <c r="AL35" s="1098"/>
      <c r="AM35" s="1098"/>
      <c r="AN35" s="1098"/>
      <c r="AO35" s="1098"/>
      <c r="AP35" s="1098"/>
      <c r="AQ35" s="1098"/>
      <c r="AR35" s="1098"/>
      <c r="AS35" s="1098"/>
      <c r="AT35" s="1098"/>
      <c r="AU35" s="1098"/>
      <c r="AV35" s="1098"/>
      <c r="AW35" s="1098"/>
      <c r="AX35" s="1098"/>
      <c r="AY35" s="1098"/>
      <c r="AZ35" s="1098"/>
      <c r="BA35" s="1098"/>
      <c r="BB35" s="1098"/>
      <c r="BC35" s="1098"/>
      <c r="BD35" s="1098"/>
      <c r="BE35" s="1098"/>
      <c r="BF35" s="1098"/>
      <c r="BG35" s="84">
        <v>21</v>
      </c>
      <c r="BH35" s="80" t="str">
        <f>Extenso($BH$34,"real","reais","centavo","centavos")</f>
        <v/>
      </c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92"/>
      <c r="BX35" s="29"/>
    </row>
    <row r="36" spans="1:76" s="182" customFormat="1" ht="27" hidden="1" customHeight="1">
      <c r="A36" s="486" t="s">
        <v>240</v>
      </c>
      <c r="B36" s="76"/>
      <c r="C36" s="1106"/>
      <c r="D36" s="1106"/>
      <c r="E36" s="1106"/>
      <c r="F36" s="1106"/>
      <c r="G36" s="1106"/>
      <c r="H36" s="1106"/>
      <c r="I36" s="1106"/>
      <c r="J36" s="1106"/>
      <c r="K36" s="1106"/>
      <c r="L36" s="1106"/>
      <c r="M36" s="1106"/>
      <c r="N36" s="1106"/>
      <c r="O36" s="1106"/>
      <c r="P36" s="1106"/>
      <c r="Q36" s="1106"/>
      <c r="R36" s="1106"/>
      <c r="S36" s="1106"/>
      <c r="T36" s="1106"/>
      <c r="U36" s="1106"/>
      <c r="V36" s="1106"/>
      <c r="W36" s="1106"/>
      <c r="X36" s="1106"/>
      <c r="Y36" s="1106"/>
      <c r="Z36" s="1106"/>
      <c r="AA36" s="1106"/>
      <c r="AB36" s="1106"/>
      <c r="AC36" s="1106"/>
      <c r="AD36" s="1106"/>
      <c r="AE36" s="1106"/>
      <c r="AF36" s="1106"/>
      <c r="AG36" s="1106"/>
      <c r="AH36" s="1106"/>
      <c r="AI36" s="1106"/>
      <c r="AJ36" s="1106"/>
      <c r="AK36" s="1106"/>
      <c r="AL36" s="1106"/>
      <c r="AM36" s="1106"/>
      <c r="AN36" s="1106"/>
      <c r="AO36" s="1106"/>
      <c r="AP36" s="1106"/>
      <c r="AQ36" s="1106"/>
      <c r="AR36" s="1106"/>
      <c r="AS36" s="1106"/>
      <c r="AT36" s="1106"/>
      <c r="AU36" s="1106"/>
      <c r="AV36" s="1106"/>
      <c r="AW36" s="1106"/>
      <c r="AX36" s="1106"/>
      <c r="AY36" s="1106"/>
      <c r="AZ36" s="1106"/>
      <c r="BA36" s="1106"/>
      <c r="BB36" s="1106"/>
      <c r="BC36" s="1106"/>
      <c r="BD36" s="1106"/>
      <c r="BE36" s="1106"/>
      <c r="BF36" s="1106"/>
      <c r="BG36" s="84">
        <v>22</v>
      </c>
      <c r="BH36" s="99" t="s">
        <v>178</v>
      </c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92"/>
      <c r="BX36" s="29"/>
    </row>
    <row r="37" spans="1:76" s="182" customFormat="1" ht="17.25" hidden="1" customHeight="1">
      <c r="A37" s="486" t="s">
        <v>240</v>
      </c>
      <c r="B37" s="76"/>
      <c r="C37" s="1105"/>
      <c r="D37" s="1105"/>
      <c r="E37" s="1105"/>
      <c r="F37" s="1105"/>
      <c r="G37" s="1105"/>
      <c r="H37" s="1105"/>
      <c r="I37" s="1105"/>
      <c r="J37" s="1105"/>
      <c r="K37" s="1105"/>
      <c r="L37" s="1105"/>
      <c r="M37" s="1105"/>
      <c r="N37" s="1105"/>
      <c r="O37" s="1105"/>
      <c r="P37" s="1105"/>
      <c r="Q37" s="1105"/>
      <c r="R37" s="1105"/>
      <c r="S37" s="1105"/>
      <c r="T37" s="1105"/>
      <c r="U37" s="1105"/>
      <c r="V37" s="1105"/>
      <c r="W37" s="1105"/>
      <c r="X37" s="1105"/>
      <c r="Y37" s="1105"/>
      <c r="Z37" s="1105"/>
      <c r="AA37" s="1105"/>
      <c r="AB37" s="1105"/>
      <c r="AC37" s="1105"/>
      <c r="AD37" s="1105"/>
      <c r="AE37" s="1105"/>
      <c r="AF37" s="1105"/>
      <c r="AG37" s="1105"/>
      <c r="AH37" s="1105"/>
      <c r="AI37" s="1105"/>
      <c r="AJ37" s="1105"/>
      <c r="AK37" s="1105"/>
      <c r="AL37" s="1105"/>
      <c r="AM37" s="1105"/>
      <c r="AN37" s="1105"/>
      <c r="AO37" s="1105"/>
      <c r="AP37" s="1105"/>
      <c r="AQ37" s="1105"/>
      <c r="AR37" s="1105"/>
      <c r="AS37" s="1105"/>
      <c r="AT37" s="1105"/>
      <c r="AU37" s="1105"/>
      <c r="AV37" s="1105"/>
      <c r="AW37" s="1105"/>
      <c r="AX37" s="1105"/>
      <c r="AY37" s="1105"/>
      <c r="AZ37" s="1105"/>
      <c r="BA37" s="1105"/>
      <c r="BB37" s="1105"/>
      <c r="BC37" s="1105"/>
      <c r="BD37" s="1105"/>
      <c r="BE37" s="1105"/>
      <c r="BF37" s="1105"/>
      <c r="BG37" s="84">
        <v>23</v>
      </c>
      <c r="BH37" s="82">
        <f>'Modelo 6'!$E$17</f>
        <v>785271.59000000008</v>
      </c>
      <c r="BI37" s="75" t="s">
        <v>98</v>
      </c>
      <c r="BJ37" s="75" t="s">
        <v>99</v>
      </c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92"/>
      <c r="BX37" s="29"/>
    </row>
    <row r="38" spans="1:76" s="182" customFormat="1" ht="17.25" hidden="1" customHeight="1">
      <c r="A38" s="486" t="s">
        <v>240</v>
      </c>
      <c r="B38" s="76"/>
      <c r="C38" s="1099"/>
      <c r="D38" s="1099"/>
      <c r="E38" s="1099"/>
      <c r="F38" s="1099"/>
      <c r="G38" s="1099"/>
      <c r="H38" s="1099"/>
      <c r="I38" s="1099"/>
      <c r="J38" s="1099"/>
      <c r="K38" s="1099"/>
      <c r="L38" s="1099"/>
      <c r="M38" s="1099"/>
      <c r="N38" s="1099"/>
      <c r="O38" s="1099"/>
      <c r="P38" s="1099"/>
      <c r="Q38" s="1099"/>
      <c r="R38" s="1099"/>
      <c r="S38" s="1099"/>
      <c r="T38" s="1099"/>
      <c r="U38" s="1099"/>
      <c r="V38" s="1099"/>
      <c r="W38" s="1099"/>
      <c r="X38" s="1099"/>
      <c r="Y38" s="1099"/>
      <c r="Z38" s="1099"/>
      <c r="AA38" s="1099"/>
      <c r="AB38" s="1099"/>
      <c r="AC38" s="1099"/>
      <c r="AD38" s="1099"/>
      <c r="AE38" s="1099"/>
      <c r="AF38" s="1099"/>
      <c r="AG38" s="1099"/>
      <c r="AH38" s="1099"/>
      <c r="AI38" s="1099"/>
      <c r="AJ38" s="1099"/>
      <c r="AK38" s="1099"/>
      <c r="AL38" s="1099"/>
      <c r="AM38" s="1099"/>
      <c r="AN38" s="1099"/>
      <c r="AO38" s="1099"/>
      <c r="AP38" s="1099"/>
      <c r="AQ38" s="1099"/>
      <c r="AR38" s="1099"/>
      <c r="AS38" s="1099"/>
      <c r="AT38" s="1099"/>
      <c r="AU38" s="1099"/>
      <c r="AV38" s="1099"/>
      <c r="AW38" s="1099"/>
      <c r="AX38" s="1099"/>
      <c r="AY38" s="1099"/>
      <c r="AZ38" s="1099"/>
      <c r="BA38" s="1099"/>
      <c r="BB38" s="1099"/>
      <c r="BC38" s="1099"/>
      <c r="BD38" s="1099"/>
      <c r="BE38" s="1099"/>
      <c r="BF38" s="1099"/>
      <c r="BG38" s="84">
        <v>24</v>
      </c>
      <c r="BH38" s="80" t="str">
        <f>Extenso($BH$37,"real","reais","centavo","centavos")</f>
        <v>setecentos e oitenta e cinco mil, duzentos e setenta e um reais e cinqüenta e nove centavos</v>
      </c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92"/>
      <c r="BX38" s="29"/>
    </row>
    <row r="39" spans="1:76" s="182" customFormat="1" ht="17.25" hidden="1" customHeight="1">
      <c r="A39" s="486" t="s">
        <v>240</v>
      </c>
      <c r="B39" s="76"/>
      <c r="C39" s="1099"/>
      <c r="D39" s="1099"/>
      <c r="E39" s="1099"/>
      <c r="F39" s="1099"/>
      <c r="G39" s="1099"/>
      <c r="H39" s="1099"/>
      <c r="I39" s="1099"/>
      <c r="J39" s="1099"/>
      <c r="K39" s="1099"/>
      <c r="L39" s="1099"/>
      <c r="M39" s="1099"/>
      <c r="N39" s="1099"/>
      <c r="O39" s="1099"/>
      <c r="P39" s="1099"/>
      <c r="Q39" s="1099"/>
      <c r="R39" s="1099"/>
      <c r="S39" s="1099"/>
      <c r="T39" s="1099"/>
      <c r="U39" s="1099"/>
      <c r="V39" s="1099"/>
      <c r="W39" s="1099"/>
      <c r="X39" s="1099"/>
      <c r="Y39" s="1099"/>
      <c r="Z39" s="1099"/>
      <c r="AA39" s="1099"/>
      <c r="AB39" s="1099"/>
      <c r="AC39" s="1099"/>
      <c r="AD39" s="1099"/>
      <c r="AE39" s="1099"/>
      <c r="AF39" s="1099"/>
      <c r="AG39" s="1099"/>
      <c r="AH39" s="1099"/>
      <c r="AI39" s="1099"/>
      <c r="AJ39" s="1099"/>
      <c r="AK39" s="1099"/>
      <c r="AL39" s="1099"/>
      <c r="AM39" s="1099"/>
      <c r="AN39" s="1099"/>
      <c r="AO39" s="1099"/>
      <c r="AP39" s="1099"/>
      <c r="AQ39" s="1099"/>
      <c r="AR39" s="1099"/>
      <c r="AS39" s="1099"/>
      <c r="AT39" s="1099"/>
      <c r="AU39" s="1099"/>
      <c r="AV39" s="1099"/>
      <c r="AW39" s="1099"/>
      <c r="AX39" s="1099"/>
      <c r="AY39" s="1099"/>
      <c r="AZ39" s="1099"/>
      <c r="BA39" s="1099"/>
      <c r="BB39" s="1099"/>
      <c r="BC39" s="1099"/>
      <c r="BD39" s="1099"/>
      <c r="BE39" s="1099"/>
      <c r="BF39" s="1099"/>
      <c r="BG39" s="85">
        <v>25</v>
      </c>
      <c r="BH39" s="99" t="s">
        <v>100</v>
      </c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92"/>
      <c r="BX39" s="29"/>
    </row>
    <row r="40" spans="1:76" s="182" customFormat="1" ht="30" customHeight="1">
      <c r="A40" s="486"/>
      <c r="B40" s="76"/>
      <c r="C40" s="1099" t="str">
        <f>$BH$42</f>
        <v>Os recursos foram aplicados de acordo com o artigo 3º, incisos de I a VI, da lei Municipal 13.991, de 10 de junho de 2005.</v>
      </c>
      <c r="D40" s="1099"/>
      <c r="E40" s="1099"/>
      <c r="F40" s="1099"/>
      <c r="G40" s="1099"/>
      <c r="H40" s="1099"/>
      <c r="I40" s="1099"/>
      <c r="J40" s="1099"/>
      <c r="K40" s="1099"/>
      <c r="L40" s="1099"/>
      <c r="M40" s="1099"/>
      <c r="N40" s="1099"/>
      <c r="O40" s="1099"/>
      <c r="P40" s="1099"/>
      <c r="Q40" s="1099"/>
      <c r="R40" s="1099"/>
      <c r="S40" s="1099"/>
      <c r="T40" s="1099"/>
      <c r="U40" s="1099"/>
      <c r="V40" s="1099"/>
      <c r="W40" s="1099"/>
      <c r="X40" s="1099"/>
      <c r="Y40" s="1099"/>
      <c r="Z40" s="1099"/>
      <c r="AA40" s="1099"/>
      <c r="AB40" s="1099"/>
      <c r="AC40" s="1099"/>
      <c r="AD40" s="1099"/>
      <c r="AE40" s="1099"/>
      <c r="AF40" s="1099"/>
      <c r="AG40" s="1099"/>
      <c r="AH40" s="1099"/>
      <c r="AI40" s="1099"/>
      <c r="AJ40" s="1099"/>
      <c r="AK40" s="1099"/>
      <c r="AL40" s="1099"/>
      <c r="AM40" s="1099"/>
      <c r="AN40" s="1099"/>
      <c r="AO40" s="1099"/>
      <c r="AP40" s="1099"/>
      <c r="AQ40" s="1099"/>
      <c r="AR40" s="1099"/>
      <c r="AS40" s="1099"/>
      <c r="AT40" s="1099"/>
      <c r="AU40" s="1099"/>
      <c r="AV40" s="1099"/>
      <c r="AW40" s="1099"/>
      <c r="AX40" s="1099"/>
      <c r="AY40" s="1099"/>
      <c r="AZ40" s="1099"/>
      <c r="BA40" s="1099"/>
      <c r="BB40" s="1099"/>
      <c r="BC40" s="1099"/>
      <c r="BD40" s="1099"/>
      <c r="BE40" s="1099"/>
      <c r="BF40" s="1099"/>
      <c r="BG40" s="85">
        <v>26</v>
      </c>
      <c r="BH40" s="99" t="s">
        <v>265</v>
      </c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92"/>
      <c r="BX40" s="29"/>
    </row>
    <row r="41" spans="1:76" s="182" customFormat="1" ht="36.75" customHeight="1">
      <c r="A41" s="29"/>
      <c r="B41" s="76"/>
      <c r="C41" s="1099" t="str">
        <f>$BH$43</f>
        <v>Informamos também que as respectivas prestações de contas das APMs foram analisadas e aprovadas sob os aspectos legal e formal, pela comissão específica constituída nesta Diretoria Regional de Educação, para esta finalidade.</v>
      </c>
      <c r="D41" s="1099"/>
      <c r="E41" s="1099"/>
      <c r="F41" s="1099"/>
      <c r="G41" s="1099"/>
      <c r="H41" s="1099"/>
      <c r="I41" s="1099"/>
      <c r="J41" s="1099"/>
      <c r="K41" s="1099"/>
      <c r="L41" s="1099"/>
      <c r="M41" s="1099"/>
      <c r="N41" s="1099"/>
      <c r="O41" s="1099"/>
      <c r="P41" s="1099"/>
      <c r="Q41" s="1099"/>
      <c r="R41" s="1099"/>
      <c r="S41" s="1099"/>
      <c r="T41" s="1099"/>
      <c r="U41" s="1099"/>
      <c r="V41" s="1099"/>
      <c r="W41" s="1099"/>
      <c r="X41" s="1099"/>
      <c r="Y41" s="1099"/>
      <c r="Z41" s="1099"/>
      <c r="AA41" s="1099"/>
      <c r="AB41" s="1099"/>
      <c r="AC41" s="1099"/>
      <c r="AD41" s="1099"/>
      <c r="AE41" s="1099"/>
      <c r="AF41" s="1099"/>
      <c r="AG41" s="1099"/>
      <c r="AH41" s="1099"/>
      <c r="AI41" s="1099"/>
      <c r="AJ41" s="1099"/>
      <c r="AK41" s="1099"/>
      <c r="AL41" s="1099"/>
      <c r="AM41" s="1099"/>
      <c r="AN41" s="1099"/>
      <c r="AO41" s="1099"/>
      <c r="AP41" s="1099"/>
      <c r="AQ41" s="1099"/>
      <c r="AR41" s="1099"/>
      <c r="AS41" s="1099"/>
      <c r="AT41" s="1099"/>
      <c r="AU41" s="1099"/>
      <c r="AV41" s="1099"/>
      <c r="AW41" s="1099"/>
      <c r="AX41" s="1099"/>
      <c r="AY41" s="1099"/>
      <c r="AZ41" s="1099"/>
      <c r="BA41" s="1099"/>
      <c r="BB41" s="1099"/>
      <c r="BC41" s="1099"/>
      <c r="BD41" s="1099"/>
      <c r="BE41" s="1099"/>
      <c r="BF41" s="1099"/>
      <c r="BG41" s="85">
        <v>27</v>
      </c>
      <c r="BH41" s="99" t="s">
        <v>264</v>
      </c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92"/>
      <c r="BX41" s="29"/>
    </row>
    <row r="42" spans="1:76" s="182" customFormat="1" ht="14.25" customHeight="1">
      <c r="A42" s="29"/>
      <c r="B42" s="76"/>
      <c r="C42" s="1099" t="str">
        <f>$BH$44</f>
        <v>Integram esta prestação de contas:</v>
      </c>
      <c r="D42" s="1099"/>
      <c r="E42" s="1099"/>
      <c r="F42" s="1099"/>
      <c r="G42" s="1099"/>
      <c r="H42" s="1099"/>
      <c r="I42" s="1099"/>
      <c r="J42" s="1099"/>
      <c r="K42" s="1099"/>
      <c r="L42" s="1099"/>
      <c r="M42" s="1099"/>
      <c r="N42" s="1099"/>
      <c r="O42" s="1099"/>
      <c r="P42" s="1099"/>
      <c r="Q42" s="1099"/>
      <c r="R42" s="1099"/>
      <c r="S42" s="1099"/>
      <c r="T42" s="1099"/>
      <c r="U42" s="1099"/>
      <c r="V42" s="1099"/>
      <c r="W42" s="1099"/>
      <c r="X42" s="1099"/>
      <c r="Y42" s="1099"/>
      <c r="Z42" s="1099"/>
      <c r="AA42" s="1099"/>
      <c r="AB42" s="1099"/>
      <c r="AC42" s="1099"/>
      <c r="AD42" s="1099"/>
      <c r="AE42" s="1099"/>
      <c r="AF42" s="1099"/>
      <c r="AG42" s="1099"/>
      <c r="AH42" s="1099"/>
      <c r="AI42" s="1099"/>
      <c r="AJ42" s="1099"/>
      <c r="AK42" s="1099"/>
      <c r="AL42" s="1099"/>
      <c r="AM42" s="1099"/>
      <c r="AN42" s="1099"/>
      <c r="AO42" s="1099"/>
      <c r="AP42" s="1099"/>
      <c r="AQ42" s="1099"/>
      <c r="AR42" s="1099"/>
      <c r="AS42" s="1099"/>
      <c r="AT42" s="1099"/>
      <c r="AU42" s="1099"/>
      <c r="AV42" s="1099"/>
      <c r="AW42" s="1099"/>
      <c r="AX42" s="1099"/>
      <c r="AY42" s="1099"/>
      <c r="AZ42" s="1099"/>
      <c r="BA42" s="1099"/>
      <c r="BB42" s="1099"/>
      <c r="BC42" s="1099"/>
      <c r="BD42" s="1099"/>
      <c r="BE42" s="1099"/>
      <c r="BF42" s="1099"/>
      <c r="BG42" s="85">
        <v>28</v>
      </c>
      <c r="BH42" s="3" t="s">
        <v>102</v>
      </c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92"/>
      <c r="BX42" s="29"/>
    </row>
    <row r="43" spans="1:76" s="182" customFormat="1" ht="14.25" customHeight="1">
      <c r="A43" s="29"/>
      <c r="B43" s="76"/>
      <c r="C43" s="29" t="s">
        <v>105</v>
      </c>
      <c r="D43" s="1099" t="str">
        <f>$BH$45</f>
        <v>Ata do Parecer Técnico Conclusivo;</v>
      </c>
      <c r="E43" s="1099"/>
      <c r="F43" s="1099"/>
      <c r="G43" s="1099"/>
      <c r="H43" s="1099"/>
      <c r="I43" s="1099"/>
      <c r="J43" s="1099"/>
      <c r="K43" s="1099"/>
      <c r="L43" s="1099"/>
      <c r="M43" s="1099"/>
      <c r="N43" s="1099"/>
      <c r="O43" s="1099"/>
      <c r="P43" s="1099"/>
      <c r="Q43" s="1099"/>
      <c r="R43" s="1099"/>
      <c r="S43" s="1099"/>
      <c r="T43" s="1099"/>
      <c r="U43" s="1099"/>
      <c r="V43" s="1099"/>
      <c r="W43" s="1099"/>
      <c r="X43" s="1099"/>
      <c r="Y43" s="1099"/>
      <c r="Z43" s="1099"/>
      <c r="AA43" s="1099"/>
      <c r="AB43" s="1099"/>
      <c r="AC43" s="1099"/>
      <c r="AD43" s="1099"/>
      <c r="AE43" s="1099"/>
      <c r="AF43" s="1099"/>
      <c r="AG43" s="1099"/>
      <c r="AH43" s="1099"/>
      <c r="AI43" s="1099"/>
      <c r="AJ43" s="1099"/>
      <c r="AK43" s="1099"/>
      <c r="AL43" s="1099"/>
      <c r="AM43" s="1099"/>
      <c r="AN43" s="1099"/>
      <c r="AO43" s="1099"/>
      <c r="AP43" s="1099"/>
      <c r="AQ43" s="1099"/>
      <c r="AR43" s="1099"/>
      <c r="AS43" s="1099"/>
      <c r="AT43" s="1099"/>
      <c r="AU43" s="1099"/>
      <c r="AV43" s="1099"/>
      <c r="AW43" s="1099"/>
      <c r="AX43" s="1099"/>
      <c r="AY43" s="1099"/>
      <c r="AZ43" s="1099"/>
      <c r="BA43" s="1099"/>
      <c r="BB43" s="1099"/>
      <c r="BC43" s="1099"/>
      <c r="BD43" s="1099"/>
      <c r="BE43" s="1099"/>
      <c r="BF43" s="1099"/>
      <c r="BG43" s="85">
        <v>29</v>
      </c>
      <c r="BH43" s="3" t="s">
        <v>271</v>
      </c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92"/>
      <c r="BX43" s="29"/>
    </row>
    <row r="44" spans="1:76" s="182" customFormat="1" ht="12.75" customHeight="1">
      <c r="A44" s="29"/>
      <c r="B44" s="76"/>
      <c r="C44" s="29" t="s">
        <v>105</v>
      </c>
      <c r="D44" s="1099" t="str">
        <f>$BH$46</f>
        <v>Demonstrativo Sintético da Execução Físico-Financeira (modelo VI);</v>
      </c>
      <c r="E44" s="1099"/>
      <c r="F44" s="1099"/>
      <c r="G44" s="1099"/>
      <c r="H44" s="1099"/>
      <c r="I44" s="1099"/>
      <c r="J44" s="1099"/>
      <c r="K44" s="1099"/>
      <c r="L44" s="1099"/>
      <c r="M44" s="1099"/>
      <c r="N44" s="1099"/>
      <c r="O44" s="1099"/>
      <c r="P44" s="1099"/>
      <c r="Q44" s="1099"/>
      <c r="R44" s="1099"/>
      <c r="S44" s="1099"/>
      <c r="T44" s="1099"/>
      <c r="U44" s="1099"/>
      <c r="V44" s="1099"/>
      <c r="W44" s="1099"/>
      <c r="X44" s="1099"/>
      <c r="Y44" s="1099"/>
      <c r="Z44" s="1099"/>
      <c r="AA44" s="1099"/>
      <c r="AB44" s="1099"/>
      <c r="AC44" s="1099"/>
      <c r="AD44" s="1099"/>
      <c r="AE44" s="1099"/>
      <c r="AF44" s="1099"/>
      <c r="AG44" s="1099"/>
      <c r="AH44" s="1099"/>
      <c r="AI44" s="1099"/>
      <c r="AJ44" s="1099"/>
      <c r="AK44" s="1099"/>
      <c r="AL44" s="1099"/>
      <c r="AM44" s="1099"/>
      <c r="AN44" s="1099"/>
      <c r="AO44" s="1099"/>
      <c r="AP44" s="1099"/>
      <c r="AQ44" s="1099"/>
      <c r="AR44" s="1099"/>
      <c r="AS44" s="1099"/>
      <c r="AT44" s="1099"/>
      <c r="AU44" s="1099"/>
      <c r="AV44" s="1099"/>
      <c r="AW44" s="1099"/>
      <c r="AX44" s="1099"/>
      <c r="AY44" s="1099"/>
      <c r="AZ44" s="1099"/>
      <c r="BA44" s="1099"/>
      <c r="BB44" s="1099"/>
      <c r="BC44" s="1099"/>
      <c r="BD44" s="1099"/>
      <c r="BE44" s="1099"/>
      <c r="BF44" s="1099"/>
      <c r="BG44" s="85">
        <v>30</v>
      </c>
      <c r="BH44" s="3" t="s">
        <v>103</v>
      </c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92"/>
      <c r="BX44" s="29"/>
    </row>
    <row r="45" spans="1:76" s="182" customFormat="1" ht="12.75" customHeight="1">
      <c r="A45" s="29"/>
      <c r="B45" s="76"/>
      <c r="C45" s="29" t="s">
        <v>105</v>
      </c>
      <c r="D45" s="1099" t="str">
        <f>$BH$47</f>
        <v>Demonstrativo Analítico da Execução Físico-Financeira (modelo VIII);</v>
      </c>
      <c r="E45" s="1099"/>
      <c r="F45" s="1099"/>
      <c r="G45" s="1099"/>
      <c r="H45" s="1099"/>
      <c r="I45" s="1099"/>
      <c r="J45" s="1099"/>
      <c r="K45" s="1099"/>
      <c r="L45" s="1099"/>
      <c r="M45" s="1099"/>
      <c r="N45" s="1099"/>
      <c r="O45" s="1099"/>
      <c r="P45" s="1099"/>
      <c r="Q45" s="1099"/>
      <c r="R45" s="1099"/>
      <c r="S45" s="1099"/>
      <c r="T45" s="1099"/>
      <c r="U45" s="1099"/>
      <c r="V45" s="1099"/>
      <c r="W45" s="1099"/>
      <c r="X45" s="1099"/>
      <c r="Y45" s="1099"/>
      <c r="Z45" s="1099"/>
      <c r="AA45" s="1099"/>
      <c r="AB45" s="1099"/>
      <c r="AC45" s="1099"/>
      <c r="AD45" s="1099"/>
      <c r="AE45" s="1099"/>
      <c r="AF45" s="1099"/>
      <c r="AG45" s="1099"/>
      <c r="AH45" s="1099"/>
      <c r="AI45" s="1099"/>
      <c r="AJ45" s="1099"/>
      <c r="AK45" s="1099"/>
      <c r="AL45" s="1099"/>
      <c r="AM45" s="1099"/>
      <c r="AN45" s="1099"/>
      <c r="AO45" s="1099"/>
      <c r="AP45" s="1099"/>
      <c r="AQ45" s="1099"/>
      <c r="AR45" s="1099"/>
      <c r="AS45" s="1099"/>
      <c r="AT45" s="1099"/>
      <c r="AU45" s="1099"/>
      <c r="AV45" s="1099"/>
      <c r="AW45" s="1099"/>
      <c r="AX45" s="1099"/>
      <c r="AY45" s="1099"/>
      <c r="AZ45" s="1099"/>
      <c r="BA45" s="1099"/>
      <c r="BB45" s="1099"/>
      <c r="BC45" s="1099"/>
      <c r="BD45" s="1099"/>
      <c r="BE45" s="1099"/>
      <c r="BF45" s="1099"/>
      <c r="BG45" s="85">
        <v>31</v>
      </c>
      <c r="BH45" s="3" t="s">
        <v>273</v>
      </c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92"/>
      <c r="BX45" s="29"/>
    </row>
    <row r="46" spans="1:76" s="182" customFormat="1" ht="12.75" customHeight="1">
      <c r="A46" s="29"/>
      <c r="B46" s="76"/>
      <c r="C46" s="29" t="s">
        <v>105</v>
      </c>
      <c r="D46" s="1099" t="str">
        <f>$BH$48</f>
        <v>Cópia da última folha dos pagamentos efetuados contendo o total por dotação orçamentária obtida no SOF;</v>
      </c>
      <c r="E46" s="1099"/>
      <c r="F46" s="1099"/>
      <c r="G46" s="1099"/>
      <c r="H46" s="1099"/>
      <c r="I46" s="1099"/>
      <c r="J46" s="1099"/>
      <c r="K46" s="1099"/>
      <c r="L46" s="1099"/>
      <c r="M46" s="1099"/>
      <c r="N46" s="1099"/>
      <c r="O46" s="1099"/>
      <c r="P46" s="1099"/>
      <c r="Q46" s="1099"/>
      <c r="R46" s="1099"/>
      <c r="S46" s="1099"/>
      <c r="T46" s="1099"/>
      <c r="U46" s="1099"/>
      <c r="V46" s="1099"/>
      <c r="W46" s="1099"/>
      <c r="X46" s="1099"/>
      <c r="Y46" s="1099"/>
      <c r="Z46" s="1099"/>
      <c r="AA46" s="1099"/>
      <c r="AB46" s="1099"/>
      <c r="AC46" s="1099"/>
      <c r="AD46" s="1099"/>
      <c r="AE46" s="1099"/>
      <c r="AF46" s="1099"/>
      <c r="AG46" s="1099"/>
      <c r="AH46" s="1099"/>
      <c r="AI46" s="1099"/>
      <c r="AJ46" s="1099"/>
      <c r="AK46" s="1099"/>
      <c r="AL46" s="1099"/>
      <c r="AM46" s="1099"/>
      <c r="AN46" s="1099"/>
      <c r="AO46" s="1099"/>
      <c r="AP46" s="1099"/>
      <c r="AQ46" s="1099"/>
      <c r="AR46" s="1099"/>
      <c r="AS46" s="1099"/>
      <c r="AT46" s="1099"/>
      <c r="AU46" s="1099"/>
      <c r="AV46" s="1099"/>
      <c r="AW46" s="1099"/>
      <c r="AX46" s="1099"/>
      <c r="AY46" s="1099"/>
      <c r="AZ46" s="1099"/>
      <c r="BA46" s="1099"/>
      <c r="BB46" s="1099"/>
      <c r="BC46" s="1099"/>
      <c r="BD46" s="1099"/>
      <c r="BE46" s="1099"/>
      <c r="BF46" s="1099"/>
      <c r="BG46" s="85">
        <v>32</v>
      </c>
      <c r="BH46" s="3" t="s">
        <v>274</v>
      </c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92"/>
      <c r="BX46" s="29"/>
    </row>
    <row r="47" spans="1:76" s="182" customFormat="1" ht="12.75" customHeight="1">
      <c r="A47" s="29"/>
      <c r="B47" s="76"/>
      <c r="C47" s="29" t="s">
        <v>105</v>
      </c>
      <c r="D47" s="1099" t="str">
        <f>$BH$49</f>
        <v>Cópia da publicação no DOC das  APM aprovadas;</v>
      </c>
      <c r="E47" s="1099"/>
      <c r="F47" s="1099"/>
      <c r="G47" s="1099"/>
      <c r="H47" s="1099"/>
      <c r="I47" s="1099"/>
      <c r="J47" s="1099"/>
      <c r="K47" s="1099"/>
      <c r="L47" s="1099"/>
      <c r="M47" s="1099"/>
      <c r="N47" s="1099"/>
      <c r="O47" s="1099"/>
      <c r="P47" s="1099"/>
      <c r="Q47" s="1099"/>
      <c r="R47" s="1099"/>
      <c r="S47" s="1099"/>
      <c r="T47" s="1099"/>
      <c r="U47" s="1099"/>
      <c r="V47" s="1099"/>
      <c r="W47" s="1099"/>
      <c r="X47" s="1099"/>
      <c r="Y47" s="1099"/>
      <c r="Z47" s="1099"/>
      <c r="AA47" s="1099"/>
      <c r="AB47" s="1099"/>
      <c r="AC47" s="1099"/>
      <c r="AD47" s="1099"/>
      <c r="AE47" s="1099"/>
      <c r="AF47" s="1099"/>
      <c r="AG47" s="1099"/>
      <c r="AH47" s="1099"/>
      <c r="AI47" s="1099"/>
      <c r="AJ47" s="1099"/>
      <c r="AK47" s="1099"/>
      <c r="AL47" s="1099"/>
      <c r="AM47" s="1099"/>
      <c r="AN47" s="1099"/>
      <c r="AO47" s="1099"/>
      <c r="AP47" s="1099"/>
      <c r="AQ47" s="1099"/>
      <c r="AR47" s="1099"/>
      <c r="AS47" s="1099"/>
      <c r="AT47" s="1099"/>
      <c r="AU47" s="1099"/>
      <c r="AV47" s="1099"/>
      <c r="AW47" s="1099"/>
      <c r="AX47" s="1099"/>
      <c r="AY47" s="1099"/>
      <c r="AZ47" s="1099"/>
      <c r="BA47" s="1099"/>
      <c r="BB47" s="1099"/>
      <c r="BC47" s="1099"/>
      <c r="BD47" s="1099"/>
      <c r="BE47" s="1099"/>
      <c r="BF47" s="1099"/>
      <c r="BG47" s="85">
        <v>33</v>
      </c>
      <c r="BH47" s="3" t="s">
        <v>275</v>
      </c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92"/>
      <c r="BX47" s="29"/>
    </row>
    <row r="48" spans="1:76" s="182" customFormat="1" ht="12.75" hidden="1" customHeight="1">
      <c r="A48" s="184" t="str">
        <f>IF(D48="","OK","")</f>
        <v>OK</v>
      </c>
      <c r="B48" s="76"/>
      <c r="C48" s="29" t="str">
        <f>IF(D48="","","●")</f>
        <v/>
      </c>
      <c r="D48" s="1099" t="str">
        <f>IF(CONSOLIDA!$DO$208&gt;0,$BH$50,"")</f>
        <v/>
      </c>
      <c r="E48" s="1099"/>
      <c r="F48" s="1099"/>
      <c r="G48" s="1099"/>
      <c r="H48" s="1099"/>
      <c r="I48" s="1099"/>
      <c r="J48" s="1099"/>
      <c r="K48" s="1099"/>
      <c r="L48" s="1099"/>
      <c r="M48" s="1099"/>
      <c r="N48" s="1099"/>
      <c r="O48" s="1099"/>
      <c r="P48" s="1099"/>
      <c r="Q48" s="1099"/>
      <c r="R48" s="1099"/>
      <c r="S48" s="1099"/>
      <c r="T48" s="1099"/>
      <c r="U48" s="1099"/>
      <c r="V48" s="1099"/>
      <c r="W48" s="1099"/>
      <c r="X48" s="1099"/>
      <c r="Y48" s="1099"/>
      <c r="Z48" s="1099"/>
      <c r="AA48" s="1099"/>
      <c r="AB48" s="1099"/>
      <c r="AC48" s="1099"/>
      <c r="AD48" s="1099"/>
      <c r="AE48" s="1099"/>
      <c r="AF48" s="1099"/>
      <c r="AG48" s="1099"/>
      <c r="AH48" s="1099"/>
      <c r="AI48" s="1099"/>
      <c r="AJ48" s="1099"/>
      <c r="AK48" s="1099"/>
      <c r="AL48" s="1099"/>
      <c r="AM48" s="1099"/>
      <c r="AN48" s="1099"/>
      <c r="AO48" s="1099"/>
      <c r="AP48" s="1099"/>
      <c r="AQ48" s="1099"/>
      <c r="AR48" s="1099"/>
      <c r="AS48" s="1099"/>
      <c r="AT48" s="1099"/>
      <c r="AU48" s="1099"/>
      <c r="AV48" s="1099"/>
      <c r="AW48" s="1099"/>
      <c r="AX48" s="1099"/>
      <c r="AY48" s="1099"/>
      <c r="AZ48" s="1099"/>
      <c r="BA48" s="1099"/>
      <c r="BB48" s="1099"/>
      <c r="BC48" s="1099"/>
      <c r="BD48" s="1099"/>
      <c r="BE48" s="1099"/>
      <c r="BF48" s="1099"/>
      <c r="BG48" s="85">
        <v>34</v>
      </c>
      <c r="BH48" s="3" t="s">
        <v>276</v>
      </c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92"/>
      <c r="BX48" s="29"/>
    </row>
    <row r="49" spans="1:76" s="182" customFormat="1" ht="13.5" hidden="1" customHeight="1">
      <c r="A49" s="184" t="str">
        <f>IF(D49="","OK","")</f>
        <v>OK</v>
      </c>
      <c r="B49" s="76"/>
      <c r="C49" s="29" t="str">
        <f>IF(D49="","","●")</f>
        <v/>
      </c>
      <c r="D49" s="1099" t="str">
        <f>IF(CONSOLIDA!$T$17&gt;0,$BH$52,"")</f>
        <v/>
      </c>
      <c r="E49" s="1099"/>
      <c r="F49" s="1099"/>
      <c r="G49" s="1099"/>
      <c r="H49" s="1099"/>
      <c r="I49" s="1099"/>
      <c r="J49" s="1099"/>
      <c r="K49" s="1099"/>
      <c r="L49" s="1099"/>
      <c r="M49" s="1099"/>
      <c r="N49" s="1099"/>
      <c r="O49" s="1099"/>
      <c r="P49" s="1099"/>
      <c r="Q49" s="1099"/>
      <c r="R49" s="1099"/>
      <c r="S49" s="1099"/>
      <c r="T49" s="1099"/>
      <c r="U49" s="1099"/>
      <c r="V49" s="1099"/>
      <c r="W49" s="1099"/>
      <c r="X49" s="1099"/>
      <c r="Y49" s="1099"/>
      <c r="Z49" s="1099"/>
      <c r="AA49" s="1099"/>
      <c r="AB49" s="1099"/>
      <c r="AC49" s="1099"/>
      <c r="AD49" s="1099"/>
      <c r="AE49" s="1099"/>
      <c r="AF49" s="1099"/>
      <c r="AG49" s="1099"/>
      <c r="AH49" s="1099"/>
      <c r="AI49" s="1099"/>
      <c r="AJ49" s="1099"/>
      <c r="AK49" s="1099"/>
      <c r="AL49" s="1099"/>
      <c r="AM49" s="1099"/>
      <c r="AN49" s="1099"/>
      <c r="AO49" s="1099"/>
      <c r="AP49" s="1099"/>
      <c r="AQ49" s="1099"/>
      <c r="AR49" s="1099"/>
      <c r="AS49" s="1099"/>
      <c r="AT49" s="1099"/>
      <c r="AU49" s="1099"/>
      <c r="AV49" s="1099"/>
      <c r="AW49" s="1099"/>
      <c r="AX49" s="1099"/>
      <c r="AY49" s="1099"/>
      <c r="AZ49" s="1099"/>
      <c r="BA49" s="1099"/>
      <c r="BB49" s="1099"/>
      <c r="BC49" s="1099"/>
      <c r="BD49" s="1099"/>
      <c r="BE49" s="1099"/>
      <c r="BF49" s="1099"/>
      <c r="BG49" s="85">
        <v>35</v>
      </c>
      <c r="BH49" s="3" t="s">
        <v>277</v>
      </c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92"/>
      <c r="BX49" s="29"/>
    </row>
    <row r="50" spans="1:76" s="182" customFormat="1" ht="15" hidden="1" customHeight="1">
      <c r="A50" s="184" t="str">
        <f>IF(D50="","OK","")</f>
        <v>OK</v>
      </c>
      <c r="B50" s="76"/>
      <c r="C50" s="29" t="str">
        <f>IF(D50="","","●")</f>
        <v/>
      </c>
      <c r="D50" s="1099" t="str">
        <f>IF(OR($A$14="",$A$14="Única",$A$14="1ª"),"",$BH$51)</f>
        <v/>
      </c>
      <c r="E50" s="1099"/>
      <c r="F50" s="1099"/>
      <c r="G50" s="1099"/>
      <c r="H50" s="1099"/>
      <c r="I50" s="1099"/>
      <c r="J50" s="1099"/>
      <c r="K50" s="1099"/>
      <c r="L50" s="1099"/>
      <c r="M50" s="1099"/>
      <c r="N50" s="1099"/>
      <c r="O50" s="1099"/>
      <c r="P50" s="1099"/>
      <c r="Q50" s="1099"/>
      <c r="R50" s="1099"/>
      <c r="S50" s="1099"/>
      <c r="T50" s="1099"/>
      <c r="U50" s="1099"/>
      <c r="V50" s="1099"/>
      <c r="W50" s="1099"/>
      <c r="X50" s="1099"/>
      <c r="Y50" s="1099"/>
      <c r="Z50" s="1099"/>
      <c r="AA50" s="1099"/>
      <c r="AB50" s="1099"/>
      <c r="AC50" s="1099"/>
      <c r="AD50" s="1099"/>
      <c r="AE50" s="1099"/>
      <c r="AF50" s="1099"/>
      <c r="AG50" s="1099"/>
      <c r="AH50" s="1099"/>
      <c r="AI50" s="1099"/>
      <c r="AJ50" s="1099"/>
      <c r="AK50" s="1099"/>
      <c r="AL50" s="1099"/>
      <c r="AM50" s="1099"/>
      <c r="AN50" s="1099"/>
      <c r="AO50" s="1099"/>
      <c r="AP50" s="1099"/>
      <c r="AQ50" s="1099"/>
      <c r="AR50" s="1099"/>
      <c r="AS50" s="1099"/>
      <c r="AT50" s="1099"/>
      <c r="AU50" s="1099"/>
      <c r="AV50" s="1099"/>
      <c r="AW50" s="1099"/>
      <c r="AX50" s="1099"/>
      <c r="AY50" s="1099"/>
      <c r="AZ50" s="1099"/>
      <c r="BA50" s="1099"/>
      <c r="BB50" s="1099"/>
      <c r="BC50" s="1099"/>
      <c r="BD50" s="1099"/>
      <c r="BE50" s="1099"/>
      <c r="BF50" s="1099"/>
      <c r="BG50" s="97">
        <v>36</v>
      </c>
      <c r="BH50" s="3" t="s">
        <v>278</v>
      </c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92"/>
      <c r="BX50" s="29"/>
    </row>
    <row r="51" spans="1:76" s="182" customFormat="1" ht="13.5" hidden="1" customHeight="1">
      <c r="A51" s="257" t="s">
        <v>240</v>
      </c>
      <c r="B51" s="1089"/>
      <c r="C51" s="1089"/>
      <c r="D51" s="1089"/>
      <c r="E51" s="1089"/>
      <c r="F51" s="1089"/>
      <c r="G51" s="1089"/>
      <c r="H51" s="1089"/>
      <c r="I51" s="1089"/>
      <c r="J51" s="1089"/>
      <c r="K51" s="1089"/>
      <c r="L51" s="1089"/>
      <c r="M51" s="1089"/>
      <c r="N51" s="1089"/>
      <c r="O51" s="1089"/>
      <c r="P51" s="1089"/>
      <c r="Q51" s="1089"/>
      <c r="R51" s="1089"/>
      <c r="S51" s="1089"/>
      <c r="T51" s="1089"/>
      <c r="U51" s="1089"/>
      <c r="V51" s="1089"/>
      <c r="W51" s="1089"/>
      <c r="X51" s="1089"/>
      <c r="Y51" s="1089"/>
      <c r="Z51" s="1089"/>
      <c r="AA51" s="1089"/>
      <c r="AB51" s="1089"/>
      <c r="AC51" s="1089"/>
      <c r="AD51" s="1089"/>
      <c r="AE51" s="1089"/>
      <c r="AF51" s="1089"/>
      <c r="AG51" s="1089"/>
      <c r="AH51" s="1089"/>
      <c r="AI51" s="1089"/>
      <c r="AJ51" s="1089"/>
      <c r="AK51" s="1089"/>
      <c r="AL51" s="1089"/>
      <c r="AM51" s="1089"/>
      <c r="AN51" s="1089"/>
      <c r="AO51" s="1089"/>
      <c r="AP51" s="1089"/>
      <c r="AQ51" s="1089"/>
      <c r="AR51" s="1089"/>
      <c r="AS51" s="1089"/>
      <c r="AT51" s="1089"/>
      <c r="AU51" s="1089"/>
      <c r="AV51" s="1089"/>
      <c r="AW51" s="1089"/>
      <c r="AX51" s="1089"/>
      <c r="AY51" s="1089"/>
      <c r="AZ51" s="1089"/>
      <c r="BA51" s="1089"/>
      <c r="BB51" s="1089"/>
      <c r="BC51" s="1089"/>
      <c r="BD51" s="1089"/>
      <c r="BE51" s="1089"/>
      <c r="BF51" s="1089"/>
      <c r="BG51" s="97">
        <v>37</v>
      </c>
      <c r="BH51" s="3" t="s">
        <v>156</v>
      </c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92"/>
      <c r="BX51" s="29"/>
    </row>
    <row r="52" spans="1:76" s="182" customFormat="1" ht="18" customHeight="1">
      <c r="A52" s="100" t="str">
        <f t="shared" ref="A52:A54" si="1">IF(BG52=0,"OK","")</f>
        <v/>
      </c>
      <c r="B52" s="29"/>
      <c r="C52" s="1087" t="str">
        <f>IF($C$53=0,0,IF($C$53=1,$BH$55,$BH$54))</f>
        <v>As APMs das Unidades Escolares abaixo, não apresentaram despesas de custeio neste período.</v>
      </c>
      <c r="D52" s="1087"/>
      <c r="E52" s="1087"/>
      <c r="F52" s="1087"/>
      <c r="G52" s="1087"/>
      <c r="H52" s="1087"/>
      <c r="I52" s="1087"/>
      <c r="J52" s="1087"/>
      <c r="K52" s="1087"/>
      <c r="L52" s="1087"/>
      <c r="M52" s="1087"/>
      <c r="N52" s="1087"/>
      <c r="O52" s="1087"/>
      <c r="P52" s="1087"/>
      <c r="Q52" s="1087"/>
      <c r="R52" s="1087"/>
      <c r="S52" s="1087"/>
      <c r="T52" s="1087"/>
      <c r="U52" s="1087"/>
      <c r="V52" s="1087"/>
      <c r="W52" s="1087"/>
      <c r="X52" s="1087"/>
      <c r="Y52" s="1087"/>
      <c r="Z52" s="1087"/>
      <c r="AA52" s="1087"/>
      <c r="AB52" s="1087"/>
      <c r="AC52" s="1087"/>
      <c r="AD52" s="1087"/>
      <c r="AE52" s="1087"/>
      <c r="AF52" s="1087"/>
      <c r="AG52" s="1087"/>
      <c r="AH52" s="1087"/>
      <c r="AI52" s="1087"/>
      <c r="AJ52" s="1087"/>
      <c r="AK52" s="1087"/>
      <c r="AL52" s="1087"/>
      <c r="AM52" s="1087"/>
      <c r="AN52" s="1087"/>
      <c r="AO52" s="1087"/>
      <c r="AP52" s="1087"/>
      <c r="AQ52" s="1087"/>
      <c r="AR52" s="1087"/>
      <c r="AS52" s="1087"/>
      <c r="AT52" s="1087"/>
      <c r="AU52" s="1087"/>
      <c r="AV52" s="1087"/>
      <c r="AW52" s="1087"/>
      <c r="AX52" s="1087"/>
      <c r="AY52" s="1087"/>
      <c r="AZ52" s="1087"/>
      <c r="BA52" s="1087"/>
      <c r="BB52" s="1087"/>
      <c r="BC52" s="1087"/>
      <c r="BD52" s="1087"/>
      <c r="BE52" s="1087"/>
      <c r="BF52" s="1087"/>
      <c r="BG52" s="29">
        <f>IF(C52=0,0,1)</f>
        <v>1</v>
      </c>
      <c r="BH52" s="3" t="s">
        <v>104</v>
      </c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92"/>
      <c r="BX52" s="29"/>
    </row>
    <row r="53" spans="1:76" s="182" customFormat="1" ht="13.5" customHeight="1">
      <c r="A53" s="100" t="str">
        <f t="shared" si="1"/>
        <v/>
      </c>
      <c r="B53" s="29"/>
      <c r="C53" s="1097">
        <f>CONSOLIDA!GC1</f>
        <v>5</v>
      </c>
      <c r="D53" s="1097"/>
      <c r="E53" s="1097"/>
      <c r="F53" s="1097"/>
      <c r="G53" s="1097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300"/>
      <c r="BC53" s="300"/>
      <c r="BD53" s="300"/>
      <c r="BE53" s="300"/>
      <c r="BF53" s="300"/>
      <c r="BG53" s="29">
        <f>IF(C53=0,0,1)</f>
        <v>1</v>
      </c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92"/>
      <c r="BX53" s="29"/>
    </row>
    <row r="54" spans="1:76" s="182" customFormat="1" ht="13.5" customHeight="1">
      <c r="A54" s="100" t="str">
        <f t="shared" si="1"/>
        <v/>
      </c>
      <c r="B54" s="29"/>
      <c r="C54" s="1096" t="s">
        <v>224</v>
      </c>
      <c r="D54" s="1096"/>
      <c r="E54" s="1096"/>
      <c r="F54" s="1096"/>
      <c r="G54" s="1096"/>
      <c r="H54" s="1096" t="s">
        <v>239</v>
      </c>
      <c r="I54" s="1096"/>
      <c r="J54" s="1096"/>
      <c r="K54" s="1096"/>
      <c r="L54" s="1096"/>
      <c r="M54" s="1096"/>
      <c r="N54" s="1096"/>
      <c r="O54" s="1096"/>
      <c r="P54" s="1096"/>
      <c r="Q54" s="1096"/>
      <c r="R54" s="1096"/>
      <c r="S54" s="1096"/>
      <c r="T54" s="1096"/>
      <c r="U54" s="1096"/>
      <c r="V54" s="1096"/>
      <c r="W54" s="1096"/>
      <c r="X54" s="1096"/>
      <c r="Y54" s="1096"/>
      <c r="Z54" s="1096"/>
      <c r="AA54" s="1096"/>
      <c r="AB54" s="1096"/>
      <c r="AC54" s="1096"/>
      <c r="AD54" s="1096"/>
      <c r="AE54" s="1096"/>
      <c r="AF54" s="1096"/>
      <c r="AG54" s="1096"/>
      <c r="AH54" s="1096"/>
      <c r="AI54" s="1096"/>
      <c r="AJ54" s="1096"/>
      <c r="AK54" s="1096"/>
      <c r="AL54" s="1096"/>
      <c r="AM54" s="1096" t="s">
        <v>272</v>
      </c>
      <c r="AN54" s="1096"/>
      <c r="AO54" s="1096"/>
      <c r="AP54" s="1096"/>
      <c r="AQ54" s="1096"/>
      <c r="AR54" s="1096"/>
      <c r="AS54" s="1096"/>
      <c r="AT54" s="1096"/>
      <c r="AU54" s="1096"/>
      <c r="AV54" s="1096"/>
      <c r="AW54" s="1096"/>
      <c r="AX54" s="1096"/>
      <c r="AY54" s="1096"/>
      <c r="AZ54" s="1096"/>
      <c r="BA54" s="1096"/>
      <c r="BB54" s="1096"/>
      <c r="BC54" s="1096"/>
      <c r="BD54" s="1096"/>
      <c r="BE54" s="1096"/>
      <c r="BF54" s="1096"/>
      <c r="BG54" s="29">
        <f>IF(C53=0,0,1)</f>
        <v>1</v>
      </c>
      <c r="BH54" s="182" t="s">
        <v>242</v>
      </c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92"/>
      <c r="BX54" s="29"/>
    </row>
    <row r="55" spans="1:76" s="182" customFormat="1" ht="12.75" customHeight="1">
      <c r="A55" s="456" t="str">
        <f>IF(AND(BG55=0,AM55=""),"OK","")</f>
        <v/>
      </c>
      <c r="B55" s="538">
        <f>IF(C55=0,"",1)</f>
        <v>1</v>
      </c>
      <c r="C55" s="1086">
        <f>CONSOLIDA!GD4</f>
        <v>400090</v>
      </c>
      <c r="D55" s="1086"/>
      <c r="E55" s="1086"/>
      <c r="F55" s="1086"/>
      <c r="G55" s="1086"/>
      <c r="H55" s="1087" t="str">
        <f>CONSOLIDA!GE4</f>
        <v>CEI - JARDIM KAGOHARA</v>
      </c>
      <c r="I55" s="1087"/>
      <c r="J55" s="1087"/>
      <c r="K55" s="1087"/>
      <c r="L55" s="1087"/>
      <c r="M55" s="1087"/>
      <c r="N55" s="1087"/>
      <c r="O55" s="1087"/>
      <c r="P55" s="1087"/>
      <c r="Q55" s="1087"/>
      <c r="R55" s="1087"/>
      <c r="S55" s="1087"/>
      <c r="T55" s="1087"/>
      <c r="U55" s="1087"/>
      <c r="V55" s="1087"/>
      <c r="W55" s="1087"/>
      <c r="X55" s="1087"/>
      <c r="Y55" s="1087"/>
      <c r="Z55" s="1087"/>
      <c r="AA55" s="1087"/>
      <c r="AB55" s="1087"/>
      <c r="AC55" s="1087"/>
      <c r="AD55" s="1087"/>
      <c r="AE55" s="1087"/>
      <c r="AF55" s="1087"/>
      <c r="AG55" s="1087"/>
      <c r="AH55" s="1087"/>
      <c r="AI55" s="1087"/>
      <c r="AJ55" s="1087"/>
      <c r="AK55" s="1087"/>
      <c r="AL55" s="1087"/>
      <c r="AM55" s="1092"/>
      <c r="AN55" s="1088"/>
      <c r="AO55" s="1088"/>
      <c r="AP55" s="1088"/>
      <c r="AQ55" s="1088"/>
      <c r="AR55" s="1088"/>
      <c r="AS55" s="1088"/>
      <c r="AT55" s="1088"/>
      <c r="AU55" s="1088"/>
      <c r="AV55" s="1088"/>
      <c r="AW55" s="1088"/>
      <c r="AX55" s="1088"/>
      <c r="AY55" s="1088"/>
      <c r="AZ55" s="1088"/>
      <c r="BA55" s="1088"/>
      <c r="BB55" s="1088"/>
      <c r="BC55" s="1088"/>
      <c r="BD55" s="1088"/>
      <c r="BE55" s="1088"/>
      <c r="BF55" s="1088"/>
      <c r="BG55" s="29">
        <f t="shared" ref="BG55:BG118" si="2">IF(C55=0,0,1)</f>
        <v>1</v>
      </c>
      <c r="BH55" s="182" t="s">
        <v>238</v>
      </c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92"/>
      <c r="BX55" s="29"/>
    </row>
    <row r="56" spans="1:76" s="182" customFormat="1" ht="12.75" customHeight="1">
      <c r="A56" s="512" t="str">
        <f t="shared" ref="A56:A119" si="3">IF(AND(BG56=0,AM56=""),"OK","")</f>
        <v/>
      </c>
      <c r="B56" s="538">
        <f>IF(C56=0,"",B55+1)</f>
        <v>2</v>
      </c>
      <c r="C56" s="1086">
        <f>CONSOLIDA!GD5</f>
        <v>92908</v>
      </c>
      <c r="D56" s="1086"/>
      <c r="E56" s="1086"/>
      <c r="F56" s="1086"/>
      <c r="G56" s="1086"/>
      <c r="H56" s="1087" t="str">
        <f>CONSOLIDA!GE5</f>
        <v>EMEF - CLEMENTE PASTORE, PROF.</v>
      </c>
      <c r="I56" s="1087"/>
      <c r="J56" s="1087"/>
      <c r="K56" s="1087"/>
      <c r="L56" s="1087"/>
      <c r="M56" s="1087"/>
      <c r="N56" s="1087"/>
      <c r="O56" s="1087"/>
      <c r="P56" s="1087"/>
      <c r="Q56" s="1087"/>
      <c r="R56" s="1087"/>
      <c r="S56" s="1087"/>
      <c r="T56" s="1087"/>
      <c r="U56" s="1087"/>
      <c r="V56" s="1087"/>
      <c r="W56" s="1087"/>
      <c r="X56" s="1087"/>
      <c r="Y56" s="1087"/>
      <c r="Z56" s="1087"/>
      <c r="AA56" s="1087"/>
      <c r="AB56" s="1087"/>
      <c r="AC56" s="1087"/>
      <c r="AD56" s="1087"/>
      <c r="AE56" s="1087"/>
      <c r="AF56" s="1087"/>
      <c r="AG56" s="1087"/>
      <c r="AH56" s="1087"/>
      <c r="AI56" s="1087"/>
      <c r="AJ56" s="1087"/>
      <c r="AK56" s="1087"/>
      <c r="AL56" s="1087"/>
      <c r="AM56" s="1092"/>
      <c r="AN56" s="1088"/>
      <c r="AO56" s="1088"/>
      <c r="AP56" s="1088"/>
      <c r="AQ56" s="1088"/>
      <c r="AR56" s="1088"/>
      <c r="AS56" s="1088"/>
      <c r="AT56" s="1088"/>
      <c r="AU56" s="1088"/>
      <c r="AV56" s="1088"/>
      <c r="AW56" s="1088"/>
      <c r="AX56" s="1088"/>
      <c r="AY56" s="1088"/>
      <c r="AZ56" s="1088"/>
      <c r="BA56" s="1088"/>
      <c r="BB56" s="1088"/>
      <c r="BC56" s="1088"/>
      <c r="BD56" s="1088"/>
      <c r="BE56" s="1088"/>
      <c r="BF56" s="1088"/>
      <c r="BG56" s="29">
        <f t="shared" si="2"/>
        <v>1</v>
      </c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92"/>
      <c r="BX56" s="29"/>
    </row>
    <row r="57" spans="1:76" s="182" customFormat="1" ht="12.75" customHeight="1">
      <c r="A57" s="512" t="str">
        <f t="shared" si="3"/>
        <v/>
      </c>
      <c r="B57" s="538">
        <f t="shared" ref="B57:B120" si="4">IF(C57=0,"",B56+1)</f>
        <v>3</v>
      </c>
      <c r="C57" s="1086">
        <f>CONSOLIDA!GD6</f>
        <v>99228</v>
      </c>
      <c r="D57" s="1086"/>
      <c r="E57" s="1086"/>
      <c r="F57" s="1086"/>
      <c r="G57" s="1086"/>
      <c r="H57" s="1087" t="str">
        <f>CONSOLIDA!GE6</f>
        <v>EMEF - JOAO PEDRO DE CARVALHO NETO, DR.</v>
      </c>
      <c r="I57" s="1087"/>
      <c r="J57" s="1087"/>
      <c r="K57" s="1087"/>
      <c r="L57" s="1087"/>
      <c r="M57" s="1087"/>
      <c r="N57" s="1087"/>
      <c r="O57" s="1087"/>
      <c r="P57" s="1087"/>
      <c r="Q57" s="1087"/>
      <c r="R57" s="1087"/>
      <c r="S57" s="1087"/>
      <c r="T57" s="1087"/>
      <c r="U57" s="1087"/>
      <c r="V57" s="1087"/>
      <c r="W57" s="1087"/>
      <c r="X57" s="1087"/>
      <c r="Y57" s="1087"/>
      <c r="Z57" s="1087"/>
      <c r="AA57" s="1087"/>
      <c r="AB57" s="1087"/>
      <c r="AC57" s="1087"/>
      <c r="AD57" s="1087"/>
      <c r="AE57" s="1087"/>
      <c r="AF57" s="1087"/>
      <c r="AG57" s="1087"/>
      <c r="AH57" s="1087"/>
      <c r="AI57" s="1087"/>
      <c r="AJ57" s="1087"/>
      <c r="AK57" s="1087"/>
      <c r="AL57" s="1087"/>
      <c r="AM57" s="1092"/>
      <c r="AN57" s="1088"/>
      <c r="AO57" s="1088"/>
      <c r="AP57" s="1088"/>
      <c r="AQ57" s="1088"/>
      <c r="AR57" s="1088"/>
      <c r="AS57" s="1088"/>
      <c r="AT57" s="1088"/>
      <c r="AU57" s="1088"/>
      <c r="AV57" s="1088"/>
      <c r="AW57" s="1088"/>
      <c r="AX57" s="1088"/>
      <c r="AY57" s="1088"/>
      <c r="AZ57" s="1088"/>
      <c r="BA57" s="1088"/>
      <c r="BB57" s="1088"/>
      <c r="BC57" s="1088"/>
      <c r="BD57" s="1088"/>
      <c r="BE57" s="1088"/>
      <c r="BF57" s="1088"/>
      <c r="BG57" s="29">
        <f t="shared" si="2"/>
        <v>1</v>
      </c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92"/>
      <c r="BX57" s="29"/>
    </row>
    <row r="58" spans="1:76" s="182" customFormat="1" ht="12.75" customHeight="1">
      <c r="A58" s="512" t="str">
        <f t="shared" si="3"/>
        <v/>
      </c>
      <c r="B58" s="538">
        <f t="shared" si="4"/>
        <v>4</v>
      </c>
      <c r="C58" s="1086">
        <f>CONSOLIDA!GD7</f>
        <v>19490</v>
      </c>
      <c r="D58" s="1086"/>
      <c r="E58" s="1086"/>
      <c r="F58" s="1086"/>
      <c r="G58" s="1086"/>
      <c r="H58" s="1087" t="str">
        <f>CONSOLIDA!GE7</f>
        <v>EMEI - CAMPO LIMPO VI</v>
      </c>
      <c r="I58" s="1087"/>
      <c r="J58" s="1087"/>
      <c r="K58" s="1087"/>
      <c r="L58" s="1087"/>
      <c r="M58" s="1087"/>
      <c r="N58" s="1087"/>
      <c r="O58" s="1087"/>
      <c r="P58" s="1087"/>
      <c r="Q58" s="1087"/>
      <c r="R58" s="1087"/>
      <c r="S58" s="1087"/>
      <c r="T58" s="1087"/>
      <c r="U58" s="1087"/>
      <c r="V58" s="1087"/>
      <c r="W58" s="1087"/>
      <c r="X58" s="1087"/>
      <c r="Y58" s="1087"/>
      <c r="Z58" s="1087"/>
      <c r="AA58" s="1087"/>
      <c r="AB58" s="1087"/>
      <c r="AC58" s="1087"/>
      <c r="AD58" s="1087"/>
      <c r="AE58" s="1087"/>
      <c r="AF58" s="1087"/>
      <c r="AG58" s="1087"/>
      <c r="AH58" s="1087"/>
      <c r="AI58" s="1087"/>
      <c r="AJ58" s="1087"/>
      <c r="AK58" s="1087"/>
      <c r="AL58" s="1087"/>
      <c r="AM58" s="1092"/>
      <c r="AN58" s="1088"/>
      <c r="AO58" s="1088"/>
      <c r="AP58" s="1088"/>
      <c r="AQ58" s="1088"/>
      <c r="AR58" s="1088"/>
      <c r="AS58" s="1088"/>
      <c r="AT58" s="1088"/>
      <c r="AU58" s="1088"/>
      <c r="AV58" s="1088"/>
      <c r="AW58" s="1088"/>
      <c r="AX58" s="1088"/>
      <c r="AY58" s="1088"/>
      <c r="AZ58" s="1088"/>
      <c r="BA58" s="1088"/>
      <c r="BB58" s="1088"/>
      <c r="BC58" s="1088"/>
      <c r="BD58" s="1088"/>
      <c r="BE58" s="1088"/>
      <c r="BF58" s="1088"/>
      <c r="BG58" s="29">
        <f t="shared" si="2"/>
        <v>1</v>
      </c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92"/>
      <c r="BX58" s="29"/>
    </row>
    <row r="59" spans="1:76" s="182" customFormat="1" ht="12.75" customHeight="1">
      <c r="A59" s="512" t="str">
        <f t="shared" si="3"/>
        <v/>
      </c>
      <c r="B59" s="538">
        <f t="shared" si="4"/>
        <v>5</v>
      </c>
      <c r="C59" s="1086">
        <f>CONSOLIDA!GD8</f>
        <v>200252</v>
      </c>
      <c r="D59" s="1086"/>
      <c r="E59" s="1086"/>
      <c r="F59" s="1086"/>
      <c r="G59" s="1086"/>
      <c r="H59" s="1087" t="str">
        <f>CONSOLIDA!GE8</f>
        <v>CEU - CAPAO REDONDO - CELSO SEIXAS RIBEIRO BASTOS, PROF. E DR.</v>
      </c>
      <c r="I59" s="1087"/>
      <c r="J59" s="1087"/>
      <c r="K59" s="1087"/>
      <c r="L59" s="1087"/>
      <c r="M59" s="1087"/>
      <c r="N59" s="1087"/>
      <c r="O59" s="1087"/>
      <c r="P59" s="1087"/>
      <c r="Q59" s="1087"/>
      <c r="R59" s="1087"/>
      <c r="S59" s="1087"/>
      <c r="T59" s="1087"/>
      <c r="U59" s="1087"/>
      <c r="V59" s="1087"/>
      <c r="W59" s="1087"/>
      <c r="X59" s="1087"/>
      <c r="Y59" s="1087"/>
      <c r="Z59" s="1087"/>
      <c r="AA59" s="1087"/>
      <c r="AB59" s="1087"/>
      <c r="AC59" s="1087"/>
      <c r="AD59" s="1087"/>
      <c r="AE59" s="1087"/>
      <c r="AF59" s="1087"/>
      <c r="AG59" s="1087"/>
      <c r="AH59" s="1087"/>
      <c r="AI59" s="1087"/>
      <c r="AJ59" s="1087"/>
      <c r="AK59" s="1087"/>
      <c r="AL59" s="1087"/>
      <c r="AM59" s="1092"/>
      <c r="AN59" s="1088"/>
      <c r="AO59" s="1088"/>
      <c r="AP59" s="1088"/>
      <c r="AQ59" s="1088"/>
      <c r="AR59" s="1088"/>
      <c r="AS59" s="1088"/>
      <c r="AT59" s="1088"/>
      <c r="AU59" s="1088"/>
      <c r="AV59" s="1088"/>
      <c r="AW59" s="1088"/>
      <c r="AX59" s="1088"/>
      <c r="AY59" s="1088"/>
      <c r="AZ59" s="1088"/>
      <c r="BA59" s="1088"/>
      <c r="BB59" s="1088"/>
      <c r="BC59" s="1088"/>
      <c r="BD59" s="1088"/>
      <c r="BE59" s="1088"/>
      <c r="BF59" s="1088"/>
      <c r="BG59" s="29">
        <f t="shared" si="2"/>
        <v>1</v>
      </c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92"/>
      <c r="BX59" s="29"/>
    </row>
    <row r="60" spans="1:76" s="182" customFormat="1" ht="12.75" hidden="1" customHeight="1">
      <c r="A60" s="512" t="str">
        <f t="shared" si="3"/>
        <v>OK</v>
      </c>
      <c r="B60" s="538" t="str">
        <f t="shared" si="4"/>
        <v/>
      </c>
      <c r="C60" s="1086">
        <f>CONSOLIDA!GD9</f>
        <v>0</v>
      </c>
      <c r="D60" s="1086"/>
      <c r="E60" s="1086"/>
      <c r="F60" s="1086"/>
      <c r="G60" s="1086"/>
      <c r="H60" s="1087">
        <f>CONSOLIDA!GE9</f>
        <v>0</v>
      </c>
      <c r="I60" s="1087"/>
      <c r="J60" s="1087"/>
      <c r="K60" s="1087"/>
      <c r="L60" s="1087"/>
      <c r="M60" s="1087"/>
      <c r="N60" s="1087"/>
      <c r="O60" s="1087"/>
      <c r="P60" s="1087"/>
      <c r="Q60" s="1087"/>
      <c r="R60" s="1087"/>
      <c r="S60" s="1087"/>
      <c r="T60" s="1087"/>
      <c r="U60" s="1087"/>
      <c r="V60" s="1087"/>
      <c r="W60" s="1087"/>
      <c r="X60" s="1087"/>
      <c r="Y60" s="1087"/>
      <c r="Z60" s="1087"/>
      <c r="AA60" s="1087"/>
      <c r="AB60" s="1087"/>
      <c r="AC60" s="1087"/>
      <c r="AD60" s="1087"/>
      <c r="AE60" s="1087"/>
      <c r="AF60" s="1087"/>
      <c r="AG60" s="1087"/>
      <c r="AH60" s="1087"/>
      <c r="AI60" s="1087"/>
      <c r="AJ60" s="1087"/>
      <c r="AK60" s="1087"/>
      <c r="AL60" s="1087"/>
      <c r="AM60" s="1092"/>
      <c r="AN60" s="1088"/>
      <c r="AO60" s="1088"/>
      <c r="AP60" s="1088"/>
      <c r="AQ60" s="1088"/>
      <c r="AR60" s="1088"/>
      <c r="AS60" s="1088"/>
      <c r="AT60" s="1088"/>
      <c r="AU60" s="1088"/>
      <c r="AV60" s="1088"/>
      <c r="AW60" s="1088"/>
      <c r="AX60" s="1088"/>
      <c r="AY60" s="1088"/>
      <c r="AZ60" s="1088"/>
      <c r="BA60" s="1088"/>
      <c r="BB60" s="1088"/>
      <c r="BC60" s="1088"/>
      <c r="BD60" s="1088"/>
      <c r="BE60" s="1088"/>
      <c r="BF60" s="1088"/>
      <c r="BG60" s="29">
        <f t="shared" si="2"/>
        <v>0</v>
      </c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92"/>
      <c r="BX60" s="29"/>
    </row>
    <row r="61" spans="1:76" s="182" customFormat="1" ht="12.75" hidden="1" customHeight="1">
      <c r="A61" s="512" t="str">
        <f t="shared" si="3"/>
        <v>OK</v>
      </c>
      <c r="B61" s="538" t="str">
        <f t="shared" si="4"/>
        <v/>
      </c>
      <c r="C61" s="1086">
        <f>CONSOLIDA!GD10</f>
        <v>0</v>
      </c>
      <c r="D61" s="1086"/>
      <c r="E61" s="1086"/>
      <c r="F61" s="1086"/>
      <c r="G61" s="1086"/>
      <c r="H61" s="1087">
        <f>CONSOLIDA!GE10</f>
        <v>0</v>
      </c>
      <c r="I61" s="1087"/>
      <c r="J61" s="1087"/>
      <c r="K61" s="1087"/>
      <c r="L61" s="1087"/>
      <c r="M61" s="1087"/>
      <c r="N61" s="1087"/>
      <c r="O61" s="1087"/>
      <c r="P61" s="1087"/>
      <c r="Q61" s="1087"/>
      <c r="R61" s="1087"/>
      <c r="S61" s="1087"/>
      <c r="T61" s="1087"/>
      <c r="U61" s="1087"/>
      <c r="V61" s="1087"/>
      <c r="W61" s="1087"/>
      <c r="X61" s="1087"/>
      <c r="Y61" s="1087"/>
      <c r="Z61" s="1087"/>
      <c r="AA61" s="1087"/>
      <c r="AB61" s="1087"/>
      <c r="AC61" s="1087"/>
      <c r="AD61" s="1087"/>
      <c r="AE61" s="1087"/>
      <c r="AF61" s="1087"/>
      <c r="AG61" s="1087"/>
      <c r="AH61" s="1087"/>
      <c r="AI61" s="1087"/>
      <c r="AJ61" s="1087"/>
      <c r="AK61" s="1087"/>
      <c r="AL61" s="1087"/>
      <c r="AM61" s="1092"/>
      <c r="AN61" s="1088"/>
      <c r="AO61" s="1088"/>
      <c r="AP61" s="1088"/>
      <c r="AQ61" s="1088"/>
      <c r="AR61" s="1088"/>
      <c r="AS61" s="1088"/>
      <c r="AT61" s="1088"/>
      <c r="AU61" s="1088"/>
      <c r="AV61" s="1088"/>
      <c r="AW61" s="1088"/>
      <c r="AX61" s="1088"/>
      <c r="AY61" s="1088"/>
      <c r="AZ61" s="1088"/>
      <c r="BA61" s="1088"/>
      <c r="BB61" s="1088"/>
      <c r="BC61" s="1088"/>
      <c r="BD61" s="1088"/>
      <c r="BE61" s="1088"/>
      <c r="BF61" s="1088"/>
      <c r="BG61" s="29">
        <f t="shared" si="2"/>
        <v>0</v>
      </c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92"/>
      <c r="BX61" s="29"/>
    </row>
    <row r="62" spans="1:76" s="182" customFormat="1" ht="12.75" hidden="1" customHeight="1">
      <c r="A62" s="512" t="str">
        <f t="shared" si="3"/>
        <v>OK</v>
      </c>
      <c r="B62" s="538" t="str">
        <f t="shared" si="4"/>
        <v/>
      </c>
      <c r="C62" s="1086">
        <f>CONSOLIDA!GD11</f>
        <v>0</v>
      </c>
      <c r="D62" s="1086"/>
      <c r="E62" s="1086"/>
      <c r="F62" s="1086"/>
      <c r="G62" s="1086"/>
      <c r="H62" s="1087">
        <f>CONSOLIDA!GE11</f>
        <v>0</v>
      </c>
      <c r="I62" s="1087"/>
      <c r="J62" s="1087"/>
      <c r="K62" s="1087"/>
      <c r="L62" s="1087"/>
      <c r="M62" s="1087"/>
      <c r="N62" s="1087"/>
      <c r="O62" s="1087"/>
      <c r="P62" s="1087"/>
      <c r="Q62" s="1087"/>
      <c r="R62" s="1087"/>
      <c r="S62" s="1087"/>
      <c r="T62" s="1087"/>
      <c r="U62" s="1087"/>
      <c r="V62" s="1087"/>
      <c r="W62" s="1087"/>
      <c r="X62" s="1087"/>
      <c r="Y62" s="1087"/>
      <c r="Z62" s="1087"/>
      <c r="AA62" s="1087"/>
      <c r="AB62" s="1087"/>
      <c r="AC62" s="1087"/>
      <c r="AD62" s="1087"/>
      <c r="AE62" s="1087"/>
      <c r="AF62" s="1087"/>
      <c r="AG62" s="1087"/>
      <c r="AH62" s="1087"/>
      <c r="AI62" s="1087"/>
      <c r="AJ62" s="1087"/>
      <c r="AK62" s="1087"/>
      <c r="AL62" s="1087"/>
      <c r="AM62" s="1092"/>
      <c r="AN62" s="1088"/>
      <c r="AO62" s="1088"/>
      <c r="AP62" s="1088"/>
      <c r="AQ62" s="1088"/>
      <c r="AR62" s="1088"/>
      <c r="AS62" s="1088"/>
      <c r="AT62" s="1088"/>
      <c r="AU62" s="1088"/>
      <c r="AV62" s="1088"/>
      <c r="AW62" s="1088"/>
      <c r="AX62" s="1088"/>
      <c r="AY62" s="1088"/>
      <c r="AZ62" s="1088"/>
      <c r="BA62" s="1088"/>
      <c r="BB62" s="1088"/>
      <c r="BC62" s="1088"/>
      <c r="BD62" s="1088"/>
      <c r="BE62" s="1088"/>
      <c r="BF62" s="1088"/>
      <c r="BG62" s="29">
        <f t="shared" si="2"/>
        <v>0</v>
      </c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92"/>
      <c r="BX62" s="29"/>
    </row>
    <row r="63" spans="1:76" s="182" customFormat="1" ht="12.75" hidden="1" customHeight="1">
      <c r="A63" s="512" t="str">
        <f t="shared" si="3"/>
        <v>OK</v>
      </c>
      <c r="B63" s="538" t="str">
        <f t="shared" si="4"/>
        <v/>
      </c>
      <c r="C63" s="1086">
        <f>CONSOLIDA!GD12</f>
        <v>0</v>
      </c>
      <c r="D63" s="1086"/>
      <c r="E63" s="1086"/>
      <c r="F63" s="1086"/>
      <c r="G63" s="1086"/>
      <c r="H63" s="1087">
        <f>CONSOLIDA!GE12</f>
        <v>0</v>
      </c>
      <c r="I63" s="1087"/>
      <c r="J63" s="1087"/>
      <c r="K63" s="1087"/>
      <c r="L63" s="1087"/>
      <c r="M63" s="1087"/>
      <c r="N63" s="1087"/>
      <c r="O63" s="1087"/>
      <c r="P63" s="1087"/>
      <c r="Q63" s="1087"/>
      <c r="R63" s="1087"/>
      <c r="S63" s="1087"/>
      <c r="T63" s="1087"/>
      <c r="U63" s="1087"/>
      <c r="V63" s="1087"/>
      <c r="W63" s="1087"/>
      <c r="X63" s="1087"/>
      <c r="Y63" s="1087"/>
      <c r="Z63" s="1087"/>
      <c r="AA63" s="1087"/>
      <c r="AB63" s="1087"/>
      <c r="AC63" s="1087"/>
      <c r="AD63" s="1087"/>
      <c r="AE63" s="1087"/>
      <c r="AF63" s="1087"/>
      <c r="AG63" s="1087"/>
      <c r="AH63" s="1087"/>
      <c r="AI63" s="1087"/>
      <c r="AJ63" s="1087"/>
      <c r="AK63" s="1087"/>
      <c r="AL63" s="1087"/>
      <c r="AM63" s="1092"/>
      <c r="AN63" s="1088"/>
      <c r="AO63" s="1088"/>
      <c r="AP63" s="1088"/>
      <c r="AQ63" s="1088"/>
      <c r="AR63" s="1088"/>
      <c r="AS63" s="1088"/>
      <c r="AT63" s="1088"/>
      <c r="AU63" s="1088"/>
      <c r="AV63" s="1088"/>
      <c r="AW63" s="1088"/>
      <c r="AX63" s="1088"/>
      <c r="AY63" s="1088"/>
      <c r="AZ63" s="1088"/>
      <c r="BA63" s="1088"/>
      <c r="BB63" s="1088"/>
      <c r="BC63" s="1088"/>
      <c r="BD63" s="1088"/>
      <c r="BE63" s="1088"/>
      <c r="BF63" s="1088"/>
      <c r="BG63" s="29">
        <f t="shared" si="2"/>
        <v>0</v>
      </c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92"/>
      <c r="BX63" s="29"/>
    </row>
    <row r="64" spans="1:76" s="182" customFormat="1" ht="12.75" hidden="1" customHeight="1">
      <c r="A64" s="512" t="str">
        <f t="shared" si="3"/>
        <v>OK</v>
      </c>
      <c r="B64" s="538" t="str">
        <f t="shared" si="4"/>
        <v/>
      </c>
      <c r="C64" s="1086">
        <f>CONSOLIDA!GD13</f>
        <v>0</v>
      </c>
      <c r="D64" s="1086"/>
      <c r="E64" s="1086"/>
      <c r="F64" s="1086"/>
      <c r="G64" s="1086"/>
      <c r="H64" s="1087">
        <f>CONSOLIDA!GE13</f>
        <v>0</v>
      </c>
      <c r="I64" s="1087"/>
      <c r="J64" s="1087"/>
      <c r="K64" s="1087"/>
      <c r="L64" s="1087"/>
      <c r="M64" s="1087"/>
      <c r="N64" s="1087"/>
      <c r="O64" s="1087"/>
      <c r="P64" s="1087"/>
      <c r="Q64" s="1087"/>
      <c r="R64" s="1087"/>
      <c r="S64" s="1087"/>
      <c r="T64" s="1087"/>
      <c r="U64" s="1087"/>
      <c r="V64" s="1087"/>
      <c r="W64" s="1087"/>
      <c r="X64" s="1087"/>
      <c r="Y64" s="1087"/>
      <c r="Z64" s="1087"/>
      <c r="AA64" s="1087"/>
      <c r="AB64" s="1087"/>
      <c r="AC64" s="1087"/>
      <c r="AD64" s="1087"/>
      <c r="AE64" s="1087"/>
      <c r="AF64" s="1087"/>
      <c r="AG64" s="1087"/>
      <c r="AH64" s="1087"/>
      <c r="AI64" s="1087"/>
      <c r="AJ64" s="1087"/>
      <c r="AK64" s="1087"/>
      <c r="AL64" s="1087"/>
      <c r="AM64" s="1092"/>
      <c r="AN64" s="1088"/>
      <c r="AO64" s="1088"/>
      <c r="AP64" s="1088"/>
      <c r="AQ64" s="1088"/>
      <c r="AR64" s="1088"/>
      <c r="AS64" s="1088"/>
      <c r="AT64" s="1088"/>
      <c r="AU64" s="1088"/>
      <c r="AV64" s="1088"/>
      <c r="AW64" s="1088"/>
      <c r="AX64" s="1088"/>
      <c r="AY64" s="1088"/>
      <c r="AZ64" s="1088"/>
      <c r="BA64" s="1088"/>
      <c r="BB64" s="1088"/>
      <c r="BC64" s="1088"/>
      <c r="BD64" s="1088"/>
      <c r="BE64" s="1088"/>
      <c r="BF64" s="1088"/>
      <c r="BG64" s="29">
        <f t="shared" si="2"/>
        <v>0</v>
      </c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92"/>
      <c r="BX64" s="29"/>
    </row>
    <row r="65" spans="1:76" s="182" customFormat="1" ht="12.75" hidden="1" customHeight="1">
      <c r="A65" s="512" t="str">
        <f t="shared" si="3"/>
        <v>OK</v>
      </c>
      <c r="B65" s="538" t="str">
        <f t="shared" si="4"/>
        <v/>
      </c>
      <c r="C65" s="1086">
        <f>CONSOLIDA!GD14</f>
        <v>0</v>
      </c>
      <c r="D65" s="1086"/>
      <c r="E65" s="1086"/>
      <c r="F65" s="1086"/>
      <c r="G65" s="1086"/>
      <c r="H65" s="1087">
        <f>CONSOLIDA!GE14</f>
        <v>0</v>
      </c>
      <c r="I65" s="1087"/>
      <c r="J65" s="1087"/>
      <c r="K65" s="1087"/>
      <c r="L65" s="1087"/>
      <c r="M65" s="1087"/>
      <c r="N65" s="1087"/>
      <c r="O65" s="1087"/>
      <c r="P65" s="1087"/>
      <c r="Q65" s="1087"/>
      <c r="R65" s="1087"/>
      <c r="S65" s="1087"/>
      <c r="T65" s="1087"/>
      <c r="U65" s="1087"/>
      <c r="V65" s="1087"/>
      <c r="W65" s="1087"/>
      <c r="X65" s="1087"/>
      <c r="Y65" s="1087"/>
      <c r="Z65" s="1087"/>
      <c r="AA65" s="1087"/>
      <c r="AB65" s="1087"/>
      <c r="AC65" s="1087"/>
      <c r="AD65" s="1087"/>
      <c r="AE65" s="1087"/>
      <c r="AF65" s="1087"/>
      <c r="AG65" s="1087"/>
      <c r="AH65" s="1087"/>
      <c r="AI65" s="1087"/>
      <c r="AJ65" s="1087"/>
      <c r="AK65" s="1087"/>
      <c r="AL65" s="1087"/>
      <c r="AM65" s="1092"/>
      <c r="AN65" s="1088"/>
      <c r="AO65" s="1088"/>
      <c r="AP65" s="1088"/>
      <c r="AQ65" s="1088"/>
      <c r="AR65" s="1088"/>
      <c r="AS65" s="1088"/>
      <c r="AT65" s="1088"/>
      <c r="AU65" s="1088"/>
      <c r="AV65" s="1088"/>
      <c r="AW65" s="1088"/>
      <c r="AX65" s="1088"/>
      <c r="AY65" s="1088"/>
      <c r="AZ65" s="1088"/>
      <c r="BA65" s="1088"/>
      <c r="BB65" s="1088"/>
      <c r="BC65" s="1088"/>
      <c r="BD65" s="1088"/>
      <c r="BE65" s="1088"/>
      <c r="BF65" s="1088"/>
      <c r="BG65" s="29">
        <f t="shared" si="2"/>
        <v>0</v>
      </c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92"/>
      <c r="BX65" s="29"/>
    </row>
    <row r="66" spans="1:76" s="182" customFormat="1" ht="12.75" hidden="1" customHeight="1">
      <c r="A66" s="512" t="str">
        <f t="shared" si="3"/>
        <v>OK</v>
      </c>
      <c r="B66" s="538" t="str">
        <f t="shared" si="4"/>
        <v/>
      </c>
      <c r="C66" s="1086">
        <f>CONSOLIDA!GD15</f>
        <v>0</v>
      </c>
      <c r="D66" s="1086"/>
      <c r="E66" s="1086"/>
      <c r="F66" s="1086"/>
      <c r="G66" s="1086"/>
      <c r="H66" s="1087">
        <f>CONSOLIDA!GE15</f>
        <v>0</v>
      </c>
      <c r="I66" s="1087"/>
      <c r="J66" s="1087"/>
      <c r="K66" s="1087"/>
      <c r="L66" s="1087"/>
      <c r="M66" s="1087"/>
      <c r="N66" s="1087"/>
      <c r="O66" s="1087"/>
      <c r="P66" s="1087"/>
      <c r="Q66" s="1087"/>
      <c r="R66" s="1087"/>
      <c r="S66" s="1087"/>
      <c r="T66" s="1087"/>
      <c r="U66" s="1087"/>
      <c r="V66" s="1087"/>
      <c r="W66" s="1087"/>
      <c r="X66" s="1087"/>
      <c r="Y66" s="1087"/>
      <c r="Z66" s="1087"/>
      <c r="AA66" s="1087"/>
      <c r="AB66" s="1087"/>
      <c r="AC66" s="1087"/>
      <c r="AD66" s="1087"/>
      <c r="AE66" s="1087"/>
      <c r="AF66" s="1087"/>
      <c r="AG66" s="1087"/>
      <c r="AH66" s="1087"/>
      <c r="AI66" s="1087"/>
      <c r="AJ66" s="1087"/>
      <c r="AK66" s="1087"/>
      <c r="AL66" s="1087"/>
      <c r="AM66" s="1092"/>
      <c r="AN66" s="1088"/>
      <c r="AO66" s="1088"/>
      <c r="AP66" s="1088"/>
      <c r="AQ66" s="1088"/>
      <c r="AR66" s="1088"/>
      <c r="AS66" s="1088"/>
      <c r="AT66" s="1088"/>
      <c r="AU66" s="1088"/>
      <c r="AV66" s="1088"/>
      <c r="AW66" s="1088"/>
      <c r="AX66" s="1088"/>
      <c r="AY66" s="1088"/>
      <c r="AZ66" s="1088"/>
      <c r="BA66" s="1088"/>
      <c r="BB66" s="1088"/>
      <c r="BC66" s="1088"/>
      <c r="BD66" s="1088"/>
      <c r="BE66" s="1088"/>
      <c r="BF66" s="1088"/>
      <c r="BG66" s="29">
        <f t="shared" si="2"/>
        <v>0</v>
      </c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92"/>
      <c r="BX66" s="29"/>
    </row>
    <row r="67" spans="1:76" s="182" customFormat="1" ht="12.75" hidden="1" customHeight="1">
      <c r="A67" s="512" t="str">
        <f t="shared" si="3"/>
        <v>OK</v>
      </c>
      <c r="B67" s="538" t="str">
        <f t="shared" si="4"/>
        <v/>
      </c>
      <c r="C67" s="1086">
        <f>CONSOLIDA!GD16</f>
        <v>0</v>
      </c>
      <c r="D67" s="1086"/>
      <c r="E67" s="1086"/>
      <c r="F67" s="1086"/>
      <c r="G67" s="1086"/>
      <c r="H67" s="1087">
        <f>CONSOLIDA!GE16</f>
        <v>0</v>
      </c>
      <c r="I67" s="1087"/>
      <c r="J67" s="1087"/>
      <c r="K67" s="1087"/>
      <c r="L67" s="1087"/>
      <c r="M67" s="1087"/>
      <c r="N67" s="1087"/>
      <c r="O67" s="1087"/>
      <c r="P67" s="1087"/>
      <c r="Q67" s="1087"/>
      <c r="R67" s="1087"/>
      <c r="S67" s="1087"/>
      <c r="T67" s="1087"/>
      <c r="U67" s="1087"/>
      <c r="V67" s="1087"/>
      <c r="W67" s="1087"/>
      <c r="X67" s="1087"/>
      <c r="Y67" s="1087"/>
      <c r="Z67" s="1087"/>
      <c r="AA67" s="1087"/>
      <c r="AB67" s="1087"/>
      <c r="AC67" s="1087"/>
      <c r="AD67" s="1087"/>
      <c r="AE67" s="1087"/>
      <c r="AF67" s="1087"/>
      <c r="AG67" s="1087"/>
      <c r="AH67" s="1087"/>
      <c r="AI67" s="1087"/>
      <c r="AJ67" s="1087"/>
      <c r="AK67" s="1087"/>
      <c r="AL67" s="1087"/>
      <c r="AM67" s="1092"/>
      <c r="AN67" s="1088"/>
      <c r="AO67" s="1088"/>
      <c r="AP67" s="1088"/>
      <c r="AQ67" s="1088"/>
      <c r="AR67" s="1088"/>
      <c r="AS67" s="1088"/>
      <c r="AT67" s="1088"/>
      <c r="AU67" s="1088"/>
      <c r="AV67" s="1088"/>
      <c r="AW67" s="1088"/>
      <c r="AX67" s="1088"/>
      <c r="AY67" s="1088"/>
      <c r="AZ67" s="1088"/>
      <c r="BA67" s="1088"/>
      <c r="BB67" s="1088"/>
      <c r="BC67" s="1088"/>
      <c r="BD67" s="1088"/>
      <c r="BE67" s="1088"/>
      <c r="BF67" s="1088"/>
      <c r="BG67" s="29">
        <f t="shared" si="2"/>
        <v>0</v>
      </c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92"/>
      <c r="BX67" s="29"/>
    </row>
    <row r="68" spans="1:76" s="182" customFormat="1" ht="12.75" hidden="1" customHeight="1">
      <c r="A68" s="512" t="str">
        <f t="shared" si="3"/>
        <v>OK</v>
      </c>
      <c r="B68" s="538" t="str">
        <f t="shared" si="4"/>
        <v/>
      </c>
      <c r="C68" s="1086">
        <f>CONSOLIDA!GD17</f>
        <v>0</v>
      </c>
      <c r="D68" s="1086"/>
      <c r="E68" s="1086"/>
      <c r="F68" s="1086"/>
      <c r="G68" s="1086"/>
      <c r="H68" s="1087">
        <f>CONSOLIDA!GE17</f>
        <v>0</v>
      </c>
      <c r="I68" s="1087"/>
      <c r="J68" s="1087"/>
      <c r="K68" s="1087"/>
      <c r="L68" s="1087"/>
      <c r="M68" s="1087"/>
      <c r="N68" s="1087"/>
      <c r="O68" s="1087"/>
      <c r="P68" s="1087"/>
      <c r="Q68" s="1087"/>
      <c r="R68" s="1087"/>
      <c r="S68" s="1087"/>
      <c r="T68" s="1087"/>
      <c r="U68" s="1087"/>
      <c r="V68" s="1087"/>
      <c r="W68" s="1087"/>
      <c r="X68" s="1087"/>
      <c r="Y68" s="1087"/>
      <c r="Z68" s="1087"/>
      <c r="AA68" s="1087"/>
      <c r="AB68" s="1087"/>
      <c r="AC68" s="1087"/>
      <c r="AD68" s="1087"/>
      <c r="AE68" s="1087"/>
      <c r="AF68" s="1087"/>
      <c r="AG68" s="1087"/>
      <c r="AH68" s="1087"/>
      <c r="AI68" s="1087"/>
      <c r="AJ68" s="1087"/>
      <c r="AK68" s="1087"/>
      <c r="AL68" s="1087"/>
      <c r="AM68" s="1092"/>
      <c r="AN68" s="1088"/>
      <c r="AO68" s="1088"/>
      <c r="AP68" s="1088"/>
      <c r="AQ68" s="1088"/>
      <c r="AR68" s="1088"/>
      <c r="AS68" s="1088"/>
      <c r="AT68" s="1088"/>
      <c r="AU68" s="1088"/>
      <c r="AV68" s="1088"/>
      <c r="AW68" s="1088"/>
      <c r="AX68" s="1088"/>
      <c r="AY68" s="1088"/>
      <c r="AZ68" s="1088"/>
      <c r="BA68" s="1088"/>
      <c r="BB68" s="1088"/>
      <c r="BC68" s="1088"/>
      <c r="BD68" s="1088"/>
      <c r="BE68" s="1088"/>
      <c r="BF68" s="1088"/>
      <c r="BG68" s="29">
        <f t="shared" si="2"/>
        <v>0</v>
      </c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92"/>
      <c r="BX68" s="29"/>
    </row>
    <row r="69" spans="1:76" s="182" customFormat="1" ht="12.75" hidden="1" customHeight="1">
      <c r="A69" s="512" t="str">
        <f t="shared" si="3"/>
        <v>OK</v>
      </c>
      <c r="B69" s="538" t="str">
        <f t="shared" si="4"/>
        <v/>
      </c>
      <c r="C69" s="1086">
        <f>CONSOLIDA!GD18</f>
        <v>0</v>
      </c>
      <c r="D69" s="1086"/>
      <c r="E69" s="1086"/>
      <c r="F69" s="1086"/>
      <c r="G69" s="1086"/>
      <c r="H69" s="1087">
        <f>CONSOLIDA!GE18</f>
        <v>0</v>
      </c>
      <c r="I69" s="1087"/>
      <c r="J69" s="1087"/>
      <c r="K69" s="1087"/>
      <c r="L69" s="1087"/>
      <c r="M69" s="1087"/>
      <c r="N69" s="1087"/>
      <c r="O69" s="1087"/>
      <c r="P69" s="1087"/>
      <c r="Q69" s="1087"/>
      <c r="R69" s="1087"/>
      <c r="S69" s="1087"/>
      <c r="T69" s="1087"/>
      <c r="U69" s="1087"/>
      <c r="V69" s="1087"/>
      <c r="W69" s="1087"/>
      <c r="X69" s="1087"/>
      <c r="Y69" s="1087"/>
      <c r="Z69" s="1087"/>
      <c r="AA69" s="1087"/>
      <c r="AB69" s="1087"/>
      <c r="AC69" s="1087"/>
      <c r="AD69" s="1087"/>
      <c r="AE69" s="1087"/>
      <c r="AF69" s="1087"/>
      <c r="AG69" s="1087"/>
      <c r="AH69" s="1087"/>
      <c r="AI69" s="1087"/>
      <c r="AJ69" s="1087"/>
      <c r="AK69" s="1087"/>
      <c r="AL69" s="1087"/>
      <c r="AM69" s="1092"/>
      <c r="AN69" s="1088"/>
      <c r="AO69" s="1088"/>
      <c r="AP69" s="1088"/>
      <c r="AQ69" s="1088"/>
      <c r="AR69" s="1088"/>
      <c r="AS69" s="1088"/>
      <c r="AT69" s="1088"/>
      <c r="AU69" s="1088"/>
      <c r="AV69" s="1088"/>
      <c r="AW69" s="1088"/>
      <c r="AX69" s="1088"/>
      <c r="AY69" s="1088"/>
      <c r="AZ69" s="1088"/>
      <c r="BA69" s="1088"/>
      <c r="BB69" s="1088"/>
      <c r="BC69" s="1088"/>
      <c r="BD69" s="1088"/>
      <c r="BE69" s="1088"/>
      <c r="BF69" s="1088"/>
      <c r="BG69" s="29">
        <f t="shared" si="2"/>
        <v>0</v>
      </c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92"/>
      <c r="BX69" s="29"/>
    </row>
    <row r="70" spans="1:76" s="182" customFormat="1" ht="12.75" hidden="1" customHeight="1">
      <c r="A70" s="512" t="str">
        <f t="shared" si="3"/>
        <v>OK</v>
      </c>
      <c r="B70" s="538" t="str">
        <f t="shared" si="4"/>
        <v/>
      </c>
      <c r="C70" s="1086">
        <f>CONSOLIDA!GD19</f>
        <v>0</v>
      </c>
      <c r="D70" s="1086"/>
      <c r="E70" s="1086"/>
      <c r="F70" s="1086"/>
      <c r="G70" s="1086"/>
      <c r="H70" s="1087">
        <f>CONSOLIDA!GE19</f>
        <v>0</v>
      </c>
      <c r="I70" s="1087"/>
      <c r="J70" s="1087"/>
      <c r="K70" s="1087"/>
      <c r="L70" s="1087"/>
      <c r="M70" s="1087"/>
      <c r="N70" s="1087"/>
      <c r="O70" s="1087"/>
      <c r="P70" s="1087"/>
      <c r="Q70" s="1087"/>
      <c r="R70" s="1087"/>
      <c r="S70" s="1087"/>
      <c r="T70" s="1087"/>
      <c r="U70" s="1087"/>
      <c r="V70" s="1087"/>
      <c r="W70" s="1087"/>
      <c r="X70" s="1087"/>
      <c r="Y70" s="1087"/>
      <c r="Z70" s="1087"/>
      <c r="AA70" s="1087"/>
      <c r="AB70" s="1087"/>
      <c r="AC70" s="1087"/>
      <c r="AD70" s="1087"/>
      <c r="AE70" s="1087"/>
      <c r="AF70" s="1087"/>
      <c r="AG70" s="1087"/>
      <c r="AH70" s="1087"/>
      <c r="AI70" s="1087"/>
      <c r="AJ70" s="1087"/>
      <c r="AK70" s="1087"/>
      <c r="AL70" s="1087"/>
      <c r="AM70" s="1092"/>
      <c r="AN70" s="1088"/>
      <c r="AO70" s="1088"/>
      <c r="AP70" s="1088"/>
      <c r="AQ70" s="1088"/>
      <c r="AR70" s="1088"/>
      <c r="AS70" s="1088"/>
      <c r="AT70" s="1088"/>
      <c r="AU70" s="1088"/>
      <c r="AV70" s="1088"/>
      <c r="AW70" s="1088"/>
      <c r="AX70" s="1088"/>
      <c r="AY70" s="1088"/>
      <c r="AZ70" s="1088"/>
      <c r="BA70" s="1088"/>
      <c r="BB70" s="1088"/>
      <c r="BC70" s="1088"/>
      <c r="BD70" s="1088"/>
      <c r="BE70" s="1088"/>
      <c r="BF70" s="1088"/>
      <c r="BG70" s="29">
        <f t="shared" si="2"/>
        <v>0</v>
      </c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92"/>
      <c r="BX70" s="29"/>
    </row>
    <row r="71" spans="1:76" s="182" customFormat="1" ht="12.75" hidden="1" customHeight="1">
      <c r="A71" s="512" t="str">
        <f t="shared" si="3"/>
        <v>OK</v>
      </c>
      <c r="B71" s="538" t="str">
        <f t="shared" si="4"/>
        <v/>
      </c>
      <c r="C71" s="1086">
        <f>CONSOLIDA!GD20</f>
        <v>0</v>
      </c>
      <c r="D71" s="1086"/>
      <c r="E71" s="1086"/>
      <c r="F71" s="1086"/>
      <c r="G71" s="1086"/>
      <c r="H71" s="1087">
        <f>CONSOLIDA!GE20</f>
        <v>0</v>
      </c>
      <c r="I71" s="1087"/>
      <c r="J71" s="1087"/>
      <c r="K71" s="1087"/>
      <c r="L71" s="1087"/>
      <c r="M71" s="1087"/>
      <c r="N71" s="1087"/>
      <c r="O71" s="1087"/>
      <c r="P71" s="1087"/>
      <c r="Q71" s="1087"/>
      <c r="R71" s="1087"/>
      <c r="S71" s="1087"/>
      <c r="T71" s="1087"/>
      <c r="U71" s="1087"/>
      <c r="V71" s="1087"/>
      <c r="W71" s="1087"/>
      <c r="X71" s="1087"/>
      <c r="Y71" s="1087"/>
      <c r="Z71" s="1087"/>
      <c r="AA71" s="1087"/>
      <c r="AB71" s="1087"/>
      <c r="AC71" s="1087"/>
      <c r="AD71" s="1087"/>
      <c r="AE71" s="1087"/>
      <c r="AF71" s="1087"/>
      <c r="AG71" s="1087"/>
      <c r="AH71" s="1087"/>
      <c r="AI71" s="1087"/>
      <c r="AJ71" s="1087"/>
      <c r="AK71" s="1087"/>
      <c r="AL71" s="1087"/>
      <c r="AM71" s="1092"/>
      <c r="AN71" s="1088"/>
      <c r="AO71" s="1088"/>
      <c r="AP71" s="1088"/>
      <c r="AQ71" s="1088"/>
      <c r="AR71" s="1088"/>
      <c r="AS71" s="1088"/>
      <c r="AT71" s="1088"/>
      <c r="AU71" s="1088"/>
      <c r="AV71" s="1088"/>
      <c r="AW71" s="1088"/>
      <c r="AX71" s="1088"/>
      <c r="AY71" s="1088"/>
      <c r="AZ71" s="1088"/>
      <c r="BA71" s="1088"/>
      <c r="BB71" s="1088"/>
      <c r="BC71" s="1088"/>
      <c r="BD71" s="1088"/>
      <c r="BE71" s="1088"/>
      <c r="BF71" s="1088"/>
      <c r="BG71" s="29">
        <f t="shared" si="2"/>
        <v>0</v>
      </c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92"/>
      <c r="BX71" s="29"/>
    </row>
    <row r="72" spans="1:76" s="182" customFormat="1" ht="12.75" hidden="1" customHeight="1">
      <c r="A72" s="512" t="str">
        <f t="shared" si="3"/>
        <v>OK</v>
      </c>
      <c r="B72" s="538" t="str">
        <f t="shared" si="4"/>
        <v/>
      </c>
      <c r="C72" s="1086">
        <f>CONSOLIDA!GD21</f>
        <v>0</v>
      </c>
      <c r="D72" s="1086"/>
      <c r="E72" s="1086"/>
      <c r="F72" s="1086"/>
      <c r="G72" s="1086"/>
      <c r="H72" s="1087">
        <f>CONSOLIDA!GE21</f>
        <v>0</v>
      </c>
      <c r="I72" s="1087"/>
      <c r="J72" s="1087"/>
      <c r="K72" s="1087"/>
      <c r="L72" s="1087"/>
      <c r="M72" s="1087"/>
      <c r="N72" s="1087"/>
      <c r="O72" s="1087"/>
      <c r="P72" s="1087"/>
      <c r="Q72" s="1087"/>
      <c r="R72" s="1087"/>
      <c r="S72" s="1087"/>
      <c r="T72" s="1087"/>
      <c r="U72" s="1087"/>
      <c r="V72" s="1087"/>
      <c r="W72" s="1087"/>
      <c r="X72" s="1087"/>
      <c r="Y72" s="1087"/>
      <c r="Z72" s="1087"/>
      <c r="AA72" s="1087"/>
      <c r="AB72" s="1087"/>
      <c r="AC72" s="1087"/>
      <c r="AD72" s="1087"/>
      <c r="AE72" s="1087"/>
      <c r="AF72" s="1087"/>
      <c r="AG72" s="1087"/>
      <c r="AH72" s="1087"/>
      <c r="AI72" s="1087"/>
      <c r="AJ72" s="1087"/>
      <c r="AK72" s="1087"/>
      <c r="AL72" s="1087"/>
      <c r="AM72" s="1092"/>
      <c r="AN72" s="1088"/>
      <c r="AO72" s="1088"/>
      <c r="AP72" s="1088"/>
      <c r="AQ72" s="1088"/>
      <c r="AR72" s="1088"/>
      <c r="AS72" s="1088"/>
      <c r="AT72" s="1088"/>
      <c r="AU72" s="1088"/>
      <c r="AV72" s="1088"/>
      <c r="AW72" s="1088"/>
      <c r="AX72" s="1088"/>
      <c r="AY72" s="1088"/>
      <c r="AZ72" s="1088"/>
      <c r="BA72" s="1088"/>
      <c r="BB72" s="1088"/>
      <c r="BC72" s="1088"/>
      <c r="BD72" s="1088"/>
      <c r="BE72" s="1088"/>
      <c r="BF72" s="1088"/>
      <c r="BG72" s="29">
        <f t="shared" si="2"/>
        <v>0</v>
      </c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92"/>
      <c r="BX72" s="29"/>
    </row>
    <row r="73" spans="1:76" s="182" customFormat="1" ht="12.75" hidden="1" customHeight="1">
      <c r="A73" s="512" t="str">
        <f t="shared" si="3"/>
        <v>OK</v>
      </c>
      <c r="B73" s="538" t="str">
        <f t="shared" si="4"/>
        <v/>
      </c>
      <c r="C73" s="1086">
        <f>CONSOLIDA!GD22</f>
        <v>0</v>
      </c>
      <c r="D73" s="1086"/>
      <c r="E73" s="1086"/>
      <c r="F73" s="1086"/>
      <c r="G73" s="1086"/>
      <c r="H73" s="1087">
        <f>CONSOLIDA!GE22</f>
        <v>0</v>
      </c>
      <c r="I73" s="1087"/>
      <c r="J73" s="1087"/>
      <c r="K73" s="1087"/>
      <c r="L73" s="1087"/>
      <c r="M73" s="1087"/>
      <c r="N73" s="1087"/>
      <c r="O73" s="1087"/>
      <c r="P73" s="1087"/>
      <c r="Q73" s="1087"/>
      <c r="R73" s="1087"/>
      <c r="S73" s="1087"/>
      <c r="T73" s="1087"/>
      <c r="U73" s="1087"/>
      <c r="V73" s="1087"/>
      <c r="W73" s="1087"/>
      <c r="X73" s="1087"/>
      <c r="Y73" s="1087"/>
      <c r="Z73" s="1087"/>
      <c r="AA73" s="1087"/>
      <c r="AB73" s="1087"/>
      <c r="AC73" s="1087"/>
      <c r="AD73" s="1087"/>
      <c r="AE73" s="1087"/>
      <c r="AF73" s="1087"/>
      <c r="AG73" s="1087"/>
      <c r="AH73" s="1087"/>
      <c r="AI73" s="1087"/>
      <c r="AJ73" s="1087"/>
      <c r="AK73" s="1087"/>
      <c r="AL73" s="1087"/>
      <c r="AM73" s="1092"/>
      <c r="AN73" s="1088"/>
      <c r="AO73" s="1088"/>
      <c r="AP73" s="1088"/>
      <c r="AQ73" s="1088"/>
      <c r="AR73" s="1088"/>
      <c r="AS73" s="1088"/>
      <c r="AT73" s="1088"/>
      <c r="AU73" s="1088"/>
      <c r="AV73" s="1088"/>
      <c r="AW73" s="1088"/>
      <c r="AX73" s="1088"/>
      <c r="AY73" s="1088"/>
      <c r="AZ73" s="1088"/>
      <c r="BA73" s="1088"/>
      <c r="BB73" s="1088"/>
      <c r="BC73" s="1088"/>
      <c r="BD73" s="1088"/>
      <c r="BE73" s="1088"/>
      <c r="BF73" s="1088"/>
      <c r="BG73" s="29">
        <f t="shared" si="2"/>
        <v>0</v>
      </c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92"/>
      <c r="BX73" s="29"/>
    </row>
    <row r="74" spans="1:76" s="182" customFormat="1" ht="12.75" hidden="1" customHeight="1">
      <c r="A74" s="512" t="str">
        <f t="shared" si="3"/>
        <v>OK</v>
      </c>
      <c r="B74" s="538" t="str">
        <f t="shared" si="4"/>
        <v/>
      </c>
      <c r="C74" s="1086">
        <f>CONSOLIDA!GD23</f>
        <v>0</v>
      </c>
      <c r="D74" s="1086"/>
      <c r="E74" s="1086"/>
      <c r="F74" s="1086"/>
      <c r="G74" s="1086"/>
      <c r="H74" s="1087">
        <f>CONSOLIDA!GE23</f>
        <v>0</v>
      </c>
      <c r="I74" s="1087"/>
      <c r="J74" s="1087"/>
      <c r="K74" s="1087"/>
      <c r="L74" s="1087"/>
      <c r="M74" s="1087"/>
      <c r="N74" s="1087"/>
      <c r="O74" s="1087"/>
      <c r="P74" s="1087"/>
      <c r="Q74" s="1087"/>
      <c r="R74" s="1087"/>
      <c r="S74" s="1087"/>
      <c r="T74" s="1087"/>
      <c r="U74" s="1087"/>
      <c r="V74" s="1087"/>
      <c r="W74" s="1087"/>
      <c r="X74" s="1087"/>
      <c r="Y74" s="1087"/>
      <c r="Z74" s="1087"/>
      <c r="AA74" s="1087"/>
      <c r="AB74" s="1087"/>
      <c r="AC74" s="1087"/>
      <c r="AD74" s="1087"/>
      <c r="AE74" s="1087"/>
      <c r="AF74" s="1087"/>
      <c r="AG74" s="1087"/>
      <c r="AH74" s="1087"/>
      <c r="AI74" s="1087"/>
      <c r="AJ74" s="1087"/>
      <c r="AK74" s="1087"/>
      <c r="AL74" s="1087"/>
      <c r="AM74" s="1092"/>
      <c r="AN74" s="1088"/>
      <c r="AO74" s="1088"/>
      <c r="AP74" s="1088"/>
      <c r="AQ74" s="1088"/>
      <c r="AR74" s="1088"/>
      <c r="AS74" s="1088"/>
      <c r="AT74" s="1088"/>
      <c r="AU74" s="1088"/>
      <c r="AV74" s="1088"/>
      <c r="AW74" s="1088"/>
      <c r="AX74" s="1088"/>
      <c r="AY74" s="1088"/>
      <c r="AZ74" s="1088"/>
      <c r="BA74" s="1088"/>
      <c r="BB74" s="1088"/>
      <c r="BC74" s="1088"/>
      <c r="BD74" s="1088"/>
      <c r="BE74" s="1088"/>
      <c r="BF74" s="1088"/>
      <c r="BG74" s="29">
        <f t="shared" si="2"/>
        <v>0</v>
      </c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92"/>
      <c r="BX74" s="29"/>
    </row>
    <row r="75" spans="1:76" s="182" customFormat="1" ht="12.75" hidden="1" customHeight="1">
      <c r="A75" s="512" t="str">
        <f t="shared" si="3"/>
        <v>OK</v>
      </c>
      <c r="B75" s="538" t="str">
        <f t="shared" si="4"/>
        <v/>
      </c>
      <c r="C75" s="1086">
        <f>CONSOLIDA!GD24</f>
        <v>0</v>
      </c>
      <c r="D75" s="1086"/>
      <c r="E75" s="1086"/>
      <c r="F75" s="1086"/>
      <c r="G75" s="1086"/>
      <c r="H75" s="1087">
        <f>CONSOLIDA!GE24</f>
        <v>0</v>
      </c>
      <c r="I75" s="1087"/>
      <c r="J75" s="1087"/>
      <c r="K75" s="1087"/>
      <c r="L75" s="1087"/>
      <c r="M75" s="1087"/>
      <c r="N75" s="1087"/>
      <c r="O75" s="1087"/>
      <c r="P75" s="1087"/>
      <c r="Q75" s="1087"/>
      <c r="R75" s="1087"/>
      <c r="S75" s="1087"/>
      <c r="T75" s="1087"/>
      <c r="U75" s="1087"/>
      <c r="V75" s="1087"/>
      <c r="W75" s="1087"/>
      <c r="X75" s="1087"/>
      <c r="Y75" s="1087"/>
      <c r="Z75" s="1087"/>
      <c r="AA75" s="1087"/>
      <c r="AB75" s="1087"/>
      <c r="AC75" s="1087"/>
      <c r="AD75" s="1087"/>
      <c r="AE75" s="1087"/>
      <c r="AF75" s="1087"/>
      <c r="AG75" s="1087"/>
      <c r="AH75" s="1087"/>
      <c r="AI75" s="1087"/>
      <c r="AJ75" s="1087"/>
      <c r="AK75" s="1087"/>
      <c r="AL75" s="1087"/>
      <c r="AM75" s="1092"/>
      <c r="AN75" s="1088"/>
      <c r="AO75" s="1088"/>
      <c r="AP75" s="1088"/>
      <c r="AQ75" s="1088"/>
      <c r="AR75" s="1088"/>
      <c r="AS75" s="1088"/>
      <c r="AT75" s="1088"/>
      <c r="AU75" s="1088"/>
      <c r="AV75" s="1088"/>
      <c r="AW75" s="1088"/>
      <c r="AX75" s="1088"/>
      <c r="AY75" s="1088"/>
      <c r="AZ75" s="1088"/>
      <c r="BA75" s="1088"/>
      <c r="BB75" s="1088"/>
      <c r="BC75" s="1088"/>
      <c r="BD75" s="1088"/>
      <c r="BE75" s="1088"/>
      <c r="BF75" s="1088"/>
      <c r="BG75" s="29">
        <f t="shared" si="2"/>
        <v>0</v>
      </c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92"/>
      <c r="BX75" s="29"/>
    </row>
    <row r="76" spans="1:76" s="182" customFormat="1" ht="12.75" hidden="1" customHeight="1">
      <c r="A76" s="512" t="str">
        <f t="shared" si="3"/>
        <v>OK</v>
      </c>
      <c r="B76" s="538" t="str">
        <f t="shared" si="4"/>
        <v/>
      </c>
      <c r="C76" s="1086">
        <f>CONSOLIDA!GD25</f>
        <v>0</v>
      </c>
      <c r="D76" s="1086"/>
      <c r="E76" s="1086"/>
      <c r="F76" s="1086"/>
      <c r="G76" s="1086"/>
      <c r="H76" s="1087">
        <f>CONSOLIDA!GE25</f>
        <v>0</v>
      </c>
      <c r="I76" s="1087"/>
      <c r="J76" s="1087"/>
      <c r="K76" s="1087"/>
      <c r="L76" s="1087"/>
      <c r="M76" s="1087"/>
      <c r="N76" s="1087"/>
      <c r="O76" s="1087"/>
      <c r="P76" s="1087"/>
      <c r="Q76" s="1087"/>
      <c r="R76" s="1087"/>
      <c r="S76" s="1087"/>
      <c r="T76" s="1087"/>
      <c r="U76" s="1087"/>
      <c r="V76" s="1087"/>
      <c r="W76" s="1087"/>
      <c r="X76" s="1087"/>
      <c r="Y76" s="1087"/>
      <c r="Z76" s="1087"/>
      <c r="AA76" s="1087"/>
      <c r="AB76" s="1087"/>
      <c r="AC76" s="1087"/>
      <c r="AD76" s="1087"/>
      <c r="AE76" s="1087"/>
      <c r="AF76" s="1087"/>
      <c r="AG76" s="1087"/>
      <c r="AH76" s="1087"/>
      <c r="AI76" s="1087"/>
      <c r="AJ76" s="1087"/>
      <c r="AK76" s="1087"/>
      <c r="AL76" s="1087"/>
      <c r="AM76" s="1092"/>
      <c r="AN76" s="1088"/>
      <c r="AO76" s="1088"/>
      <c r="AP76" s="1088"/>
      <c r="AQ76" s="1088"/>
      <c r="AR76" s="1088"/>
      <c r="AS76" s="1088"/>
      <c r="AT76" s="1088"/>
      <c r="AU76" s="1088"/>
      <c r="AV76" s="1088"/>
      <c r="AW76" s="1088"/>
      <c r="AX76" s="1088"/>
      <c r="AY76" s="1088"/>
      <c r="AZ76" s="1088"/>
      <c r="BA76" s="1088"/>
      <c r="BB76" s="1088"/>
      <c r="BC76" s="1088"/>
      <c r="BD76" s="1088"/>
      <c r="BE76" s="1088"/>
      <c r="BF76" s="1088"/>
      <c r="BG76" s="29">
        <f t="shared" si="2"/>
        <v>0</v>
      </c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92"/>
      <c r="BX76" s="29"/>
    </row>
    <row r="77" spans="1:76" s="182" customFormat="1" ht="12.75" hidden="1" customHeight="1">
      <c r="A77" s="512" t="str">
        <f t="shared" si="3"/>
        <v>OK</v>
      </c>
      <c r="B77" s="538" t="str">
        <f t="shared" si="4"/>
        <v/>
      </c>
      <c r="C77" s="1086">
        <f>CONSOLIDA!GD26</f>
        <v>0</v>
      </c>
      <c r="D77" s="1086"/>
      <c r="E77" s="1086"/>
      <c r="F77" s="1086"/>
      <c r="G77" s="1086"/>
      <c r="H77" s="1087">
        <f>CONSOLIDA!GE26</f>
        <v>0</v>
      </c>
      <c r="I77" s="1087"/>
      <c r="J77" s="1087"/>
      <c r="K77" s="1087"/>
      <c r="L77" s="1087"/>
      <c r="M77" s="1087"/>
      <c r="N77" s="1087"/>
      <c r="O77" s="1087"/>
      <c r="P77" s="1087"/>
      <c r="Q77" s="1087"/>
      <c r="R77" s="1087"/>
      <c r="S77" s="1087"/>
      <c r="T77" s="1087"/>
      <c r="U77" s="1087"/>
      <c r="V77" s="1087"/>
      <c r="W77" s="1087"/>
      <c r="X77" s="1087"/>
      <c r="Y77" s="1087"/>
      <c r="Z77" s="1087"/>
      <c r="AA77" s="1087"/>
      <c r="AB77" s="1087"/>
      <c r="AC77" s="1087"/>
      <c r="AD77" s="1087"/>
      <c r="AE77" s="1087"/>
      <c r="AF77" s="1087"/>
      <c r="AG77" s="1087"/>
      <c r="AH77" s="1087"/>
      <c r="AI77" s="1087"/>
      <c r="AJ77" s="1087"/>
      <c r="AK77" s="1087"/>
      <c r="AL77" s="1087"/>
      <c r="AM77" s="1092"/>
      <c r="AN77" s="1088"/>
      <c r="AO77" s="1088"/>
      <c r="AP77" s="1088"/>
      <c r="AQ77" s="1088"/>
      <c r="AR77" s="1088"/>
      <c r="AS77" s="1088"/>
      <c r="AT77" s="1088"/>
      <c r="AU77" s="1088"/>
      <c r="AV77" s="1088"/>
      <c r="AW77" s="1088"/>
      <c r="AX77" s="1088"/>
      <c r="AY77" s="1088"/>
      <c r="AZ77" s="1088"/>
      <c r="BA77" s="1088"/>
      <c r="BB77" s="1088"/>
      <c r="BC77" s="1088"/>
      <c r="BD77" s="1088"/>
      <c r="BE77" s="1088"/>
      <c r="BF77" s="1088"/>
      <c r="BG77" s="29">
        <f t="shared" si="2"/>
        <v>0</v>
      </c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92"/>
      <c r="BX77" s="29"/>
    </row>
    <row r="78" spans="1:76" s="182" customFormat="1" ht="12.75" hidden="1" customHeight="1">
      <c r="A78" s="512" t="str">
        <f t="shared" si="3"/>
        <v>OK</v>
      </c>
      <c r="B78" s="538" t="str">
        <f t="shared" si="4"/>
        <v/>
      </c>
      <c r="C78" s="1086">
        <f>CONSOLIDA!GD27</f>
        <v>0</v>
      </c>
      <c r="D78" s="1086"/>
      <c r="E78" s="1086"/>
      <c r="F78" s="1086"/>
      <c r="G78" s="1086"/>
      <c r="H78" s="1087">
        <f>CONSOLIDA!GE27</f>
        <v>0</v>
      </c>
      <c r="I78" s="1087"/>
      <c r="J78" s="1087"/>
      <c r="K78" s="1087"/>
      <c r="L78" s="1087"/>
      <c r="M78" s="1087"/>
      <c r="N78" s="1087"/>
      <c r="O78" s="1087"/>
      <c r="P78" s="1087"/>
      <c r="Q78" s="1087"/>
      <c r="R78" s="1087"/>
      <c r="S78" s="1087"/>
      <c r="T78" s="1087"/>
      <c r="U78" s="1087"/>
      <c r="V78" s="1087"/>
      <c r="W78" s="1087"/>
      <c r="X78" s="1087"/>
      <c r="Y78" s="1087"/>
      <c r="Z78" s="1087"/>
      <c r="AA78" s="1087"/>
      <c r="AB78" s="1087"/>
      <c r="AC78" s="1087"/>
      <c r="AD78" s="1087"/>
      <c r="AE78" s="1087"/>
      <c r="AF78" s="1087"/>
      <c r="AG78" s="1087"/>
      <c r="AH78" s="1087"/>
      <c r="AI78" s="1087"/>
      <c r="AJ78" s="1087"/>
      <c r="AK78" s="1087"/>
      <c r="AL78" s="1087"/>
      <c r="AM78" s="1092"/>
      <c r="AN78" s="1088"/>
      <c r="AO78" s="1088"/>
      <c r="AP78" s="1088"/>
      <c r="AQ78" s="1088"/>
      <c r="AR78" s="1088"/>
      <c r="AS78" s="1088"/>
      <c r="AT78" s="1088"/>
      <c r="AU78" s="1088"/>
      <c r="AV78" s="1088"/>
      <c r="AW78" s="1088"/>
      <c r="AX78" s="1088"/>
      <c r="AY78" s="1088"/>
      <c r="AZ78" s="1088"/>
      <c r="BA78" s="1088"/>
      <c r="BB78" s="1088"/>
      <c r="BC78" s="1088"/>
      <c r="BD78" s="1088"/>
      <c r="BE78" s="1088"/>
      <c r="BF78" s="1088"/>
      <c r="BG78" s="29">
        <f t="shared" si="2"/>
        <v>0</v>
      </c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92"/>
      <c r="BX78" s="29"/>
    </row>
    <row r="79" spans="1:76" s="182" customFormat="1" ht="12.75" hidden="1" customHeight="1">
      <c r="A79" s="512" t="str">
        <f t="shared" si="3"/>
        <v>OK</v>
      </c>
      <c r="B79" s="538" t="str">
        <f t="shared" si="4"/>
        <v/>
      </c>
      <c r="C79" s="1086">
        <f>CONSOLIDA!GD28</f>
        <v>0</v>
      </c>
      <c r="D79" s="1086"/>
      <c r="E79" s="1086"/>
      <c r="F79" s="1086"/>
      <c r="G79" s="1086"/>
      <c r="H79" s="1087">
        <f>CONSOLIDA!GE28</f>
        <v>0</v>
      </c>
      <c r="I79" s="1087"/>
      <c r="J79" s="1087"/>
      <c r="K79" s="1087"/>
      <c r="L79" s="1087"/>
      <c r="M79" s="1087"/>
      <c r="N79" s="1087"/>
      <c r="O79" s="1087"/>
      <c r="P79" s="1087"/>
      <c r="Q79" s="1087"/>
      <c r="R79" s="1087"/>
      <c r="S79" s="1087"/>
      <c r="T79" s="1087"/>
      <c r="U79" s="1087"/>
      <c r="V79" s="1087"/>
      <c r="W79" s="1087"/>
      <c r="X79" s="1087"/>
      <c r="Y79" s="1087"/>
      <c r="Z79" s="1087"/>
      <c r="AA79" s="1087"/>
      <c r="AB79" s="1087"/>
      <c r="AC79" s="1087"/>
      <c r="AD79" s="1087"/>
      <c r="AE79" s="1087"/>
      <c r="AF79" s="1087"/>
      <c r="AG79" s="1087"/>
      <c r="AH79" s="1087"/>
      <c r="AI79" s="1087"/>
      <c r="AJ79" s="1087"/>
      <c r="AK79" s="1087"/>
      <c r="AL79" s="1087"/>
      <c r="AM79" s="1092"/>
      <c r="AN79" s="1088"/>
      <c r="AO79" s="1088"/>
      <c r="AP79" s="1088"/>
      <c r="AQ79" s="1088"/>
      <c r="AR79" s="1088"/>
      <c r="AS79" s="1088"/>
      <c r="AT79" s="1088"/>
      <c r="AU79" s="1088"/>
      <c r="AV79" s="1088"/>
      <c r="AW79" s="1088"/>
      <c r="AX79" s="1088"/>
      <c r="AY79" s="1088"/>
      <c r="AZ79" s="1088"/>
      <c r="BA79" s="1088"/>
      <c r="BB79" s="1088"/>
      <c r="BC79" s="1088"/>
      <c r="BD79" s="1088"/>
      <c r="BE79" s="1088"/>
      <c r="BF79" s="1088"/>
      <c r="BG79" s="29">
        <f t="shared" si="2"/>
        <v>0</v>
      </c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92"/>
      <c r="BX79" s="29"/>
    </row>
    <row r="80" spans="1:76" s="182" customFormat="1" ht="12.75" hidden="1" customHeight="1">
      <c r="A80" s="512" t="str">
        <f t="shared" si="3"/>
        <v>OK</v>
      </c>
      <c r="B80" s="538" t="str">
        <f t="shared" si="4"/>
        <v/>
      </c>
      <c r="C80" s="1086">
        <f>CONSOLIDA!GD29</f>
        <v>0</v>
      </c>
      <c r="D80" s="1086"/>
      <c r="E80" s="1086"/>
      <c r="F80" s="1086"/>
      <c r="G80" s="1086"/>
      <c r="H80" s="1087">
        <f>CONSOLIDA!GE29</f>
        <v>0</v>
      </c>
      <c r="I80" s="1087"/>
      <c r="J80" s="1087"/>
      <c r="K80" s="1087"/>
      <c r="L80" s="1087"/>
      <c r="M80" s="1087"/>
      <c r="N80" s="1087"/>
      <c r="O80" s="1087"/>
      <c r="P80" s="1087"/>
      <c r="Q80" s="1087"/>
      <c r="R80" s="1087"/>
      <c r="S80" s="1087"/>
      <c r="T80" s="1087"/>
      <c r="U80" s="1087"/>
      <c r="V80" s="1087"/>
      <c r="W80" s="1087"/>
      <c r="X80" s="1087"/>
      <c r="Y80" s="1087"/>
      <c r="Z80" s="1087"/>
      <c r="AA80" s="1087"/>
      <c r="AB80" s="1087"/>
      <c r="AC80" s="1087"/>
      <c r="AD80" s="1087"/>
      <c r="AE80" s="1087"/>
      <c r="AF80" s="1087"/>
      <c r="AG80" s="1087"/>
      <c r="AH80" s="1087"/>
      <c r="AI80" s="1087"/>
      <c r="AJ80" s="1087"/>
      <c r="AK80" s="1087"/>
      <c r="AL80" s="1087"/>
      <c r="AM80" s="1092"/>
      <c r="AN80" s="1088"/>
      <c r="AO80" s="1088"/>
      <c r="AP80" s="1088"/>
      <c r="AQ80" s="1088"/>
      <c r="AR80" s="1088"/>
      <c r="AS80" s="1088"/>
      <c r="AT80" s="1088"/>
      <c r="AU80" s="1088"/>
      <c r="AV80" s="1088"/>
      <c r="AW80" s="1088"/>
      <c r="AX80" s="1088"/>
      <c r="AY80" s="1088"/>
      <c r="AZ80" s="1088"/>
      <c r="BA80" s="1088"/>
      <c r="BB80" s="1088"/>
      <c r="BC80" s="1088"/>
      <c r="BD80" s="1088"/>
      <c r="BE80" s="1088"/>
      <c r="BF80" s="1088"/>
      <c r="BG80" s="29">
        <f t="shared" si="2"/>
        <v>0</v>
      </c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92"/>
      <c r="BX80" s="29"/>
    </row>
    <row r="81" spans="1:76" s="182" customFormat="1" ht="12.75" hidden="1" customHeight="1">
      <c r="A81" s="512" t="str">
        <f t="shared" si="3"/>
        <v>OK</v>
      </c>
      <c r="B81" s="538" t="str">
        <f t="shared" si="4"/>
        <v/>
      </c>
      <c r="C81" s="1086">
        <f>CONSOLIDA!GD30</f>
        <v>0</v>
      </c>
      <c r="D81" s="1086"/>
      <c r="E81" s="1086"/>
      <c r="F81" s="1086"/>
      <c r="G81" s="1086"/>
      <c r="H81" s="1087">
        <f>CONSOLIDA!GE30</f>
        <v>0</v>
      </c>
      <c r="I81" s="1087"/>
      <c r="J81" s="1087"/>
      <c r="K81" s="1087"/>
      <c r="L81" s="1087"/>
      <c r="M81" s="1087"/>
      <c r="N81" s="1087"/>
      <c r="O81" s="1087"/>
      <c r="P81" s="1087"/>
      <c r="Q81" s="1087"/>
      <c r="R81" s="1087"/>
      <c r="S81" s="1087"/>
      <c r="T81" s="1087"/>
      <c r="U81" s="1087"/>
      <c r="V81" s="1087"/>
      <c r="W81" s="1087"/>
      <c r="X81" s="1087"/>
      <c r="Y81" s="1087"/>
      <c r="Z81" s="1087"/>
      <c r="AA81" s="1087"/>
      <c r="AB81" s="1087"/>
      <c r="AC81" s="1087"/>
      <c r="AD81" s="1087"/>
      <c r="AE81" s="1087"/>
      <c r="AF81" s="1087"/>
      <c r="AG81" s="1087"/>
      <c r="AH81" s="1087"/>
      <c r="AI81" s="1087"/>
      <c r="AJ81" s="1087"/>
      <c r="AK81" s="1087"/>
      <c r="AL81" s="1087"/>
      <c r="AM81" s="1092"/>
      <c r="AN81" s="1088"/>
      <c r="AO81" s="1088"/>
      <c r="AP81" s="1088"/>
      <c r="AQ81" s="1088"/>
      <c r="AR81" s="1088"/>
      <c r="AS81" s="1088"/>
      <c r="AT81" s="1088"/>
      <c r="AU81" s="1088"/>
      <c r="AV81" s="1088"/>
      <c r="AW81" s="1088"/>
      <c r="AX81" s="1088"/>
      <c r="AY81" s="1088"/>
      <c r="AZ81" s="1088"/>
      <c r="BA81" s="1088"/>
      <c r="BB81" s="1088"/>
      <c r="BC81" s="1088"/>
      <c r="BD81" s="1088"/>
      <c r="BE81" s="1088"/>
      <c r="BF81" s="1088"/>
      <c r="BG81" s="29">
        <f t="shared" si="2"/>
        <v>0</v>
      </c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92"/>
      <c r="BX81" s="29"/>
    </row>
    <row r="82" spans="1:76" s="182" customFormat="1" ht="12.75" hidden="1" customHeight="1">
      <c r="A82" s="512" t="str">
        <f t="shared" si="3"/>
        <v>OK</v>
      </c>
      <c r="B82" s="538" t="str">
        <f t="shared" si="4"/>
        <v/>
      </c>
      <c r="C82" s="1086">
        <f>CONSOLIDA!GD31</f>
        <v>0</v>
      </c>
      <c r="D82" s="1086"/>
      <c r="E82" s="1086"/>
      <c r="F82" s="1086"/>
      <c r="G82" s="1086"/>
      <c r="H82" s="1087">
        <f>CONSOLIDA!GE31</f>
        <v>0</v>
      </c>
      <c r="I82" s="1087"/>
      <c r="J82" s="1087"/>
      <c r="K82" s="1087"/>
      <c r="L82" s="1087"/>
      <c r="M82" s="1087"/>
      <c r="N82" s="1087"/>
      <c r="O82" s="1087"/>
      <c r="P82" s="1087"/>
      <c r="Q82" s="1087"/>
      <c r="R82" s="1087"/>
      <c r="S82" s="1087"/>
      <c r="T82" s="1087"/>
      <c r="U82" s="1087"/>
      <c r="V82" s="1087"/>
      <c r="W82" s="1087"/>
      <c r="X82" s="1087"/>
      <c r="Y82" s="1087"/>
      <c r="Z82" s="1087"/>
      <c r="AA82" s="1087"/>
      <c r="AB82" s="1087"/>
      <c r="AC82" s="1087"/>
      <c r="AD82" s="1087"/>
      <c r="AE82" s="1087"/>
      <c r="AF82" s="1087"/>
      <c r="AG82" s="1087"/>
      <c r="AH82" s="1087"/>
      <c r="AI82" s="1087"/>
      <c r="AJ82" s="1087"/>
      <c r="AK82" s="1087"/>
      <c r="AL82" s="1087"/>
      <c r="AM82" s="1092"/>
      <c r="AN82" s="1088"/>
      <c r="AO82" s="1088"/>
      <c r="AP82" s="1088"/>
      <c r="AQ82" s="1088"/>
      <c r="AR82" s="1088"/>
      <c r="AS82" s="1088"/>
      <c r="AT82" s="1088"/>
      <c r="AU82" s="1088"/>
      <c r="AV82" s="1088"/>
      <c r="AW82" s="1088"/>
      <c r="AX82" s="1088"/>
      <c r="AY82" s="1088"/>
      <c r="AZ82" s="1088"/>
      <c r="BA82" s="1088"/>
      <c r="BB82" s="1088"/>
      <c r="BC82" s="1088"/>
      <c r="BD82" s="1088"/>
      <c r="BE82" s="1088"/>
      <c r="BF82" s="1088"/>
      <c r="BG82" s="29">
        <f t="shared" si="2"/>
        <v>0</v>
      </c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92"/>
      <c r="BX82" s="29"/>
    </row>
    <row r="83" spans="1:76" s="182" customFormat="1" ht="12.75" hidden="1" customHeight="1">
      <c r="A83" s="512" t="str">
        <f t="shared" si="3"/>
        <v>OK</v>
      </c>
      <c r="B83" s="538" t="str">
        <f t="shared" si="4"/>
        <v/>
      </c>
      <c r="C83" s="1086">
        <f>CONSOLIDA!GD32</f>
        <v>0</v>
      </c>
      <c r="D83" s="1086"/>
      <c r="E83" s="1086"/>
      <c r="F83" s="1086"/>
      <c r="G83" s="1086"/>
      <c r="H83" s="1087">
        <f>CONSOLIDA!GE32</f>
        <v>0</v>
      </c>
      <c r="I83" s="1087"/>
      <c r="J83" s="1087"/>
      <c r="K83" s="1087"/>
      <c r="L83" s="1087"/>
      <c r="M83" s="1087"/>
      <c r="N83" s="1087"/>
      <c r="O83" s="1087"/>
      <c r="P83" s="1087"/>
      <c r="Q83" s="1087"/>
      <c r="R83" s="1087"/>
      <c r="S83" s="1087"/>
      <c r="T83" s="1087"/>
      <c r="U83" s="1087"/>
      <c r="V83" s="1087"/>
      <c r="W83" s="1087"/>
      <c r="X83" s="1087"/>
      <c r="Y83" s="1087"/>
      <c r="Z83" s="1087"/>
      <c r="AA83" s="1087"/>
      <c r="AB83" s="1087"/>
      <c r="AC83" s="1087"/>
      <c r="AD83" s="1087"/>
      <c r="AE83" s="1087"/>
      <c r="AF83" s="1087"/>
      <c r="AG83" s="1087"/>
      <c r="AH83" s="1087"/>
      <c r="AI83" s="1087"/>
      <c r="AJ83" s="1087"/>
      <c r="AK83" s="1087"/>
      <c r="AL83" s="1087"/>
      <c r="AM83" s="1092"/>
      <c r="AN83" s="1088"/>
      <c r="AO83" s="1088"/>
      <c r="AP83" s="1088"/>
      <c r="AQ83" s="1088"/>
      <c r="AR83" s="1088"/>
      <c r="AS83" s="1088"/>
      <c r="AT83" s="1088"/>
      <c r="AU83" s="1088"/>
      <c r="AV83" s="1088"/>
      <c r="AW83" s="1088"/>
      <c r="AX83" s="1088"/>
      <c r="AY83" s="1088"/>
      <c r="AZ83" s="1088"/>
      <c r="BA83" s="1088"/>
      <c r="BB83" s="1088"/>
      <c r="BC83" s="1088"/>
      <c r="BD83" s="1088"/>
      <c r="BE83" s="1088"/>
      <c r="BF83" s="1088"/>
      <c r="BG83" s="29">
        <f t="shared" si="2"/>
        <v>0</v>
      </c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92"/>
      <c r="BX83" s="29"/>
    </row>
    <row r="84" spans="1:76" s="182" customFormat="1" ht="12.75" hidden="1" customHeight="1">
      <c r="A84" s="512" t="str">
        <f t="shared" si="3"/>
        <v>OK</v>
      </c>
      <c r="B84" s="538" t="str">
        <f t="shared" si="4"/>
        <v/>
      </c>
      <c r="C84" s="1086">
        <f>CONSOLIDA!GD33</f>
        <v>0</v>
      </c>
      <c r="D84" s="1086"/>
      <c r="E84" s="1086"/>
      <c r="F84" s="1086"/>
      <c r="G84" s="1086"/>
      <c r="H84" s="1087">
        <f>CONSOLIDA!GE33</f>
        <v>0</v>
      </c>
      <c r="I84" s="1087"/>
      <c r="J84" s="1087"/>
      <c r="K84" s="1087"/>
      <c r="L84" s="1087"/>
      <c r="M84" s="1087"/>
      <c r="N84" s="1087"/>
      <c r="O84" s="1087"/>
      <c r="P84" s="1087"/>
      <c r="Q84" s="1087"/>
      <c r="R84" s="1087"/>
      <c r="S84" s="1087"/>
      <c r="T84" s="1087"/>
      <c r="U84" s="1087"/>
      <c r="V84" s="1087"/>
      <c r="W84" s="1087"/>
      <c r="X84" s="1087"/>
      <c r="Y84" s="1087"/>
      <c r="Z84" s="1087"/>
      <c r="AA84" s="1087"/>
      <c r="AB84" s="1087"/>
      <c r="AC84" s="1087"/>
      <c r="AD84" s="1087"/>
      <c r="AE84" s="1087"/>
      <c r="AF84" s="1087"/>
      <c r="AG84" s="1087"/>
      <c r="AH84" s="1087"/>
      <c r="AI84" s="1087"/>
      <c r="AJ84" s="1087"/>
      <c r="AK84" s="1087"/>
      <c r="AL84" s="1087"/>
      <c r="AM84" s="1092"/>
      <c r="AN84" s="1088"/>
      <c r="AO84" s="1088"/>
      <c r="AP84" s="1088"/>
      <c r="AQ84" s="1088"/>
      <c r="AR84" s="1088"/>
      <c r="AS84" s="1088"/>
      <c r="AT84" s="1088"/>
      <c r="AU84" s="1088"/>
      <c r="AV84" s="1088"/>
      <c r="AW84" s="1088"/>
      <c r="AX84" s="1088"/>
      <c r="AY84" s="1088"/>
      <c r="AZ84" s="1088"/>
      <c r="BA84" s="1088"/>
      <c r="BB84" s="1088"/>
      <c r="BC84" s="1088"/>
      <c r="BD84" s="1088"/>
      <c r="BE84" s="1088"/>
      <c r="BF84" s="1088"/>
      <c r="BG84" s="29">
        <f t="shared" si="2"/>
        <v>0</v>
      </c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92"/>
      <c r="BX84" s="29"/>
    </row>
    <row r="85" spans="1:76" s="182" customFormat="1" ht="12.75" hidden="1" customHeight="1">
      <c r="A85" s="512" t="str">
        <f t="shared" si="3"/>
        <v>OK</v>
      </c>
      <c r="B85" s="538" t="str">
        <f t="shared" si="4"/>
        <v/>
      </c>
      <c r="C85" s="1086">
        <f>CONSOLIDA!GD34</f>
        <v>0</v>
      </c>
      <c r="D85" s="1086"/>
      <c r="E85" s="1086"/>
      <c r="F85" s="1086"/>
      <c r="G85" s="1086"/>
      <c r="H85" s="1087">
        <f>CONSOLIDA!GE34</f>
        <v>0</v>
      </c>
      <c r="I85" s="1087"/>
      <c r="J85" s="1087"/>
      <c r="K85" s="1087"/>
      <c r="L85" s="1087"/>
      <c r="M85" s="1087"/>
      <c r="N85" s="1087"/>
      <c r="O85" s="1087"/>
      <c r="P85" s="1087"/>
      <c r="Q85" s="1087"/>
      <c r="R85" s="1087"/>
      <c r="S85" s="1087"/>
      <c r="T85" s="1087"/>
      <c r="U85" s="1087"/>
      <c r="V85" s="1087"/>
      <c r="W85" s="1087"/>
      <c r="X85" s="1087"/>
      <c r="Y85" s="1087"/>
      <c r="Z85" s="1087"/>
      <c r="AA85" s="1087"/>
      <c r="AB85" s="1087"/>
      <c r="AC85" s="1087"/>
      <c r="AD85" s="1087"/>
      <c r="AE85" s="1087"/>
      <c r="AF85" s="1087"/>
      <c r="AG85" s="1087"/>
      <c r="AH85" s="1087"/>
      <c r="AI85" s="1087"/>
      <c r="AJ85" s="1087"/>
      <c r="AK85" s="1087"/>
      <c r="AL85" s="1087"/>
      <c r="AM85" s="1092"/>
      <c r="AN85" s="1088"/>
      <c r="AO85" s="1088"/>
      <c r="AP85" s="1088"/>
      <c r="AQ85" s="1088"/>
      <c r="AR85" s="1088"/>
      <c r="AS85" s="1088"/>
      <c r="AT85" s="1088"/>
      <c r="AU85" s="1088"/>
      <c r="AV85" s="1088"/>
      <c r="AW85" s="1088"/>
      <c r="AX85" s="1088"/>
      <c r="AY85" s="1088"/>
      <c r="AZ85" s="1088"/>
      <c r="BA85" s="1088"/>
      <c r="BB85" s="1088"/>
      <c r="BC85" s="1088"/>
      <c r="BD85" s="1088"/>
      <c r="BE85" s="1088"/>
      <c r="BF85" s="1088"/>
      <c r="BG85" s="29">
        <f t="shared" si="2"/>
        <v>0</v>
      </c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92"/>
      <c r="BX85" s="29"/>
    </row>
    <row r="86" spans="1:76" s="182" customFormat="1" ht="12.75" hidden="1" customHeight="1">
      <c r="A86" s="512" t="str">
        <f t="shared" si="3"/>
        <v>OK</v>
      </c>
      <c r="B86" s="538" t="str">
        <f t="shared" si="4"/>
        <v/>
      </c>
      <c r="C86" s="1086">
        <f>CONSOLIDA!GD35</f>
        <v>0</v>
      </c>
      <c r="D86" s="1086"/>
      <c r="E86" s="1086"/>
      <c r="F86" s="1086"/>
      <c r="G86" s="1086"/>
      <c r="H86" s="1087">
        <f>CONSOLIDA!GE35</f>
        <v>0</v>
      </c>
      <c r="I86" s="1087"/>
      <c r="J86" s="1087"/>
      <c r="K86" s="1087"/>
      <c r="L86" s="1087"/>
      <c r="M86" s="1087"/>
      <c r="N86" s="1087"/>
      <c r="O86" s="1087"/>
      <c r="P86" s="1087"/>
      <c r="Q86" s="1087"/>
      <c r="R86" s="1087"/>
      <c r="S86" s="1087"/>
      <c r="T86" s="1087"/>
      <c r="U86" s="1087"/>
      <c r="V86" s="1087"/>
      <c r="W86" s="1087"/>
      <c r="X86" s="1087"/>
      <c r="Y86" s="1087"/>
      <c r="Z86" s="1087"/>
      <c r="AA86" s="1087"/>
      <c r="AB86" s="1087"/>
      <c r="AC86" s="1087"/>
      <c r="AD86" s="1087"/>
      <c r="AE86" s="1087"/>
      <c r="AF86" s="1087"/>
      <c r="AG86" s="1087"/>
      <c r="AH86" s="1087"/>
      <c r="AI86" s="1087"/>
      <c r="AJ86" s="1087"/>
      <c r="AK86" s="1087"/>
      <c r="AL86" s="1087"/>
      <c r="AM86" s="1092"/>
      <c r="AN86" s="1088"/>
      <c r="AO86" s="1088"/>
      <c r="AP86" s="1088"/>
      <c r="AQ86" s="1088"/>
      <c r="AR86" s="1088"/>
      <c r="AS86" s="1088"/>
      <c r="AT86" s="1088"/>
      <c r="AU86" s="1088"/>
      <c r="AV86" s="1088"/>
      <c r="AW86" s="1088"/>
      <c r="AX86" s="1088"/>
      <c r="AY86" s="1088"/>
      <c r="AZ86" s="1088"/>
      <c r="BA86" s="1088"/>
      <c r="BB86" s="1088"/>
      <c r="BC86" s="1088"/>
      <c r="BD86" s="1088"/>
      <c r="BE86" s="1088"/>
      <c r="BF86" s="1088"/>
      <c r="BG86" s="29">
        <f t="shared" si="2"/>
        <v>0</v>
      </c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92"/>
      <c r="BX86" s="29"/>
    </row>
    <row r="87" spans="1:76" s="182" customFormat="1" ht="12.75" hidden="1" customHeight="1">
      <c r="A87" s="512" t="str">
        <f t="shared" si="3"/>
        <v>OK</v>
      </c>
      <c r="B87" s="538" t="str">
        <f t="shared" si="4"/>
        <v/>
      </c>
      <c r="C87" s="1086">
        <f>CONSOLIDA!GD36</f>
        <v>0</v>
      </c>
      <c r="D87" s="1086"/>
      <c r="E87" s="1086"/>
      <c r="F87" s="1086"/>
      <c r="G87" s="1086"/>
      <c r="H87" s="1087">
        <f>CONSOLIDA!GE36</f>
        <v>0</v>
      </c>
      <c r="I87" s="1087"/>
      <c r="J87" s="1087"/>
      <c r="K87" s="1087"/>
      <c r="L87" s="1087"/>
      <c r="M87" s="1087"/>
      <c r="N87" s="1087"/>
      <c r="O87" s="1087"/>
      <c r="P87" s="1087"/>
      <c r="Q87" s="1087"/>
      <c r="R87" s="1087"/>
      <c r="S87" s="1087"/>
      <c r="T87" s="1087"/>
      <c r="U87" s="1087"/>
      <c r="V87" s="1087"/>
      <c r="W87" s="1087"/>
      <c r="X87" s="1087"/>
      <c r="Y87" s="1087"/>
      <c r="Z87" s="1087"/>
      <c r="AA87" s="1087"/>
      <c r="AB87" s="1087"/>
      <c r="AC87" s="1087"/>
      <c r="AD87" s="1087"/>
      <c r="AE87" s="1087"/>
      <c r="AF87" s="1087"/>
      <c r="AG87" s="1087"/>
      <c r="AH87" s="1087"/>
      <c r="AI87" s="1087"/>
      <c r="AJ87" s="1087"/>
      <c r="AK87" s="1087"/>
      <c r="AL87" s="1087"/>
      <c r="AM87" s="1092"/>
      <c r="AN87" s="1088"/>
      <c r="AO87" s="1088"/>
      <c r="AP87" s="1088"/>
      <c r="AQ87" s="1088"/>
      <c r="AR87" s="1088"/>
      <c r="AS87" s="1088"/>
      <c r="AT87" s="1088"/>
      <c r="AU87" s="1088"/>
      <c r="AV87" s="1088"/>
      <c r="AW87" s="1088"/>
      <c r="AX87" s="1088"/>
      <c r="AY87" s="1088"/>
      <c r="AZ87" s="1088"/>
      <c r="BA87" s="1088"/>
      <c r="BB87" s="1088"/>
      <c r="BC87" s="1088"/>
      <c r="BD87" s="1088"/>
      <c r="BE87" s="1088"/>
      <c r="BF87" s="1088"/>
      <c r="BG87" s="29">
        <f t="shared" si="2"/>
        <v>0</v>
      </c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92"/>
      <c r="BX87" s="29"/>
    </row>
    <row r="88" spans="1:76" s="182" customFormat="1" ht="12.75" hidden="1" customHeight="1">
      <c r="A88" s="512" t="str">
        <f t="shared" si="3"/>
        <v>OK</v>
      </c>
      <c r="B88" s="538" t="str">
        <f t="shared" si="4"/>
        <v/>
      </c>
      <c r="C88" s="1086">
        <f>CONSOLIDA!GD37</f>
        <v>0</v>
      </c>
      <c r="D88" s="1086"/>
      <c r="E88" s="1086"/>
      <c r="F88" s="1086"/>
      <c r="G88" s="1086"/>
      <c r="H88" s="1087">
        <f>CONSOLIDA!GE37</f>
        <v>0</v>
      </c>
      <c r="I88" s="1087"/>
      <c r="J88" s="1087"/>
      <c r="K88" s="1087"/>
      <c r="L88" s="1087"/>
      <c r="M88" s="1087"/>
      <c r="N88" s="1087"/>
      <c r="O88" s="1087"/>
      <c r="P88" s="1087"/>
      <c r="Q88" s="1087"/>
      <c r="R88" s="1087"/>
      <c r="S88" s="1087"/>
      <c r="T88" s="1087"/>
      <c r="U88" s="1087"/>
      <c r="V88" s="1087"/>
      <c r="W88" s="1087"/>
      <c r="X88" s="1087"/>
      <c r="Y88" s="1087"/>
      <c r="Z88" s="1087"/>
      <c r="AA88" s="1087"/>
      <c r="AB88" s="1087"/>
      <c r="AC88" s="1087"/>
      <c r="AD88" s="1087"/>
      <c r="AE88" s="1087"/>
      <c r="AF88" s="1087"/>
      <c r="AG88" s="1087"/>
      <c r="AH88" s="1087"/>
      <c r="AI88" s="1087"/>
      <c r="AJ88" s="1087"/>
      <c r="AK88" s="1087"/>
      <c r="AL88" s="1087"/>
      <c r="AM88" s="1092"/>
      <c r="AN88" s="1088"/>
      <c r="AO88" s="1088"/>
      <c r="AP88" s="1088"/>
      <c r="AQ88" s="1088"/>
      <c r="AR88" s="1088"/>
      <c r="AS88" s="1088"/>
      <c r="AT88" s="1088"/>
      <c r="AU88" s="1088"/>
      <c r="AV88" s="1088"/>
      <c r="AW88" s="1088"/>
      <c r="AX88" s="1088"/>
      <c r="AY88" s="1088"/>
      <c r="AZ88" s="1088"/>
      <c r="BA88" s="1088"/>
      <c r="BB88" s="1088"/>
      <c r="BC88" s="1088"/>
      <c r="BD88" s="1088"/>
      <c r="BE88" s="1088"/>
      <c r="BF88" s="1088"/>
      <c r="BG88" s="29">
        <f t="shared" si="2"/>
        <v>0</v>
      </c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92"/>
      <c r="BX88" s="29"/>
    </row>
    <row r="89" spans="1:76" s="182" customFormat="1" ht="12.75" hidden="1" customHeight="1">
      <c r="A89" s="512" t="str">
        <f t="shared" si="3"/>
        <v>OK</v>
      </c>
      <c r="B89" s="538" t="str">
        <f t="shared" si="4"/>
        <v/>
      </c>
      <c r="C89" s="1086">
        <f>CONSOLIDA!GD38</f>
        <v>0</v>
      </c>
      <c r="D89" s="1086"/>
      <c r="E89" s="1086"/>
      <c r="F89" s="1086"/>
      <c r="G89" s="1086"/>
      <c r="H89" s="1087">
        <f>CONSOLIDA!GE38</f>
        <v>0</v>
      </c>
      <c r="I89" s="1087"/>
      <c r="J89" s="1087"/>
      <c r="K89" s="1087"/>
      <c r="L89" s="1087"/>
      <c r="M89" s="1087"/>
      <c r="N89" s="1087"/>
      <c r="O89" s="1087"/>
      <c r="P89" s="1087"/>
      <c r="Q89" s="1087"/>
      <c r="R89" s="1087"/>
      <c r="S89" s="1087"/>
      <c r="T89" s="1087"/>
      <c r="U89" s="1087"/>
      <c r="V89" s="1087"/>
      <c r="W89" s="1087"/>
      <c r="X89" s="1087"/>
      <c r="Y89" s="1087"/>
      <c r="Z89" s="1087"/>
      <c r="AA89" s="1087"/>
      <c r="AB89" s="1087"/>
      <c r="AC89" s="1087"/>
      <c r="AD89" s="1087"/>
      <c r="AE89" s="1087"/>
      <c r="AF89" s="1087"/>
      <c r="AG89" s="1087"/>
      <c r="AH89" s="1087"/>
      <c r="AI89" s="1087"/>
      <c r="AJ89" s="1087"/>
      <c r="AK89" s="1087"/>
      <c r="AL89" s="1087"/>
      <c r="AM89" s="1092"/>
      <c r="AN89" s="1088"/>
      <c r="AO89" s="1088"/>
      <c r="AP89" s="1088"/>
      <c r="AQ89" s="1088"/>
      <c r="AR89" s="1088"/>
      <c r="AS89" s="1088"/>
      <c r="AT89" s="1088"/>
      <c r="AU89" s="1088"/>
      <c r="AV89" s="1088"/>
      <c r="AW89" s="1088"/>
      <c r="AX89" s="1088"/>
      <c r="AY89" s="1088"/>
      <c r="AZ89" s="1088"/>
      <c r="BA89" s="1088"/>
      <c r="BB89" s="1088"/>
      <c r="BC89" s="1088"/>
      <c r="BD89" s="1088"/>
      <c r="BE89" s="1088"/>
      <c r="BF89" s="1088"/>
      <c r="BG89" s="29">
        <f t="shared" si="2"/>
        <v>0</v>
      </c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92"/>
      <c r="BX89" s="29"/>
    </row>
    <row r="90" spans="1:76" s="182" customFormat="1" ht="12.75" hidden="1" customHeight="1">
      <c r="A90" s="512" t="str">
        <f t="shared" si="3"/>
        <v>OK</v>
      </c>
      <c r="B90" s="538" t="str">
        <f t="shared" si="4"/>
        <v/>
      </c>
      <c r="C90" s="1086">
        <f>CONSOLIDA!GD39</f>
        <v>0</v>
      </c>
      <c r="D90" s="1086"/>
      <c r="E90" s="1086"/>
      <c r="F90" s="1086"/>
      <c r="G90" s="1086"/>
      <c r="H90" s="1087">
        <f>CONSOLIDA!GE39</f>
        <v>0</v>
      </c>
      <c r="I90" s="1087"/>
      <c r="J90" s="1087"/>
      <c r="K90" s="1087"/>
      <c r="L90" s="1087"/>
      <c r="M90" s="1087"/>
      <c r="N90" s="1087"/>
      <c r="O90" s="1087"/>
      <c r="P90" s="1087"/>
      <c r="Q90" s="1087"/>
      <c r="R90" s="1087"/>
      <c r="S90" s="1087"/>
      <c r="T90" s="1087"/>
      <c r="U90" s="1087"/>
      <c r="V90" s="1087"/>
      <c r="W90" s="1087"/>
      <c r="X90" s="1087"/>
      <c r="Y90" s="1087"/>
      <c r="Z90" s="1087"/>
      <c r="AA90" s="1087"/>
      <c r="AB90" s="1087"/>
      <c r="AC90" s="1087"/>
      <c r="AD90" s="1087"/>
      <c r="AE90" s="1087"/>
      <c r="AF90" s="1087"/>
      <c r="AG90" s="1087"/>
      <c r="AH90" s="1087"/>
      <c r="AI90" s="1087"/>
      <c r="AJ90" s="1087"/>
      <c r="AK90" s="1087"/>
      <c r="AL90" s="1087"/>
      <c r="AM90" s="1092"/>
      <c r="AN90" s="1088"/>
      <c r="AO90" s="1088"/>
      <c r="AP90" s="1088"/>
      <c r="AQ90" s="1088"/>
      <c r="AR90" s="1088"/>
      <c r="AS90" s="1088"/>
      <c r="AT90" s="1088"/>
      <c r="AU90" s="1088"/>
      <c r="AV90" s="1088"/>
      <c r="AW90" s="1088"/>
      <c r="AX90" s="1088"/>
      <c r="AY90" s="1088"/>
      <c r="AZ90" s="1088"/>
      <c r="BA90" s="1088"/>
      <c r="BB90" s="1088"/>
      <c r="BC90" s="1088"/>
      <c r="BD90" s="1088"/>
      <c r="BE90" s="1088"/>
      <c r="BF90" s="1088"/>
      <c r="BG90" s="29">
        <f t="shared" si="2"/>
        <v>0</v>
      </c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92"/>
      <c r="BX90" s="29"/>
    </row>
    <row r="91" spans="1:76" s="182" customFormat="1" ht="12.75" hidden="1" customHeight="1">
      <c r="A91" s="512" t="str">
        <f t="shared" si="3"/>
        <v>OK</v>
      </c>
      <c r="B91" s="538" t="str">
        <f t="shared" si="4"/>
        <v/>
      </c>
      <c r="C91" s="1086">
        <f>CONSOLIDA!GD40</f>
        <v>0</v>
      </c>
      <c r="D91" s="1086"/>
      <c r="E91" s="1086"/>
      <c r="F91" s="1086"/>
      <c r="G91" s="1086"/>
      <c r="H91" s="1087">
        <f>CONSOLIDA!GE40</f>
        <v>0</v>
      </c>
      <c r="I91" s="1087"/>
      <c r="J91" s="1087"/>
      <c r="K91" s="1087"/>
      <c r="L91" s="1087"/>
      <c r="M91" s="1087"/>
      <c r="N91" s="1087"/>
      <c r="O91" s="1087"/>
      <c r="P91" s="1087"/>
      <c r="Q91" s="1087"/>
      <c r="R91" s="1087"/>
      <c r="S91" s="1087"/>
      <c r="T91" s="1087"/>
      <c r="U91" s="1087"/>
      <c r="V91" s="1087"/>
      <c r="W91" s="1087"/>
      <c r="X91" s="1087"/>
      <c r="Y91" s="1087"/>
      <c r="Z91" s="1087"/>
      <c r="AA91" s="1087"/>
      <c r="AB91" s="1087"/>
      <c r="AC91" s="1087"/>
      <c r="AD91" s="1087"/>
      <c r="AE91" s="1087"/>
      <c r="AF91" s="1087"/>
      <c r="AG91" s="1087"/>
      <c r="AH91" s="1087"/>
      <c r="AI91" s="1087"/>
      <c r="AJ91" s="1087"/>
      <c r="AK91" s="1087"/>
      <c r="AL91" s="1087"/>
      <c r="AM91" s="1092"/>
      <c r="AN91" s="1088"/>
      <c r="AO91" s="1088"/>
      <c r="AP91" s="1088"/>
      <c r="AQ91" s="1088"/>
      <c r="AR91" s="1088"/>
      <c r="AS91" s="1088"/>
      <c r="AT91" s="1088"/>
      <c r="AU91" s="1088"/>
      <c r="AV91" s="1088"/>
      <c r="AW91" s="1088"/>
      <c r="AX91" s="1088"/>
      <c r="AY91" s="1088"/>
      <c r="AZ91" s="1088"/>
      <c r="BA91" s="1088"/>
      <c r="BB91" s="1088"/>
      <c r="BC91" s="1088"/>
      <c r="BD91" s="1088"/>
      <c r="BE91" s="1088"/>
      <c r="BF91" s="1088"/>
      <c r="BG91" s="29">
        <f t="shared" si="2"/>
        <v>0</v>
      </c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92"/>
      <c r="BX91" s="29"/>
    </row>
    <row r="92" spans="1:76" s="182" customFormat="1" ht="12.75" hidden="1" customHeight="1">
      <c r="A92" s="512" t="str">
        <f t="shared" si="3"/>
        <v>OK</v>
      </c>
      <c r="B92" s="538" t="str">
        <f t="shared" si="4"/>
        <v/>
      </c>
      <c r="C92" s="1086">
        <f>CONSOLIDA!GD41</f>
        <v>0</v>
      </c>
      <c r="D92" s="1086"/>
      <c r="E92" s="1086"/>
      <c r="F92" s="1086"/>
      <c r="G92" s="1086"/>
      <c r="H92" s="1087">
        <f>CONSOLIDA!GE41</f>
        <v>0</v>
      </c>
      <c r="I92" s="1087"/>
      <c r="J92" s="1087"/>
      <c r="K92" s="1087"/>
      <c r="L92" s="1087"/>
      <c r="M92" s="1087"/>
      <c r="N92" s="1087"/>
      <c r="O92" s="1087"/>
      <c r="P92" s="1087"/>
      <c r="Q92" s="1087"/>
      <c r="R92" s="1087"/>
      <c r="S92" s="1087"/>
      <c r="T92" s="1087"/>
      <c r="U92" s="1087"/>
      <c r="V92" s="1087"/>
      <c r="W92" s="1087"/>
      <c r="X92" s="1087"/>
      <c r="Y92" s="1087"/>
      <c r="Z92" s="1087"/>
      <c r="AA92" s="1087"/>
      <c r="AB92" s="1087"/>
      <c r="AC92" s="1087"/>
      <c r="AD92" s="1087"/>
      <c r="AE92" s="1087"/>
      <c r="AF92" s="1087"/>
      <c r="AG92" s="1087"/>
      <c r="AH92" s="1087"/>
      <c r="AI92" s="1087"/>
      <c r="AJ92" s="1087"/>
      <c r="AK92" s="1087"/>
      <c r="AL92" s="1087"/>
      <c r="AM92" s="1092"/>
      <c r="AN92" s="1088"/>
      <c r="AO92" s="1088"/>
      <c r="AP92" s="1088"/>
      <c r="AQ92" s="1088"/>
      <c r="AR92" s="1088"/>
      <c r="AS92" s="1088"/>
      <c r="AT92" s="1088"/>
      <c r="AU92" s="1088"/>
      <c r="AV92" s="1088"/>
      <c r="AW92" s="1088"/>
      <c r="AX92" s="1088"/>
      <c r="AY92" s="1088"/>
      <c r="AZ92" s="1088"/>
      <c r="BA92" s="1088"/>
      <c r="BB92" s="1088"/>
      <c r="BC92" s="1088"/>
      <c r="BD92" s="1088"/>
      <c r="BE92" s="1088"/>
      <c r="BF92" s="1088"/>
      <c r="BG92" s="29">
        <f t="shared" si="2"/>
        <v>0</v>
      </c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92"/>
      <c r="BX92" s="29"/>
    </row>
    <row r="93" spans="1:76" s="182" customFormat="1" ht="12.75" hidden="1" customHeight="1">
      <c r="A93" s="512" t="str">
        <f t="shared" si="3"/>
        <v>OK</v>
      </c>
      <c r="B93" s="538" t="str">
        <f t="shared" si="4"/>
        <v/>
      </c>
      <c r="C93" s="1086">
        <f>CONSOLIDA!GD42</f>
        <v>0</v>
      </c>
      <c r="D93" s="1086"/>
      <c r="E93" s="1086"/>
      <c r="F93" s="1086"/>
      <c r="G93" s="1086"/>
      <c r="H93" s="1087">
        <f>CONSOLIDA!GE42</f>
        <v>0</v>
      </c>
      <c r="I93" s="1087"/>
      <c r="J93" s="1087"/>
      <c r="K93" s="1087"/>
      <c r="L93" s="1087"/>
      <c r="M93" s="1087"/>
      <c r="N93" s="1087"/>
      <c r="O93" s="1087"/>
      <c r="P93" s="1087"/>
      <c r="Q93" s="1087"/>
      <c r="R93" s="1087"/>
      <c r="S93" s="1087"/>
      <c r="T93" s="1087"/>
      <c r="U93" s="1087"/>
      <c r="V93" s="1087"/>
      <c r="W93" s="1087"/>
      <c r="X93" s="1087"/>
      <c r="Y93" s="1087"/>
      <c r="Z93" s="1087"/>
      <c r="AA93" s="1087"/>
      <c r="AB93" s="1087"/>
      <c r="AC93" s="1087"/>
      <c r="AD93" s="1087"/>
      <c r="AE93" s="1087"/>
      <c r="AF93" s="1087"/>
      <c r="AG93" s="1087"/>
      <c r="AH93" s="1087"/>
      <c r="AI93" s="1087"/>
      <c r="AJ93" s="1087"/>
      <c r="AK93" s="1087"/>
      <c r="AL93" s="1087"/>
      <c r="AM93" s="1092"/>
      <c r="AN93" s="1088"/>
      <c r="AO93" s="1088"/>
      <c r="AP93" s="1088"/>
      <c r="AQ93" s="1088"/>
      <c r="AR93" s="1088"/>
      <c r="AS93" s="1088"/>
      <c r="AT93" s="1088"/>
      <c r="AU93" s="1088"/>
      <c r="AV93" s="1088"/>
      <c r="AW93" s="1088"/>
      <c r="AX93" s="1088"/>
      <c r="AY93" s="1088"/>
      <c r="AZ93" s="1088"/>
      <c r="BA93" s="1088"/>
      <c r="BB93" s="1088"/>
      <c r="BC93" s="1088"/>
      <c r="BD93" s="1088"/>
      <c r="BE93" s="1088"/>
      <c r="BF93" s="1088"/>
      <c r="BG93" s="29">
        <f t="shared" si="2"/>
        <v>0</v>
      </c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92"/>
      <c r="BX93" s="29"/>
    </row>
    <row r="94" spans="1:76" s="182" customFormat="1" ht="12.75" hidden="1" customHeight="1">
      <c r="A94" s="512" t="str">
        <f t="shared" si="3"/>
        <v>OK</v>
      </c>
      <c r="B94" s="538" t="str">
        <f t="shared" si="4"/>
        <v/>
      </c>
      <c r="C94" s="1086">
        <f>CONSOLIDA!GD43</f>
        <v>0</v>
      </c>
      <c r="D94" s="1086"/>
      <c r="E94" s="1086"/>
      <c r="F94" s="1086"/>
      <c r="G94" s="1086"/>
      <c r="H94" s="1087">
        <f>CONSOLIDA!GE43</f>
        <v>0</v>
      </c>
      <c r="I94" s="1087"/>
      <c r="J94" s="1087"/>
      <c r="K94" s="1087"/>
      <c r="L94" s="1087"/>
      <c r="M94" s="1087"/>
      <c r="N94" s="1087"/>
      <c r="O94" s="1087"/>
      <c r="P94" s="1087"/>
      <c r="Q94" s="1087"/>
      <c r="R94" s="1087"/>
      <c r="S94" s="1087"/>
      <c r="T94" s="1087"/>
      <c r="U94" s="1087"/>
      <c r="V94" s="1087"/>
      <c r="W94" s="1087"/>
      <c r="X94" s="1087"/>
      <c r="Y94" s="1087"/>
      <c r="Z94" s="1087"/>
      <c r="AA94" s="1087"/>
      <c r="AB94" s="1087"/>
      <c r="AC94" s="1087"/>
      <c r="AD94" s="1087"/>
      <c r="AE94" s="1087"/>
      <c r="AF94" s="1087"/>
      <c r="AG94" s="1087"/>
      <c r="AH94" s="1087"/>
      <c r="AI94" s="1087"/>
      <c r="AJ94" s="1087"/>
      <c r="AK94" s="1087"/>
      <c r="AL94" s="1087"/>
      <c r="AM94" s="1092"/>
      <c r="AN94" s="1088"/>
      <c r="AO94" s="1088"/>
      <c r="AP94" s="1088"/>
      <c r="AQ94" s="1088"/>
      <c r="AR94" s="1088"/>
      <c r="AS94" s="1088"/>
      <c r="AT94" s="1088"/>
      <c r="AU94" s="1088"/>
      <c r="AV94" s="1088"/>
      <c r="AW94" s="1088"/>
      <c r="AX94" s="1088"/>
      <c r="AY94" s="1088"/>
      <c r="AZ94" s="1088"/>
      <c r="BA94" s="1088"/>
      <c r="BB94" s="1088"/>
      <c r="BC94" s="1088"/>
      <c r="BD94" s="1088"/>
      <c r="BE94" s="1088"/>
      <c r="BF94" s="1088"/>
      <c r="BG94" s="29">
        <f t="shared" si="2"/>
        <v>0</v>
      </c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92"/>
      <c r="BX94" s="29"/>
    </row>
    <row r="95" spans="1:76" s="182" customFormat="1" ht="12.75" hidden="1" customHeight="1">
      <c r="A95" s="512" t="str">
        <f t="shared" si="3"/>
        <v>OK</v>
      </c>
      <c r="B95" s="538" t="str">
        <f t="shared" si="4"/>
        <v/>
      </c>
      <c r="C95" s="1086">
        <f>CONSOLIDA!GD44</f>
        <v>0</v>
      </c>
      <c r="D95" s="1086"/>
      <c r="E95" s="1086"/>
      <c r="F95" s="1086"/>
      <c r="G95" s="1086"/>
      <c r="H95" s="1087">
        <f>CONSOLIDA!GE44</f>
        <v>0</v>
      </c>
      <c r="I95" s="1087"/>
      <c r="J95" s="1087"/>
      <c r="K95" s="1087"/>
      <c r="L95" s="1087"/>
      <c r="M95" s="1087"/>
      <c r="N95" s="1087"/>
      <c r="O95" s="1087"/>
      <c r="P95" s="1087"/>
      <c r="Q95" s="1087"/>
      <c r="R95" s="1087"/>
      <c r="S95" s="1087"/>
      <c r="T95" s="1087"/>
      <c r="U95" s="1087"/>
      <c r="V95" s="1087"/>
      <c r="W95" s="1087"/>
      <c r="X95" s="1087"/>
      <c r="Y95" s="1087"/>
      <c r="Z95" s="1087"/>
      <c r="AA95" s="1087"/>
      <c r="AB95" s="1087"/>
      <c r="AC95" s="1087"/>
      <c r="AD95" s="1087"/>
      <c r="AE95" s="1087"/>
      <c r="AF95" s="1087"/>
      <c r="AG95" s="1087"/>
      <c r="AH95" s="1087"/>
      <c r="AI95" s="1087"/>
      <c r="AJ95" s="1087"/>
      <c r="AK95" s="1087"/>
      <c r="AL95" s="1087"/>
      <c r="AM95" s="1092"/>
      <c r="AN95" s="1088"/>
      <c r="AO95" s="1088"/>
      <c r="AP95" s="1088"/>
      <c r="AQ95" s="1088"/>
      <c r="AR95" s="1088"/>
      <c r="AS95" s="1088"/>
      <c r="AT95" s="1088"/>
      <c r="AU95" s="1088"/>
      <c r="AV95" s="1088"/>
      <c r="AW95" s="1088"/>
      <c r="AX95" s="1088"/>
      <c r="AY95" s="1088"/>
      <c r="AZ95" s="1088"/>
      <c r="BA95" s="1088"/>
      <c r="BB95" s="1088"/>
      <c r="BC95" s="1088"/>
      <c r="BD95" s="1088"/>
      <c r="BE95" s="1088"/>
      <c r="BF95" s="1088"/>
      <c r="BG95" s="29">
        <f t="shared" si="2"/>
        <v>0</v>
      </c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92"/>
      <c r="BX95" s="29"/>
    </row>
    <row r="96" spans="1:76" s="182" customFormat="1" ht="12.75" hidden="1" customHeight="1">
      <c r="A96" s="512" t="str">
        <f t="shared" si="3"/>
        <v>OK</v>
      </c>
      <c r="B96" s="538" t="str">
        <f t="shared" si="4"/>
        <v/>
      </c>
      <c r="C96" s="1086">
        <f>CONSOLIDA!GD45</f>
        <v>0</v>
      </c>
      <c r="D96" s="1086"/>
      <c r="E96" s="1086"/>
      <c r="F96" s="1086"/>
      <c r="G96" s="1086"/>
      <c r="H96" s="1087">
        <f>CONSOLIDA!GE45</f>
        <v>0</v>
      </c>
      <c r="I96" s="1087"/>
      <c r="J96" s="1087"/>
      <c r="K96" s="1087"/>
      <c r="L96" s="1087"/>
      <c r="M96" s="1087"/>
      <c r="N96" s="1087"/>
      <c r="O96" s="1087"/>
      <c r="P96" s="1087"/>
      <c r="Q96" s="1087"/>
      <c r="R96" s="1087"/>
      <c r="S96" s="1087"/>
      <c r="T96" s="1087"/>
      <c r="U96" s="1087"/>
      <c r="V96" s="1087"/>
      <c r="W96" s="1087"/>
      <c r="X96" s="1087"/>
      <c r="Y96" s="1087"/>
      <c r="Z96" s="1087"/>
      <c r="AA96" s="1087"/>
      <c r="AB96" s="1087"/>
      <c r="AC96" s="1087"/>
      <c r="AD96" s="1087"/>
      <c r="AE96" s="1087"/>
      <c r="AF96" s="1087"/>
      <c r="AG96" s="1087"/>
      <c r="AH96" s="1087"/>
      <c r="AI96" s="1087"/>
      <c r="AJ96" s="1087"/>
      <c r="AK96" s="1087"/>
      <c r="AL96" s="1087"/>
      <c r="AM96" s="1092"/>
      <c r="AN96" s="1088"/>
      <c r="AO96" s="1088"/>
      <c r="AP96" s="1088"/>
      <c r="AQ96" s="1088"/>
      <c r="AR96" s="1088"/>
      <c r="AS96" s="1088"/>
      <c r="AT96" s="1088"/>
      <c r="AU96" s="1088"/>
      <c r="AV96" s="1088"/>
      <c r="AW96" s="1088"/>
      <c r="AX96" s="1088"/>
      <c r="AY96" s="1088"/>
      <c r="AZ96" s="1088"/>
      <c r="BA96" s="1088"/>
      <c r="BB96" s="1088"/>
      <c r="BC96" s="1088"/>
      <c r="BD96" s="1088"/>
      <c r="BE96" s="1088"/>
      <c r="BF96" s="1088"/>
      <c r="BG96" s="29">
        <f t="shared" si="2"/>
        <v>0</v>
      </c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92"/>
      <c r="BX96" s="29"/>
    </row>
    <row r="97" spans="1:76" s="182" customFormat="1" ht="12.75" hidden="1" customHeight="1">
      <c r="A97" s="512" t="str">
        <f t="shared" si="3"/>
        <v>OK</v>
      </c>
      <c r="B97" s="538" t="str">
        <f t="shared" si="4"/>
        <v/>
      </c>
      <c r="C97" s="1086">
        <f>CONSOLIDA!GD46</f>
        <v>0</v>
      </c>
      <c r="D97" s="1086"/>
      <c r="E97" s="1086"/>
      <c r="F97" s="1086"/>
      <c r="G97" s="1086"/>
      <c r="H97" s="1087">
        <f>CONSOLIDA!GE46</f>
        <v>0</v>
      </c>
      <c r="I97" s="1087"/>
      <c r="J97" s="1087"/>
      <c r="K97" s="1087"/>
      <c r="L97" s="1087"/>
      <c r="M97" s="1087"/>
      <c r="N97" s="1087"/>
      <c r="O97" s="1087"/>
      <c r="P97" s="1087"/>
      <c r="Q97" s="1087"/>
      <c r="R97" s="1087"/>
      <c r="S97" s="1087"/>
      <c r="T97" s="1087"/>
      <c r="U97" s="1087"/>
      <c r="V97" s="1087"/>
      <c r="W97" s="1087"/>
      <c r="X97" s="1087"/>
      <c r="Y97" s="1087"/>
      <c r="Z97" s="1087"/>
      <c r="AA97" s="1087"/>
      <c r="AB97" s="1087"/>
      <c r="AC97" s="1087"/>
      <c r="AD97" s="1087"/>
      <c r="AE97" s="1087"/>
      <c r="AF97" s="1087"/>
      <c r="AG97" s="1087"/>
      <c r="AH97" s="1087"/>
      <c r="AI97" s="1087"/>
      <c r="AJ97" s="1087"/>
      <c r="AK97" s="1087"/>
      <c r="AL97" s="1087"/>
      <c r="AM97" s="1092"/>
      <c r="AN97" s="1088"/>
      <c r="AO97" s="1088"/>
      <c r="AP97" s="1088"/>
      <c r="AQ97" s="1088"/>
      <c r="AR97" s="1088"/>
      <c r="AS97" s="1088"/>
      <c r="AT97" s="1088"/>
      <c r="AU97" s="1088"/>
      <c r="AV97" s="1088"/>
      <c r="AW97" s="1088"/>
      <c r="AX97" s="1088"/>
      <c r="AY97" s="1088"/>
      <c r="AZ97" s="1088"/>
      <c r="BA97" s="1088"/>
      <c r="BB97" s="1088"/>
      <c r="BC97" s="1088"/>
      <c r="BD97" s="1088"/>
      <c r="BE97" s="1088"/>
      <c r="BF97" s="1088"/>
      <c r="BG97" s="29">
        <f t="shared" si="2"/>
        <v>0</v>
      </c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92"/>
      <c r="BX97" s="29"/>
    </row>
    <row r="98" spans="1:76" s="182" customFormat="1" ht="12.75" hidden="1" customHeight="1">
      <c r="A98" s="512" t="str">
        <f t="shared" si="3"/>
        <v>OK</v>
      </c>
      <c r="B98" s="538" t="str">
        <f t="shared" si="4"/>
        <v/>
      </c>
      <c r="C98" s="1086">
        <f>CONSOLIDA!GD47</f>
        <v>0</v>
      </c>
      <c r="D98" s="1086"/>
      <c r="E98" s="1086"/>
      <c r="F98" s="1086"/>
      <c r="G98" s="1086"/>
      <c r="H98" s="1087">
        <f>CONSOLIDA!GE47</f>
        <v>0</v>
      </c>
      <c r="I98" s="1087"/>
      <c r="J98" s="1087"/>
      <c r="K98" s="1087"/>
      <c r="L98" s="1087"/>
      <c r="M98" s="1087"/>
      <c r="N98" s="1087"/>
      <c r="O98" s="1087"/>
      <c r="P98" s="1087"/>
      <c r="Q98" s="1087"/>
      <c r="R98" s="1087"/>
      <c r="S98" s="1087"/>
      <c r="T98" s="1087"/>
      <c r="U98" s="1087"/>
      <c r="V98" s="1087"/>
      <c r="W98" s="1087"/>
      <c r="X98" s="1087"/>
      <c r="Y98" s="1087"/>
      <c r="Z98" s="1087"/>
      <c r="AA98" s="1087"/>
      <c r="AB98" s="1087"/>
      <c r="AC98" s="1087"/>
      <c r="AD98" s="1087"/>
      <c r="AE98" s="1087"/>
      <c r="AF98" s="1087"/>
      <c r="AG98" s="1087"/>
      <c r="AH98" s="1087"/>
      <c r="AI98" s="1087"/>
      <c r="AJ98" s="1087"/>
      <c r="AK98" s="1087"/>
      <c r="AL98" s="1087"/>
      <c r="AM98" s="1092"/>
      <c r="AN98" s="1088"/>
      <c r="AO98" s="1088"/>
      <c r="AP98" s="1088"/>
      <c r="AQ98" s="1088"/>
      <c r="AR98" s="1088"/>
      <c r="AS98" s="1088"/>
      <c r="AT98" s="1088"/>
      <c r="AU98" s="1088"/>
      <c r="AV98" s="1088"/>
      <c r="AW98" s="1088"/>
      <c r="AX98" s="1088"/>
      <c r="AY98" s="1088"/>
      <c r="AZ98" s="1088"/>
      <c r="BA98" s="1088"/>
      <c r="BB98" s="1088"/>
      <c r="BC98" s="1088"/>
      <c r="BD98" s="1088"/>
      <c r="BE98" s="1088"/>
      <c r="BF98" s="1088"/>
      <c r="BG98" s="29">
        <f t="shared" si="2"/>
        <v>0</v>
      </c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92"/>
      <c r="BX98" s="29"/>
    </row>
    <row r="99" spans="1:76" s="182" customFormat="1" ht="12.75" hidden="1" customHeight="1">
      <c r="A99" s="512" t="str">
        <f t="shared" si="3"/>
        <v>OK</v>
      </c>
      <c r="B99" s="538" t="str">
        <f t="shared" si="4"/>
        <v/>
      </c>
      <c r="C99" s="1086">
        <f>CONSOLIDA!GD48</f>
        <v>0</v>
      </c>
      <c r="D99" s="1086"/>
      <c r="E99" s="1086"/>
      <c r="F99" s="1086"/>
      <c r="G99" s="1086"/>
      <c r="H99" s="1087">
        <f>CONSOLIDA!GE48</f>
        <v>0</v>
      </c>
      <c r="I99" s="1087"/>
      <c r="J99" s="1087"/>
      <c r="K99" s="1087"/>
      <c r="L99" s="1087"/>
      <c r="M99" s="1087"/>
      <c r="N99" s="1087"/>
      <c r="O99" s="1087"/>
      <c r="P99" s="1087"/>
      <c r="Q99" s="1087"/>
      <c r="R99" s="1087"/>
      <c r="S99" s="1087"/>
      <c r="T99" s="1087"/>
      <c r="U99" s="1087"/>
      <c r="V99" s="1087"/>
      <c r="W99" s="1087"/>
      <c r="X99" s="1087"/>
      <c r="Y99" s="1087"/>
      <c r="Z99" s="1087"/>
      <c r="AA99" s="1087"/>
      <c r="AB99" s="1087"/>
      <c r="AC99" s="1087"/>
      <c r="AD99" s="1087"/>
      <c r="AE99" s="1087"/>
      <c r="AF99" s="1087"/>
      <c r="AG99" s="1087"/>
      <c r="AH99" s="1087"/>
      <c r="AI99" s="1087"/>
      <c r="AJ99" s="1087"/>
      <c r="AK99" s="1087"/>
      <c r="AL99" s="1087"/>
      <c r="AM99" s="1092"/>
      <c r="AN99" s="1088"/>
      <c r="AO99" s="1088"/>
      <c r="AP99" s="1088"/>
      <c r="AQ99" s="1088"/>
      <c r="AR99" s="1088"/>
      <c r="AS99" s="1088"/>
      <c r="AT99" s="1088"/>
      <c r="AU99" s="1088"/>
      <c r="AV99" s="1088"/>
      <c r="AW99" s="1088"/>
      <c r="AX99" s="1088"/>
      <c r="AY99" s="1088"/>
      <c r="AZ99" s="1088"/>
      <c r="BA99" s="1088"/>
      <c r="BB99" s="1088"/>
      <c r="BC99" s="1088"/>
      <c r="BD99" s="1088"/>
      <c r="BE99" s="1088"/>
      <c r="BF99" s="1088"/>
      <c r="BG99" s="29">
        <f t="shared" si="2"/>
        <v>0</v>
      </c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92"/>
      <c r="BX99" s="29"/>
    </row>
    <row r="100" spans="1:76" s="182" customFormat="1" ht="12.75" hidden="1" customHeight="1">
      <c r="A100" s="512" t="str">
        <f t="shared" si="3"/>
        <v>OK</v>
      </c>
      <c r="B100" s="538" t="str">
        <f t="shared" si="4"/>
        <v/>
      </c>
      <c r="C100" s="1086">
        <f>CONSOLIDA!GD49</f>
        <v>0</v>
      </c>
      <c r="D100" s="1086"/>
      <c r="E100" s="1086"/>
      <c r="F100" s="1086"/>
      <c r="G100" s="1086"/>
      <c r="H100" s="1087">
        <f>CONSOLIDA!GE49</f>
        <v>0</v>
      </c>
      <c r="I100" s="1087"/>
      <c r="J100" s="1087"/>
      <c r="K100" s="1087"/>
      <c r="L100" s="1087"/>
      <c r="M100" s="1087"/>
      <c r="N100" s="1087"/>
      <c r="O100" s="1087"/>
      <c r="P100" s="1087"/>
      <c r="Q100" s="1087"/>
      <c r="R100" s="1087"/>
      <c r="S100" s="1087"/>
      <c r="T100" s="1087"/>
      <c r="U100" s="1087"/>
      <c r="V100" s="1087"/>
      <c r="W100" s="1087"/>
      <c r="X100" s="1087"/>
      <c r="Y100" s="1087"/>
      <c r="Z100" s="1087"/>
      <c r="AA100" s="1087"/>
      <c r="AB100" s="1087"/>
      <c r="AC100" s="1087"/>
      <c r="AD100" s="1087"/>
      <c r="AE100" s="1087"/>
      <c r="AF100" s="1087"/>
      <c r="AG100" s="1087"/>
      <c r="AH100" s="1087"/>
      <c r="AI100" s="1087"/>
      <c r="AJ100" s="1087"/>
      <c r="AK100" s="1087"/>
      <c r="AL100" s="1087"/>
      <c r="AM100" s="1092"/>
      <c r="AN100" s="1088"/>
      <c r="AO100" s="1088"/>
      <c r="AP100" s="1088"/>
      <c r="AQ100" s="1088"/>
      <c r="AR100" s="1088"/>
      <c r="AS100" s="1088"/>
      <c r="AT100" s="1088"/>
      <c r="AU100" s="1088"/>
      <c r="AV100" s="1088"/>
      <c r="AW100" s="1088"/>
      <c r="AX100" s="1088"/>
      <c r="AY100" s="1088"/>
      <c r="AZ100" s="1088"/>
      <c r="BA100" s="1088"/>
      <c r="BB100" s="1088"/>
      <c r="BC100" s="1088"/>
      <c r="BD100" s="1088"/>
      <c r="BE100" s="1088"/>
      <c r="BF100" s="1088"/>
      <c r="BG100" s="29">
        <f t="shared" si="2"/>
        <v>0</v>
      </c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92"/>
      <c r="BX100" s="29"/>
    </row>
    <row r="101" spans="1:76" s="182" customFormat="1" ht="12.75" hidden="1" customHeight="1">
      <c r="A101" s="512" t="str">
        <f t="shared" si="3"/>
        <v>OK</v>
      </c>
      <c r="B101" s="538" t="str">
        <f t="shared" si="4"/>
        <v/>
      </c>
      <c r="C101" s="1086">
        <f>CONSOLIDA!GD50</f>
        <v>0</v>
      </c>
      <c r="D101" s="1086"/>
      <c r="E101" s="1086"/>
      <c r="F101" s="1086"/>
      <c r="G101" s="1086"/>
      <c r="H101" s="1087">
        <f>CONSOLIDA!GE50</f>
        <v>0</v>
      </c>
      <c r="I101" s="1087"/>
      <c r="J101" s="1087"/>
      <c r="K101" s="1087"/>
      <c r="L101" s="1087"/>
      <c r="M101" s="1087"/>
      <c r="N101" s="1087"/>
      <c r="O101" s="1087"/>
      <c r="P101" s="1087"/>
      <c r="Q101" s="1087"/>
      <c r="R101" s="1087"/>
      <c r="S101" s="1087"/>
      <c r="T101" s="1087"/>
      <c r="U101" s="1087"/>
      <c r="V101" s="1087"/>
      <c r="W101" s="1087"/>
      <c r="X101" s="1087"/>
      <c r="Y101" s="1087"/>
      <c r="Z101" s="1087"/>
      <c r="AA101" s="1087"/>
      <c r="AB101" s="1087"/>
      <c r="AC101" s="1087"/>
      <c r="AD101" s="1087"/>
      <c r="AE101" s="1087"/>
      <c r="AF101" s="1087"/>
      <c r="AG101" s="1087"/>
      <c r="AH101" s="1087"/>
      <c r="AI101" s="1087"/>
      <c r="AJ101" s="1087"/>
      <c r="AK101" s="1087"/>
      <c r="AL101" s="1087"/>
      <c r="AM101" s="1092"/>
      <c r="AN101" s="1088"/>
      <c r="AO101" s="1088"/>
      <c r="AP101" s="1088"/>
      <c r="AQ101" s="1088"/>
      <c r="AR101" s="1088"/>
      <c r="AS101" s="1088"/>
      <c r="AT101" s="1088"/>
      <c r="AU101" s="1088"/>
      <c r="AV101" s="1088"/>
      <c r="AW101" s="1088"/>
      <c r="AX101" s="1088"/>
      <c r="AY101" s="1088"/>
      <c r="AZ101" s="1088"/>
      <c r="BA101" s="1088"/>
      <c r="BB101" s="1088"/>
      <c r="BC101" s="1088"/>
      <c r="BD101" s="1088"/>
      <c r="BE101" s="1088"/>
      <c r="BF101" s="1088"/>
      <c r="BG101" s="29">
        <f t="shared" si="2"/>
        <v>0</v>
      </c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92"/>
      <c r="BX101" s="29"/>
    </row>
    <row r="102" spans="1:76" s="182" customFormat="1" ht="12.75" hidden="1" customHeight="1">
      <c r="A102" s="512" t="str">
        <f t="shared" si="3"/>
        <v>OK</v>
      </c>
      <c r="B102" s="538" t="str">
        <f t="shared" si="4"/>
        <v/>
      </c>
      <c r="C102" s="1086">
        <f>CONSOLIDA!GD51</f>
        <v>0</v>
      </c>
      <c r="D102" s="1086"/>
      <c r="E102" s="1086"/>
      <c r="F102" s="1086"/>
      <c r="G102" s="1086"/>
      <c r="H102" s="1087">
        <f>CONSOLIDA!GE51</f>
        <v>0</v>
      </c>
      <c r="I102" s="1087"/>
      <c r="J102" s="1087"/>
      <c r="K102" s="1087"/>
      <c r="L102" s="1087"/>
      <c r="M102" s="1087"/>
      <c r="N102" s="1087"/>
      <c r="O102" s="1087"/>
      <c r="P102" s="1087"/>
      <c r="Q102" s="1087"/>
      <c r="R102" s="1087"/>
      <c r="S102" s="1087"/>
      <c r="T102" s="1087"/>
      <c r="U102" s="1087"/>
      <c r="V102" s="1087"/>
      <c r="W102" s="1087"/>
      <c r="X102" s="1087"/>
      <c r="Y102" s="1087"/>
      <c r="Z102" s="1087"/>
      <c r="AA102" s="1087"/>
      <c r="AB102" s="1087"/>
      <c r="AC102" s="1087"/>
      <c r="AD102" s="1087"/>
      <c r="AE102" s="1087"/>
      <c r="AF102" s="1087"/>
      <c r="AG102" s="1087"/>
      <c r="AH102" s="1087"/>
      <c r="AI102" s="1087"/>
      <c r="AJ102" s="1087"/>
      <c r="AK102" s="1087"/>
      <c r="AL102" s="1087"/>
      <c r="AM102" s="1092"/>
      <c r="AN102" s="1088"/>
      <c r="AO102" s="1088"/>
      <c r="AP102" s="1088"/>
      <c r="AQ102" s="1088"/>
      <c r="AR102" s="1088"/>
      <c r="AS102" s="1088"/>
      <c r="AT102" s="1088"/>
      <c r="AU102" s="1088"/>
      <c r="AV102" s="1088"/>
      <c r="AW102" s="1088"/>
      <c r="AX102" s="1088"/>
      <c r="AY102" s="1088"/>
      <c r="AZ102" s="1088"/>
      <c r="BA102" s="1088"/>
      <c r="BB102" s="1088"/>
      <c r="BC102" s="1088"/>
      <c r="BD102" s="1088"/>
      <c r="BE102" s="1088"/>
      <c r="BF102" s="1088"/>
      <c r="BG102" s="29">
        <f t="shared" si="2"/>
        <v>0</v>
      </c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92"/>
      <c r="BX102" s="29"/>
    </row>
    <row r="103" spans="1:76" s="182" customFormat="1" ht="12.75" hidden="1" customHeight="1">
      <c r="A103" s="512" t="str">
        <f t="shared" si="3"/>
        <v>OK</v>
      </c>
      <c r="B103" s="538" t="str">
        <f t="shared" si="4"/>
        <v/>
      </c>
      <c r="C103" s="1086">
        <f>CONSOLIDA!GD52</f>
        <v>0</v>
      </c>
      <c r="D103" s="1086"/>
      <c r="E103" s="1086"/>
      <c r="F103" s="1086"/>
      <c r="G103" s="1086"/>
      <c r="H103" s="1087">
        <f>CONSOLIDA!GE52</f>
        <v>0</v>
      </c>
      <c r="I103" s="1087"/>
      <c r="J103" s="1087"/>
      <c r="K103" s="1087"/>
      <c r="L103" s="1087"/>
      <c r="M103" s="1087"/>
      <c r="N103" s="1087"/>
      <c r="O103" s="1087"/>
      <c r="P103" s="1087"/>
      <c r="Q103" s="1087"/>
      <c r="R103" s="1087"/>
      <c r="S103" s="1087"/>
      <c r="T103" s="1087"/>
      <c r="U103" s="1087"/>
      <c r="V103" s="1087"/>
      <c r="W103" s="1087"/>
      <c r="X103" s="1087"/>
      <c r="Y103" s="1087"/>
      <c r="Z103" s="1087"/>
      <c r="AA103" s="1087"/>
      <c r="AB103" s="1087"/>
      <c r="AC103" s="1087"/>
      <c r="AD103" s="1087"/>
      <c r="AE103" s="1087"/>
      <c r="AF103" s="1087"/>
      <c r="AG103" s="1087"/>
      <c r="AH103" s="1087"/>
      <c r="AI103" s="1087"/>
      <c r="AJ103" s="1087"/>
      <c r="AK103" s="1087"/>
      <c r="AL103" s="1087"/>
      <c r="AM103" s="1092"/>
      <c r="AN103" s="1088"/>
      <c r="AO103" s="1088"/>
      <c r="AP103" s="1088"/>
      <c r="AQ103" s="1088"/>
      <c r="AR103" s="1088"/>
      <c r="AS103" s="1088"/>
      <c r="AT103" s="1088"/>
      <c r="AU103" s="1088"/>
      <c r="AV103" s="1088"/>
      <c r="AW103" s="1088"/>
      <c r="AX103" s="1088"/>
      <c r="AY103" s="1088"/>
      <c r="AZ103" s="1088"/>
      <c r="BA103" s="1088"/>
      <c r="BB103" s="1088"/>
      <c r="BC103" s="1088"/>
      <c r="BD103" s="1088"/>
      <c r="BE103" s="1088"/>
      <c r="BF103" s="1088"/>
      <c r="BG103" s="29">
        <f t="shared" si="2"/>
        <v>0</v>
      </c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92"/>
      <c r="BX103" s="29"/>
    </row>
    <row r="104" spans="1:76" s="182" customFormat="1" ht="12.75" hidden="1" customHeight="1">
      <c r="A104" s="512" t="str">
        <f t="shared" si="3"/>
        <v>OK</v>
      </c>
      <c r="B104" s="538" t="str">
        <f t="shared" si="4"/>
        <v/>
      </c>
      <c r="C104" s="1086">
        <f>CONSOLIDA!GD53</f>
        <v>0</v>
      </c>
      <c r="D104" s="1086"/>
      <c r="E104" s="1086"/>
      <c r="F104" s="1086"/>
      <c r="G104" s="1086"/>
      <c r="H104" s="1087">
        <f>CONSOLIDA!GE53</f>
        <v>0</v>
      </c>
      <c r="I104" s="1087"/>
      <c r="J104" s="1087"/>
      <c r="K104" s="1087"/>
      <c r="L104" s="1087"/>
      <c r="M104" s="1087"/>
      <c r="N104" s="1087"/>
      <c r="O104" s="1087"/>
      <c r="P104" s="1087"/>
      <c r="Q104" s="1087"/>
      <c r="R104" s="1087"/>
      <c r="S104" s="1087"/>
      <c r="T104" s="1087"/>
      <c r="U104" s="1087"/>
      <c r="V104" s="1087"/>
      <c r="W104" s="1087"/>
      <c r="X104" s="1087"/>
      <c r="Y104" s="1087"/>
      <c r="Z104" s="1087"/>
      <c r="AA104" s="1087"/>
      <c r="AB104" s="1087"/>
      <c r="AC104" s="1087"/>
      <c r="AD104" s="1087"/>
      <c r="AE104" s="1087"/>
      <c r="AF104" s="1087"/>
      <c r="AG104" s="1087"/>
      <c r="AH104" s="1087"/>
      <c r="AI104" s="1087"/>
      <c r="AJ104" s="1087"/>
      <c r="AK104" s="1087"/>
      <c r="AL104" s="1087"/>
      <c r="AM104" s="1092"/>
      <c r="AN104" s="1088"/>
      <c r="AO104" s="1088"/>
      <c r="AP104" s="1088"/>
      <c r="AQ104" s="1088"/>
      <c r="AR104" s="1088"/>
      <c r="AS104" s="1088"/>
      <c r="AT104" s="1088"/>
      <c r="AU104" s="1088"/>
      <c r="AV104" s="1088"/>
      <c r="AW104" s="1088"/>
      <c r="AX104" s="1088"/>
      <c r="AY104" s="1088"/>
      <c r="AZ104" s="1088"/>
      <c r="BA104" s="1088"/>
      <c r="BB104" s="1088"/>
      <c r="BC104" s="1088"/>
      <c r="BD104" s="1088"/>
      <c r="BE104" s="1088"/>
      <c r="BF104" s="1088"/>
      <c r="BG104" s="29">
        <f t="shared" si="2"/>
        <v>0</v>
      </c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92"/>
      <c r="BX104" s="29"/>
    </row>
    <row r="105" spans="1:76" s="182" customFormat="1" ht="12.75" hidden="1" customHeight="1">
      <c r="A105" s="512" t="str">
        <f t="shared" si="3"/>
        <v>OK</v>
      </c>
      <c r="B105" s="538" t="str">
        <f t="shared" si="4"/>
        <v/>
      </c>
      <c r="C105" s="1086">
        <f>CONSOLIDA!GD54</f>
        <v>0</v>
      </c>
      <c r="D105" s="1086"/>
      <c r="E105" s="1086"/>
      <c r="F105" s="1086"/>
      <c r="G105" s="1086"/>
      <c r="H105" s="1087">
        <f>CONSOLIDA!GE54</f>
        <v>0</v>
      </c>
      <c r="I105" s="1087"/>
      <c r="J105" s="1087"/>
      <c r="K105" s="1087"/>
      <c r="L105" s="1087"/>
      <c r="M105" s="1087"/>
      <c r="N105" s="1087"/>
      <c r="O105" s="1087"/>
      <c r="P105" s="1087"/>
      <c r="Q105" s="1087"/>
      <c r="R105" s="1087"/>
      <c r="S105" s="1087"/>
      <c r="T105" s="1087"/>
      <c r="U105" s="1087"/>
      <c r="V105" s="1087"/>
      <c r="W105" s="1087"/>
      <c r="X105" s="1087"/>
      <c r="Y105" s="1087"/>
      <c r="Z105" s="1087"/>
      <c r="AA105" s="1087"/>
      <c r="AB105" s="1087"/>
      <c r="AC105" s="1087"/>
      <c r="AD105" s="1087"/>
      <c r="AE105" s="1087"/>
      <c r="AF105" s="1087"/>
      <c r="AG105" s="1087"/>
      <c r="AH105" s="1087"/>
      <c r="AI105" s="1087"/>
      <c r="AJ105" s="1087"/>
      <c r="AK105" s="1087"/>
      <c r="AL105" s="1087"/>
      <c r="AM105" s="1092"/>
      <c r="AN105" s="1088"/>
      <c r="AO105" s="1088"/>
      <c r="AP105" s="1088"/>
      <c r="AQ105" s="1088"/>
      <c r="AR105" s="1088"/>
      <c r="AS105" s="1088"/>
      <c r="AT105" s="1088"/>
      <c r="AU105" s="1088"/>
      <c r="AV105" s="1088"/>
      <c r="AW105" s="1088"/>
      <c r="AX105" s="1088"/>
      <c r="AY105" s="1088"/>
      <c r="AZ105" s="1088"/>
      <c r="BA105" s="1088"/>
      <c r="BB105" s="1088"/>
      <c r="BC105" s="1088"/>
      <c r="BD105" s="1088"/>
      <c r="BE105" s="1088"/>
      <c r="BF105" s="1088"/>
      <c r="BG105" s="29">
        <f t="shared" si="2"/>
        <v>0</v>
      </c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92"/>
      <c r="BX105" s="29"/>
    </row>
    <row r="106" spans="1:76" s="182" customFormat="1" ht="12.75" hidden="1" customHeight="1">
      <c r="A106" s="512" t="str">
        <f t="shared" si="3"/>
        <v>OK</v>
      </c>
      <c r="B106" s="538" t="str">
        <f t="shared" si="4"/>
        <v/>
      </c>
      <c r="C106" s="1086">
        <f>CONSOLIDA!GD55</f>
        <v>0</v>
      </c>
      <c r="D106" s="1086"/>
      <c r="E106" s="1086"/>
      <c r="F106" s="1086"/>
      <c r="G106" s="1086"/>
      <c r="H106" s="1087">
        <f>CONSOLIDA!GE55</f>
        <v>0</v>
      </c>
      <c r="I106" s="1087"/>
      <c r="J106" s="1087"/>
      <c r="K106" s="1087"/>
      <c r="L106" s="1087"/>
      <c r="M106" s="1087"/>
      <c r="N106" s="1087"/>
      <c r="O106" s="1087"/>
      <c r="P106" s="1087"/>
      <c r="Q106" s="1087"/>
      <c r="R106" s="1087"/>
      <c r="S106" s="1087"/>
      <c r="T106" s="1087"/>
      <c r="U106" s="1087"/>
      <c r="V106" s="1087"/>
      <c r="W106" s="1087"/>
      <c r="X106" s="1087"/>
      <c r="Y106" s="1087"/>
      <c r="Z106" s="1087"/>
      <c r="AA106" s="1087"/>
      <c r="AB106" s="1087"/>
      <c r="AC106" s="1087"/>
      <c r="AD106" s="1087"/>
      <c r="AE106" s="1087"/>
      <c r="AF106" s="1087"/>
      <c r="AG106" s="1087"/>
      <c r="AH106" s="1087"/>
      <c r="AI106" s="1087"/>
      <c r="AJ106" s="1087"/>
      <c r="AK106" s="1087"/>
      <c r="AL106" s="1087"/>
      <c r="AM106" s="1092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29">
        <f t="shared" si="2"/>
        <v>0</v>
      </c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92"/>
      <c r="BX106" s="29"/>
    </row>
    <row r="107" spans="1:76" s="182" customFormat="1" ht="12.75" hidden="1" customHeight="1">
      <c r="A107" s="512" t="str">
        <f t="shared" si="3"/>
        <v>OK</v>
      </c>
      <c r="B107" s="538" t="str">
        <f t="shared" si="4"/>
        <v/>
      </c>
      <c r="C107" s="1086">
        <f>CONSOLIDA!GD56</f>
        <v>0</v>
      </c>
      <c r="D107" s="1086"/>
      <c r="E107" s="1086"/>
      <c r="F107" s="1086"/>
      <c r="G107" s="1086"/>
      <c r="H107" s="1087">
        <f>CONSOLIDA!GE56</f>
        <v>0</v>
      </c>
      <c r="I107" s="1087"/>
      <c r="J107" s="1087"/>
      <c r="K107" s="1087"/>
      <c r="L107" s="1087"/>
      <c r="M107" s="1087"/>
      <c r="N107" s="1087"/>
      <c r="O107" s="1087"/>
      <c r="P107" s="1087"/>
      <c r="Q107" s="1087"/>
      <c r="R107" s="1087"/>
      <c r="S107" s="1087"/>
      <c r="T107" s="1087"/>
      <c r="U107" s="1087"/>
      <c r="V107" s="1087"/>
      <c r="W107" s="1087"/>
      <c r="X107" s="1087"/>
      <c r="Y107" s="1087"/>
      <c r="Z107" s="1087"/>
      <c r="AA107" s="1087"/>
      <c r="AB107" s="1087"/>
      <c r="AC107" s="1087"/>
      <c r="AD107" s="1087"/>
      <c r="AE107" s="1087"/>
      <c r="AF107" s="1087"/>
      <c r="AG107" s="1087"/>
      <c r="AH107" s="1087"/>
      <c r="AI107" s="1087"/>
      <c r="AJ107" s="1087"/>
      <c r="AK107" s="1087"/>
      <c r="AL107" s="1087"/>
      <c r="AM107" s="1092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29">
        <f t="shared" si="2"/>
        <v>0</v>
      </c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92"/>
      <c r="BX107" s="29"/>
    </row>
    <row r="108" spans="1:76" s="182" customFormat="1" ht="12.75" hidden="1" customHeight="1">
      <c r="A108" s="512" t="str">
        <f t="shared" si="3"/>
        <v>OK</v>
      </c>
      <c r="B108" s="538" t="str">
        <f t="shared" si="4"/>
        <v/>
      </c>
      <c r="C108" s="1086">
        <f>CONSOLIDA!GD57</f>
        <v>0</v>
      </c>
      <c r="D108" s="1086"/>
      <c r="E108" s="1086"/>
      <c r="F108" s="1086"/>
      <c r="G108" s="1086"/>
      <c r="H108" s="1087">
        <f>CONSOLIDA!GE57</f>
        <v>0</v>
      </c>
      <c r="I108" s="1087"/>
      <c r="J108" s="1087"/>
      <c r="K108" s="1087"/>
      <c r="L108" s="1087"/>
      <c r="M108" s="1087"/>
      <c r="N108" s="1087"/>
      <c r="O108" s="1087"/>
      <c r="P108" s="1087"/>
      <c r="Q108" s="1087"/>
      <c r="R108" s="1087"/>
      <c r="S108" s="1087"/>
      <c r="T108" s="1087"/>
      <c r="U108" s="1087"/>
      <c r="V108" s="1087"/>
      <c r="W108" s="1087"/>
      <c r="X108" s="1087"/>
      <c r="Y108" s="1087"/>
      <c r="Z108" s="1087"/>
      <c r="AA108" s="1087"/>
      <c r="AB108" s="1087"/>
      <c r="AC108" s="1087"/>
      <c r="AD108" s="1087"/>
      <c r="AE108" s="1087"/>
      <c r="AF108" s="1087"/>
      <c r="AG108" s="1087"/>
      <c r="AH108" s="1087"/>
      <c r="AI108" s="1087"/>
      <c r="AJ108" s="1087"/>
      <c r="AK108" s="1087"/>
      <c r="AL108" s="1087"/>
      <c r="AM108" s="1092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29">
        <f t="shared" si="2"/>
        <v>0</v>
      </c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92"/>
      <c r="BX108" s="29"/>
    </row>
    <row r="109" spans="1:76" s="182" customFormat="1" ht="12.75" hidden="1" customHeight="1">
      <c r="A109" s="512" t="str">
        <f t="shared" si="3"/>
        <v>OK</v>
      </c>
      <c r="B109" s="538" t="str">
        <f t="shared" si="4"/>
        <v/>
      </c>
      <c r="C109" s="1086">
        <f>CONSOLIDA!GD58</f>
        <v>0</v>
      </c>
      <c r="D109" s="1086"/>
      <c r="E109" s="1086"/>
      <c r="F109" s="1086"/>
      <c r="G109" s="1086"/>
      <c r="H109" s="1087">
        <f>CONSOLIDA!GE58</f>
        <v>0</v>
      </c>
      <c r="I109" s="1087"/>
      <c r="J109" s="1087"/>
      <c r="K109" s="1087"/>
      <c r="L109" s="1087"/>
      <c r="M109" s="1087"/>
      <c r="N109" s="1087"/>
      <c r="O109" s="1087"/>
      <c r="P109" s="1087"/>
      <c r="Q109" s="1087"/>
      <c r="R109" s="1087"/>
      <c r="S109" s="1087"/>
      <c r="T109" s="1087"/>
      <c r="U109" s="1087"/>
      <c r="V109" s="1087"/>
      <c r="W109" s="1087"/>
      <c r="X109" s="1087"/>
      <c r="Y109" s="1087"/>
      <c r="Z109" s="1087"/>
      <c r="AA109" s="1087"/>
      <c r="AB109" s="1087"/>
      <c r="AC109" s="1087"/>
      <c r="AD109" s="1087"/>
      <c r="AE109" s="1087"/>
      <c r="AF109" s="1087"/>
      <c r="AG109" s="1087"/>
      <c r="AH109" s="1087"/>
      <c r="AI109" s="1087"/>
      <c r="AJ109" s="1087"/>
      <c r="AK109" s="1087"/>
      <c r="AL109" s="1087"/>
      <c r="AM109" s="1092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29">
        <f t="shared" si="2"/>
        <v>0</v>
      </c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92"/>
      <c r="BX109" s="29"/>
    </row>
    <row r="110" spans="1:76" s="182" customFormat="1" ht="12.75" hidden="1" customHeight="1">
      <c r="A110" s="512" t="str">
        <f t="shared" si="3"/>
        <v>OK</v>
      </c>
      <c r="B110" s="538" t="str">
        <f t="shared" si="4"/>
        <v/>
      </c>
      <c r="C110" s="1086">
        <f>CONSOLIDA!GD59</f>
        <v>0</v>
      </c>
      <c r="D110" s="1086"/>
      <c r="E110" s="1086"/>
      <c r="F110" s="1086"/>
      <c r="G110" s="1086"/>
      <c r="H110" s="1087">
        <f>CONSOLIDA!GE59</f>
        <v>0</v>
      </c>
      <c r="I110" s="1087"/>
      <c r="J110" s="1087"/>
      <c r="K110" s="1087"/>
      <c r="L110" s="1087"/>
      <c r="M110" s="1087"/>
      <c r="N110" s="1087"/>
      <c r="O110" s="1087"/>
      <c r="P110" s="1087"/>
      <c r="Q110" s="1087"/>
      <c r="R110" s="1087"/>
      <c r="S110" s="1087"/>
      <c r="T110" s="1087"/>
      <c r="U110" s="1087"/>
      <c r="V110" s="1087"/>
      <c r="W110" s="1087"/>
      <c r="X110" s="1087"/>
      <c r="Y110" s="1087"/>
      <c r="Z110" s="1087"/>
      <c r="AA110" s="1087"/>
      <c r="AB110" s="1087"/>
      <c r="AC110" s="1087"/>
      <c r="AD110" s="1087"/>
      <c r="AE110" s="1087"/>
      <c r="AF110" s="1087"/>
      <c r="AG110" s="1087"/>
      <c r="AH110" s="1087"/>
      <c r="AI110" s="1087"/>
      <c r="AJ110" s="1087"/>
      <c r="AK110" s="1087"/>
      <c r="AL110" s="1087"/>
      <c r="AM110" s="1092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29">
        <f t="shared" si="2"/>
        <v>0</v>
      </c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92"/>
      <c r="BX110" s="29"/>
    </row>
    <row r="111" spans="1:76" s="182" customFormat="1" ht="12.75" hidden="1" customHeight="1">
      <c r="A111" s="512" t="str">
        <f t="shared" si="3"/>
        <v>OK</v>
      </c>
      <c r="B111" s="538" t="str">
        <f t="shared" si="4"/>
        <v/>
      </c>
      <c r="C111" s="1086">
        <f>CONSOLIDA!GD60</f>
        <v>0</v>
      </c>
      <c r="D111" s="1086"/>
      <c r="E111" s="1086"/>
      <c r="F111" s="1086"/>
      <c r="G111" s="1086"/>
      <c r="H111" s="1087">
        <f>CONSOLIDA!GE60</f>
        <v>0</v>
      </c>
      <c r="I111" s="1087"/>
      <c r="J111" s="1087"/>
      <c r="K111" s="1087"/>
      <c r="L111" s="1087"/>
      <c r="M111" s="1087"/>
      <c r="N111" s="1087"/>
      <c r="O111" s="1087"/>
      <c r="P111" s="1087"/>
      <c r="Q111" s="1087"/>
      <c r="R111" s="1087"/>
      <c r="S111" s="1087"/>
      <c r="T111" s="1087"/>
      <c r="U111" s="1087"/>
      <c r="V111" s="1087"/>
      <c r="W111" s="1087"/>
      <c r="X111" s="1087"/>
      <c r="Y111" s="1087"/>
      <c r="Z111" s="1087"/>
      <c r="AA111" s="1087"/>
      <c r="AB111" s="1087"/>
      <c r="AC111" s="1087"/>
      <c r="AD111" s="1087"/>
      <c r="AE111" s="1087"/>
      <c r="AF111" s="1087"/>
      <c r="AG111" s="1087"/>
      <c r="AH111" s="1087"/>
      <c r="AI111" s="1087"/>
      <c r="AJ111" s="1087"/>
      <c r="AK111" s="1087"/>
      <c r="AL111" s="1087"/>
      <c r="AM111" s="1092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29">
        <f t="shared" si="2"/>
        <v>0</v>
      </c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92"/>
      <c r="BX111" s="29"/>
    </row>
    <row r="112" spans="1:76" s="182" customFormat="1" ht="12.75" hidden="1" customHeight="1">
      <c r="A112" s="512" t="str">
        <f t="shared" si="3"/>
        <v>OK</v>
      </c>
      <c r="B112" s="538" t="str">
        <f t="shared" si="4"/>
        <v/>
      </c>
      <c r="C112" s="1086">
        <f>CONSOLIDA!GD61</f>
        <v>0</v>
      </c>
      <c r="D112" s="1086"/>
      <c r="E112" s="1086"/>
      <c r="F112" s="1086"/>
      <c r="G112" s="1086"/>
      <c r="H112" s="1087">
        <f>CONSOLIDA!GE61</f>
        <v>0</v>
      </c>
      <c r="I112" s="1087"/>
      <c r="J112" s="1087"/>
      <c r="K112" s="1087"/>
      <c r="L112" s="1087"/>
      <c r="M112" s="1087"/>
      <c r="N112" s="1087"/>
      <c r="O112" s="1087"/>
      <c r="P112" s="1087"/>
      <c r="Q112" s="1087"/>
      <c r="R112" s="1087"/>
      <c r="S112" s="1087"/>
      <c r="T112" s="1087"/>
      <c r="U112" s="1087"/>
      <c r="V112" s="1087"/>
      <c r="W112" s="1087"/>
      <c r="X112" s="1087"/>
      <c r="Y112" s="1087"/>
      <c r="Z112" s="1087"/>
      <c r="AA112" s="1087"/>
      <c r="AB112" s="1087"/>
      <c r="AC112" s="1087"/>
      <c r="AD112" s="1087"/>
      <c r="AE112" s="1087"/>
      <c r="AF112" s="1087"/>
      <c r="AG112" s="1087"/>
      <c r="AH112" s="1087"/>
      <c r="AI112" s="1087"/>
      <c r="AJ112" s="1087"/>
      <c r="AK112" s="1087"/>
      <c r="AL112" s="1087"/>
      <c r="AM112" s="1092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29">
        <f t="shared" si="2"/>
        <v>0</v>
      </c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92"/>
      <c r="BX112" s="29"/>
    </row>
    <row r="113" spans="1:76" s="182" customFormat="1" ht="12.75" hidden="1" customHeight="1">
      <c r="A113" s="512" t="str">
        <f t="shared" si="3"/>
        <v>OK</v>
      </c>
      <c r="B113" s="538" t="str">
        <f t="shared" si="4"/>
        <v/>
      </c>
      <c r="C113" s="1086">
        <f>CONSOLIDA!GD62</f>
        <v>0</v>
      </c>
      <c r="D113" s="1086"/>
      <c r="E113" s="1086"/>
      <c r="F113" s="1086"/>
      <c r="G113" s="1086"/>
      <c r="H113" s="1087">
        <f>CONSOLIDA!GE62</f>
        <v>0</v>
      </c>
      <c r="I113" s="1087"/>
      <c r="J113" s="1087"/>
      <c r="K113" s="1087"/>
      <c r="L113" s="1087"/>
      <c r="M113" s="1087"/>
      <c r="N113" s="1087"/>
      <c r="O113" s="1087"/>
      <c r="P113" s="1087"/>
      <c r="Q113" s="1087"/>
      <c r="R113" s="1087"/>
      <c r="S113" s="1087"/>
      <c r="T113" s="1087"/>
      <c r="U113" s="1087"/>
      <c r="V113" s="1087"/>
      <c r="W113" s="1087"/>
      <c r="X113" s="1087"/>
      <c r="Y113" s="1087"/>
      <c r="Z113" s="1087"/>
      <c r="AA113" s="1087"/>
      <c r="AB113" s="1087"/>
      <c r="AC113" s="1087"/>
      <c r="AD113" s="1087"/>
      <c r="AE113" s="1087"/>
      <c r="AF113" s="1087"/>
      <c r="AG113" s="1087"/>
      <c r="AH113" s="1087"/>
      <c r="AI113" s="1087"/>
      <c r="AJ113" s="1087"/>
      <c r="AK113" s="1087"/>
      <c r="AL113" s="1087"/>
      <c r="AM113" s="1092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29">
        <f t="shared" si="2"/>
        <v>0</v>
      </c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92"/>
      <c r="BX113" s="29"/>
    </row>
    <row r="114" spans="1:76" s="182" customFormat="1" ht="12.75" hidden="1" customHeight="1">
      <c r="A114" s="512" t="str">
        <f t="shared" si="3"/>
        <v>OK</v>
      </c>
      <c r="B114" s="538" t="str">
        <f t="shared" si="4"/>
        <v/>
      </c>
      <c r="C114" s="1086">
        <f>CONSOLIDA!GD63</f>
        <v>0</v>
      </c>
      <c r="D114" s="1086"/>
      <c r="E114" s="1086"/>
      <c r="F114" s="1086"/>
      <c r="G114" s="1086"/>
      <c r="H114" s="1087">
        <f>CONSOLIDA!GE63</f>
        <v>0</v>
      </c>
      <c r="I114" s="1087"/>
      <c r="J114" s="1087"/>
      <c r="K114" s="1087"/>
      <c r="L114" s="1087"/>
      <c r="M114" s="1087"/>
      <c r="N114" s="1087"/>
      <c r="O114" s="1087"/>
      <c r="P114" s="1087"/>
      <c r="Q114" s="1087"/>
      <c r="R114" s="1087"/>
      <c r="S114" s="1087"/>
      <c r="T114" s="1087"/>
      <c r="U114" s="1087"/>
      <c r="V114" s="1087"/>
      <c r="W114" s="1087"/>
      <c r="X114" s="1087"/>
      <c r="Y114" s="1087"/>
      <c r="Z114" s="1087"/>
      <c r="AA114" s="1087"/>
      <c r="AB114" s="1087"/>
      <c r="AC114" s="1087"/>
      <c r="AD114" s="1087"/>
      <c r="AE114" s="1087"/>
      <c r="AF114" s="1087"/>
      <c r="AG114" s="1087"/>
      <c r="AH114" s="1087"/>
      <c r="AI114" s="1087"/>
      <c r="AJ114" s="1087"/>
      <c r="AK114" s="1087"/>
      <c r="AL114" s="1087"/>
      <c r="AM114" s="1092"/>
      <c r="AN114" s="1088"/>
      <c r="AO114" s="1088"/>
      <c r="AP114" s="1088"/>
      <c r="AQ114" s="1088"/>
      <c r="AR114" s="1088"/>
      <c r="AS114" s="1088"/>
      <c r="AT114" s="1088"/>
      <c r="AU114" s="1088"/>
      <c r="AV114" s="1088"/>
      <c r="AW114" s="1088"/>
      <c r="AX114" s="1088"/>
      <c r="AY114" s="1088"/>
      <c r="AZ114" s="1088"/>
      <c r="BA114" s="1088"/>
      <c r="BB114" s="1088"/>
      <c r="BC114" s="1088"/>
      <c r="BD114" s="1088"/>
      <c r="BE114" s="1088"/>
      <c r="BF114" s="1088"/>
      <c r="BG114" s="29">
        <f t="shared" si="2"/>
        <v>0</v>
      </c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92"/>
      <c r="BX114" s="29"/>
    </row>
    <row r="115" spans="1:76" s="182" customFormat="1" ht="12.75" hidden="1" customHeight="1">
      <c r="A115" s="512" t="str">
        <f t="shared" si="3"/>
        <v>OK</v>
      </c>
      <c r="B115" s="538" t="str">
        <f t="shared" si="4"/>
        <v/>
      </c>
      <c r="C115" s="1086">
        <f>CONSOLIDA!GD64</f>
        <v>0</v>
      </c>
      <c r="D115" s="1086"/>
      <c r="E115" s="1086"/>
      <c r="F115" s="1086"/>
      <c r="G115" s="1086"/>
      <c r="H115" s="1087">
        <f>CONSOLIDA!GE64</f>
        <v>0</v>
      </c>
      <c r="I115" s="1087"/>
      <c r="J115" s="1087"/>
      <c r="K115" s="1087"/>
      <c r="L115" s="1087"/>
      <c r="M115" s="1087"/>
      <c r="N115" s="1087"/>
      <c r="O115" s="1087"/>
      <c r="P115" s="1087"/>
      <c r="Q115" s="1087"/>
      <c r="R115" s="1087"/>
      <c r="S115" s="1087"/>
      <c r="T115" s="1087"/>
      <c r="U115" s="1087"/>
      <c r="V115" s="1087"/>
      <c r="W115" s="1087"/>
      <c r="X115" s="1087"/>
      <c r="Y115" s="1087"/>
      <c r="Z115" s="1087"/>
      <c r="AA115" s="1087"/>
      <c r="AB115" s="1087"/>
      <c r="AC115" s="1087"/>
      <c r="AD115" s="1087"/>
      <c r="AE115" s="1087"/>
      <c r="AF115" s="1087"/>
      <c r="AG115" s="1087"/>
      <c r="AH115" s="1087"/>
      <c r="AI115" s="1087"/>
      <c r="AJ115" s="1087"/>
      <c r="AK115" s="1087"/>
      <c r="AL115" s="1087"/>
      <c r="AM115" s="1092"/>
      <c r="AN115" s="1088"/>
      <c r="AO115" s="1088"/>
      <c r="AP115" s="1088"/>
      <c r="AQ115" s="1088"/>
      <c r="AR115" s="1088"/>
      <c r="AS115" s="1088"/>
      <c r="AT115" s="1088"/>
      <c r="AU115" s="1088"/>
      <c r="AV115" s="1088"/>
      <c r="AW115" s="1088"/>
      <c r="AX115" s="1088"/>
      <c r="AY115" s="1088"/>
      <c r="AZ115" s="1088"/>
      <c r="BA115" s="1088"/>
      <c r="BB115" s="1088"/>
      <c r="BC115" s="1088"/>
      <c r="BD115" s="1088"/>
      <c r="BE115" s="1088"/>
      <c r="BF115" s="1088"/>
      <c r="BG115" s="29">
        <f t="shared" si="2"/>
        <v>0</v>
      </c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92"/>
      <c r="BX115" s="29"/>
    </row>
    <row r="116" spans="1:76" s="182" customFormat="1" ht="12.75" hidden="1" customHeight="1">
      <c r="A116" s="512" t="str">
        <f t="shared" si="3"/>
        <v>OK</v>
      </c>
      <c r="B116" s="538" t="str">
        <f t="shared" si="4"/>
        <v/>
      </c>
      <c r="C116" s="1086">
        <f>CONSOLIDA!GD65</f>
        <v>0</v>
      </c>
      <c r="D116" s="1086"/>
      <c r="E116" s="1086"/>
      <c r="F116" s="1086"/>
      <c r="G116" s="1086"/>
      <c r="H116" s="1087">
        <f>CONSOLIDA!GE65</f>
        <v>0</v>
      </c>
      <c r="I116" s="1087"/>
      <c r="J116" s="1087"/>
      <c r="K116" s="1087"/>
      <c r="L116" s="1087"/>
      <c r="M116" s="1087"/>
      <c r="N116" s="1087"/>
      <c r="O116" s="1087"/>
      <c r="P116" s="1087"/>
      <c r="Q116" s="1087"/>
      <c r="R116" s="1087"/>
      <c r="S116" s="1087"/>
      <c r="T116" s="1087"/>
      <c r="U116" s="1087"/>
      <c r="V116" s="1087"/>
      <c r="W116" s="1087"/>
      <c r="X116" s="1087"/>
      <c r="Y116" s="1087"/>
      <c r="Z116" s="1087"/>
      <c r="AA116" s="1087"/>
      <c r="AB116" s="1087"/>
      <c r="AC116" s="1087"/>
      <c r="AD116" s="1087"/>
      <c r="AE116" s="1087"/>
      <c r="AF116" s="1087"/>
      <c r="AG116" s="1087"/>
      <c r="AH116" s="1087"/>
      <c r="AI116" s="1087"/>
      <c r="AJ116" s="1087"/>
      <c r="AK116" s="1087"/>
      <c r="AL116" s="1087"/>
      <c r="AM116" s="1092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8"/>
      <c r="BD116" s="1088"/>
      <c r="BE116" s="1088"/>
      <c r="BF116" s="1088"/>
      <c r="BG116" s="29">
        <f t="shared" si="2"/>
        <v>0</v>
      </c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92"/>
      <c r="BX116" s="29"/>
    </row>
    <row r="117" spans="1:76" s="182" customFormat="1" ht="12.75" hidden="1" customHeight="1">
      <c r="A117" s="512" t="str">
        <f t="shared" si="3"/>
        <v>OK</v>
      </c>
      <c r="B117" s="538" t="str">
        <f t="shared" si="4"/>
        <v/>
      </c>
      <c r="C117" s="1086">
        <f>CONSOLIDA!GD66</f>
        <v>0</v>
      </c>
      <c r="D117" s="1086"/>
      <c r="E117" s="1086"/>
      <c r="F117" s="1086"/>
      <c r="G117" s="1086"/>
      <c r="H117" s="1087">
        <f>CONSOLIDA!GE66</f>
        <v>0</v>
      </c>
      <c r="I117" s="1087"/>
      <c r="J117" s="1087"/>
      <c r="K117" s="1087"/>
      <c r="L117" s="1087"/>
      <c r="M117" s="1087"/>
      <c r="N117" s="1087"/>
      <c r="O117" s="1087"/>
      <c r="P117" s="1087"/>
      <c r="Q117" s="1087"/>
      <c r="R117" s="1087"/>
      <c r="S117" s="1087"/>
      <c r="T117" s="1087"/>
      <c r="U117" s="1087"/>
      <c r="V117" s="1087"/>
      <c r="W117" s="1087"/>
      <c r="X117" s="1087"/>
      <c r="Y117" s="1087"/>
      <c r="Z117" s="1087"/>
      <c r="AA117" s="1087"/>
      <c r="AB117" s="1087"/>
      <c r="AC117" s="1087"/>
      <c r="AD117" s="1087"/>
      <c r="AE117" s="1087"/>
      <c r="AF117" s="1087"/>
      <c r="AG117" s="1087"/>
      <c r="AH117" s="1087"/>
      <c r="AI117" s="1087"/>
      <c r="AJ117" s="1087"/>
      <c r="AK117" s="1087"/>
      <c r="AL117" s="1087"/>
      <c r="AM117" s="1092"/>
      <c r="AN117" s="1088"/>
      <c r="AO117" s="1088"/>
      <c r="AP117" s="1088"/>
      <c r="AQ117" s="1088"/>
      <c r="AR117" s="1088"/>
      <c r="AS117" s="1088"/>
      <c r="AT117" s="1088"/>
      <c r="AU117" s="1088"/>
      <c r="AV117" s="1088"/>
      <c r="AW117" s="1088"/>
      <c r="AX117" s="1088"/>
      <c r="AY117" s="1088"/>
      <c r="AZ117" s="1088"/>
      <c r="BA117" s="1088"/>
      <c r="BB117" s="1088"/>
      <c r="BC117" s="1088"/>
      <c r="BD117" s="1088"/>
      <c r="BE117" s="1088"/>
      <c r="BF117" s="1088"/>
      <c r="BG117" s="29">
        <f t="shared" si="2"/>
        <v>0</v>
      </c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92"/>
      <c r="BX117" s="29"/>
    </row>
    <row r="118" spans="1:76" s="182" customFormat="1" ht="12.75" hidden="1" customHeight="1">
      <c r="A118" s="512" t="str">
        <f t="shared" si="3"/>
        <v>OK</v>
      </c>
      <c r="B118" s="538" t="str">
        <f t="shared" si="4"/>
        <v/>
      </c>
      <c r="C118" s="1086">
        <f>CONSOLIDA!GD67</f>
        <v>0</v>
      </c>
      <c r="D118" s="1086"/>
      <c r="E118" s="1086"/>
      <c r="F118" s="1086"/>
      <c r="G118" s="1086"/>
      <c r="H118" s="1087">
        <f>CONSOLIDA!GE67</f>
        <v>0</v>
      </c>
      <c r="I118" s="1087"/>
      <c r="J118" s="1087"/>
      <c r="K118" s="1087"/>
      <c r="L118" s="1087"/>
      <c r="M118" s="1087"/>
      <c r="N118" s="1087"/>
      <c r="O118" s="1087"/>
      <c r="P118" s="1087"/>
      <c r="Q118" s="1087"/>
      <c r="R118" s="1087"/>
      <c r="S118" s="1087"/>
      <c r="T118" s="1087"/>
      <c r="U118" s="1087"/>
      <c r="V118" s="1087"/>
      <c r="W118" s="1087"/>
      <c r="X118" s="1087"/>
      <c r="Y118" s="1087"/>
      <c r="Z118" s="1087"/>
      <c r="AA118" s="1087"/>
      <c r="AB118" s="1087"/>
      <c r="AC118" s="1087"/>
      <c r="AD118" s="1087"/>
      <c r="AE118" s="1087"/>
      <c r="AF118" s="1087"/>
      <c r="AG118" s="1087"/>
      <c r="AH118" s="1087"/>
      <c r="AI118" s="1087"/>
      <c r="AJ118" s="1087"/>
      <c r="AK118" s="1087"/>
      <c r="AL118" s="1087"/>
      <c r="AM118" s="1092"/>
      <c r="AN118" s="1088"/>
      <c r="AO118" s="1088"/>
      <c r="AP118" s="1088"/>
      <c r="AQ118" s="1088"/>
      <c r="AR118" s="1088"/>
      <c r="AS118" s="1088"/>
      <c r="AT118" s="1088"/>
      <c r="AU118" s="1088"/>
      <c r="AV118" s="1088"/>
      <c r="AW118" s="1088"/>
      <c r="AX118" s="1088"/>
      <c r="AY118" s="1088"/>
      <c r="AZ118" s="1088"/>
      <c r="BA118" s="1088"/>
      <c r="BB118" s="1088"/>
      <c r="BC118" s="1088"/>
      <c r="BD118" s="1088"/>
      <c r="BE118" s="1088"/>
      <c r="BF118" s="1088"/>
      <c r="BG118" s="29">
        <f t="shared" si="2"/>
        <v>0</v>
      </c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92"/>
      <c r="BX118" s="29"/>
    </row>
    <row r="119" spans="1:76" s="182" customFormat="1" ht="12.75" hidden="1" customHeight="1">
      <c r="A119" s="512" t="str">
        <f t="shared" si="3"/>
        <v>OK</v>
      </c>
      <c r="B119" s="538" t="str">
        <f t="shared" si="4"/>
        <v/>
      </c>
      <c r="C119" s="1086">
        <f>CONSOLIDA!GD68</f>
        <v>0</v>
      </c>
      <c r="D119" s="1086"/>
      <c r="E119" s="1086"/>
      <c r="F119" s="1086"/>
      <c r="G119" s="1086"/>
      <c r="H119" s="1087">
        <f>CONSOLIDA!GE68</f>
        <v>0</v>
      </c>
      <c r="I119" s="1087"/>
      <c r="J119" s="1087"/>
      <c r="K119" s="1087"/>
      <c r="L119" s="1087"/>
      <c r="M119" s="1087"/>
      <c r="N119" s="1087"/>
      <c r="O119" s="1087"/>
      <c r="P119" s="1087"/>
      <c r="Q119" s="1087"/>
      <c r="R119" s="1087"/>
      <c r="S119" s="1087"/>
      <c r="T119" s="1087"/>
      <c r="U119" s="1087"/>
      <c r="V119" s="1087"/>
      <c r="W119" s="1087"/>
      <c r="X119" s="1087"/>
      <c r="Y119" s="1087"/>
      <c r="Z119" s="1087"/>
      <c r="AA119" s="1087"/>
      <c r="AB119" s="1087"/>
      <c r="AC119" s="1087"/>
      <c r="AD119" s="1087"/>
      <c r="AE119" s="1087"/>
      <c r="AF119" s="1087"/>
      <c r="AG119" s="1087"/>
      <c r="AH119" s="1087"/>
      <c r="AI119" s="1087"/>
      <c r="AJ119" s="1087"/>
      <c r="AK119" s="1087"/>
      <c r="AL119" s="1087"/>
      <c r="AM119" s="1092"/>
      <c r="AN119" s="1088"/>
      <c r="AO119" s="1088"/>
      <c r="AP119" s="1088"/>
      <c r="AQ119" s="1088"/>
      <c r="AR119" s="1088"/>
      <c r="AS119" s="1088"/>
      <c r="AT119" s="1088"/>
      <c r="AU119" s="1088"/>
      <c r="AV119" s="1088"/>
      <c r="AW119" s="1088"/>
      <c r="AX119" s="1088"/>
      <c r="AY119" s="1088"/>
      <c r="AZ119" s="1088"/>
      <c r="BA119" s="1088"/>
      <c r="BB119" s="1088"/>
      <c r="BC119" s="1088"/>
      <c r="BD119" s="1088"/>
      <c r="BE119" s="1088"/>
      <c r="BF119" s="1088"/>
      <c r="BG119" s="29">
        <f t="shared" ref="BG119:BG182" si="5">IF(C119=0,0,1)</f>
        <v>0</v>
      </c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92"/>
      <c r="BX119" s="29"/>
    </row>
    <row r="120" spans="1:76" s="182" customFormat="1" ht="12.75" hidden="1" customHeight="1">
      <c r="A120" s="512" t="str">
        <f t="shared" ref="A120:A183" si="6">IF(AND(BG120=0,AM120=""),"OK","")</f>
        <v>OK</v>
      </c>
      <c r="B120" s="538" t="str">
        <f t="shared" si="4"/>
        <v/>
      </c>
      <c r="C120" s="1086">
        <f>CONSOLIDA!GD69</f>
        <v>0</v>
      </c>
      <c r="D120" s="1086"/>
      <c r="E120" s="1086"/>
      <c r="F120" s="1086"/>
      <c r="G120" s="1086"/>
      <c r="H120" s="1087">
        <f>CONSOLIDA!GE69</f>
        <v>0</v>
      </c>
      <c r="I120" s="1087"/>
      <c r="J120" s="1087"/>
      <c r="K120" s="1087"/>
      <c r="L120" s="1087"/>
      <c r="M120" s="1087"/>
      <c r="N120" s="1087"/>
      <c r="O120" s="1087"/>
      <c r="P120" s="1087"/>
      <c r="Q120" s="1087"/>
      <c r="R120" s="1087"/>
      <c r="S120" s="1087"/>
      <c r="T120" s="1087"/>
      <c r="U120" s="1087"/>
      <c r="V120" s="1087"/>
      <c r="W120" s="1087"/>
      <c r="X120" s="1087"/>
      <c r="Y120" s="1087"/>
      <c r="Z120" s="1087"/>
      <c r="AA120" s="1087"/>
      <c r="AB120" s="1087"/>
      <c r="AC120" s="1087"/>
      <c r="AD120" s="1087"/>
      <c r="AE120" s="1087"/>
      <c r="AF120" s="1087"/>
      <c r="AG120" s="1087"/>
      <c r="AH120" s="1087"/>
      <c r="AI120" s="1087"/>
      <c r="AJ120" s="1087"/>
      <c r="AK120" s="1087"/>
      <c r="AL120" s="1087"/>
      <c r="AM120" s="1092"/>
      <c r="AN120" s="1088"/>
      <c r="AO120" s="1088"/>
      <c r="AP120" s="1088"/>
      <c r="AQ120" s="1088"/>
      <c r="AR120" s="1088"/>
      <c r="AS120" s="1088"/>
      <c r="AT120" s="1088"/>
      <c r="AU120" s="1088"/>
      <c r="AV120" s="1088"/>
      <c r="AW120" s="1088"/>
      <c r="AX120" s="1088"/>
      <c r="AY120" s="1088"/>
      <c r="AZ120" s="1088"/>
      <c r="BA120" s="1088"/>
      <c r="BB120" s="1088"/>
      <c r="BC120" s="1088"/>
      <c r="BD120" s="1088"/>
      <c r="BE120" s="1088"/>
      <c r="BF120" s="1088"/>
      <c r="BG120" s="29">
        <f t="shared" si="5"/>
        <v>0</v>
      </c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92"/>
      <c r="BX120" s="29"/>
    </row>
    <row r="121" spans="1:76" s="182" customFormat="1" ht="12.75" hidden="1" customHeight="1">
      <c r="A121" s="512" t="str">
        <f t="shared" si="6"/>
        <v>OK</v>
      </c>
      <c r="B121" s="538" t="str">
        <f t="shared" ref="B121:B184" si="7">IF(C121=0,"",B120+1)</f>
        <v/>
      </c>
      <c r="C121" s="1086">
        <f>CONSOLIDA!GD70</f>
        <v>0</v>
      </c>
      <c r="D121" s="1086"/>
      <c r="E121" s="1086"/>
      <c r="F121" s="1086"/>
      <c r="G121" s="1086"/>
      <c r="H121" s="1087">
        <f>CONSOLIDA!GE70</f>
        <v>0</v>
      </c>
      <c r="I121" s="1087"/>
      <c r="J121" s="1087"/>
      <c r="K121" s="1087"/>
      <c r="L121" s="1087"/>
      <c r="M121" s="1087"/>
      <c r="N121" s="1087"/>
      <c r="O121" s="1087"/>
      <c r="P121" s="1087"/>
      <c r="Q121" s="1087"/>
      <c r="R121" s="1087"/>
      <c r="S121" s="1087"/>
      <c r="T121" s="1087"/>
      <c r="U121" s="1087"/>
      <c r="V121" s="1087"/>
      <c r="W121" s="1087"/>
      <c r="X121" s="1087"/>
      <c r="Y121" s="1087"/>
      <c r="Z121" s="1087"/>
      <c r="AA121" s="1087"/>
      <c r="AB121" s="1087"/>
      <c r="AC121" s="1087"/>
      <c r="AD121" s="1087"/>
      <c r="AE121" s="1087"/>
      <c r="AF121" s="1087"/>
      <c r="AG121" s="1087"/>
      <c r="AH121" s="1087"/>
      <c r="AI121" s="1087"/>
      <c r="AJ121" s="1087"/>
      <c r="AK121" s="1087"/>
      <c r="AL121" s="1087"/>
      <c r="AM121" s="1092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29">
        <f t="shared" si="5"/>
        <v>0</v>
      </c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92"/>
      <c r="BX121" s="29"/>
    </row>
    <row r="122" spans="1:76" s="182" customFormat="1" ht="12.75" hidden="1" customHeight="1">
      <c r="A122" s="512" t="str">
        <f t="shared" si="6"/>
        <v>OK</v>
      </c>
      <c r="B122" s="538" t="str">
        <f t="shared" si="7"/>
        <v/>
      </c>
      <c r="C122" s="1086">
        <f>CONSOLIDA!GD71</f>
        <v>0</v>
      </c>
      <c r="D122" s="1086"/>
      <c r="E122" s="1086"/>
      <c r="F122" s="1086"/>
      <c r="G122" s="1086"/>
      <c r="H122" s="1087">
        <f>CONSOLIDA!GE71</f>
        <v>0</v>
      </c>
      <c r="I122" s="1087"/>
      <c r="J122" s="1087"/>
      <c r="K122" s="1087"/>
      <c r="L122" s="1087"/>
      <c r="M122" s="1087"/>
      <c r="N122" s="1087"/>
      <c r="O122" s="1087"/>
      <c r="P122" s="1087"/>
      <c r="Q122" s="1087"/>
      <c r="R122" s="1087"/>
      <c r="S122" s="1087"/>
      <c r="T122" s="1087"/>
      <c r="U122" s="1087"/>
      <c r="V122" s="1087"/>
      <c r="W122" s="1087"/>
      <c r="X122" s="1087"/>
      <c r="Y122" s="1087"/>
      <c r="Z122" s="1087"/>
      <c r="AA122" s="1087"/>
      <c r="AB122" s="1087"/>
      <c r="AC122" s="1087"/>
      <c r="AD122" s="1087"/>
      <c r="AE122" s="1087"/>
      <c r="AF122" s="1087"/>
      <c r="AG122" s="1087"/>
      <c r="AH122" s="1087"/>
      <c r="AI122" s="1087"/>
      <c r="AJ122" s="1087"/>
      <c r="AK122" s="1087"/>
      <c r="AL122" s="1087"/>
      <c r="AM122" s="1092"/>
      <c r="AN122" s="1088"/>
      <c r="AO122" s="1088"/>
      <c r="AP122" s="1088"/>
      <c r="AQ122" s="1088"/>
      <c r="AR122" s="1088"/>
      <c r="AS122" s="1088"/>
      <c r="AT122" s="1088"/>
      <c r="AU122" s="1088"/>
      <c r="AV122" s="1088"/>
      <c r="AW122" s="1088"/>
      <c r="AX122" s="1088"/>
      <c r="AY122" s="1088"/>
      <c r="AZ122" s="1088"/>
      <c r="BA122" s="1088"/>
      <c r="BB122" s="1088"/>
      <c r="BC122" s="1088"/>
      <c r="BD122" s="1088"/>
      <c r="BE122" s="1088"/>
      <c r="BF122" s="1088"/>
      <c r="BG122" s="29">
        <f t="shared" si="5"/>
        <v>0</v>
      </c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92"/>
      <c r="BX122" s="29"/>
    </row>
    <row r="123" spans="1:76" s="182" customFormat="1" ht="12.75" hidden="1" customHeight="1">
      <c r="A123" s="512" t="str">
        <f t="shared" si="6"/>
        <v>OK</v>
      </c>
      <c r="B123" s="538" t="str">
        <f t="shared" si="7"/>
        <v/>
      </c>
      <c r="C123" s="1086">
        <f>CONSOLIDA!GD72</f>
        <v>0</v>
      </c>
      <c r="D123" s="1086"/>
      <c r="E123" s="1086"/>
      <c r="F123" s="1086"/>
      <c r="G123" s="1086"/>
      <c r="H123" s="1087">
        <f>CONSOLIDA!GE72</f>
        <v>0</v>
      </c>
      <c r="I123" s="1087"/>
      <c r="J123" s="1087"/>
      <c r="K123" s="1087"/>
      <c r="L123" s="1087"/>
      <c r="M123" s="1087"/>
      <c r="N123" s="1087"/>
      <c r="O123" s="1087"/>
      <c r="P123" s="1087"/>
      <c r="Q123" s="1087"/>
      <c r="R123" s="1087"/>
      <c r="S123" s="1087"/>
      <c r="T123" s="1087"/>
      <c r="U123" s="1087"/>
      <c r="V123" s="1087"/>
      <c r="W123" s="1087"/>
      <c r="X123" s="1087"/>
      <c r="Y123" s="1087"/>
      <c r="Z123" s="1087"/>
      <c r="AA123" s="1087"/>
      <c r="AB123" s="1087"/>
      <c r="AC123" s="1087"/>
      <c r="AD123" s="1087"/>
      <c r="AE123" s="1087"/>
      <c r="AF123" s="1087"/>
      <c r="AG123" s="1087"/>
      <c r="AH123" s="1087"/>
      <c r="AI123" s="1087"/>
      <c r="AJ123" s="1087"/>
      <c r="AK123" s="1087"/>
      <c r="AL123" s="1087"/>
      <c r="AM123" s="1092"/>
      <c r="AN123" s="1088"/>
      <c r="AO123" s="1088"/>
      <c r="AP123" s="1088"/>
      <c r="AQ123" s="1088"/>
      <c r="AR123" s="1088"/>
      <c r="AS123" s="1088"/>
      <c r="AT123" s="1088"/>
      <c r="AU123" s="1088"/>
      <c r="AV123" s="1088"/>
      <c r="AW123" s="1088"/>
      <c r="AX123" s="1088"/>
      <c r="AY123" s="1088"/>
      <c r="AZ123" s="1088"/>
      <c r="BA123" s="1088"/>
      <c r="BB123" s="1088"/>
      <c r="BC123" s="1088"/>
      <c r="BD123" s="1088"/>
      <c r="BE123" s="1088"/>
      <c r="BF123" s="1088"/>
      <c r="BG123" s="29">
        <f t="shared" si="5"/>
        <v>0</v>
      </c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92"/>
      <c r="BX123" s="29"/>
    </row>
    <row r="124" spans="1:76" s="182" customFormat="1" ht="12.75" hidden="1" customHeight="1">
      <c r="A124" s="512" t="str">
        <f t="shared" si="6"/>
        <v>OK</v>
      </c>
      <c r="B124" s="538" t="str">
        <f t="shared" si="7"/>
        <v/>
      </c>
      <c r="C124" s="1086">
        <f>CONSOLIDA!GD73</f>
        <v>0</v>
      </c>
      <c r="D124" s="1086"/>
      <c r="E124" s="1086"/>
      <c r="F124" s="1086"/>
      <c r="G124" s="1086"/>
      <c r="H124" s="1087">
        <f>CONSOLIDA!GE73</f>
        <v>0</v>
      </c>
      <c r="I124" s="1087"/>
      <c r="J124" s="1087"/>
      <c r="K124" s="1087"/>
      <c r="L124" s="1087"/>
      <c r="M124" s="1087"/>
      <c r="N124" s="1087"/>
      <c r="O124" s="1087"/>
      <c r="P124" s="1087"/>
      <c r="Q124" s="1087"/>
      <c r="R124" s="1087"/>
      <c r="S124" s="1087"/>
      <c r="T124" s="1087"/>
      <c r="U124" s="1087"/>
      <c r="V124" s="1087"/>
      <c r="W124" s="1087"/>
      <c r="X124" s="1087"/>
      <c r="Y124" s="1087"/>
      <c r="Z124" s="1087"/>
      <c r="AA124" s="1087"/>
      <c r="AB124" s="1087"/>
      <c r="AC124" s="1087"/>
      <c r="AD124" s="1087"/>
      <c r="AE124" s="1087"/>
      <c r="AF124" s="1087"/>
      <c r="AG124" s="1087"/>
      <c r="AH124" s="1087"/>
      <c r="AI124" s="1087"/>
      <c r="AJ124" s="1087"/>
      <c r="AK124" s="1087"/>
      <c r="AL124" s="1087"/>
      <c r="AM124" s="1092"/>
      <c r="AN124" s="1088"/>
      <c r="AO124" s="1088"/>
      <c r="AP124" s="1088"/>
      <c r="AQ124" s="1088"/>
      <c r="AR124" s="1088"/>
      <c r="AS124" s="1088"/>
      <c r="AT124" s="1088"/>
      <c r="AU124" s="1088"/>
      <c r="AV124" s="1088"/>
      <c r="AW124" s="1088"/>
      <c r="AX124" s="1088"/>
      <c r="AY124" s="1088"/>
      <c r="AZ124" s="1088"/>
      <c r="BA124" s="1088"/>
      <c r="BB124" s="1088"/>
      <c r="BC124" s="1088"/>
      <c r="BD124" s="1088"/>
      <c r="BE124" s="1088"/>
      <c r="BF124" s="1088"/>
      <c r="BG124" s="29">
        <f t="shared" si="5"/>
        <v>0</v>
      </c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92"/>
      <c r="BX124" s="29"/>
    </row>
    <row r="125" spans="1:76" s="182" customFormat="1" ht="12.75" hidden="1" customHeight="1">
      <c r="A125" s="512" t="str">
        <f t="shared" si="6"/>
        <v>OK</v>
      </c>
      <c r="B125" s="538" t="str">
        <f t="shared" si="7"/>
        <v/>
      </c>
      <c r="C125" s="1086">
        <f>CONSOLIDA!GD74</f>
        <v>0</v>
      </c>
      <c r="D125" s="1086"/>
      <c r="E125" s="1086"/>
      <c r="F125" s="1086"/>
      <c r="G125" s="1086"/>
      <c r="H125" s="1087">
        <f>CONSOLIDA!GE74</f>
        <v>0</v>
      </c>
      <c r="I125" s="1087"/>
      <c r="J125" s="1087"/>
      <c r="K125" s="1087"/>
      <c r="L125" s="1087"/>
      <c r="M125" s="1087"/>
      <c r="N125" s="1087"/>
      <c r="O125" s="1087"/>
      <c r="P125" s="1087"/>
      <c r="Q125" s="1087"/>
      <c r="R125" s="1087"/>
      <c r="S125" s="1087"/>
      <c r="T125" s="1087"/>
      <c r="U125" s="1087"/>
      <c r="V125" s="1087"/>
      <c r="W125" s="1087"/>
      <c r="X125" s="1087"/>
      <c r="Y125" s="1087"/>
      <c r="Z125" s="1087"/>
      <c r="AA125" s="1087"/>
      <c r="AB125" s="1087"/>
      <c r="AC125" s="1087"/>
      <c r="AD125" s="1087"/>
      <c r="AE125" s="1087"/>
      <c r="AF125" s="1087"/>
      <c r="AG125" s="1087"/>
      <c r="AH125" s="1087"/>
      <c r="AI125" s="1087"/>
      <c r="AJ125" s="1087"/>
      <c r="AK125" s="1087"/>
      <c r="AL125" s="1087"/>
      <c r="AM125" s="1092"/>
      <c r="AN125" s="1088"/>
      <c r="AO125" s="1088"/>
      <c r="AP125" s="1088"/>
      <c r="AQ125" s="1088"/>
      <c r="AR125" s="1088"/>
      <c r="AS125" s="1088"/>
      <c r="AT125" s="1088"/>
      <c r="AU125" s="1088"/>
      <c r="AV125" s="1088"/>
      <c r="AW125" s="1088"/>
      <c r="AX125" s="1088"/>
      <c r="AY125" s="1088"/>
      <c r="AZ125" s="1088"/>
      <c r="BA125" s="1088"/>
      <c r="BB125" s="1088"/>
      <c r="BC125" s="1088"/>
      <c r="BD125" s="1088"/>
      <c r="BE125" s="1088"/>
      <c r="BF125" s="1088"/>
      <c r="BG125" s="29">
        <f t="shared" si="5"/>
        <v>0</v>
      </c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92"/>
      <c r="BX125" s="29"/>
    </row>
    <row r="126" spans="1:76" s="182" customFormat="1" ht="12.75" hidden="1" customHeight="1">
      <c r="A126" s="512" t="str">
        <f t="shared" si="6"/>
        <v>OK</v>
      </c>
      <c r="B126" s="538" t="str">
        <f t="shared" si="7"/>
        <v/>
      </c>
      <c r="C126" s="1086">
        <f>CONSOLIDA!GD75</f>
        <v>0</v>
      </c>
      <c r="D126" s="1086"/>
      <c r="E126" s="1086"/>
      <c r="F126" s="1086"/>
      <c r="G126" s="1086"/>
      <c r="H126" s="1087">
        <f>CONSOLIDA!GE75</f>
        <v>0</v>
      </c>
      <c r="I126" s="1087"/>
      <c r="J126" s="1087"/>
      <c r="K126" s="1087"/>
      <c r="L126" s="1087"/>
      <c r="M126" s="1087"/>
      <c r="N126" s="1087"/>
      <c r="O126" s="1087"/>
      <c r="P126" s="1087"/>
      <c r="Q126" s="1087"/>
      <c r="R126" s="1087"/>
      <c r="S126" s="1087"/>
      <c r="T126" s="1087"/>
      <c r="U126" s="1087"/>
      <c r="V126" s="1087"/>
      <c r="W126" s="1087"/>
      <c r="X126" s="1087"/>
      <c r="Y126" s="1087"/>
      <c r="Z126" s="1087"/>
      <c r="AA126" s="1087"/>
      <c r="AB126" s="1087"/>
      <c r="AC126" s="1087"/>
      <c r="AD126" s="1087"/>
      <c r="AE126" s="1087"/>
      <c r="AF126" s="1087"/>
      <c r="AG126" s="1087"/>
      <c r="AH126" s="1087"/>
      <c r="AI126" s="1087"/>
      <c r="AJ126" s="1087"/>
      <c r="AK126" s="1087"/>
      <c r="AL126" s="1087"/>
      <c r="AM126" s="1092"/>
      <c r="AN126" s="1088"/>
      <c r="AO126" s="1088"/>
      <c r="AP126" s="1088"/>
      <c r="AQ126" s="1088"/>
      <c r="AR126" s="1088"/>
      <c r="AS126" s="1088"/>
      <c r="AT126" s="1088"/>
      <c r="AU126" s="1088"/>
      <c r="AV126" s="1088"/>
      <c r="AW126" s="1088"/>
      <c r="AX126" s="1088"/>
      <c r="AY126" s="1088"/>
      <c r="AZ126" s="1088"/>
      <c r="BA126" s="1088"/>
      <c r="BB126" s="1088"/>
      <c r="BC126" s="1088"/>
      <c r="BD126" s="1088"/>
      <c r="BE126" s="1088"/>
      <c r="BF126" s="1088"/>
      <c r="BG126" s="29">
        <f t="shared" si="5"/>
        <v>0</v>
      </c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92"/>
      <c r="BX126" s="29"/>
    </row>
    <row r="127" spans="1:76" s="182" customFormat="1" ht="12.75" hidden="1" customHeight="1">
      <c r="A127" s="512" t="str">
        <f t="shared" si="6"/>
        <v>OK</v>
      </c>
      <c r="B127" s="538" t="str">
        <f t="shared" si="7"/>
        <v/>
      </c>
      <c r="C127" s="1086">
        <f>CONSOLIDA!GD76</f>
        <v>0</v>
      </c>
      <c r="D127" s="1086"/>
      <c r="E127" s="1086"/>
      <c r="F127" s="1086"/>
      <c r="G127" s="1086"/>
      <c r="H127" s="1087">
        <f>CONSOLIDA!GE76</f>
        <v>0</v>
      </c>
      <c r="I127" s="1087"/>
      <c r="J127" s="1087"/>
      <c r="K127" s="1087"/>
      <c r="L127" s="1087"/>
      <c r="M127" s="1087"/>
      <c r="N127" s="1087"/>
      <c r="O127" s="1087"/>
      <c r="P127" s="1087"/>
      <c r="Q127" s="1087"/>
      <c r="R127" s="1087"/>
      <c r="S127" s="1087"/>
      <c r="T127" s="1087"/>
      <c r="U127" s="1087"/>
      <c r="V127" s="1087"/>
      <c r="W127" s="1087"/>
      <c r="X127" s="1087"/>
      <c r="Y127" s="1087"/>
      <c r="Z127" s="1087"/>
      <c r="AA127" s="1087"/>
      <c r="AB127" s="1087"/>
      <c r="AC127" s="1087"/>
      <c r="AD127" s="1087"/>
      <c r="AE127" s="1087"/>
      <c r="AF127" s="1087"/>
      <c r="AG127" s="1087"/>
      <c r="AH127" s="1087"/>
      <c r="AI127" s="1087"/>
      <c r="AJ127" s="1087"/>
      <c r="AK127" s="1087"/>
      <c r="AL127" s="1087"/>
      <c r="AM127" s="1092"/>
      <c r="AN127" s="1088"/>
      <c r="AO127" s="1088"/>
      <c r="AP127" s="1088"/>
      <c r="AQ127" s="1088"/>
      <c r="AR127" s="1088"/>
      <c r="AS127" s="1088"/>
      <c r="AT127" s="1088"/>
      <c r="AU127" s="1088"/>
      <c r="AV127" s="1088"/>
      <c r="AW127" s="1088"/>
      <c r="AX127" s="1088"/>
      <c r="AY127" s="1088"/>
      <c r="AZ127" s="1088"/>
      <c r="BA127" s="1088"/>
      <c r="BB127" s="1088"/>
      <c r="BC127" s="1088"/>
      <c r="BD127" s="1088"/>
      <c r="BE127" s="1088"/>
      <c r="BF127" s="1088"/>
      <c r="BG127" s="29">
        <f t="shared" si="5"/>
        <v>0</v>
      </c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92"/>
      <c r="BX127" s="29"/>
    </row>
    <row r="128" spans="1:76" s="182" customFormat="1" ht="12.75" hidden="1" customHeight="1">
      <c r="A128" s="512" t="str">
        <f t="shared" si="6"/>
        <v>OK</v>
      </c>
      <c r="B128" s="538" t="str">
        <f t="shared" si="7"/>
        <v/>
      </c>
      <c r="C128" s="1086">
        <f>CONSOLIDA!GD77</f>
        <v>0</v>
      </c>
      <c r="D128" s="1086"/>
      <c r="E128" s="1086"/>
      <c r="F128" s="1086"/>
      <c r="G128" s="1086"/>
      <c r="H128" s="1087">
        <f>CONSOLIDA!GE77</f>
        <v>0</v>
      </c>
      <c r="I128" s="1087"/>
      <c r="J128" s="1087"/>
      <c r="K128" s="1087"/>
      <c r="L128" s="1087"/>
      <c r="M128" s="1087"/>
      <c r="N128" s="1087"/>
      <c r="O128" s="1087"/>
      <c r="P128" s="1087"/>
      <c r="Q128" s="1087"/>
      <c r="R128" s="1087"/>
      <c r="S128" s="1087"/>
      <c r="T128" s="1087"/>
      <c r="U128" s="1087"/>
      <c r="V128" s="1087"/>
      <c r="W128" s="1087"/>
      <c r="X128" s="1087"/>
      <c r="Y128" s="1087"/>
      <c r="Z128" s="1087"/>
      <c r="AA128" s="1087"/>
      <c r="AB128" s="1087"/>
      <c r="AC128" s="1087"/>
      <c r="AD128" s="1087"/>
      <c r="AE128" s="1087"/>
      <c r="AF128" s="1087"/>
      <c r="AG128" s="1087"/>
      <c r="AH128" s="1087"/>
      <c r="AI128" s="1087"/>
      <c r="AJ128" s="1087"/>
      <c r="AK128" s="1087"/>
      <c r="AL128" s="1087"/>
      <c r="AM128" s="1092"/>
      <c r="AN128" s="1088"/>
      <c r="AO128" s="1088"/>
      <c r="AP128" s="1088"/>
      <c r="AQ128" s="1088"/>
      <c r="AR128" s="1088"/>
      <c r="AS128" s="1088"/>
      <c r="AT128" s="1088"/>
      <c r="AU128" s="1088"/>
      <c r="AV128" s="1088"/>
      <c r="AW128" s="1088"/>
      <c r="AX128" s="1088"/>
      <c r="AY128" s="1088"/>
      <c r="AZ128" s="1088"/>
      <c r="BA128" s="1088"/>
      <c r="BB128" s="1088"/>
      <c r="BC128" s="1088"/>
      <c r="BD128" s="1088"/>
      <c r="BE128" s="1088"/>
      <c r="BF128" s="1088"/>
      <c r="BG128" s="29">
        <f t="shared" si="5"/>
        <v>0</v>
      </c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92"/>
      <c r="BX128" s="29"/>
    </row>
    <row r="129" spans="1:76" s="182" customFormat="1" ht="12.75" hidden="1" customHeight="1">
      <c r="A129" s="512" t="str">
        <f t="shared" si="6"/>
        <v>OK</v>
      </c>
      <c r="B129" s="538" t="str">
        <f t="shared" si="7"/>
        <v/>
      </c>
      <c r="C129" s="1086">
        <f>CONSOLIDA!GD78</f>
        <v>0</v>
      </c>
      <c r="D129" s="1086"/>
      <c r="E129" s="1086"/>
      <c r="F129" s="1086"/>
      <c r="G129" s="1086"/>
      <c r="H129" s="1087">
        <f>CONSOLIDA!GE78</f>
        <v>0</v>
      </c>
      <c r="I129" s="1087"/>
      <c r="J129" s="1087"/>
      <c r="K129" s="1087"/>
      <c r="L129" s="1087"/>
      <c r="M129" s="1087"/>
      <c r="N129" s="1087"/>
      <c r="O129" s="1087"/>
      <c r="P129" s="1087"/>
      <c r="Q129" s="1087"/>
      <c r="R129" s="1087"/>
      <c r="S129" s="1087"/>
      <c r="T129" s="1087"/>
      <c r="U129" s="1087"/>
      <c r="V129" s="1087"/>
      <c r="W129" s="1087"/>
      <c r="X129" s="1087"/>
      <c r="Y129" s="1087"/>
      <c r="Z129" s="1087"/>
      <c r="AA129" s="1087"/>
      <c r="AB129" s="1087"/>
      <c r="AC129" s="1087"/>
      <c r="AD129" s="1087"/>
      <c r="AE129" s="1087"/>
      <c r="AF129" s="1087"/>
      <c r="AG129" s="1087"/>
      <c r="AH129" s="1087"/>
      <c r="AI129" s="1087"/>
      <c r="AJ129" s="1087"/>
      <c r="AK129" s="1087"/>
      <c r="AL129" s="1087"/>
      <c r="AM129" s="1092"/>
      <c r="AN129" s="1088"/>
      <c r="AO129" s="1088"/>
      <c r="AP129" s="1088"/>
      <c r="AQ129" s="1088"/>
      <c r="AR129" s="1088"/>
      <c r="AS129" s="1088"/>
      <c r="AT129" s="1088"/>
      <c r="AU129" s="1088"/>
      <c r="AV129" s="1088"/>
      <c r="AW129" s="1088"/>
      <c r="AX129" s="1088"/>
      <c r="AY129" s="1088"/>
      <c r="AZ129" s="1088"/>
      <c r="BA129" s="1088"/>
      <c r="BB129" s="1088"/>
      <c r="BC129" s="1088"/>
      <c r="BD129" s="1088"/>
      <c r="BE129" s="1088"/>
      <c r="BF129" s="1088"/>
      <c r="BG129" s="29">
        <f t="shared" si="5"/>
        <v>0</v>
      </c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92"/>
      <c r="BX129" s="29"/>
    </row>
    <row r="130" spans="1:76" s="182" customFormat="1" ht="12.75" hidden="1" customHeight="1">
      <c r="A130" s="512" t="str">
        <f t="shared" si="6"/>
        <v>OK</v>
      </c>
      <c r="B130" s="538" t="str">
        <f t="shared" si="7"/>
        <v/>
      </c>
      <c r="C130" s="1086">
        <f>CONSOLIDA!GD79</f>
        <v>0</v>
      </c>
      <c r="D130" s="1086"/>
      <c r="E130" s="1086"/>
      <c r="F130" s="1086"/>
      <c r="G130" s="1086"/>
      <c r="H130" s="1087">
        <f>CONSOLIDA!GE79</f>
        <v>0</v>
      </c>
      <c r="I130" s="1087"/>
      <c r="J130" s="1087"/>
      <c r="K130" s="1087"/>
      <c r="L130" s="1087"/>
      <c r="M130" s="1087"/>
      <c r="N130" s="1087"/>
      <c r="O130" s="1087"/>
      <c r="P130" s="1087"/>
      <c r="Q130" s="1087"/>
      <c r="R130" s="1087"/>
      <c r="S130" s="1087"/>
      <c r="T130" s="1087"/>
      <c r="U130" s="1087"/>
      <c r="V130" s="1087"/>
      <c r="W130" s="1087"/>
      <c r="X130" s="1087"/>
      <c r="Y130" s="1087"/>
      <c r="Z130" s="1087"/>
      <c r="AA130" s="1087"/>
      <c r="AB130" s="1087"/>
      <c r="AC130" s="1087"/>
      <c r="AD130" s="1087"/>
      <c r="AE130" s="1087"/>
      <c r="AF130" s="1087"/>
      <c r="AG130" s="1087"/>
      <c r="AH130" s="1087"/>
      <c r="AI130" s="1087"/>
      <c r="AJ130" s="1087"/>
      <c r="AK130" s="1087"/>
      <c r="AL130" s="1087"/>
      <c r="AM130" s="1092"/>
      <c r="AN130" s="1088"/>
      <c r="AO130" s="1088"/>
      <c r="AP130" s="1088"/>
      <c r="AQ130" s="1088"/>
      <c r="AR130" s="1088"/>
      <c r="AS130" s="1088"/>
      <c r="AT130" s="1088"/>
      <c r="AU130" s="1088"/>
      <c r="AV130" s="1088"/>
      <c r="AW130" s="1088"/>
      <c r="AX130" s="1088"/>
      <c r="AY130" s="1088"/>
      <c r="AZ130" s="1088"/>
      <c r="BA130" s="1088"/>
      <c r="BB130" s="1088"/>
      <c r="BC130" s="1088"/>
      <c r="BD130" s="1088"/>
      <c r="BE130" s="1088"/>
      <c r="BF130" s="1088"/>
      <c r="BG130" s="29">
        <f t="shared" si="5"/>
        <v>0</v>
      </c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92"/>
      <c r="BX130" s="29"/>
    </row>
    <row r="131" spans="1:76" s="182" customFormat="1" ht="12.75" hidden="1" customHeight="1">
      <c r="A131" s="512" t="str">
        <f t="shared" si="6"/>
        <v>OK</v>
      </c>
      <c r="B131" s="538" t="str">
        <f t="shared" si="7"/>
        <v/>
      </c>
      <c r="C131" s="1086">
        <f>CONSOLIDA!GD80</f>
        <v>0</v>
      </c>
      <c r="D131" s="1086"/>
      <c r="E131" s="1086"/>
      <c r="F131" s="1086"/>
      <c r="G131" s="1086"/>
      <c r="H131" s="1087">
        <f>CONSOLIDA!GE80</f>
        <v>0</v>
      </c>
      <c r="I131" s="1087"/>
      <c r="J131" s="1087"/>
      <c r="K131" s="1087"/>
      <c r="L131" s="1087"/>
      <c r="M131" s="1087"/>
      <c r="N131" s="1087"/>
      <c r="O131" s="1087"/>
      <c r="P131" s="1087"/>
      <c r="Q131" s="1087"/>
      <c r="R131" s="1087"/>
      <c r="S131" s="1087"/>
      <c r="T131" s="1087"/>
      <c r="U131" s="1087"/>
      <c r="V131" s="1087"/>
      <c r="W131" s="1087"/>
      <c r="X131" s="1087"/>
      <c r="Y131" s="1087"/>
      <c r="Z131" s="1087"/>
      <c r="AA131" s="1087"/>
      <c r="AB131" s="1087"/>
      <c r="AC131" s="1087"/>
      <c r="AD131" s="1087"/>
      <c r="AE131" s="1087"/>
      <c r="AF131" s="1087"/>
      <c r="AG131" s="1087"/>
      <c r="AH131" s="1087"/>
      <c r="AI131" s="1087"/>
      <c r="AJ131" s="1087"/>
      <c r="AK131" s="1087"/>
      <c r="AL131" s="1087"/>
      <c r="AM131" s="1092"/>
      <c r="AN131" s="1088"/>
      <c r="AO131" s="1088"/>
      <c r="AP131" s="1088"/>
      <c r="AQ131" s="1088"/>
      <c r="AR131" s="1088"/>
      <c r="AS131" s="1088"/>
      <c r="AT131" s="1088"/>
      <c r="AU131" s="1088"/>
      <c r="AV131" s="1088"/>
      <c r="AW131" s="1088"/>
      <c r="AX131" s="1088"/>
      <c r="AY131" s="1088"/>
      <c r="AZ131" s="1088"/>
      <c r="BA131" s="1088"/>
      <c r="BB131" s="1088"/>
      <c r="BC131" s="1088"/>
      <c r="BD131" s="1088"/>
      <c r="BE131" s="1088"/>
      <c r="BF131" s="1088"/>
      <c r="BG131" s="29">
        <f t="shared" si="5"/>
        <v>0</v>
      </c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92"/>
      <c r="BX131" s="29"/>
    </row>
    <row r="132" spans="1:76" s="182" customFormat="1" ht="12.75" hidden="1" customHeight="1">
      <c r="A132" s="512" t="str">
        <f t="shared" si="6"/>
        <v>OK</v>
      </c>
      <c r="B132" s="538" t="str">
        <f t="shared" si="7"/>
        <v/>
      </c>
      <c r="C132" s="1086">
        <f>CONSOLIDA!GD81</f>
        <v>0</v>
      </c>
      <c r="D132" s="1086"/>
      <c r="E132" s="1086"/>
      <c r="F132" s="1086"/>
      <c r="G132" s="1086"/>
      <c r="H132" s="1087">
        <f>CONSOLIDA!GE81</f>
        <v>0</v>
      </c>
      <c r="I132" s="1087"/>
      <c r="J132" s="1087"/>
      <c r="K132" s="1087"/>
      <c r="L132" s="1087"/>
      <c r="M132" s="1087"/>
      <c r="N132" s="1087"/>
      <c r="O132" s="1087"/>
      <c r="P132" s="1087"/>
      <c r="Q132" s="1087"/>
      <c r="R132" s="1087"/>
      <c r="S132" s="1087"/>
      <c r="T132" s="1087"/>
      <c r="U132" s="1087"/>
      <c r="V132" s="1087"/>
      <c r="W132" s="1087"/>
      <c r="X132" s="1087"/>
      <c r="Y132" s="1087"/>
      <c r="Z132" s="1087"/>
      <c r="AA132" s="1087"/>
      <c r="AB132" s="1087"/>
      <c r="AC132" s="1087"/>
      <c r="AD132" s="1087"/>
      <c r="AE132" s="1087"/>
      <c r="AF132" s="1087"/>
      <c r="AG132" s="1087"/>
      <c r="AH132" s="1087"/>
      <c r="AI132" s="1087"/>
      <c r="AJ132" s="1087"/>
      <c r="AK132" s="1087"/>
      <c r="AL132" s="1087"/>
      <c r="AM132" s="1092"/>
      <c r="AN132" s="1088"/>
      <c r="AO132" s="1088"/>
      <c r="AP132" s="1088"/>
      <c r="AQ132" s="1088"/>
      <c r="AR132" s="1088"/>
      <c r="AS132" s="1088"/>
      <c r="AT132" s="1088"/>
      <c r="AU132" s="1088"/>
      <c r="AV132" s="1088"/>
      <c r="AW132" s="1088"/>
      <c r="AX132" s="1088"/>
      <c r="AY132" s="1088"/>
      <c r="AZ132" s="1088"/>
      <c r="BA132" s="1088"/>
      <c r="BB132" s="1088"/>
      <c r="BC132" s="1088"/>
      <c r="BD132" s="1088"/>
      <c r="BE132" s="1088"/>
      <c r="BF132" s="1088"/>
      <c r="BG132" s="29">
        <f t="shared" si="5"/>
        <v>0</v>
      </c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92"/>
      <c r="BX132" s="29"/>
    </row>
    <row r="133" spans="1:76" s="182" customFormat="1" ht="12.75" hidden="1" customHeight="1">
      <c r="A133" s="512" t="str">
        <f t="shared" si="6"/>
        <v>OK</v>
      </c>
      <c r="B133" s="538" t="str">
        <f t="shared" si="7"/>
        <v/>
      </c>
      <c r="C133" s="1086">
        <f>CONSOLIDA!GD82</f>
        <v>0</v>
      </c>
      <c r="D133" s="1086"/>
      <c r="E133" s="1086"/>
      <c r="F133" s="1086"/>
      <c r="G133" s="1086"/>
      <c r="H133" s="1087">
        <f>CONSOLIDA!GE82</f>
        <v>0</v>
      </c>
      <c r="I133" s="1087"/>
      <c r="J133" s="1087"/>
      <c r="K133" s="1087"/>
      <c r="L133" s="1087"/>
      <c r="M133" s="1087"/>
      <c r="N133" s="1087"/>
      <c r="O133" s="1087"/>
      <c r="P133" s="1087"/>
      <c r="Q133" s="1087"/>
      <c r="R133" s="1087"/>
      <c r="S133" s="1087"/>
      <c r="T133" s="1087"/>
      <c r="U133" s="1087"/>
      <c r="V133" s="1087"/>
      <c r="W133" s="1087"/>
      <c r="X133" s="1087"/>
      <c r="Y133" s="1087"/>
      <c r="Z133" s="1087"/>
      <c r="AA133" s="1087"/>
      <c r="AB133" s="1087"/>
      <c r="AC133" s="1087"/>
      <c r="AD133" s="1087"/>
      <c r="AE133" s="1087"/>
      <c r="AF133" s="1087"/>
      <c r="AG133" s="1087"/>
      <c r="AH133" s="1087"/>
      <c r="AI133" s="1087"/>
      <c r="AJ133" s="1087"/>
      <c r="AK133" s="1087"/>
      <c r="AL133" s="1087"/>
      <c r="AM133" s="1092"/>
      <c r="AN133" s="1088"/>
      <c r="AO133" s="1088"/>
      <c r="AP133" s="1088"/>
      <c r="AQ133" s="1088"/>
      <c r="AR133" s="1088"/>
      <c r="AS133" s="1088"/>
      <c r="AT133" s="1088"/>
      <c r="AU133" s="1088"/>
      <c r="AV133" s="1088"/>
      <c r="AW133" s="1088"/>
      <c r="AX133" s="1088"/>
      <c r="AY133" s="1088"/>
      <c r="AZ133" s="1088"/>
      <c r="BA133" s="1088"/>
      <c r="BB133" s="1088"/>
      <c r="BC133" s="1088"/>
      <c r="BD133" s="1088"/>
      <c r="BE133" s="1088"/>
      <c r="BF133" s="1088"/>
      <c r="BG133" s="29">
        <f t="shared" si="5"/>
        <v>0</v>
      </c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92"/>
      <c r="BX133" s="29"/>
    </row>
    <row r="134" spans="1:76" s="182" customFormat="1" ht="12.75" hidden="1" customHeight="1">
      <c r="A134" s="512" t="str">
        <f t="shared" si="6"/>
        <v>OK</v>
      </c>
      <c r="B134" s="538" t="str">
        <f t="shared" si="7"/>
        <v/>
      </c>
      <c r="C134" s="1086">
        <f>CONSOLIDA!GD83</f>
        <v>0</v>
      </c>
      <c r="D134" s="1086"/>
      <c r="E134" s="1086"/>
      <c r="F134" s="1086"/>
      <c r="G134" s="1086"/>
      <c r="H134" s="1087">
        <f>CONSOLIDA!GE83</f>
        <v>0</v>
      </c>
      <c r="I134" s="1087"/>
      <c r="J134" s="1087"/>
      <c r="K134" s="1087"/>
      <c r="L134" s="1087"/>
      <c r="M134" s="1087"/>
      <c r="N134" s="1087"/>
      <c r="O134" s="1087"/>
      <c r="P134" s="1087"/>
      <c r="Q134" s="1087"/>
      <c r="R134" s="1087"/>
      <c r="S134" s="1087"/>
      <c r="T134" s="1087"/>
      <c r="U134" s="1087"/>
      <c r="V134" s="1087"/>
      <c r="W134" s="1087"/>
      <c r="X134" s="1087"/>
      <c r="Y134" s="1087"/>
      <c r="Z134" s="1087"/>
      <c r="AA134" s="1087"/>
      <c r="AB134" s="1087"/>
      <c r="AC134" s="1087"/>
      <c r="AD134" s="1087"/>
      <c r="AE134" s="1087"/>
      <c r="AF134" s="1087"/>
      <c r="AG134" s="1087"/>
      <c r="AH134" s="1087"/>
      <c r="AI134" s="1087"/>
      <c r="AJ134" s="1087"/>
      <c r="AK134" s="1087"/>
      <c r="AL134" s="1087"/>
      <c r="AM134" s="1092"/>
      <c r="AN134" s="1088"/>
      <c r="AO134" s="1088"/>
      <c r="AP134" s="1088"/>
      <c r="AQ134" s="1088"/>
      <c r="AR134" s="1088"/>
      <c r="AS134" s="1088"/>
      <c r="AT134" s="1088"/>
      <c r="AU134" s="1088"/>
      <c r="AV134" s="1088"/>
      <c r="AW134" s="1088"/>
      <c r="AX134" s="1088"/>
      <c r="AY134" s="1088"/>
      <c r="AZ134" s="1088"/>
      <c r="BA134" s="1088"/>
      <c r="BB134" s="1088"/>
      <c r="BC134" s="1088"/>
      <c r="BD134" s="1088"/>
      <c r="BE134" s="1088"/>
      <c r="BF134" s="1088"/>
      <c r="BG134" s="29">
        <f t="shared" si="5"/>
        <v>0</v>
      </c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92"/>
      <c r="BX134" s="29"/>
    </row>
    <row r="135" spans="1:76" s="182" customFormat="1" ht="12.75" hidden="1" customHeight="1">
      <c r="A135" s="512" t="str">
        <f t="shared" si="6"/>
        <v>OK</v>
      </c>
      <c r="B135" s="538" t="str">
        <f t="shared" si="7"/>
        <v/>
      </c>
      <c r="C135" s="1086">
        <f>CONSOLIDA!GD84</f>
        <v>0</v>
      </c>
      <c r="D135" s="1086"/>
      <c r="E135" s="1086"/>
      <c r="F135" s="1086"/>
      <c r="G135" s="1086"/>
      <c r="H135" s="1087">
        <f>CONSOLIDA!GE84</f>
        <v>0</v>
      </c>
      <c r="I135" s="1087"/>
      <c r="J135" s="1087"/>
      <c r="K135" s="1087"/>
      <c r="L135" s="1087"/>
      <c r="M135" s="1087"/>
      <c r="N135" s="1087"/>
      <c r="O135" s="1087"/>
      <c r="P135" s="1087"/>
      <c r="Q135" s="1087"/>
      <c r="R135" s="1087"/>
      <c r="S135" s="1087"/>
      <c r="T135" s="1087"/>
      <c r="U135" s="1087"/>
      <c r="V135" s="1087"/>
      <c r="W135" s="1087"/>
      <c r="X135" s="1087"/>
      <c r="Y135" s="1087"/>
      <c r="Z135" s="1087"/>
      <c r="AA135" s="1087"/>
      <c r="AB135" s="1087"/>
      <c r="AC135" s="1087"/>
      <c r="AD135" s="1087"/>
      <c r="AE135" s="1087"/>
      <c r="AF135" s="1087"/>
      <c r="AG135" s="1087"/>
      <c r="AH135" s="1087"/>
      <c r="AI135" s="1087"/>
      <c r="AJ135" s="1087"/>
      <c r="AK135" s="1087"/>
      <c r="AL135" s="1087"/>
      <c r="AM135" s="1092"/>
      <c r="AN135" s="1088"/>
      <c r="AO135" s="1088"/>
      <c r="AP135" s="1088"/>
      <c r="AQ135" s="1088"/>
      <c r="AR135" s="1088"/>
      <c r="AS135" s="1088"/>
      <c r="AT135" s="1088"/>
      <c r="AU135" s="1088"/>
      <c r="AV135" s="1088"/>
      <c r="AW135" s="1088"/>
      <c r="AX135" s="1088"/>
      <c r="AY135" s="1088"/>
      <c r="AZ135" s="1088"/>
      <c r="BA135" s="1088"/>
      <c r="BB135" s="1088"/>
      <c r="BC135" s="1088"/>
      <c r="BD135" s="1088"/>
      <c r="BE135" s="1088"/>
      <c r="BF135" s="1088"/>
      <c r="BG135" s="29">
        <f t="shared" si="5"/>
        <v>0</v>
      </c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X135" s="29"/>
    </row>
    <row r="136" spans="1:76" s="182" customFormat="1" ht="12.75" hidden="1" customHeight="1">
      <c r="A136" s="512" t="str">
        <f t="shared" si="6"/>
        <v>OK</v>
      </c>
      <c r="B136" s="538" t="str">
        <f t="shared" si="7"/>
        <v/>
      </c>
      <c r="C136" s="1086">
        <f>CONSOLIDA!GD85</f>
        <v>0</v>
      </c>
      <c r="D136" s="1086"/>
      <c r="E136" s="1086"/>
      <c r="F136" s="1086"/>
      <c r="G136" s="1086"/>
      <c r="H136" s="1087">
        <f>CONSOLIDA!GE85</f>
        <v>0</v>
      </c>
      <c r="I136" s="1087"/>
      <c r="J136" s="1087"/>
      <c r="K136" s="1087"/>
      <c r="L136" s="1087"/>
      <c r="M136" s="1087"/>
      <c r="N136" s="1087"/>
      <c r="O136" s="1087"/>
      <c r="P136" s="1087"/>
      <c r="Q136" s="1087"/>
      <c r="R136" s="1087"/>
      <c r="S136" s="1087"/>
      <c r="T136" s="1087"/>
      <c r="U136" s="1087"/>
      <c r="V136" s="1087"/>
      <c r="W136" s="1087"/>
      <c r="X136" s="1087"/>
      <c r="Y136" s="1087"/>
      <c r="Z136" s="1087"/>
      <c r="AA136" s="1087"/>
      <c r="AB136" s="1087"/>
      <c r="AC136" s="1087"/>
      <c r="AD136" s="1087"/>
      <c r="AE136" s="1087"/>
      <c r="AF136" s="1087"/>
      <c r="AG136" s="1087"/>
      <c r="AH136" s="1087"/>
      <c r="AI136" s="1087"/>
      <c r="AJ136" s="1087"/>
      <c r="AK136" s="1087"/>
      <c r="AL136" s="1087"/>
      <c r="AM136" s="1092"/>
      <c r="AN136" s="1088"/>
      <c r="AO136" s="1088"/>
      <c r="AP136" s="1088"/>
      <c r="AQ136" s="1088"/>
      <c r="AR136" s="1088"/>
      <c r="AS136" s="1088"/>
      <c r="AT136" s="1088"/>
      <c r="AU136" s="1088"/>
      <c r="AV136" s="1088"/>
      <c r="AW136" s="1088"/>
      <c r="AX136" s="1088"/>
      <c r="AY136" s="1088"/>
      <c r="AZ136" s="1088"/>
      <c r="BA136" s="1088"/>
      <c r="BB136" s="1088"/>
      <c r="BC136" s="1088"/>
      <c r="BD136" s="1088"/>
      <c r="BE136" s="1088"/>
      <c r="BF136" s="1088"/>
      <c r="BG136" s="29">
        <f t="shared" si="5"/>
        <v>0</v>
      </c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29"/>
      <c r="BX136" s="29"/>
    </row>
    <row r="137" spans="1:76" s="182" customFormat="1" ht="12.75" hidden="1" customHeight="1">
      <c r="A137" s="512" t="str">
        <f t="shared" si="6"/>
        <v>OK</v>
      </c>
      <c r="B137" s="538" t="str">
        <f t="shared" si="7"/>
        <v/>
      </c>
      <c r="C137" s="1086">
        <f>CONSOLIDA!GD86</f>
        <v>0</v>
      </c>
      <c r="D137" s="1086"/>
      <c r="E137" s="1086"/>
      <c r="F137" s="1086"/>
      <c r="G137" s="1086"/>
      <c r="H137" s="1087">
        <f>CONSOLIDA!GE86</f>
        <v>0</v>
      </c>
      <c r="I137" s="1087"/>
      <c r="J137" s="1087"/>
      <c r="K137" s="1087"/>
      <c r="L137" s="1087"/>
      <c r="M137" s="1087"/>
      <c r="N137" s="1087"/>
      <c r="O137" s="1087"/>
      <c r="P137" s="1087"/>
      <c r="Q137" s="1087"/>
      <c r="R137" s="1087"/>
      <c r="S137" s="1087"/>
      <c r="T137" s="1087"/>
      <c r="U137" s="1087"/>
      <c r="V137" s="1087"/>
      <c r="W137" s="1087"/>
      <c r="X137" s="1087"/>
      <c r="Y137" s="1087"/>
      <c r="Z137" s="1087"/>
      <c r="AA137" s="1087"/>
      <c r="AB137" s="1087"/>
      <c r="AC137" s="1087"/>
      <c r="AD137" s="1087"/>
      <c r="AE137" s="1087"/>
      <c r="AF137" s="1087"/>
      <c r="AG137" s="1087"/>
      <c r="AH137" s="1087"/>
      <c r="AI137" s="1087"/>
      <c r="AJ137" s="1087"/>
      <c r="AK137" s="1087"/>
      <c r="AL137" s="1087"/>
      <c r="AM137" s="1092"/>
      <c r="AN137" s="1088"/>
      <c r="AO137" s="1088"/>
      <c r="AP137" s="1088"/>
      <c r="AQ137" s="1088"/>
      <c r="AR137" s="1088"/>
      <c r="AS137" s="1088"/>
      <c r="AT137" s="1088"/>
      <c r="AU137" s="1088"/>
      <c r="AV137" s="1088"/>
      <c r="AW137" s="1088"/>
      <c r="AX137" s="1088"/>
      <c r="AY137" s="1088"/>
      <c r="AZ137" s="1088"/>
      <c r="BA137" s="1088"/>
      <c r="BB137" s="1088"/>
      <c r="BC137" s="1088"/>
      <c r="BD137" s="1088"/>
      <c r="BE137" s="1088"/>
      <c r="BF137" s="1088"/>
      <c r="BG137" s="29">
        <f t="shared" si="5"/>
        <v>0</v>
      </c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29"/>
      <c r="BX137" s="29"/>
    </row>
    <row r="138" spans="1:76" s="182" customFormat="1" ht="12.75" hidden="1" customHeight="1">
      <c r="A138" s="512" t="str">
        <f t="shared" si="6"/>
        <v>OK</v>
      </c>
      <c r="B138" s="538" t="str">
        <f t="shared" si="7"/>
        <v/>
      </c>
      <c r="C138" s="1086">
        <f>CONSOLIDA!GD87</f>
        <v>0</v>
      </c>
      <c r="D138" s="1086"/>
      <c r="E138" s="1086"/>
      <c r="F138" s="1086"/>
      <c r="G138" s="1086"/>
      <c r="H138" s="1087">
        <f>CONSOLIDA!GE87</f>
        <v>0</v>
      </c>
      <c r="I138" s="1087"/>
      <c r="J138" s="1087"/>
      <c r="K138" s="1087"/>
      <c r="L138" s="1087"/>
      <c r="M138" s="1087"/>
      <c r="N138" s="1087"/>
      <c r="O138" s="1087"/>
      <c r="P138" s="1087"/>
      <c r="Q138" s="1087"/>
      <c r="R138" s="1087"/>
      <c r="S138" s="1087"/>
      <c r="T138" s="1087"/>
      <c r="U138" s="1087"/>
      <c r="V138" s="1087"/>
      <c r="W138" s="1087"/>
      <c r="X138" s="1087"/>
      <c r="Y138" s="1087"/>
      <c r="Z138" s="1087"/>
      <c r="AA138" s="1087"/>
      <c r="AB138" s="1087"/>
      <c r="AC138" s="1087"/>
      <c r="AD138" s="1087"/>
      <c r="AE138" s="1087"/>
      <c r="AF138" s="1087"/>
      <c r="AG138" s="1087"/>
      <c r="AH138" s="1087"/>
      <c r="AI138" s="1087"/>
      <c r="AJ138" s="1087"/>
      <c r="AK138" s="1087"/>
      <c r="AL138" s="1087"/>
      <c r="AM138" s="1092"/>
      <c r="AN138" s="1088"/>
      <c r="AO138" s="1088"/>
      <c r="AP138" s="1088"/>
      <c r="AQ138" s="1088"/>
      <c r="AR138" s="1088"/>
      <c r="AS138" s="1088"/>
      <c r="AT138" s="1088"/>
      <c r="AU138" s="1088"/>
      <c r="AV138" s="1088"/>
      <c r="AW138" s="1088"/>
      <c r="AX138" s="1088"/>
      <c r="AY138" s="1088"/>
      <c r="AZ138" s="1088"/>
      <c r="BA138" s="1088"/>
      <c r="BB138" s="1088"/>
      <c r="BC138" s="1088"/>
      <c r="BD138" s="1088"/>
      <c r="BE138" s="1088"/>
      <c r="BF138" s="1088"/>
      <c r="BG138" s="29">
        <f t="shared" si="5"/>
        <v>0</v>
      </c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29"/>
      <c r="BX138" s="29"/>
    </row>
    <row r="139" spans="1:76" s="182" customFormat="1" ht="12.75" hidden="1" customHeight="1">
      <c r="A139" s="512" t="str">
        <f t="shared" si="6"/>
        <v>OK</v>
      </c>
      <c r="B139" s="538" t="str">
        <f t="shared" si="7"/>
        <v/>
      </c>
      <c r="C139" s="1086">
        <f>CONSOLIDA!GD88</f>
        <v>0</v>
      </c>
      <c r="D139" s="1086"/>
      <c r="E139" s="1086"/>
      <c r="F139" s="1086"/>
      <c r="G139" s="1086"/>
      <c r="H139" s="1087">
        <f>CONSOLIDA!GE88</f>
        <v>0</v>
      </c>
      <c r="I139" s="1087"/>
      <c r="J139" s="1087"/>
      <c r="K139" s="1087"/>
      <c r="L139" s="1087"/>
      <c r="M139" s="1087"/>
      <c r="N139" s="1087"/>
      <c r="O139" s="1087"/>
      <c r="P139" s="1087"/>
      <c r="Q139" s="1087"/>
      <c r="R139" s="1087"/>
      <c r="S139" s="1087"/>
      <c r="T139" s="1087"/>
      <c r="U139" s="1087"/>
      <c r="V139" s="1087"/>
      <c r="W139" s="1087"/>
      <c r="X139" s="1087"/>
      <c r="Y139" s="1087"/>
      <c r="Z139" s="1087"/>
      <c r="AA139" s="1087"/>
      <c r="AB139" s="1087"/>
      <c r="AC139" s="1087"/>
      <c r="AD139" s="1087"/>
      <c r="AE139" s="1087"/>
      <c r="AF139" s="1087"/>
      <c r="AG139" s="1087"/>
      <c r="AH139" s="1087"/>
      <c r="AI139" s="1087"/>
      <c r="AJ139" s="1087"/>
      <c r="AK139" s="1087"/>
      <c r="AL139" s="1087"/>
      <c r="AM139" s="1092"/>
      <c r="AN139" s="1088"/>
      <c r="AO139" s="1088"/>
      <c r="AP139" s="1088"/>
      <c r="AQ139" s="1088"/>
      <c r="AR139" s="1088"/>
      <c r="AS139" s="1088"/>
      <c r="AT139" s="1088"/>
      <c r="AU139" s="1088"/>
      <c r="AV139" s="1088"/>
      <c r="AW139" s="1088"/>
      <c r="AX139" s="1088"/>
      <c r="AY139" s="1088"/>
      <c r="AZ139" s="1088"/>
      <c r="BA139" s="1088"/>
      <c r="BB139" s="1088"/>
      <c r="BC139" s="1088"/>
      <c r="BD139" s="1088"/>
      <c r="BE139" s="1088"/>
      <c r="BF139" s="1088"/>
      <c r="BG139" s="29">
        <f t="shared" si="5"/>
        <v>0</v>
      </c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29"/>
      <c r="BX139" s="29"/>
    </row>
    <row r="140" spans="1:76" s="182" customFormat="1" ht="12.75" hidden="1" customHeight="1">
      <c r="A140" s="512" t="str">
        <f t="shared" si="6"/>
        <v>OK</v>
      </c>
      <c r="B140" s="538" t="str">
        <f t="shared" si="7"/>
        <v/>
      </c>
      <c r="C140" s="1086">
        <f>CONSOLIDA!GD89</f>
        <v>0</v>
      </c>
      <c r="D140" s="1086"/>
      <c r="E140" s="1086"/>
      <c r="F140" s="1086"/>
      <c r="G140" s="1086"/>
      <c r="H140" s="1087">
        <f>CONSOLIDA!GE89</f>
        <v>0</v>
      </c>
      <c r="I140" s="1087"/>
      <c r="J140" s="1087"/>
      <c r="K140" s="1087"/>
      <c r="L140" s="1087"/>
      <c r="M140" s="1087"/>
      <c r="N140" s="1087"/>
      <c r="O140" s="1087"/>
      <c r="P140" s="1087"/>
      <c r="Q140" s="1087"/>
      <c r="R140" s="1087"/>
      <c r="S140" s="1087"/>
      <c r="T140" s="1087"/>
      <c r="U140" s="1087"/>
      <c r="V140" s="1087"/>
      <c r="W140" s="1087"/>
      <c r="X140" s="1087"/>
      <c r="Y140" s="1087"/>
      <c r="Z140" s="1087"/>
      <c r="AA140" s="1087"/>
      <c r="AB140" s="1087"/>
      <c r="AC140" s="1087"/>
      <c r="AD140" s="1087"/>
      <c r="AE140" s="1087"/>
      <c r="AF140" s="1087"/>
      <c r="AG140" s="1087"/>
      <c r="AH140" s="1087"/>
      <c r="AI140" s="1087"/>
      <c r="AJ140" s="1087"/>
      <c r="AK140" s="1087"/>
      <c r="AL140" s="1087"/>
      <c r="AM140" s="1092"/>
      <c r="AN140" s="1088"/>
      <c r="AO140" s="1088"/>
      <c r="AP140" s="1088"/>
      <c r="AQ140" s="1088"/>
      <c r="AR140" s="1088"/>
      <c r="AS140" s="1088"/>
      <c r="AT140" s="1088"/>
      <c r="AU140" s="1088"/>
      <c r="AV140" s="1088"/>
      <c r="AW140" s="1088"/>
      <c r="AX140" s="1088"/>
      <c r="AY140" s="1088"/>
      <c r="AZ140" s="1088"/>
      <c r="BA140" s="1088"/>
      <c r="BB140" s="1088"/>
      <c r="BC140" s="1088"/>
      <c r="BD140" s="1088"/>
      <c r="BE140" s="1088"/>
      <c r="BF140" s="1088"/>
      <c r="BG140" s="29">
        <f t="shared" si="5"/>
        <v>0</v>
      </c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29"/>
      <c r="BX140" s="29"/>
    </row>
    <row r="141" spans="1:76" s="182" customFormat="1" ht="12.75" hidden="1" customHeight="1">
      <c r="A141" s="512" t="str">
        <f t="shared" si="6"/>
        <v>OK</v>
      </c>
      <c r="B141" s="538" t="str">
        <f t="shared" si="7"/>
        <v/>
      </c>
      <c r="C141" s="1086">
        <f>CONSOLIDA!GD90</f>
        <v>0</v>
      </c>
      <c r="D141" s="1086"/>
      <c r="E141" s="1086"/>
      <c r="F141" s="1086"/>
      <c r="G141" s="1086"/>
      <c r="H141" s="1087">
        <f>CONSOLIDA!GE90</f>
        <v>0</v>
      </c>
      <c r="I141" s="1087"/>
      <c r="J141" s="1087"/>
      <c r="K141" s="1087"/>
      <c r="L141" s="1087"/>
      <c r="M141" s="1087"/>
      <c r="N141" s="1087"/>
      <c r="O141" s="1087"/>
      <c r="P141" s="1087"/>
      <c r="Q141" s="1087"/>
      <c r="R141" s="1087"/>
      <c r="S141" s="1087"/>
      <c r="T141" s="1087"/>
      <c r="U141" s="1087"/>
      <c r="V141" s="1087"/>
      <c r="W141" s="1087"/>
      <c r="X141" s="1087"/>
      <c r="Y141" s="1087"/>
      <c r="Z141" s="1087"/>
      <c r="AA141" s="1087"/>
      <c r="AB141" s="1087"/>
      <c r="AC141" s="1087"/>
      <c r="AD141" s="1087"/>
      <c r="AE141" s="1087"/>
      <c r="AF141" s="1087"/>
      <c r="AG141" s="1087"/>
      <c r="AH141" s="1087"/>
      <c r="AI141" s="1087"/>
      <c r="AJ141" s="1087"/>
      <c r="AK141" s="1087"/>
      <c r="AL141" s="1087"/>
      <c r="AM141" s="1092"/>
      <c r="AN141" s="1088"/>
      <c r="AO141" s="1088"/>
      <c r="AP141" s="1088"/>
      <c r="AQ141" s="1088"/>
      <c r="AR141" s="1088"/>
      <c r="AS141" s="1088"/>
      <c r="AT141" s="1088"/>
      <c r="AU141" s="1088"/>
      <c r="AV141" s="1088"/>
      <c r="AW141" s="1088"/>
      <c r="AX141" s="1088"/>
      <c r="AY141" s="1088"/>
      <c r="AZ141" s="1088"/>
      <c r="BA141" s="1088"/>
      <c r="BB141" s="1088"/>
      <c r="BC141" s="1088"/>
      <c r="BD141" s="1088"/>
      <c r="BE141" s="1088"/>
      <c r="BF141" s="1088"/>
      <c r="BG141" s="29">
        <f t="shared" si="5"/>
        <v>0</v>
      </c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29"/>
      <c r="BX141" s="29"/>
    </row>
    <row r="142" spans="1:76" s="182" customFormat="1" ht="12.75" hidden="1" customHeight="1">
      <c r="A142" s="512" t="str">
        <f t="shared" si="6"/>
        <v>OK</v>
      </c>
      <c r="B142" s="538" t="str">
        <f t="shared" si="7"/>
        <v/>
      </c>
      <c r="C142" s="1086">
        <f>CONSOLIDA!GD91</f>
        <v>0</v>
      </c>
      <c r="D142" s="1086"/>
      <c r="E142" s="1086"/>
      <c r="F142" s="1086"/>
      <c r="G142" s="1086"/>
      <c r="H142" s="1087">
        <f>CONSOLIDA!GE91</f>
        <v>0</v>
      </c>
      <c r="I142" s="1087"/>
      <c r="J142" s="1087"/>
      <c r="K142" s="1087"/>
      <c r="L142" s="1087"/>
      <c r="M142" s="1087"/>
      <c r="N142" s="1087"/>
      <c r="O142" s="1087"/>
      <c r="P142" s="1087"/>
      <c r="Q142" s="1087"/>
      <c r="R142" s="1087"/>
      <c r="S142" s="1087"/>
      <c r="T142" s="1087"/>
      <c r="U142" s="1087"/>
      <c r="V142" s="1087"/>
      <c r="W142" s="1087"/>
      <c r="X142" s="1087"/>
      <c r="Y142" s="1087"/>
      <c r="Z142" s="1087"/>
      <c r="AA142" s="1087"/>
      <c r="AB142" s="1087"/>
      <c r="AC142" s="1087"/>
      <c r="AD142" s="1087"/>
      <c r="AE142" s="1087"/>
      <c r="AF142" s="1087"/>
      <c r="AG142" s="1087"/>
      <c r="AH142" s="1087"/>
      <c r="AI142" s="1087"/>
      <c r="AJ142" s="1087"/>
      <c r="AK142" s="1087"/>
      <c r="AL142" s="1087"/>
      <c r="AM142" s="1092"/>
      <c r="AN142" s="1088"/>
      <c r="AO142" s="1088"/>
      <c r="AP142" s="1088"/>
      <c r="AQ142" s="1088"/>
      <c r="AR142" s="1088"/>
      <c r="AS142" s="1088"/>
      <c r="AT142" s="1088"/>
      <c r="AU142" s="1088"/>
      <c r="AV142" s="1088"/>
      <c r="AW142" s="1088"/>
      <c r="AX142" s="1088"/>
      <c r="AY142" s="1088"/>
      <c r="AZ142" s="1088"/>
      <c r="BA142" s="1088"/>
      <c r="BB142" s="1088"/>
      <c r="BC142" s="1088"/>
      <c r="BD142" s="1088"/>
      <c r="BE142" s="1088"/>
      <c r="BF142" s="1088"/>
      <c r="BG142" s="29">
        <f t="shared" si="5"/>
        <v>0</v>
      </c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29"/>
      <c r="BX142" s="29"/>
    </row>
    <row r="143" spans="1:76" s="182" customFormat="1" ht="12.75" hidden="1" customHeight="1">
      <c r="A143" s="512" t="str">
        <f t="shared" si="6"/>
        <v>OK</v>
      </c>
      <c r="B143" s="538" t="str">
        <f t="shared" si="7"/>
        <v/>
      </c>
      <c r="C143" s="1086">
        <f>CONSOLIDA!GD92</f>
        <v>0</v>
      </c>
      <c r="D143" s="1086"/>
      <c r="E143" s="1086"/>
      <c r="F143" s="1086"/>
      <c r="G143" s="1086"/>
      <c r="H143" s="1087">
        <f>CONSOLIDA!GE92</f>
        <v>0</v>
      </c>
      <c r="I143" s="1087"/>
      <c r="J143" s="1087"/>
      <c r="K143" s="1087"/>
      <c r="L143" s="1087"/>
      <c r="M143" s="1087"/>
      <c r="N143" s="1087"/>
      <c r="O143" s="1087"/>
      <c r="P143" s="1087"/>
      <c r="Q143" s="1087"/>
      <c r="R143" s="1087"/>
      <c r="S143" s="1087"/>
      <c r="T143" s="1087"/>
      <c r="U143" s="1087"/>
      <c r="V143" s="1087"/>
      <c r="W143" s="1087"/>
      <c r="X143" s="1087"/>
      <c r="Y143" s="1087"/>
      <c r="Z143" s="1087"/>
      <c r="AA143" s="1087"/>
      <c r="AB143" s="1087"/>
      <c r="AC143" s="1087"/>
      <c r="AD143" s="1087"/>
      <c r="AE143" s="1087"/>
      <c r="AF143" s="1087"/>
      <c r="AG143" s="1087"/>
      <c r="AH143" s="1087"/>
      <c r="AI143" s="1087"/>
      <c r="AJ143" s="1087"/>
      <c r="AK143" s="1087"/>
      <c r="AL143" s="1087"/>
      <c r="AM143" s="1092"/>
      <c r="AN143" s="1088"/>
      <c r="AO143" s="1088"/>
      <c r="AP143" s="1088"/>
      <c r="AQ143" s="1088"/>
      <c r="AR143" s="1088"/>
      <c r="AS143" s="1088"/>
      <c r="AT143" s="1088"/>
      <c r="AU143" s="1088"/>
      <c r="AV143" s="1088"/>
      <c r="AW143" s="1088"/>
      <c r="AX143" s="1088"/>
      <c r="AY143" s="1088"/>
      <c r="AZ143" s="1088"/>
      <c r="BA143" s="1088"/>
      <c r="BB143" s="1088"/>
      <c r="BC143" s="1088"/>
      <c r="BD143" s="1088"/>
      <c r="BE143" s="1088"/>
      <c r="BF143" s="1088"/>
      <c r="BG143" s="29">
        <f t="shared" si="5"/>
        <v>0</v>
      </c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29"/>
      <c r="BX143" s="29"/>
    </row>
    <row r="144" spans="1:76" s="182" customFormat="1" ht="12.75" hidden="1" customHeight="1">
      <c r="A144" s="512" t="str">
        <f t="shared" si="6"/>
        <v>OK</v>
      </c>
      <c r="B144" s="538" t="str">
        <f t="shared" si="7"/>
        <v/>
      </c>
      <c r="C144" s="1086">
        <f>CONSOLIDA!GD93</f>
        <v>0</v>
      </c>
      <c r="D144" s="1086"/>
      <c r="E144" s="1086"/>
      <c r="F144" s="1086"/>
      <c r="G144" s="1086"/>
      <c r="H144" s="1087">
        <f>CONSOLIDA!GE93</f>
        <v>0</v>
      </c>
      <c r="I144" s="1087"/>
      <c r="J144" s="1087"/>
      <c r="K144" s="1087"/>
      <c r="L144" s="1087"/>
      <c r="M144" s="1087"/>
      <c r="N144" s="1087"/>
      <c r="O144" s="1087"/>
      <c r="P144" s="1087"/>
      <c r="Q144" s="1087"/>
      <c r="R144" s="1087"/>
      <c r="S144" s="1087"/>
      <c r="T144" s="1087"/>
      <c r="U144" s="1087"/>
      <c r="V144" s="1087"/>
      <c r="W144" s="1087"/>
      <c r="X144" s="1087"/>
      <c r="Y144" s="1087"/>
      <c r="Z144" s="1087"/>
      <c r="AA144" s="1087"/>
      <c r="AB144" s="1087"/>
      <c r="AC144" s="1087"/>
      <c r="AD144" s="1087"/>
      <c r="AE144" s="1087"/>
      <c r="AF144" s="1087"/>
      <c r="AG144" s="1087"/>
      <c r="AH144" s="1087"/>
      <c r="AI144" s="1087"/>
      <c r="AJ144" s="1087"/>
      <c r="AK144" s="1087"/>
      <c r="AL144" s="1087"/>
      <c r="AM144" s="1092"/>
      <c r="AN144" s="1088"/>
      <c r="AO144" s="1088"/>
      <c r="AP144" s="1088"/>
      <c r="AQ144" s="1088"/>
      <c r="AR144" s="1088"/>
      <c r="AS144" s="1088"/>
      <c r="AT144" s="1088"/>
      <c r="AU144" s="1088"/>
      <c r="AV144" s="1088"/>
      <c r="AW144" s="1088"/>
      <c r="AX144" s="1088"/>
      <c r="AY144" s="1088"/>
      <c r="AZ144" s="1088"/>
      <c r="BA144" s="1088"/>
      <c r="BB144" s="1088"/>
      <c r="BC144" s="1088"/>
      <c r="BD144" s="1088"/>
      <c r="BE144" s="1088"/>
      <c r="BF144" s="1088"/>
      <c r="BG144" s="29">
        <f t="shared" si="5"/>
        <v>0</v>
      </c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29"/>
      <c r="BX144" s="29"/>
    </row>
    <row r="145" spans="1:76" s="182" customFormat="1" ht="12.75" hidden="1" customHeight="1">
      <c r="A145" s="512" t="str">
        <f t="shared" si="6"/>
        <v>OK</v>
      </c>
      <c r="B145" s="538" t="str">
        <f t="shared" si="7"/>
        <v/>
      </c>
      <c r="C145" s="1086">
        <f>CONSOLIDA!GD94</f>
        <v>0</v>
      </c>
      <c r="D145" s="1086"/>
      <c r="E145" s="1086"/>
      <c r="F145" s="1086"/>
      <c r="G145" s="1086"/>
      <c r="H145" s="1087">
        <f>CONSOLIDA!GE94</f>
        <v>0</v>
      </c>
      <c r="I145" s="1087"/>
      <c r="J145" s="1087"/>
      <c r="K145" s="1087"/>
      <c r="L145" s="1087"/>
      <c r="M145" s="1087"/>
      <c r="N145" s="1087"/>
      <c r="O145" s="1087"/>
      <c r="P145" s="1087"/>
      <c r="Q145" s="1087"/>
      <c r="R145" s="1087"/>
      <c r="S145" s="1087"/>
      <c r="T145" s="1087"/>
      <c r="U145" s="1087"/>
      <c r="V145" s="1087"/>
      <c r="W145" s="1087"/>
      <c r="X145" s="1087"/>
      <c r="Y145" s="1087"/>
      <c r="Z145" s="1087"/>
      <c r="AA145" s="1087"/>
      <c r="AB145" s="1087"/>
      <c r="AC145" s="1087"/>
      <c r="AD145" s="1087"/>
      <c r="AE145" s="1087"/>
      <c r="AF145" s="1087"/>
      <c r="AG145" s="1087"/>
      <c r="AH145" s="1087"/>
      <c r="AI145" s="1087"/>
      <c r="AJ145" s="1087"/>
      <c r="AK145" s="1087"/>
      <c r="AL145" s="1087"/>
      <c r="AM145" s="1092"/>
      <c r="AN145" s="1088"/>
      <c r="AO145" s="1088"/>
      <c r="AP145" s="1088"/>
      <c r="AQ145" s="1088"/>
      <c r="AR145" s="1088"/>
      <c r="AS145" s="1088"/>
      <c r="AT145" s="1088"/>
      <c r="AU145" s="1088"/>
      <c r="AV145" s="1088"/>
      <c r="AW145" s="1088"/>
      <c r="AX145" s="1088"/>
      <c r="AY145" s="1088"/>
      <c r="AZ145" s="1088"/>
      <c r="BA145" s="1088"/>
      <c r="BB145" s="1088"/>
      <c r="BC145" s="1088"/>
      <c r="BD145" s="1088"/>
      <c r="BE145" s="1088"/>
      <c r="BF145" s="1088"/>
      <c r="BG145" s="29">
        <f t="shared" si="5"/>
        <v>0</v>
      </c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29"/>
      <c r="BX145" s="29"/>
    </row>
    <row r="146" spans="1:76" s="182" customFormat="1" ht="12.75" hidden="1" customHeight="1">
      <c r="A146" s="512" t="str">
        <f t="shared" si="6"/>
        <v>OK</v>
      </c>
      <c r="B146" s="538" t="str">
        <f t="shared" si="7"/>
        <v/>
      </c>
      <c r="C146" s="1086">
        <f>CONSOLIDA!GD95</f>
        <v>0</v>
      </c>
      <c r="D146" s="1086"/>
      <c r="E146" s="1086"/>
      <c r="F146" s="1086"/>
      <c r="G146" s="1086"/>
      <c r="H146" s="1087">
        <f>CONSOLIDA!GE95</f>
        <v>0</v>
      </c>
      <c r="I146" s="1087"/>
      <c r="J146" s="1087"/>
      <c r="K146" s="1087"/>
      <c r="L146" s="1087"/>
      <c r="M146" s="1087"/>
      <c r="N146" s="1087"/>
      <c r="O146" s="1087"/>
      <c r="P146" s="1087"/>
      <c r="Q146" s="1087"/>
      <c r="R146" s="1087"/>
      <c r="S146" s="1087"/>
      <c r="T146" s="1087"/>
      <c r="U146" s="1087"/>
      <c r="V146" s="1087"/>
      <c r="W146" s="1087"/>
      <c r="X146" s="1087"/>
      <c r="Y146" s="1087"/>
      <c r="Z146" s="1087"/>
      <c r="AA146" s="1087"/>
      <c r="AB146" s="1087"/>
      <c r="AC146" s="1087"/>
      <c r="AD146" s="1087"/>
      <c r="AE146" s="1087"/>
      <c r="AF146" s="1087"/>
      <c r="AG146" s="1087"/>
      <c r="AH146" s="1087"/>
      <c r="AI146" s="1087"/>
      <c r="AJ146" s="1087"/>
      <c r="AK146" s="1087"/>
      <c r="AL146" s="1087"/>
      <c r="AM146" s="1092"/>
      <c r="AN146" s="1088"/>
      <c r="AO146" s="1088"/>
      <c r="AP146" s="1088"/>
      <c r="AQ146" s="1088"/>
      <c r="AR146" s="1088"/>
      <c r="AS146" s="1088"/>
      <c r="AT146" s="1088"/>
      <c r="AU146" s="1088"/>
      <c r="AV146" s="1088"/>
      <c r="AW146" s="1088"/>
      <c r="AX146" s="1088"/>
      <c r="AY146" s="1088"/>
      <c r="AZ146" s="1088"/>
      <c r="BA146" s="1088"/>
      <c r="BB146" s="1088"/>
      <c r="BC146" s="1088"/>
      <c r="BD146" s="1088"/>
      <c r="BE146" s="1088"/>
      <c r="BF146" s="1088"/>
      <c r="BG146" s="29">
        <f t="shared" si="5"/>
        <v>0</v>
      </c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29"/>
      <c r="BX146" s="29"/>
    </row>
    <row r="147" spans="1:76" s="182" customFormat="1" ht="12.75" hidden="1" customHeight="1">
      <c r="A147" s="512" t="str">
        <f t="shared" si="6"/>
        <v>OK</v>
      </c>
      <c r="B147" s="538" t="str">
        <f t="shared" si="7"/>
        <v/>
      </c>
      <c r="C147" s="1086">
        <f>CONSOLIDA!GD96</f>
        <v>0</v>
      </c>
      <c r="D147" s="1086"/>
      <c r="E147" s="1086"/>
      <c r="F147" s="1086"/>
      <c r="G147" s="1086"/>
      <c r="H147" s="1087">
        <f>CONSOLIDA!GE96</f>
        <v>0</v>
      </c>
      <c r="I147" s="1087"/>
      <c r="J147" s="1087"/>
      <c r="K147" s="1087"/>
      <c r="L147" s="1087"/>
      <c r="M147" s="1087"/>
      <c r="N147" s="1087"/>
      <c r="O147" s="1087"/>
      <c r="P147" s="1087"/>
      <c r="Q147" s="1087"/>
      <c r="R147" s="1087"/>
      <c r="S147" s="1087"/>
      <c r="T147" s="1087"/>
      <c r="U147" s="1087"/>
      <c r="V147" s="1087"/>
      <c r="W147" s="1087"/>
      <c r="X147" s="1087"/>
      <c r="Y147" s="1087"/>
      <c r="Z147" s="1087"/>
      <c r="AA147" s="1087"/>
      <c r="AB147" s="1087"/>
      <c r="AC147" s="1087"/>
      <c r="AD147" s="1087"/>
      <c r="AE147" s="1087"/>
      <c r="AF147" s="1087"/>
      <c r="AG147" s="1087"/>
      <c r="AH147" s="1087"/>
      <c r="AI147" s="1087"/>
      <c r="AJ147" s="1087"/>
      <c r="AK147" s="1087"/>
      <c r="AL147" s="1087"/>
      <c r="AM147" s="1092"/>
      <c r="AN147" s="1088"/>
      <c r="AO147" s="1088"/>
      <c r="AP147" s="1088"/>
      <c r="AQ147" s="1088"/>
      <c r="AR147" s="1088"/>
      <c r="AS147" s="1088"/>
      <c r="AT147" s="1088"/>
      <c r="AU147" s="1088"/>
      <c r="AV147" s="1088"/>
      <c r="AW147" s="1088"/>
      <c r="AX147" s="1088"/>
      <c r="AY147" s="1088"/>
      <c r="AZ147" s="1088"/>
      <c r="BA147" s="1088"/>
      <c r="BB147" s="1088"/>
      <c r="BC147" s="1088"/>
      <c r="BD147" s="1088"/>
      <c r="BE147" s="1088"/>
      <c r="BF147" s="1088"/>
      <c r="BG147" s="29">
        <f t="shared" si="5"/>
        <v>0</v>
      </c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29"/>
      <c r="BX147" s="29"/>
    </row>
    <row r="148" spans="1:76" s="182" customFormat="1" ht="12.75" hidden="1" customHeight="1">
      <c r="A148" s="512" t="str">
        <f t="shared" si="6"/>
        <v>OK</v>
      </c>
      <c r="B148" s="538" t="str">
        <f t="shared" si="7"/>
        <v/>
      </c>
      <c r="C148" s="1086">
        <f>CONSOLIDA!GD97</f>
        <v>0</v>
      </c>
      <c r="D148" s="1086"/>
      <c r="E148" s="1086"/>
      <c r="F148" s="1086"/>
      <c r="G148" s="1086"/>
      <c r="H148" s="1087">
        <f>CONSOLIDA!GE97</f>
        <v>0</v>
      </c>
      <c r="I148" s="1087"/>
      <c r="J148" s="1087"/>
      <c r="K148" s="1087"/>
      <c r="L148" s="1087"/>
      <c r="M148" s="1087"/>
      <c r="N148" s="1087"/>
      <c r="O148" s="1087"/>
      <c r="P148" s="1087"/>
      <c r="Q148" s="1087"/>
      <c r="R148" s="1087"/>
      <c r="S148" s="1087"/>
      <c r="T148" s="1087"/>
      <c r="U148" s="1087"/>
      <c r="V148" s="1087"/>
      <c r="W148" s="1087"/>
      <c r="X148" s="1087"/>
      <c r="Y148" s="1087"/>
      <c r="Z148" s="1087"/>
      <c r="AA148" s="1087"/>
      <c r="AB148" s="1087"/>
      <c r="AC148" s="1087"/>
      <c r="AD148" s="1087"/>
      <c r="AE148" s="1087"/>
      <c r="AF148" s="1087"/>
      <c r="AG148" s="1087"/>
      <c r="AH148" s="1087"/>
      <c r="AI148" s="1087"/>
      <c r="AJ148" s="1087"/>
      <c r="AK148" s="1087"/>
      <c r="AL148" s="1087"/>
      <c r="AM148" s="1092"/>
      <c r="AN148" s="1088"/>
      <c r="AO148" s="1088"/>
      <c r="AP148" s="1088"/>
      <c r="AQ148" s="1088"/>
      <c r="AR148" s="1088"/>
      <c r="AS148" s="1088"/>
      <c r="AT148" s="1088"/>
      <c r="AU148" s="1088"/>
      <c r="AV148" s="1088"/>
      <c r="AW148" s="1088"/>
      <c r="AX148" s="1088"/>
      <c r="AY148" s="1088"/>
      <c r="AZ148" s="1088"/>
      <c r="BA148" s="1088"/>
      <c r="BB148" s="1088"/>
      <c r="BC148" s="1088"/>
      <c r="BD148" s="1088"/>
      <c r="BE148" s="1088"/>
      <c r="BF148" s="1088"/>
      <c r="BG148" s="29">
        <f t="shared" si="5"/>
        <v>0</v>
      </c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29"/>
      <c r="BX148" s="29"/>
    </row>
    <row r="149" spans="1:76" s="182" customFormat="1" ht="12.75" hidden="1" customHeight="1">
      <c r="A149" s="512" t="str">
        <f t="shared" si="6"/>
        <v>OK</v>
      </c>
      <c r="B149" s="538" t="str">
        <f t="shared" si="7"/>
        <v/>
      </c>
      <c r="C149" s="1086">
        <f>CONSOLIDA!GD98</f>
        <v>0</v>
      </c>
      <c r="D149" s="1086"/>
      <c r="E149" s="1086"/>
      <c r="F149" s="1086"/>
      <c r="G149" s="1086"/>
      <c r="H149" s="1087">
        <f>CONSOLIDA!GE98</f>
        <v>0</v>
      </c>
      <c r="I149" s="1087"/>
      <c r="J149" s="1087"/>
      <c r="K149" s="1087"/>
      <c r="L149" s="1087"/>
      <c r="M149" s="1087"/>
      <c r="N149" s="1087"/>
      <c r="O149" s="1087"/>
      <c r="P149" s="1087"/>
      <c r="Q149" s="1087"/>
      <c r="R149" s="1087"/>
      <c r="S149" s="1087"/>
      <c r="T149" s="1087"/>
      <c r="U149" s="1087"/>
      <c r="V149" s="1087"/>
      <c r="W149" s="1087"/>
      <c r="X149" s="1087"/>
      <c r="Y149" s="1087"/>
      <c r="Z149" s="1087"/>
      <c r="AA149" s="1087"/>
      <c r="AB149" s="1087"/>
      <c r="AC149" s="1087"/>
      <c r="AD149" s="1087"/>
      <c r="AE149" s="1087"/>
      <c r="AF149" s="1087"/>
      <c r="AG149" s="1087"/>
      <c r="AH149" s="1087"/>
      <c r="AI149" s="1087"/>
      <c r="AJ149" s="1087"/>
      <c r="AK149" s="1087"/>
      <c r="AL149" s="1087"/>
      <c r="AM149" s="1092"/>
      <c r="AN149" s="1088"/>
      <c r="AO149" s="1088"/>
      <c r="AP149" s="1088"/>
      <c r="AQ149" s="1088"/>
      <c r="AR149" s="1088"/>
      <c r="AS149" s="1088"/>
      <c r="AT149" s="1088"/>
      <c r="AU149" s="1088"/>
      <c r="AV149" s="1088"/>
      <c r="AW149" s="1088"/>
      <c r="AX149" s="1088"/>
      <c r="AY149" s="1088"/>
      <c r="AZ149" s="1088"/>
      <c r="BA149" s="1088"/>
      <c r="BB149" s="1088"/>
      <c r="BC149" s="1088"/>
      <c r="BD149" s="1088"/>
      <c r="BE149" s="1088"/>
      <c r="BF149" s="1088"/>
      <c r="BG149" s="29">
        <f t="shared" si="5"/>
        <v>0</v>
      </c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29"/>
      <c r="BX149" s="29"/>
    </row>
    <row r="150" spans="1:76" s="182" customFormat="1" ht="12.75" hidden="1" customHeight="1">
      <c r="A150" s="512" t="str">
        <f t="shared" si="6"/>
        <v>OK</v>
      </c>
      <c r="B150" s="538" t="str">
        <f t="shared" si="7"/>
        <v/>
      </c>
      <c r="C150" s="1086">
        <f>CONSOLIDA!GD99</f>
        <v>0</v>
      </c>
      <c r="D150" s="1086"/>
      <c r="E150" s="1086"/>
      <c r="F150" s="1086"/>
      <c r="G150" s="1086"/>
      <c r="H150" s="1087">
        <f>CONSOLIDA!GE99</f>
        <v>0</v>
      </c>
      <c r="I150" s="1087"/>
      <c r="J150" s="1087"/>
      <c r="K150" s="1087"/>
      <c r="L150" s="1087"/>
      <c r="M150" s="1087"/>
      <c r="N150" s="1087"/>
      <c r="O150" s="1087"/>
      <c r="P150" s="1087"/>
      <c r="Q150" s="1087"/>
      <c r="R150" s="1087"/>
      <c r="S150" s="1087"/>
      <c r="T150" s="1087"/>
      <c r="U150" s="1087"/>
      <c r="V150" s="1087"/>
      <c r="W150" s="1087"/>
      <c r="X150" s="1087"/>
      <c r="Y150" s="1087"/>
      <c r="Z150" s="1087"/>
      <c r="AA150" s="1087"/>
      <c r="AB150" s="1087"/>
      <c r="AC150" s="1087"/>
      <c r="AD150" s="1087"/>
      <c r="AE150" s="1087"/>
      <c r="AF150" s="1087"/>
      <c r="AG150" s="1087"/>
      <c r="AH150" s="1087"/>
      <c r="AI150" s="1087"/>
      <c r="AJ150" s="1087"/>
      <c r="AK150" s="1087"/>
      <c r="AL150" s="1087"/>
      <c r="AM150" s="1092"/>
      <c r="AN150" s="1088"/>
      <c r="AO150" s="1088"/>
      <c r="AP150" s="1088"/>
      <c r="AQ150" s="1088"/>
      <c r="AR150" s="1088"/>
      <c r="AS150" s="1088"/>
      <c r="AT150" s="1088"/>
      <c r="AU150" s="1088"/>
      <c r="AV150" s="1088"/>
      <c r="AW150" s="1088"/>
      <c r="AX150" s="1088"/>
      <c r="AY150" s="1088"/>
      <c r="AZ150" s="1088"/>
      <c r="BA150" s="1088"/>
      <c r="BB150" s="1088"/>
      <c r="BC150" s="1088"/>
      <c r="BD150" s="1088"/>
      <c r="BE150" s="1088"/>
      <c r="BF150" s="1088"/>
      <c r="BG150" s="29">
        <f t="shared" si="5"/>
        <v>0</v>
      </c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29"/>
      <c r="BX150" s="29"/>
    </row>
    <row r="151" spans="1:76" s="182" customFormat="1" ht="12.75" hidden="1" customHeight="1">
      <c r="A151" s="512" t="str">
        <f t="shared" si="6"/>
        <v>OK</v>
      </c>
      <c r="B151" s="538" t="str">
        <f t="shared" si="7"/>
        <v/>
      </c>
      <c r="C151" s="1086">
        <f>CONSOLIDA!GD100</f>
        <v>0</v>
      </c>
      <c r="D151" s="1086"/>
      <c r="E151" s="1086"/>
      <c r="F151" s="1086"/>
      <c r="G151" s="1086"/>
      <c r="H151" s="1087">
        <f>CONSOLIDA!GE100</f>
        <v>0</v>
      </c>
      <c r="I151" s="1087"/>
      <c r="J151" s="1087"/>
      <c r="K151" s="1087"/>
      <c r="L151" s="1087"/>
      <c r="M151" s="1087"/>
      <c r="N151" s="1087"/>
      <c r="O151" s="1087"/>
      <c r="P151" s="1087"/>
      <c r="Q151" s="1087"/>
      <c r="R151" s="1087"/>
      <c r="S151" s="1087"/>
      <c r="T151" s="1087"/>
      <c r="U151" s="1087"/>
      <c r="V151" s="1087"/>
      <c r="W151" s="1087"/>
      <c r="X151" s="1087"/>
      <c r="Y151" s="1087"/>
      <c r="Z151" s="1087"/>
      <c r="AA151" s="1087"/>
      <c r="AB151" s="1087"/>
      <c r="AC151" s="1087"/>
      <c r="AD151" s="1087"/>
      <c r="AE151" s="1087"/>
      <c r="AF151" s="1087"/>
      <c r="AG151" s="1087"/>
      <c r="AH151" s="1087"/>
      <c r="AI151" s="1087"/>
      <c r="AJ151" s="1087"/>
      <c r="AK151" s="1087"/>
      <c r="AL151" s="1087"/>
      <c r="AM151" s="1092"/>
      <c r="AN151" s="1088"/>
      <c r="AO151" s="1088"/>
      <c r="AP151" s="1088"/>
      <c r="AQ151" s="1088"/>
      <c r="AR151" s="1088"/>
      <c r="AS151" s="1088"/>
      <c r="AT151" s="1088"/>
      <c r="AU151" s="1088"/>
      <c r="AV151" s="1088"/>
      <c r="AW151" s="1088"/>
      <c r="AX151" s="1088"/>
      <c r="AY151" s="1088"/>
      <c r="AZ151" s="1088"/>
      <c r="BA151" s="1088"/>
      <c r="BB151" s="1088"/>
      <c r="BC151" s="1088"/>
      <c r="BD151" s="1088"/>
      <c r="BE151" s="1088"/>
      <c r="BF151" s="1088"/>
      <c r="BG151" s="29">
        <f t="shared" si="5"/>
        <v>0</v>
      </c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29"/>
      <c r="BX151" s="29"/>
    </row>
    <row r="152" spans="1:76" s="182" customFormat="1" ht="12.75" hidden="1" customHeight="1">
      <c r="A152" s="512" t="str">
        <f t="shared" si="6"/>
        <v>OK</v>
      </c>
      <c r="B152" s="538" t="str">
        <f t="shared" si="7"/>
        <v/>
      </c>
      <c r="C152" s="1086">
        <f>CONSOLIDA!GD101</f>
        <v>0</v>
      </c>
      <c r="D152" s="1086"/>
      <c r="E152" s="1086"/>
      <c r="F152" s="1086"/>
      <c r="G152" s="1086"/>
      <c r="H152" s="1087">
        <f>CONSOLIDA!GE101</f>
        <v>0</v>
      </c>
      <c r="I152" s="1087"/>
      <c r="J152" s="1087"/>
      <c r="K152" s="1087"/>
      <c r="L152" s="1087"/>
      <c r="M152" s="1087"/>
      <c r="N152" s="1087"/>
      <c r="O152" s="1087"/>
      <c r="P152" s="1087"/>
      <c r="Q152" s="1087"/>
      <c r="R152" s="1087"/>
      <c r="S152" s="1087"/>
      <c r="T152" s="1087"/>
      <c r="U152" s="1087"/>
      <c r="V152" s="1087"/>
      <c r="W152" s="1087"/>
      <c r="X152" s="1087"/>
      <c r="Y152" s="1087"/>
      <c r="Z152" s="1087"/>
      <c r="AA152" s="1087"/>
      <c r="AB152" s="1087"/>
      <c r="AC152" s="1087"/>
      <c r="AD152" s="1087"/>
      <c r="AE152" s="1087"/>
      <c r="AF152" s="1087"/>
      <c r="AG152" s="1087"/>
      <c r="AH152" s="1087"/>
      <c r="AI152" s="1087"/>
      <c r="AJ152" s="1087"/>
      <c r="AK152" s="1087"/>
      <c r="AL152" s="1087"/>
      <c r="AM152" s="1092"/>
      <c r="AN152" s="1088"/>
      <c r="AO152" s="1088"/>
      <c r="AP152" s="1088"/>
      <c r="AQ152" s="1088"/>
      <c r="AR152" s="1088"/>
      <c r="AS152" s="1088"/>
      <c r="AT152" s="1088"/>
      <c r="AU152" s="1088"/>
      <c r="AV152" s="1088"/>
      <c r="AW152" s="1088"/>
      <c r="AX152" s="1088"/>
      <c r="AY152" s="1088"/>
      <c r="AZ152" s="1088"/>
      <c r="BA152" s="1088"/>
      <c r="BB152" s="1088"/>
      <c r="BC152" s="1088"/>
      <c r="BD152" s="1088"/>
      <c r="BE152" s="1088"/>
      <c r="BF152" s="1088"/>
      <c r="BG152" s="29">
        <f t="shared" si="5"/>
        <v>0</v>
      </c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29"/>
      <c r="BX152" s="29"/>
    </row>
    <row r="153" spans="1:76" s="182" customFormat="1" ht="12.75" hidden="1" customHeight="1">
      <c r="A153" s="512" t="str">
        <f t="shared" si="6"/>
        <v>OK</v>
      </c>
      <c r="B153" s="538" t="str">
        <f t="shared" si="7"/>
        <v/>
      </c>
      <c r="C153" s="1086">
        <f>CONSOLIDA!GD102</f>
        <v>0</v>
      </c>
      <c r="D153" s="1086"/>
      <c r="E153" s="1086"/>
      <c r="F153" s="1086"/>
      <c r="G153" s="1086"/>
      <c r="H153" s="1087">
        <f>CONSOLIDA!GE102</f>
        <v>0</v>
      </c>
      <c r="I153" s="1087"/>
      <c r="J153" s="1087"/>
      <c r="K153" s="1087"/>
      <c r="L153" s="1087"/>
      <c r="M153" s="1087"/>
      <c r="N153" s="1087"/>
      <c r="O153" s="1087"/>
      <c r="P153" s="1087"/>
      <c r="Q153" s="1087"/>
      <c r="R153" s="1087"/>
      <c r="S153" s="1087"/>
      <c r="T153" s="1087"/>
      <c r="U153" s="1087"/>
      <c r="V153" s="1087"/>
      <c r="W153" s="1087"/>
      <c r="X153" s="1087"/>
      <c r="Y153" s="1087"/>
      <c r="Z153" s="1087"/>
      <c r="AA153" s="1087"/>
      <c r="AB153" s="1087"/>
      <c r="AC153" s="1087"/>
      <c r="AD153" s="1087"/>
      <c r="AE153" s="1087"/>
      <c r="AF153" s="1087"/>
      <c r="AG153" s="1087"/>
      <c r="AH153" s="1087"/>
      <c r="AI153" s="1087"/>
      <c r="AJ153" s="1087"/>
      <c r="AK153" s="1087"/>
      <c r="AL153" s="1087"/>
      <c r="AM153" s="1092"/>
      <c r="AN153" s="1088"/>
      <c r="AO153" s="1088"/>
      <c r="AP153" s="1088"/>
      <c r="AQ153" s="1088"/>
      <c r="AR153" s="1088"/>
      <c r="AS153" s="1088"/>
      <c r="AT153" s="1088"/>
      <c r="AU153" s="1088"/>
      <c r="AV153" s="1088"/>
      <c r="AW153" s="1088"/>
      <c r="AX153" s="1088"/>
      <c r="AY153" s="1088"/>
      <c r="AZ153" s="1088"/>
      <c r="BA153" s="1088"/>
      <c r="BB153" s="1088"/>
      <c r="BC153" s="1088"/>
      <c r="BD153" s="1088"/>
      <c r="BE153" s="1088"/>
      <c r="BF153" s="1088"/>
      <c r="BG153" s="29">
        <f t="shared" si="5"/>
        <v>0</v>
      </c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29"/>
      <c r="BX153" s="29"/>
    </row>
    <row r="154" spans="1:76" s="182" customFormat="1" ht="12.75" hidden="1" customHeight="1">
      <c r="A154" s="512" t="str">
        <f t="shared" si="6"/>
        <v>OK</v>
      </c>
      <c r="B154" s="538" t="str">
        <f t="shared" si="7"/>
        <v/>
      </c>
      <c r="C154" s="1086">
        <f>CONSOLIDA!GD103</f>
        <v>0</v>
      </c>
      <c r="D154" s="1086"/>
      <c r="E154" s="1086"/>
      <c r="F154" s="1086"/>
      <c r="G154" s="1086"/>
      <c r="H154" s="1087">
        <f>CONSOLIDA!GE103</f>
        <v>0</v>
      </c>
      <c r="I154" s="1087"/>
      <c r="J154" s="1087"/>
      <c r="K154" s="1087"/>
      <c r="L154" s="1087"/>
      <c r="M154" s="1087"/>
      <c r="N154" s="1087"/>
      <c r="O154" s="1087"/>
      <c r="P154" s="1087"/>
      <c r="Q154" s="1087"/>
      <c r="R154" s="1087"/>
      <c r="S154" s="1087"/>
      <c r="T154" s="1087"/>
      <c r="U154" s="1087"/>
      <c r="V154" s="1087"/>
      <c r="W154" s="1087"/>
      <c r="X154" s="1087"/>
      <c r="Y154" s="1087"/>
      <c r="Z154" s="1087"/>
      <c r="AA154" s="1087"/>
      <c r="AB154" s="1087"/>
      <c r="AC154" s="1087"/>
      <c r="AD154" s="1087"/>
      <c r="AE154" s="1087"/>
      <c r="AF154" s="1087"/>
      <c r="AG154" s="1087"/>
      <c r="AH154" s="1087"/>
      <c r="AI154" s="1087"/>
      <c r="AJ154" s="1087"/>
      <c r="AK154" s="1087"/>
      <c r="AL154" s="1087"/>
      <c r="AM154" s="1092"/>
      <c r="AN154" s="1088"/>
      <c r="AO154" s="1088"/>
      <c r="AP154" s="1088"/>
      <c r="AQ154" s="1088"/>
      <c r="AR154" s="1088"/>
      <c r="AS154" s="1088"/>
      <c r="AT154" s="1088"/>
      <c r="AU154" s="1088"/>
      <c r="AV154" s="1088"/>
      <c r="AW154" s="1088"/>
      <c r="AX154" s="1088"/>
      <c r="AY154" s="1088"/>
      <c r="AZ154" s="1088"/>
      <c r="BA154" s="1088"/>
      <c r="BB154" s="1088"/>
      <c r="BC154" s="1088"/>
      <c r="BD154" s="1088"/>
      <c r="BE154" s="1088"/>
      <c r="BF154" s="1088"/>
      <c r="BG154" s="29">
        <f t="shared" si="5"/>
        <v>0</v>
      </c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29"/>
      <c r="BX154" s="29"/>
    </row>
    <row r="155" spans="1:76" s="182" customFormat="1" ht="12.75" hidden="1" customHeight="1">
      <c r="A155" s="512" t="str">
        <f t="shared" si="6"/>
        <v>OK</v>
      </c>
      <c r="B155" s="538" t="str">
        <f t="shared" si="7"/>
        <v/>
      </c>
      <c r="C155" s="1086">
        <f>CONSOLIDA!GD104</f>
        <v>0</v>
      </c>
      <c r="D155" s="1086"/>
      <c r="E155" s="1086"/>
      <c r="F155" s="1086"/>
      <c r="G155" s="1086"/>
      <c r="H155" s="1087">
        <f>CONSOLIDA!GE104</f>
        <v>0</v>
      </c>
      <c r="I155" s="1087"/>
      <c r="J155" s="1087"/>
      <c r="K155" s="1087"/>
      <c r="L155" s="1087"/>
      <c r="M155" s="1087"/>
      <c r="N155" s="1087"/>
      <c r="O155" s="1087"/>
      <c r="P155" s="1087"/>
      <c r="Q155" s="1087"/>
      <c r="R155" s="1087"/>
      <c r="S155" s="1087"/>
      <c r="T155" s="1087"/>
      <c r="U155" s="1087"/>
      <c r="V155" s="1087"/>
      <c r="W155" s="1087"/>
      <c r="X155" s="1087"/>
      <c r="Y155" s="1087"/>
      <c r="Z155" s="1087"/>
      <c r="AA155" s="1087"/>
      <c r="AB155" s="1087"/>
      <c r="AC155" s="1087"/>
      <c r="AD155" s="1087"/>
      <c r="AE155" s="1087"/>
      <c r="AF155" s="1087"/>
      <c r="AG155" s="1087"/>
      <c r="AH155" s="1087"/>
      <c r="AI155" s="1087"/>
      <c r="AJ155" s="1087"/>
      <c r="AK155" s="1087"/>
      <c r="AL155" s="1087"/>
      <c r="AM155" s="1092"/>
      <c r="AN155" s="1088"/>
      <c r="AO155" s="1088"/>
      <c r="AP155" s="1088"/>
      <c r="AQ155" s="1088"/>
      <c r="AR155" s="1088"/>
      <c r="AS155" s="1088"/>
      <c r="AT155" s="1088"/>
      <c r="AU155" s="1088"/>
      <c r="AV155" s="1088"/>
      <c r="AW155" s="1088"/>
      <c r="AX155" s="1088"/>
      <c r="AY155" s="1088"/>
      <c r="AZ155" s="1088"/>
      <c r="BA155" s="1088"/>
      <c r="BB155" s="1088"/>
      <c r="BC155" s="1088"/>
      <c r="BD155" s="1088"/>
      <c r="BE155" s="1088"/>
      <c r="BF155" s="1088"/>
      <c r="BG155" s="29">
        <f t="shared" si="5"/>
        <v>0</v>
      </c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29"/>
      <c r="BX155" s="29"/>
    </row>
    <row r="156" spans="1:76" s="182" customFormat="1" ht="12.75" hidden="1" customHeight="1">
      <c r="A156" s="512" t="str">
        <f t="shared" si="6"/>
        <v>OK</v>
      </c>
      <c r="B156" s="538" t="str">
        <f t="shared" si="7"/>
        <v/>
      </c>
      <c r="C156" s="1086">
        <f>CONSOLIDA!GD105</f>
        <v>0</v>
      </c>
      <c r="D156" s="1086"/>
      <c r="E156" s="1086"/>
      <c r="F156" s="1086"/>
      <c r="G156" s="1086"/>
      <c r="H156" s="1087">
        <f>CONSOLIDA!GE105</f>
        <v>0</v>
      </c>
      <c r="I156" s="1087"/>
      <c r="J156" s="1087"/>
      <c r="K156" s="1087"/>
      <c r="L156" s="1087"/>
      <c r="M156" s="1087"/>
      <c r="N156" s="1087"/>
      <c r="O156" s="1087"/>
      <c r="P156" s="1087"/>
      <c r="Q156" s="1087"/>
      <c r="R156" s="1087"/>
      <c r="S156" s="1087"/>
      <c r="T156" s="1087"/>
      <c r="U156" s="1087"/>
      <c r="V156" s="1087"/>
      <c r="W156" s="1087"/>
      <c r="X156" s="1087"/>
      <c r="Y156" s="1087"/>
      <c r="Z156" s="1087"/>
      <c r="AA156" s="1087"/>
      <c r="AB156" s="1087"/>
      <c r="AC156" s="1087"/>
      <c r="AD156" s="1087"/>
      <c r="AE156" s="1087"/>
      <c r="AF156" s="1087"/>
      <c r="AG156" s="1087"/>
      <c r="AH156" s="1087"/>
      <c r="AI156" s="1087"/>
      <c r="AJ156" s="1087"/>
      <c r="AK156" s="1087"/>
      <c r="AL156" s="1087"/>
      <c r="AM156" s="1092"/>
      <c r="AN156" s="1088"/>
      <c r="AO156" s="1088"/>
      <c r="AP156" s="1088"/>
      <c r="AQ156" s="1088"/>
      <c r="AR156" s="1088"/>
      <c r="AS156" s="1088"/>
      <c r="AT156" s="1088"/>
      <c r="AU156" s="1088"/>
      <c r="AV156" s="1088"/>
      <c r="AW156" s="1088"/>
      <c r="AX156" s="1088"/>
      <c r="AY156" s="1088"/>
      <c r="AZ156" s="1088"/>
      <c r="BA156" s="1088"/>
      <c r="BB156" s="1088"/>
      <c r="BC156" s="1088"/>
      <c r="BD156" s="1088"/>
      <c r="BE156" s="1088"/>
      <c r="BF156" s="1088"/>
      <c r="BG156" s="29">
        <f t="shared" si="5"/>
        <v>0</v>
      </c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29"/>
      <c r="BX156" s="29"/>
    </row>
    <row r="157" spans="1:76" s="182" customFormat="1" ht="12.75" hidden="1" customHeight="1">
      <c r="A157" s="512" t="str">
        <f t="shared" si="6"/>
        <v>OK</v>
      </c>
      <c r="B157" s="538" t="str">
        <f t="shared" si="7"/>
        <v/>
      </c>
      <c r="C157" s="1086">
        <f>CONSOLIDA!GD106</f>
        <v>0</v>
      </c>
      <c r="D157" s="1086"/>
      <c r="E157" s="1086"/>
      <c r="F157" s="1086"/>
      <c r="G157" s="1086"/>
      <c r="H157" s="1087">
        <f>CONSOLIDA!GE106</f>
        <v>0</v>
      </c>
      <c r="I157" s="1087"/>
      <c r="J157" s="1087"/>
      <c r="K157" s="1087"/>
      <c r="L157" s="1087"/>
      <c r="M157" s="1087"/>
      <c r="N157" s="1087"/>
      <c r="O157" s="1087"/>
      <c r="P157" s="1087"/>
      <c r="Q157" s="1087"/>
      <c r="R157" s="1087"/>
      <c r="S157" s="1087"/>
      <c r="T157" s="1087"/>
      <c r="U157" s="1087"/>
      <c r="V157" s="1087"/>
      <c r="W157" s="1087"/>
      <c r="X157" s="1087"/>
      <c r="Y157" s="1087"/>
      <c r="Z157" s="1087"/>
      <c r="AA157" s="1087"/>
      <c r="AB157" s="1087"/>
      <c r="AC157" s="1087"/>
      <c r="AD157" s="1087"/>
      <c r="AE157" s="1087"/>
      <c r="AF157" s="1087"/>
      <c r="AG157" s="1087"/>
      <c r="AH157" s="1087"/>
      <c r="AI157" s="1087"/>
      <c r="AJ157" s="1087"/>
      <c r="AK157" s="1087"/>
      <c r="AL157" s="1087"/>
      <c r="AM157" s="1092"/>
      <c r="AN157" s="1088"/>
      <c r="AO157" s="1088"/>
      <c r="AP157" s="1088"/>
      <c r="AQ157" s="1088"/>
      <c r="AR157" s="1088"/>
      <c r="AS157" s="1088"/>
      <c r="AT157" s="1088"/>
      <c r="AU157" s="1088"/>
      <c r="AV157" s="1088"/>
      <c r="AW157" s="1088"/>
      <c r="AX157" s="1088"/>
      <c r="AY157" s="1088"/>
      <c r="AZ157" s="1088"/>
      <c r="BA157" s="1088"/>
      <c r="BB157" s="1088"/>
      <c r="BC157" s="1088"/>
      <c r="BD157" s="1088"/>
      <c r="BE157" s="1088"/>
      <c r="BF157" s="1088"/>
      <c r="BG157" s="29">
        <f t="shared" si="5"/>
        <v>0</v>
      </c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29"/>
      <c r="BX157" s="29"/>
    </row>
    <row r="158" spans="1:76" s="182" customFormat="1" ht="12.75" hidden="1" customHeight="1">
      <c r="A158" s="512" t="str">
        <f t="shared" si="6"/>
        <v>OK</v>
      </c>
      <c r="B158" s="538" t="str">
        <f t="shared" si="7"/>
        <v/>
      </c>
      <c r="C158" s="1086">
        <f>CONSOLIDA!GD107</f>
        <v>0</v>
      </c>
      <c r="D158" s="1086"/>
      <c r="E158" s="1086"/>
      <c r="F158" s="1086"/>
      <c r="G158" s="1086"/>
      <c r="H158" s="1087">
        <f>CONSOLIDA!GE107</f>
        <v>0</v>
      </c>
      <c r="I158" s="1087"/>
      <c r="J158" s="1087"/>
      <c r="K158" s="1087"/>
      <c r="L158" s="1087"/>
      <c r="M158" s="1087"/>
      <c r="N158" s="1087"/>
      <c r="O158" s="1087"/>
      <c r="P158" s="1087"/>
      <c r="Q158" s="1087"/>
      <c r="R158" s="1087"/>
      <c r="S158" s="1087"/>
      <c r="T158" s="1087"/>
      <c r="U158" s="1087"/>
      <c r="V158" s="1087"/>
      <c r="W158" s="1087"/>
      <c r="X158" s="1087"/>
      <c r="Y158" s="1087"/>
      <c r="Z158" s="1087"/>
      <c r="AA158" s="1087"/>
      <c r="AB158" s="1087"/>
      <c r="AC158" s="1087"/>
      <c r="AD158" s="1087"/>
      <c r="AE158" s="1087"/>
      <c r="AF158" s="1087"/>
      <c r="AG158" s="1087"/>
      <c r="AH158" s="1087"/>
      <c r="AI158" s="1087"/>
      <c r="AJ158" s="1087"/>
      <c r="AK158" s="1087"/>
      <c r="AL158" s="1087"/>
      <c r="AM158" s="1092"/>
      <c r="AN158" s="1088"/>
      <c r="AO158" s="1088"/>
      <c r="AP158" s="1088"/>
      <c r="AQ158" s="1088"/>
      <c r="AR158" s="1088"/>
      <c r="AS158" s="1088"/>
      <c r="AT158" s="1088"/>
      <c r="AU158" s="1088"/>
      <c r="AV158" s="1088"/>
      <c r="AW158" s="1088"/>
      <c r="AX158" s="1088"/>
      <c r="AY158" s="1088"/>
      <c r="AZ158" s="1088"/>
      <c r="BA158" s="1088"/>
      <c r="BB158" s="1088"/>
      <c r="BC158" s="1088"/>
      <c r="BD158" s="1088"/>
      <c r="BE158" s="1088"/>
      <c r="BF158" s="1088"/>
      <c r="BG158" s="29">
        <f t="shared" si="5"/>
        <v>0</v>
      </c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29"/>
      <c r="BX158" s="29"/>
    </row>
    <row r="159" spans="1:76" s="182" customFormat="1" ht="12.75" hidden="1" customHeight="1">
      <c r="A159" s="512" t="str">
        <f t="shared" si="6"/>
        <v>OK</v>
      </c>
      <c r="B159" s="538" t="str">
        <f t="shared" si="7"/>
        <v/>
      </c>
      <c r="C159" s="1086">
        <f>CONSOLIDA!GD108</f>
        <v>0</v>
      </c>
      <c r="D159" s="1086"/>
      <c r="E159" s="1086"/>
      <c r="F159" s="1086"/>
      <c r="G159" s="1086"/>
      <c r="H159" s="1087">
        <f>CONSOLIDA!GE108</f>
        <v>0</v>
      </c>
      <c r="I159" s="1087"/>
      <c r="J159" s="1087"/>
      <c r="K159" s="1087"/>
      <c r="L159" s="1087"/>
      <c r="M159" s="1087"/>
      <c r="N159" s="1087"/>
      <c r="O159" s="1087"/>
      <c r="P159" s="1087"/>
      <c r="Q159" s="1087"/>
      <c r="R159" s="1087"/>
      <c r="S159" s="1087"/>
      <c r="T159" s="1087"/>
      <c r="U159" s="1087"/>
      <c r="V159" s="1087"/>
      <c r="W159" s="1087"/>
      <c r="X159" s="1087"/>
      <c r="Y159" s="1087"/>
      <c r="Z159" s="1087"/>
      <c r="AA159" s="1087"/>
      <c r="AB159" s="1087"/>
      <c r="AC159" s="1087"/>
      <c r="AD159" s="1087"/>
      <c r="AE159" s="1087"/>
      <c r="AF159" s="1087"/>
      <c r="AG159" s="1087"/>
      <c r="AH159" s="1087"/>
      <c r="AI159" s="1087"/>
      <c r="AJ159" s="1087"/>
      <c r="AK159" s="1087"/>
      <c r="AL159" s="1087"/>
      <c r="AM159" s="1092"/>
      <c r="AN159" s="1088"/>
      <c r="AO159" s="1088"/>
      <c r="AP159" s="1088"/>
      <c r="AQ159" s="1088"/>
      <c r="AR159" s="1088"/>
      <c r="AS159" s="1088"/>
      <c r="AT159" s="1088"/>
      <c r="AU159" s="1088"/>
      <c r="AV159" s="1088"/>
      <c r="AW159" s="1088"/>
      <c r="AX159" s="1088"/>
      <c r="AY159" s="1088"/>
      <c r="AZ159" s="1088"/>
      <c r="BA159" s="1088"/>
      <c r="BB159" s="1088"/>
      <c r="BC159" s="1088"/>
      <c r="BD159" s="1088"/>
      <c r="BE159" s="1088"/>
      <c r="BF159" s="1088"/>
      <c r="BG159" s="29">
        <f t="shared" si="5"/>
        <v>0</v>
      </c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29"/>
      <c r="BX159" s="29"/>
    </row>
    <row r="160" spans="1:76" s="182" customFormat="1" ht="12.75" hidden="1" customHeight="1">
      <c r="A160" s="512" t="str">
        <f t="shared" si="6"/>
        <v>OK</v>
      </c>
      <c r="B160" s="538" t="str">
        <f t="shared" si="7"/>
        <v/>
      </c>
      <c r="C160" s="1086">
        <f>CONSOLIDA!GD109</f>
        <v>0</v>
      </c>
      <c r="D160" s="1086"/>
      <c r="E160" s="1086"/>
      <c r="F160" s="1086"/>
      <c r="G160" s="1086"/>
      <c r="H160" s="1087">
        <f>CONSOLIDA!GE109</f>
        <v>0</v>
      </c>
      <c r="I160" s="1087"/>
      <c r="J160" s="1087"/>
      <c r="K160" s="1087"/>
      <c r="L160" s="1087"/>
      <c r="M160" s="1087"/>
      <c r="N160" s="1087"/>
      <c r="O160" s="1087"/>
      <c r="P160" s="1087"/>
      <c r="Q160" s="1087"/>
      <c r="R160" s="1087"/>
      <c r="S160" s="1087"/>
      <c r="T160" s="1087"/>
      <c r="U160" s="1087"/>
      <c r="V160" s="1087"/>
      <c r="W160" s="1087"/>
      <c r="X160" s="1087"/>
      <c r="Y160" s="1087"/>
      <c r="Z160" s="1087"/>
      <c r="AA160" s="1087"/>
      <c r="AB160" s="1087"/>
      <c r="AC160" s="1087"/>
      <c r="AD160" s="1087"/>
      <c r="AE160" s="1087"/>
      <c r="AF160" s="1087"/>
      <c r="AG160" s="1087"/>
      <c r="AH160" s="1087"/>
      <c r="AI160" s="1087"/>
      <c r="AJ160" s="1087"/>
      <c r="AK160" s="1087"/>
      <c r="AL160" s="1087"/>
      <c r="AM160" s="1092"/>
      <c r="AN160" s="1088"/>
      <c r="AO160" s="1088"/>
      <c r="AP160" s="1088"/>
      <c r="AQ160" s="1088"/>
      <c r="AR160" s="1088"/>
      <c r="AS160" s="1088"/>
      <c r="AT160" s="1088"/>
      <c r="AU160" s="1088"/>
      <c r="AV160" s="1088"/>
      <c r="AW160" s="1088"/>
      <c r="AX160" s="1088"/>
      <c r="AY160" s="1088"/>
      <c r="AZ160" s="1088"/>
      <c r="BA160" s="1088"/>
      <c r="BB160" s="1088"/>
      <c r="BC160" s="1088"/>
      <c r="BD160" s="1088"/>
      <c r="BE160" s="1088"/>
      <c r="BF160" s="1088"/>
      <c r="BG160" s="29">
        <f t="shared" si="5"/>
        <v>0</v>
      </c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29"/>
      <c r="BX160" s="29"/>
    </row>
    <row r="161" spans="1:76" s="182" customFormat="1" ht="12.75" hidden="1" customHeight="1">
      <c r="A161" s="512" t="str">
        <f t="shared" si="6"/>
        <v>OK</v>
      </c>
      <c r="B161" s="538" t="str">
        <f t="shared" si="7"/>
        <v/>
      </c>
      <c r="C161" s="1086">
        <f>CONSOLIDA!GD110</f>
        <v>0</v>
      </c>
      <c r="D161" s="1086"/>
      <c r="E161" s="1086"/>
      <c r="F161" s="1086"/>
      <c r="G161" s="1086"/>
      <c r="H161" s="1087">
        <f>CONSOLIDA!GE110</f>
        <v>0</v>
      </c>
      <c r="I161" s="1087"/>
      <c r="J161" s="1087"/>
      <c r="K161" s="1087"/>
      <c r="L161" s="1087"/>
      <c r="M161" s="1087"/>
      <c r="N161" s="1087"/>
      <c r="O161" s="1087"/>
      <c r="P161" s="1087"/>
      <c r="Q161" s="1087"/>
      <c r="R161" s="1087"/>
      <c r="S161" s="1087"/>
      <c r="T161" s="1087"/>
      <c r="U161" s="1087"/>
      <c r="V161" s="1087"/>
      <c r="W161" s="1087"/>
      <c r="X161" s="1087"/>
      <c r="Y161" s="1087"/>
      <c r="Z161" s="1087"/>
      <c r="AA161" s="1087"/>
      <c r="AB161" s="1087"/>
      <c r="AC161" s="1087"/>
      <c r="AD161" s="1087"/>
      <c r="AE161" s="1087"/>
      <c r="AF161" s="1087"/>
      <c r="AG161" s="1087"/>
      <c r="AH161" s="1087"/>
      <c r="AI161" s="1087"/>
      <c r="AJ161" s="1087"/>
      <c r="AK161" s="1087"/>
      <c r="AL161" s="1087"/>
      <c r="AM161" s="1092"/>
      <c r="AN161" s="1088"/>
      <c r="AO161" s="1088"/>
      <c r="AP161" s="1088"/>
      <c r="AQ161" s="1088"/>
      <c r="AR161" s="1088"/>
      <c r="AS161" s="1088"/>
      <c r="AT161" s="1088"/>
      <c r="AU161" s="1088"/>
      <c r="AV161" s="1088"/>
      <c r="AW161" s="1088"/>
      <c r="AX161" s="1088"/>
      <c r="AY161" s="1088"/>
      <c r="AZ161" s="1088"/>
      <c r="BA161" s="1088"/>
      <c r="BB161" s="1088"/>
      <c r="BC161" s="1088"/>
      <c r="BD161" s="1088"/>
      <c r="BE161" s="1088"/>
      <c r="BF161" s="1088"/>
      <c r="BG161" s="29">
        <f t="shared" si="5"/>
        <v>0</v>
      </c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29"/>
      <c r="BX161" s="29"/>
    </row>
    <row r="162" spans="1:76" s="182" customFormat="1" ht="12.75" hidden="1" customHeight="1">
      <c r="A162" s="512" t="str">
        <f t="shared" si="6"/>
        <v>OK</v>
      </c>
      <c r="B162" s="538" t="str">
        <f t="shared" si="7"/>
        <v/>
      </c>
      <c r="C162" s="1086">
        <f>CONSOLIDA!GD111</f>
        <v>0</v>
      </c>
      <c r="D162" s="1086"/>
      <c r="E162" s="1086"/>
      <c r="F162" s="1086"/>
      <c r="G162" s="1086"/>
      <c r="H162" s="1087">
        <f>CONSOLIDA!GE111</f>
        <v>0</v>
      </c>
      <c r="I162" s="1087"/>
      <c r="J162" s="1087"/>
      <c r="K162" s="1087"/>
      <c r="L162" s="1087"/>
      <c r="M162" s="1087"/>
      <c r="N162" s="1087"/>
      <c r="O162" s="1087"/>
      <c r="P162" s="1087"/>
      <c r="Q162" s="1087"/>
      <c r="R162" s="1087"/>
      <c r="S162" s="1087"/>
      <c r="T162" s="1087"/>
      <c r="U162" s="1087"/>
      <c r="V162" s="1087"/>
      <c r="W162" s="1087"/>
      <c r="X162" s="1087"/>
      <c r="Y162" s="1087"/>
      <c r="Z162" s="1087"/>
      <c r="AA162" s="1087"/>
      <c r="AB162" s="1087"/>
      <c r="AC162" s="1087"/>
      <c r="AD162" s="1087"/>
      <c r="AE162" s="1087"/>
      <c r="AF162" s="1087"/>
      <c r="AG162" s="1087"/>
      <c r="AH162" s="1087"/>
      <c r="AI162" s="1087"/>
      <c r="AJ162" s="1087"/>
      <c r="AK162" s="1087"/>
      <c r="AL162" s="1087"/>
      <c r="AM162" s="1092"/>
      <c r="AN162" s="1088"/>
      <c r="AO162" s="1088"/>
      <c r="AP162" s="1088"/>
      <c r="AQ162" s="1088"/>
      <c r="AR162" s="1088"/>
      <c r="AS162" s="1088"/>
      <c r="AT162" s="1088"/>
      <c r="AU162" s="1088"/>
      <c r="AV162" s="1088"/>
      <c r="AW162" s="1088"/>
      <c r="AX162" s="1088"/>
      <c r="AY162" s="1088"/>
      <c r="AZ162" s="1088"/>
      <c r="BA162" s="1088"/>
      <c r="BB162" s="1088"/>
      <c r="BC162" s="1088"/>
      <c r="BD162" s="1088"/>
      <c r="BE162" s="1088"/>
      <c r="BF162" s="1088"/>
      <c r="BG162" s="29">
        <f t="shared" si="5"/>
        <v>0</v>
      </c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29"/>
      <c r="BX162" s="29"/>
    </row>
    <row r="163" spans="1:76" s="182" customFormat="1" ht="12.75" hidden="1" customHeight="1">
      <c r="A163" s="512" t="str">
        <f t="shared" si="6"/>
        <v>OK</v>
      </c>
      <c r="B163" s="538" t="str">
        <f t="shared" si="7"/>
        <v/>
      </c>
      <c r="C163" s="1086">
        <f>CONSOLIDA!GD112</f>
        <v>0</v>
      </c>
      <c r="D163" s="1086"/>
      <c r="E163" s="1086"/>
      <c r="F163" s="1086"/>
      <c r="G163" s="1086"/>
      <c r="H163" s="1087">
        <f>CONSOLIDA!GE112</f>
        <v>0</v>
      </c>
      <c r="I163" s="1087"/>
      <c r="J163" s="1087"/>
      <c r="K163" s="1087"/>
      <c r="L163" s="1087"/>
      <c r="M163" s="1087"/>
      <c r="N163" s="1087"/>
      <c r="O163" s="1087"/>
      <c r="P163" s="1087"/>
      <c r="Q163" s="1087"/>
      <c r="R163" s="1087"/>
      <c r="S163" s="1087"/>
      <c r="T163" s="1087"/>
      <c r="U163" s="1087"/>
      <c r="V163" s="1087"/>
      <c r="W163" s="1087"/>
      <c r="X163" s="1087"/>
      <c r="Y163" s="1087"/>
      <c r="Z163" s="1087"/>
      <c r="AA163" s="1087"/>
      <c r="AB163" s="1087"/>
      <c r="AC163" s="1087"/>
      <c r="AD163" s="1087"/>
      <c r="AE163" s="1087"/>
      <c r="AF163" s="1087"/>
      <c r="AG163" s="1087"/>
      <c r="AH163" s="1087"/>
      <c r="AI163" s="1087"/>
      <c r="AJ163" s="1087"/>
      <c r="AK163" s="1087"/>
      <c r="AL163" s="1087"/>
      <c r="AM163" s="1092"/>
      <c r="AN163" s="1088"/>
      <c r="AO163" s="1088"/>
      <c r="AP163" s="1088"/>
      <c r="AQ163" s="1088"/>
      <c r="AR163" s="1088"/>
      <c r="AS163" s="1088"/>
      <c r="AT163" s="1088"/>
      <c r="AU163" s="1088"/>
      <c r="AV163" s="1088"/>
      <c r="AW163" s="1088"/>
      <c r="AX163" s="1088"/>
      <c r="AY163" s="1088"/>
      <c r="AZ163" s="1088"/>
      <c r="BA163" s="1088"/>
      <c r="BB163" s="1088"/>
      <c r="BC163" s="1088"/>
      <c r="BD163" s="1088"/>
      <c r="BE163" s="1088"/>
      <c r="BF163" s="1088"/>
      <c r="BG163" s="29">
        <f t="shared" si="5"/>
        <v>0</v>
      </c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29"/>
      <c r="BX163" s="29"/>
    </row>
    <row r="164" spans="1:76" s="182" customFormat="1" ht="12.75" hidden="1" customHeight="1">
      <c r="A164" s="512" t="str">
        <f t="shared" si="6"/>
        <v>OK</v>
      </c>
      <c r="B164" s="538" t="str">
        <f t="shared" si="7"/>
        <v/>
      </c>
      <c r="C164" s="1086">
        <f>CONSOLIDA!GD113</f>
        <v>0</v>
      </c>
      <c r="D164" s="1086"/>
      <c r="E164" s="1086"/>
      <c r="F164" s="1086"/>
      <c r="G164" s="1086"/>
      <c r="H164" s="1087">
        <f>CONSOLIDA!GE113</f>
        <v>0</v>
      </c>
      <c r="I164" s="1087"/>
      <c r="J164" s="1087"/>
      <c r="K164" s="1087"/>
      <c r="L164" s="1087"/>
      <c r="M164" s="1087"/>
      <c r="N164" s="1087"/>
      <c r="O164" s="1087"/>
      <c r="P164" s="1087"/>
      <c r="Q164" s="1087"/>
      <c r="R164" s="1087"/>
      <c r="S164" s="1087"/>
      <c r="T164" s="1087"/>
      <c r="U164" s="1087"/>
      <c r="V164" s="1087"/>
      <c r="W164" s="1087"/>
      <c r="X164" s="1087"/>
      <c r="Y164" s="1087"/>
      <c r="Z164" s="1087"/>
      <c r="AA164" s="1087"/>
      <c r="AB164" s="1087"/>
      <c r="AC164" s="1087"/>
      <c r="AD164" s="1087"/>
      <c r="AE164" s="1087"/>
      <c r="AF164" s="1087"/>
      <c r="AG164" s="1087"/>
      <c r="AH164" s="1087"/>
      <c r="AI164" s="1087"/>
      <c r="AJ164" s="1087"/>
      <c r="AK164" s="1087"/>
      <c r="AL164" s="1087"/>
      <c r="AM164" s="1092"/>
      <c r="AN164" s="1088"/>
      <c r="AO164" s="1088"/>
      <c r="AP164" s="1088"/>
      <c r="AQ164" s="1088"/>
      <c r="AR164" s="1088"/>
      <c r="AS164" s="1088"/>
      <c r="AT164" s="1088"/>
      <c r="AU164" s="1088"/>
      <c r="AV164" s="1088"/>
      <c r="AW164" s="1088"/>
      <c r="AX164" s="1088"/>
      <c r="AY164" s="1088"/>
      <c r="AZ164" s="1088"/>
      <c r="BA164" s="1088"/>
      <c r="BB164" s="1088"/>
      <c r="BC164" s="1088"/>
      <c r="BD164" s="1088"/>
      <c r="BE164" s="1088"/>
      <c r="BF164" s="1088"/>
      <c r="BG164" s="29">
        <f t="shared" si="5"/>
        <v>0</v>
      </c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29"/>
      <c r="BX164" s="29"/>
    </row>
    <row r="165" spans="1:76" s="182" customFormat="1" ht="12.75" hidden="1" customHeight="1">
      <c r="A165" s="512" t="str">
        <f t="shared" si="6"/>
        <v>OK</v>
      </c>
      <c r="B165" s="538" t="str">
        <f t="shared" si="7"/>
        <v/>
      </c>
      <c r="C165" s="1086">
        <f>CONSOLIDA!GD114</f>
        <v>0</v>
      </c>
      <c r="D165" s="1086"/>
      <c r="E165" s="1086"/>
      <c r="F165" s="1086"/>
      <c r="G165" s="1086"/>
      <c r="H165" s="1087">
        <f>CONSOLIDA!GE114</f>
        <v>0</v>
      </c>
      <c r="I165" s="1087"/>
      <c r="J165" s="1087"/>
      <c r="K165" s="1087"/>
      <c r="L165" s="1087"/>
      <c r="M165" s="1087"/>
      <c r="N165" s="1087"/>
      <c r="O165" s="1087"/>
      <c r="P165" s="1087"/>
      <c r="Q165" s="1087"/>
      <c r="R165" s="1087"/>
      <c r="S165" s="1087"/>
      <c r="T165" s="1087"/>
      <c r="U165" s="1087"/>
      <c r="V165" s="1087"/>
      <c r="W165" s="1087"/>
      <c r="X165" s="1087"/>
      <c r="Y165" s="1087"/>
      <c r="Z165" s="1087"/>
      <c r="AA165" s="1087"/>
      <c r="AB165" s="1087"/>
      <c r="AC165" s="1087"/>
      <c r="AD165" s="1087"/>
      <c r="AE165" s="1087"/>
      <c r="AF165" s="1087"/>
      <c r="AG165" s="1087"/>
      <c r="AH165" s="1087"/>
      <c r="AI165" s="1087"/>
      <c r="AJ165" s="1087"/>
      <c r="AK165" s="1087"/>
      <c r="AL165" s="1087"/>
      <c r="AM165" s="1092"/>
      <c r="AN165" s="1088"/>
      <c r="AO165" s="1088"/>
      <c r="AP165" s="1088"/>
      <c r="AQ165" s="1088"/>
      <c r="AR165" s="1088"/>
      <c r="AS165" s="1088"/>
      <c r="AT165" s="1088"/>
      <c r="AU165" s="1088"/>
      <c r="AV165" s="1088"/>
      <c r="AW165" s="1088"/>
      <c r="AX165" s="1088"/>
      <c r="AY165" s="1088"/>
      <c r="AZ165" s="1088"/>
      <c r="BA165" s="1088"/>
      <c r="BB165" s="1088"/>
      <c r="BC165" s="1088"/>
      <c r="BD165" s="1088"/>
      <c r="BE165" s="1088"/>
      <c r="BF165" s="1088"/>
      <c r="BG165" s="29">
        <f t="shared" si="5"/>
        <v>0</v>
      </c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29"/>
      <c r="BX165" s="29"/>
    </row>
    <row r="166" spans="1:76" s="182" customFormat="1" ht="12.75" hidden="1" customHeight="1">
      <c r="A166" s="512" t="str">
        <f t="shared" si="6"/>
        <v>OK</v>
      </c>
      <c r="B166" s="538" t="str">
        <f t="shared" si="7"/>
        <v/>
      </c>
      <c r="C166" s="1086">
        <f>CONSOLIDA!GD115</f>
        <v>0</v>
      </c>
      <c r="D166" s="1086"/>
      <c r="E166" s="1086"/>
      <c r="F166" s="1086"/>
      <c r="G166" s="1086"/>
      <c r="H166" s="1087">
        <f>CONSOLIDA!GE115</f>
        <v>0</v>
      </c>
      <c r="I166" s="1087"/>
      <c r="J166" s="1087"/>
      <c r="K166" s="1087"/>
      <c r="L166" s="1087"/>
      <c r="M166" s="1087"/>
      <c r="N166" s="1087"/>
      <c r="O166" s="1087"/>
      <c r="P166" s="1087"/>
      <c r="Q166" s="1087"/>
      <c r="R166" s="1087"/>
      <c r="S166" s="1087"/>
      <c r="T166" s="1087"/>
      <c r="U166" s="1087"/>
      <c r="V166" s="1087"/>
      <c r="W166" s="1087"/>
      <c r="X166" s="1087"/>
      <c r="Y166" s="1087"/>
      <c r="Z166" s="1087"/>
      <c r="AA166" s="1087"/>
      <c r="AB166" s="1087"/>
      <c r="AC166" s="1087"/>
      <c r="AD166" s="1087"/>
      <c r="AE166" s="1087"/>
      <c r="AF166" s="1087"/>
      <c r="AG166" s="1087"/>
      <c r="AH166" s="1087"/>
      <c r="AI166" s="1087"/>
      <c r="AJ166" s="1087"/>
      <c r="AK166" s="1087"/>
      <c r="AL166" s="1087"/>
      <c r="AM166" s="1092"/>
      <c r="AN166" s="1088"/>
      <c r="AO166" s="1088"/>
      <c r="AP166" s="1088"/>
      <c r="AQ166" s="1088"/>
      <c r="AR166" s="1088"/>
      <c r="AS166" s="1088"/>
      <c r="AT166" s="1088"/>
      <c r="AU166" s="1088"/>
      <c r="AV166" s="1088"/>
      <c r="AW166" s="1088"/>
      <c r="AX166" s="1088"/>
      <c r="AY166" s="1088"/>
      <c r="AZ166" s="1088"/>
      <c r="BA166" s="1088"/>
      <c r="BB166" s="1088"/>
      <c r="BC166" s="1088"/>
      <c r="BD166" s="1088"/>
      <c r="BE166" s="1088"/>
      <c r="BF166" s="1088"/>
      <c r="BG166" s="29">
        <f t="shared" si="5"/>
        <v>0</v>
      </c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29"/>
      <c r="BX166" s="29"/>
    </row>
    <row r="167" spans="1:76" s="182" customFormat="1" ht="12.75" hidden="1" customHeight="1">
      <c r="A167" s="512" t="str">
        <f t="shared" si="6"/>
        <v>OK</v>
      </c>
      <c r="B167" s="538" t="str">
        <f t="shared" si="7"/>
        <v/>
      </c>
      <c r="C167" s="1086">
        <f>CONSOLIDA!GD116</f>
        <v>0</v>
      </c>
      <c r="D167" s="1086"/>
      <c r="E167" s="1086"/>
      <c r="F167" s="1086"/>
      <c r="G167" s="1086"/>
      <c r="H167" s="1087">
        <f>CONSOLIDA!GE116</f>
        <v>0</v>
      </c>
      <c r="I167" s="1087"/>
      <c r="J167" s="1087"/>
      <c r="K167" s="1087"/>
      <c r="L167" s="1087"/>
      <c r="M167" s="1087"/>
      <c r="N167" s="1087"/>
      <c r="O167" s="1087"/>
      <c r="P167" s="1087"/>
      <c r="Q167" s="1087"/>
      <c r="R167" s="1087"/>
      <c r="S167" s="1087"/>
      <c r="T167" s="1087"/>
      <c r="U167" s="1087"/>
      <c r="V167" s="1087"/>
      <c r="W167" s="1087"/>
      <c r="X167" s="1087"/>
      <c r="Y167" s="1087"/>
      <c r="Z167" s="1087"/>
      <c r="AA167" s="1087"/>
      <c r="AB167" s="1087"/>
      <c r="AC167" s="1087"/>
      <c r="AD167" s="1087"/>
      <c r="AE167" s="1087"/>
      <c r="AF167" s="1087"/>
      <c r="AG167" s="1087"/>
      <c r="AH167" s="1087"/>
      <c r="AI167" s="1087"/>
      <c r="AJ167" s="1087"/>
      <c r="AK167" s="1087"/>
      <c r="AL167" s="1087"/>
      <c r="AM167" s="1092"/>
      <c r="AN167" s="1088"/>
      <c r="AO167" s="1088"/>
      <c r="AP167" s="1088"/>
      <c r="AQ167" s="1088"/>
      <c r="AR167" s="1088"/>
      <c r="AS167" s="1088"/>
      <c r="AT167" s="1088"/>
      <c r="AU167" s="1088"/>
      <c r="AV167" s="1088"/>
      <c r="AW167" s="1088"/>
      <c r="AX167" s="1088"/>
      <c r="AY167" s="1088"/>
      <c r="AZ167" s="1088"/>
      <c r="BA167" s="1088"/>
      <c r="BB167" s="1088"/>
      <c r="BC167" s="1088"/>
      <c r="BD167" s="1088"/>
      <c r="BE167" s="1088"/>
      <c r="BF167" s="1088"/>
      <c r="BG167" s="29">
        <f t="shared" si="5"/>
        <v>0</v>
      </c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29"/>
      <c r="BX167" s="29"/>
    </row>
    <row r="168" spans="1:76" s="182" customFormat="1" ht="12.75" hidden="1" customHeight="1">
      <c r="A168" s="512" t="str">
        <f t="shared" si="6"/>
        <v>OK</v>
      </c>
      <c r="B168" s="538" t="str">
        <f t="shared" si="7"/>
        <v/>
      </c>
      <c r="C168" s="1086">
        <f>CONSOLIDA!GD117</f>
        <v>0</v>
      </c>
      <c r="D168" s="1086"/>
      <c r="E168" s="1086"/>
      <c r="F168" s="1086"/>
      <c r="G168" s="1086"/>
      <c r="H168" s="1087">
        <f>CONSOLIDA!GE117</f>
        <v>0</v>
      </c>
      <c r="I168" s="1087"/>
      <c r="J168" s="1087"/>
      <c r="K168" s="1087"/>
      <c r="L168" s="1087"/>
      <c r="M168" s="1087"/>
      <c r="N168" s="1087"/>
      <c r="O168" s="1087"/>
      <c r="P168" s="1087"/>
      <c r="Q168" s="1087"/>
      <c r="R168" s="1087"/>
      <c r="S168" s="1087"/>
      <c r="T168" s="1087"/>
      <c r="U168" s="1087"/>
      <c r="V168" s="1087"/>
      <c r="W168" s="1087"/>
      <c r="X168" s="1087"/>
      <c r="Y168" s="1087"/>
      <c r="Z168" s="1087"/>
      <c r="AA168" s="1087"/>
      <c r="AB168" s="1087"/>
      <c r="AC168" s="1087"/>
      <c r="AD168" s="1087"/>
      <c r="AE168" s="1087"/>
      <c r="AF168" s="1087"/>
      <c r="AG168" s="1087"/>
      <c r="AH168" s="1087"/>
      <c r="AI168" s="1087"/>
      <c r="AJ168" s="1087"/>
      <c r="AK168" s="1087"/>
      <c r="AL168" s="1087"/>
      <c r="AM168" s="1092"/>
      <c r="AN168" s="1088"/>
      <c r="AO168" s="1088"/>
      <c r="AP168" s="1088"/>
      <c r="AQ168" s="1088"/>
      <c r="AR168" s="1088"/>
      <c r="AS168" s="1088"/>
      <c r="AT168" s="1088"/>
      <c r="AU168" s="1088"/>
      <c r="AV168" s="1088"/>
      <c r="AW168" s="1088"/>
      <c r="AX168" s="1088"/>
      <c r="AY168" s="1088"/>
      <c r="AZ168" s="1088"/>
      <c r="BA168" s="1088"/>
      <c r="BB168" s="1088"/>
      <c r="BC168" s="1088"/>
      <c r="BD168" s="1088"/>
      <c r="BE168" s="1088"/>
      <c r="BF168" s="1088"/>
      <c r="BG168" s="29">
        <f t="shared" si="5"/>
        <v>0</v>
      </c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29"/>
      <c r="BX168" s="29"/>
    </row>
    <row r="169" spans="1:76" s="182" customFormat="1" ht="12.75" hidden="1" customHeight="1">
      <c r="A169" s="512" t="str">
        <f t="shared" si="6"/>
        <v>OK</v>
      </c>
      <c r="B169" s="538" t="str">
        <f t="shared" si="7"/>
        <v/>
      </c>
      <c r="C169" s="1086">
        <f>CONSOLIDA!GD118</f>
        <v>0</v>
      </c>
      <c r="D169" s="1086"/>
      <c r="E169" s="1086"/>
      <c r="F169" s="1086"/>
      <c r="G169" s="1086"/>
      <c r="H169" s="1087">
        <f>CONSOLIDA!GE118</f>
        <v>0</v>
      </c>
      <c r="I169" s="1087"/>
      <c r="J169" s="1087"/>
      <c r="K169" s="1087"/>
      <c r="L169" s="1087"/>
      <c r="M169" s="1087"/>
      <c r="N169" s="1087"/>
      <c r="O169" s="1087"/>
      <c r="P169" s="1087"/>
      <c r="Q169" s="1087"/>
      <c r="R169" s="1087"/>
      <c r="S169" s="1087"/>
      <c r="T169" s="1087"/>
      <c r="U169" s="1087"/>
      <c r="V169" s="1087"/>
      <c r="W169" s="1087"/>
      <c r="X169" s="1087"/>
      <c r="Y169" s="1087"/>
      <c r="Z169" s="1087"/>
      <c r="AA169" s="1087"/>
      <c r="AB169" s="1087"/>
      <c r="AC169" s="1087"/>
      <c r="AD169" s="1087"/>
      <c r="AE169" s="1087"/>
      <c r="AF169" s="1087"/>
      <c r="AG169" s="1087"/>
      <c r="AH169" s="1087"/>
      <c r="AI169" s="1087"/>
      <c r="AJ169" s="1087"/>
      <c r="AK169" s="1087"/>
      <c r="AL169" s="1087"/>
      <c r="AM169" s="1092"/>
      <c r="AN169" s="1088"/>
      <c r="AO169" s="1088"/>
      <c r="AP169" s="1088"/>
      <c r="AQ169" s="1088"/>
      <c r="AR169" s="1088"/>
      <c r="AS169" s="1088"/>
      <c r="AT169" s="1088"/>
      <c r="AU169" s="1088"/>
      <c r="AV169" s="1088"/>
      <c r="AW169" s="1088"/>
      <c r="AX169" s="1088"/>
      <c r="AY169" s="1088"/>
      <c r="AZ169" s="1088"/>
      <c r="BA169" s="1088"/>
      <c r="BB169" s="1088"/>
      <c r="BC169" s="1088"/>
      <c r="BD169" s="1088"/>
      <c r="BE169" s="1088"/>
      <c r="BF169" s="1088"/>
      <c r="BG169" s="29">
        <f t="shared" si="5"/>
        <v>0</v>
      </c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29"/>
      <c r="BX169" s="29"/>
    </row>
    <row r="170" spans="1:76" s="182" customFormat="1" ht="12.75" hidden="1" customHeight="1">
      <c r="A170" s="512" t="str">
        <f t="shared" si="6"/>
        <v>OK</v>
      </c>
      <c r="B170" s="538" t="str">
        <f t="shared" si="7"/>
        <v/>
      </c>
      <c r="C170" s="1086">
        <f>CONSOLIDA!GD119</f>
        <v>0</v>
      </c>
      <c r="D170" s="1086"/>
      <c r="E170" s="1086"/>
      <c r="F170" s="1086"/>
      <c r="G170" s="1086"/>
      <c r="H170" s="1087">
        <f>CONSOLIDA!GE119</f>
        <v>0</v>
      </c>
      <c r="I170" s="1087"/>
      <c r="J170" s="1087"/>
      <c r="K170" s="1087"/>
      <c r="L170" s="1087"/>
      <c r="M170" s="1087"/>
      <c r="N170" s="1087"/>
      <c r="O170" s="1087"/>
      <c r="P170" s="1087"/>
      <c r="Q170" s="1087"/>
      <c r="R170" s="1087"/>
      <c r="S170" s="1087"/>
      <c r="T170" s="1087"/>
      <c r="U170" s="1087"/>
      <c r="V170" s="1087"/>
      <c r="W170" s="1087"/>
      <c r="X170" s="1087"/>
      <c r="Y170" s="1087"/>
      <c r="Z170" s="1087"/>
      <c r="AA170" s="1087"/>
      <c r="AB170" s="1087"/>
      <c r="AC170" s="1087"/>
      <c r="AD170" s="1087"/>
      <c r="AE170" s="1087"/>
      <c r="AF170" s="1087"/>
      <c r="AG170" s="1087"/>
      <c r="AH170" s="1087"/>
      <c r="AI170" s="1087"/>
      <c r="AJ170" s="1087"/>
      <c r="AK170" s="1087"/>
      <c r="AL170" s="1087"/>
      <c r="AM170" s="1092"/>
      <c r="AN170" s="1088"/>
      <c r="AO170" s="1088"/>
      <c r="AP170" s="1088"/>
      <c r="AQ170" s="1088"/>
      <c r="AR170" s="1088"/>
      <c r="AS170" s="1088"/>
      <c r="AT170" s="1088"/>
      <c r="AU170" s="1088"/>
      <c r="AV170" s="1088"/>
      <c r="AW170" s="1088"/>
      <c r="AX170" s="1088"/>
      <c r="AY170" s="1088"/>
      <c r="AZ170" s="1088"/>
      <c r="BA170" s="1088"/>
      <c r="BB170" s="1088"/>
      <c r="BC170" s="1088"/>
      <c r="BD170" s="1088"/>
      <c r="BE170" s="1088"/>
      <c r="BF170" s="1088"/>
      <c r="BG170" s="29">
        <f t="shared" si="5"/>
        <v>0</v>
      </c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29"/>
      <c r="BX170" s="29"/>
    </row>
    <row r="171" spans="1:76" s="182" customFormat="1" ht="12.75" hidden="1" customHeight="1">
      <c r="A171" s="512" t="str">
        <f t="shared" si="6"/>
        <v>OK</v>
      </c>
      <c r="B171" s="538" t="str">
        <f t="shared" si="7"/>
        <v/>
      </c>
      <c r="C171" s="1086">
        <f>CONSOLIDA!GD120</f>
        <v>0</v>
      </c>
      <c r="D171" s="1086"/>
      <c r="E171" s="1086"/>
      <c r="F171" s="1086"/>
      <c r="G171" s="1086"/>
      <c r="H171" s="1087">
        <f>CONSOLIDA!GE120</f>
        <v>0</v>
      </c>
      <c r="I171" s="1087"/>
      <c r="J171" s="1087"/>
      <c r="K171" s="1087"/>
      <c r="L171" s="1087"/>
      <c r="M171" s="1087"/>
      <c r="N171" s="1087"/>
      <c r="O171" s="1087"/>
      <c r="P171" s="1087"/>
      <c r="Q171" s="1087"/>
      <c r="R171" s="1087"/>
      <c r="S171" s="1087"/>
      <c r="T171" s="1087"/>
      <c r="U171" s="1087"/>
      <c r="V171" s="1087"/>
      <c r="W171" s="1087"/>
      <c r="X171" s="1087"/>
      <c r="Y171" s="1087"/>
      <c r="Z171" s="1087"/>
      <c r="AA171" s="1087"/>
      <c r="AB171" s="1087"/>
      <c r="AC171" s="1087"/>
      <c r="AD171" s="1087"/>
      <c r="AE171" s="1087"/>
      <c r="AF171" s="1087"/>
      <c r="AG171" s="1087"/>
      <c r="AH171" s="1087"/>
      <c r="AI171" s="1087"/>
      <c r="AJ171" s="1087"/>
      <c r="AK171" s="1087"/>
      <c r="AL171" s="1087"/>
      <c r="AM171" s="1092"/>
      <c r="AN171" s="1088"/>
      <c r="AO171" s="1088"/>
      <c r="AP171" s="1088"/>
      <c r="AQ171" s="1088"/>
      <c r="AR171" s="1088"/>
      <c r="AS171" s="1088"/>
      <c r="AT171" s="1088"/>
      <c r="AU171" s="1088"/>
      <c r="AV171" s="1088"/>
      <c r="AW171" s="1088"/>
      <c r="AX171" s="1088"/>
      <c r="AY171" s="1088"/>
      <c r="AZ171" s="1088"/>
      <c r="BA171" s="1088"/>
      <c r="BB171" s="1088"/>
      <c r="BC171" s="1088"/>
      <c r="BD171" s="1088"/>
      <c r="BE171" s="1088"/>
      <c r="BF171" s="1088"/>
      <c r="BG171" s="29">
        <f t="shared" si="5"/>
        <v>0</v>
      </c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29"/>
      <c r="BX171" s="29"/>
    </row>
    <row r="172" spans="1:76" s="182" customFormat="1" ht="12.75" hidden="1" customHeight="1">
      <c r="A172" s="512" t="str">
        <f t="shared" si="6"/>
        <v>OK</v>
      </c>
      <c r="B172" s="538" t="str">
        <f t="shared" si="7"/>
        <v/>
      </c>
      <c r="C172" s="1086">
        <f>CONSOLIDA!GD121</f>
        <v>0</v>
      </c>
      <c r="D172" s="1086"/>
      <c r="E172" s="1086"/>
      <c r="F172" s="1086"/>
      <c r="G172" s="1086"/>
      <c r="H172" s="1087">
        <f>CONSOLIDA!GE121</f>
        <v>0</v>
      </c>
      <c r="I172" s="1087"/>
      <c r="J172" s="1087"/>
      <c r="K172" s="1087"/>
      <c r="L172" s="1087"/>
      <c r="M172" s="1087"/>
      <c r="N172" s="1087"/>
      <c r="O172" s="1087"/>
      <c r="P172" s="1087"/>
      <c r="Q172" s="1087"/>
      <c r="R172" s="1087"/>
      <c r="S172" s="1087"/>
      <c r="T172" s="1087"/>
      <c r="U172" s="1087"/>
      <c r="V172" s="1087"/>
      <c r="W172" s="1087"/>
      <c r="X172" s="1087"/>
      <c r="Y172" s="1087"/>
      <c r="Z172" s="1087"/>
      <c r="AA172" s="1087"/>
      <c r="AB172" s="1087"/>
      <c r="AC172" s="1087"/>
      <c r="AD172" s="1087"/>
      <c r="AE172" s="1087"/>
      <c r="AF172" s="1087"/>
      <c r="AG172" s="1087"/>
      <c r="AH172" s="1087"/>
      <c r="AI172" s="1087"/>
      <c r="AJ172" s="1087"/>
      <c r="AK172" s="1087"/>
      <c r="AL172" s="1087"/>
      <c r="AM172" s="1092"/>
      <c r="AN172" s="1088"/>
      <c r="AO172" s="1088"/>
      <c r="AP172" s="1088"/>
      <c r="AQ172" s="1088"/>
      <c r="AR172" s="1088"/>
      <c r="AS172" s="1088"/>
      <c r="AT172" s="1088"/>
      <c r="AU172" s="1088"/>
      <c r="AV172" s="1088"/>
      <c r="AW172" s="1088"/>
      <c r="AX172" s="1088"/>
      <c r="AY172" s="1088"/>
      <c r="AZ172" s="1088"/>
      <c r="BA172" s="1088"/>
      <c r="BB172" s="1088"/>
      <c r="BC172" s="1088"/>
      <c r="BD172" s="1088"/>
      <c r="BE172" s="1088"/>
      <c r="BF172" s="1088"/>
      <c r="BG172" s="29">
        <f t="shared" si="5"/>
        <v>0</v>
      </c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29"/>
      <c r="BX172" s="29"/>
    </row>
    <row r="173" spans="1:76" s="182" customFormat="1" ht="12.75" hidden="1" customHeight="1">
      <c r="A173" s="512" t="str">
        <f t="shared" si="6"/>
        <v>OK</v>
      </c>
      <c r="B173" s="538" t="str">
        <f t="shared" si="7"/>
        <v/>
      </c>
      <c r="C173" s="1086">
        <f>CONSOLIDA!GD122</f>
        <v>0</v>
      </c>
      <c r="D173" s="1086"/>
      <c r="E173" s="1086"/>
      <c r="F173" s="1086"/>
      <c r="G173" s="1086"/>
      <c r="H173" s="1087">
        <f>CONSOLIDA!GE122</f>
        <v>0</v>
      </c>
      <c r="I173" s="1087"/>
      <c r="J173" s="1087"/>
      <c r="K173" s="1087"/>
      <c r="L173" s="1087"/>
      <c r="M173" s="1087"/>
      <c r="N173" s="1087"/>
      <c r="O173" s="1087"/>
      <c r="P173" s="1087"/>
      <c r="Q173" s="1087"/>
      <c r="R173" s="1087"/>
      <c r="S173" s="1087"/>
      <c r="T173" s="1087"/>
      <c r="U173" s="1087"/>
      <c r="V173" s="1087"/>
      <c r="W173" s="1087"/>
      <c r="X173" s="1087"/>
      <c r="Y173" s="1087"/>
      <c r="Z173" s="1087"/>
      <c r="AA173" s="1087"/>
      <c r="AB173" s="1087"/>
      <c r="AC173" s="1087"/>
      <c r="AD173" s="1087"/>
      <c r="AE173" s="1087"/>
      <c r="AF173" s="1087"/>
      <c r="AG173" s="1087"/>
      <c r="AH173" s="1087"/>
      <c r="AI173" s="1087"/>
      <c r="AJ173" s="1087"/>
      <c r="AK173" s="1087"/>
      <c r="AL173" s="1087"/>
      <c r="AM173" s="1092"/>
      <c r="AN173" s="1088"/>
      <c r="AO173" s="1088"/>
      <c r="AP173" s="1088"/>
      <c r="AQ173" s="1088"/>
      <c r="AR173" s="1088"/>
      <c r="AS173" s="1088"/>
      <c r="AT173" s="1088"/>
      <c r="AU173" s="1088"/>
      <c r="AV173" s="1088"/>
      <c r="AW173" s="1088"/>
      <c r="AX173" s="1088"/>
      <c r="AY173" s="1088"/>
      <c r="AZ173" s="1088"/>
      <c r="BA173" s="1088"/>
      <c r="BB173" s="1088"/>
      <c r="BC173" s="1088"/>
      <c r="BD173" s="1088"/>
      <c r="BE173" s="1088"/>
      <c r="BF173" s="1088"/>
      <c r="BG173" s="29">
        <f t="shared" si="5"/>
        <v>0</v>
      </c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29"/>
      <c r="BX173" s="29"/>
    </row>
    <row r="174" spans="1:76" s="182" customFormat="1" ht="12.75" hidden="1" customHeight="1">
      <c r="A174" s="512" t="str">
        <f t="shared" si="6"/>
        <v>OK</v>
      </c>
      <c r="B174" s="538" t="str">
        <f t="shared" si="7"/>
        <v/>
      </c>
      <c r="C174" s="1086">
        <f>CONSOLIDA!GD123</f>
        <v>0</v>
      </c>
      <c r="D174" s="1086"/>
      <c r="E174" s="1086"/>
      <c r="F174" s="1086"/>
      <c r="G174" s="1086"/>
      <c r="H174" s="1087">
        <f>CONSOLIDA!GE123</f>
        <v>0</v>
      </c>
      <c r="I174" s="1087"/>
      <c r="J174" s="1087"/>
      <c r="K174" s="1087"/>
      <c r="L174" s="1087"/>
      <c r="M174" s="1087"/>
      <c r="N174" s="1087"/>
      <c r="O174" s="1087"/>
      <c r="P174" s="1087"/>
      <c r="Q174" s="1087"/>
      <c r="R174" s="1087"/>
      <c r="S174" s="1087"/>
      <c r="T174" s="1087"/>
      <c r="U174" s="1087"/>
      <c r="V174" s="1087"/>
      <c r="W174" s="1087"/>
      <c r="X174" s="1087"/>
      <c r="Y174" s="1087"/>
      <c r="Z174" s="1087"/>
      <c r="AA174" s="1087"/>
      <c r="AB174" s="1087"/>
      <c r="AC174" s="1087"/>
      <c r="AD174" s="1087"/>
      <c r="AE174" s="1087"/>
      <c r="AF174" s="1087"/>
      <c r="AG174" s="1087"/>
      <c r="AH174" s="1087"/>
      <c r="AI174" s="1087"/>
      <c r="AJ174" s="1087"/>
      <c r="AK174" s="1087"/>
      <c r="AL174" s="1087"/>
      <c r="AM174" s="1092"/>
      <c r="AN174" s="1088"/>
      <c r="AO174" s="1088"/>
      <c r="AP174" s="1088"/>
      <c r="AQ174" s="1088"/>
      <c r="AR174" s="1088"/>
      <c r="AS174" s="1088"/>
      <c r="AT174" s="1088"/>
      <c r="AU174" s="1088"/>
      <c r="AV174" s="1088"/>
      <c r="AW174" s="1088"/>
      <c r="AX174" s="1088"/>
      <c r="AY174" s="1088"/>
      <c r="AZ174" s="1088"/>
      <c r="BA174" s="1088"/>
      <c r="BB174" s="1088"/>
      <c r="BC174" s="1088"/>
      <c r="BD174" s="1088"/>
      <c r="BE174" s="1088"/>
      <c r="BF174" s="1088"/>
      <c r="BG174" s="29">
        <f t="shared" si="5"/>
        <v>0</v>
      </c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29"/>
      <c r="BX174" s="29"/>
    </row>
    <row r="175" spans="1:76" s="182" customFormat="1" ht="12.75" hidden="1" customHeight="1">
      <c r="A175" s="512" t="str">
        <f t="shared" si="6"/>
        <v>OK</v>
      </c>
      <c r="B175" s="538" t="str">
        <f t="shared" si="7"/>
        <v/>
      </c>
      <c r="C175" s="1086">
        <f>CONSOLIDA!GD124</f>
        <v>0</v>
      </c>
      <c r="D175" s="1086"/>
      <c r="E175" s="1086"/>
      <c r="F175" s="1086"/>
      <c r="G175" s="1086"/>
      <c r="H175" s="1087">
        <f>CONSOLIDA!GE124</f>
        <v>0</v>
      </c>
      <c r="I175" s="1087"/>
      <c r="J175" s="1087"/>
      <c r="K175" s="1087"/>
      <c r="L175" s="1087"/>
      <c r="M175" s="1087"/>
      <c r="N175" s="1087"/>
      <c r="O175" s="1087"/>
      <c r="P175" s="1087"/>
      <c r="Q175" s="1087"/>
      <c r="R175" s="1087"/>
      <c r="S175" s="1087"/>
      <c r="T175" s="1087"/>
      <c r="U175" s="1087"/>
      <c r="V175" s="1087"/>
      <c r="W175" s="1087"/>
      <c r="X175" s="1087"/>
      <c r="Y175" s="1087"/>
      <c r="Z175" s="1087"/>
      <c r="AA175" s="1087"/>
      <c r="AB175" s="1087"/>
      <c r="AC175" s="1087"/>
      <c r="AD175" s="1087"/>
      <c r="AE175" s="1087"/>
      <c r="AF175" s="1087"/>
      <c r="AG175" s="1087"/>
      <c r="AH175" s="1087"/>
      <c r="AI175" s="1087"/>
      <c r="AJ175" s="1087"/>
      <c r="AK175" s="1087"/>
      <c r="AL175" s="1087"/>
      <c r="AM175" s="1092"/>
      <c r="AN175" s="1088"/>
      <c r="AO175" s="1088"/>
      <c r="AP175" s="1088"/>
      <c r="AQ175" s="1088"/>
      <c r="AR175" s="1088"/>
      <c r="AS175" s="1088"/>
      <c r="AT175" s="1088"/>
      <c r="AU175" s="1088"/>
      <c r="AV175" s="1088"/>
      <c r="AW175" s="1088"/>
      <c r="AX175" s="1088"/>
      <c r="AY175" s="1088"/>
      <c r="AZ175" s="1088"/>
      <c r="BA175" s="1088"/>
      <c r="BB175" s="1088"/>
      <c r="BC175" s="1088"/>
      <c r="BD175" s="1088"/>
      <c r="BE175" s="1088"/>
      <c r="BF175" s="1088"/>
      <c r="BG175" s="29">
        <f t="shared" si="5"/>
        <v>0</v>
      </c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29"/>
      <c r="BX175" s="29"/>
    </row>
    <row r="176" spans="1:76" s="182" customFormat="1" ht="12.75" hidden="1" customHeight="1">
      <c r="A176" s="512" t="str">
        <f t="shared" si="6"/>
        <v>OK</v>
      </c>
      <c r="B176" s="538" t="str">
        <f t="shared" si="7"/>
        <v/>
      </c>
      <c r="C176" s="1086">
        <f>CONSOLIDA!GD125</f>
        <v>0</v>
      </c>
      <c r="D176" s="1086"/>
      <c r="E176" s="1086"/>
      <c r="F176" s="1086"/>
      <c r="G176" s="1086"/>
      <c r="H176" s="1087">
        <f>CONSOLIDA!GE125</f>
        <v>0</v>
      </c>
      <c r="I176" s="1087"/>
      <c r="J176" s="1087"/>
      <c r="K176" s="1087"/>
      <c r="L176" s="1087"/>
      <c r="M176" s="1087"/>
      <c r="N176" s="1087"/>
      <c r="O176" s="1087"/>
      <c r="P176" s="1087"/>
      <c r="Q176" s="1087"/>
      <c r="R176" s="1087"/>
      <c r="S176" s="1087"/>
      <c r="T176" s="1087"/>
      <c r="U176" s="1087"/>
      <c r="V176" s="1087"/>
      <c r="W176" s="1087"/>
      <c r="X176" s="1087"/>
      <c r="Y176" s="1087"/>
      <c r="Z176" s="1087"/>
      <c r="AA176" s="1087"/>
      <c r="AB176" s="1087"/>
      <c r="AC176" s="1087"/>
      <c r="AD176" s="1087"/>
      <c r="AE176" s="1087"/>
      <c r="AF176" s="1087"/>
      <c r="AG176" s="1087"/>
      <c r="AH176" s="1087"/>
      <c r="AI176" s="1087"/>
      <c r="AJ176" s="1087"/>
      <c r="AK176" s="1087"/>
      <c r="AL176" s="1087"/>
      <c r="AM176" s="1092"/>
      <c r="AN176" s="1088"/>
      <c r="AO176" s="1088"/>
      <c r="AP176" s="1088"/>
      <c r="AQ176" s="1088"/>
      <c r="AR176" s="1088"/>
      <c r="AS176" s="1088"/>
      <c r="AT176" s="1088"/>
      <c r="AU176" s="1088"/>
      <c r="AV176" s="1088"/>
      <c r="AW176" s="1088"/>
      <c r="AX176" s="1088"/>
      <c r="AY176" s="1088"/>
      <c r="AZ176" s="1088"/>
      <c r="BA176" s="1088"/>
      <c r="BB176" s="1088"/>
      <c r="BC176" s="1088"/>
      <c r="BD176" s="1088"/>
      <c r="BE176" s="1088"/>
      <c r="BF176" s="1088"/>
      <c r="BG176" s="29">
        <f t="shared" si="5"/>
        <v>0</v>
      </c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29"/>
      <c r="BX176" s="29"/>
    </row>
    <row r="177" spans="1:76" s="182" customFormat="1" ht="12.75" hidden="1" customHeight="1">
      <c r="A177" s="512" t="str">
        <f t="shared" si="6"/>
        <v>OK</v>
      </c>
      <c r="B177" s="538" t="str">
        <f t="shared" si="7"/>
        <v/>
      </c>
      <c r="C177" s="1086">
        <f>CONSOLIDA!GD126</f>
        <v>0</v>
      </c>
      <c r="D177" s="1086"/>
      <c r="E177" s="1086"/>
      <c r="F177" s="1086"/>
      <c r="G177" s="1086"/>
      <c r="H177" s="1087">
        <f>CONSOLIDA!GE126</f>
        <v>0</v>
      </c>
      <c r="I177" s="1087"/>
      <c r="J177" s="1087"/>
      <c r="K177" s="1087"/>
      <c r="L177" s="1087"/>
      <c r="M177" s="1087"/>
      <c r="N177" s="1087"/>
      <c r="O177" s="1087"/>
      <c r="P177" s="1087"/>
      <c r="Q177" s="1087"/>
      <c r="R177" s="1087"/>
      <c r="S177" s="1087"/>
      <c r="T177" s="1087"/>
      <c r="U177" s="1087"/>
      <c r="V177" s="1087"/>
      <c r="W177" s="1087"/>
      <c r="X177" s="1087"/>
      <c r="Y177" s="1087"/>
      <c r="Z177" s="1087"/>
      <c r="AA177" s="1087"/>
      <c r="AB177" s="1087"/>
      <c r="AC177" s="1087"/>
      <c r="AD177" s="1087"/>
      <c r="AE177" s="1087"/>
      <c r="AF177" s="1087"/>
      <c r="AG177" s="1087"/>
      <c r="AH177" s="1087"/>
      <c r="AI177" s="1087"/>
      <c r="AJ177" s="1087"/>
      <c r="AK177" s="1087"/>
      <c r="AL177" s="1087"/>
      <c r="AM177" s="1092"/>
      <c r="AN177" s="1088"/>
      <c r="AO177" s="1088"/>
      <c r="AP177" s="1088"/>
      <c r="AQ177" s="1088"/>
      <c r="AR177" s="1088"/>
      <c r="AS177" s="1088"/>
      <c r="AT177" s="1088"/>
      <c r="AU177" s="1088"/>
      <c r="AV177" s="1088"/>
      <c r="AW177" s="1088"/>
      <c r="AX177" s="1088"/>
      <c r="AY177" s="1088"/>
      <c r="AZ177" s="1088"/>
      <c r="BA177" s="1088"/>
      <c r="BB177" s="1088"/>
      <c r="BC177" s="1088"/>
      <c r="BD177" s="1088"/>
      <c r="BE177" s="1088"/>
      <c r="BF177" s="1088"/>
      <c r="BG177" s="29">
        <f t="shared" si="5"/>
        <v>0</v>
      </c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29"/>
      <c r="BX177" s="29"/>
    </row>
    <row r="178" spans="1:76" s="182" customFormat="1" ht="12.75" hidden="1" customHeight="1">
      <c r="A178" s="512" t="str">
        <f t="shared" si="6"/>
        <v>OK</v>
      </c>
      <c r="B178" s="538" t="str">
        <f t="shared" si="7"/>
        <v/>
      </c>
      <c r="C178" s="1086">
        <f>CONSOLIDA!GD127</f>
        <v>0</v>
      </c>
      <c r="D178" s="1086"/>
      <c r="E178" s="1086"/>
      <c r="F178" s="1086"/>
      <c r="G178" s="1086"/>
      <c r="H178" s="1087">
        <f>CONSOLIDA!GE127</f>
        <v>0</v>
      </c>
      <c r="I178" s="1087"/>
      <c r="J178" s="1087"/>
      <c r="K178" s="1087"/>
      <c r="L178" s="1087"/>
      <c r="M178" s="1087"/>
      <c r="N178" s="1087"/>
      <c r="O178" s="1087"/>
      <c r="P178" s="1087"/>
      <c r="Q178" s="1087"/>
      <c r="R178" s="1087"/>
      <c r="S178" s="1087"/>
      <c r="T178" s="1087"/>
      <c r="U178" s="1087"/>
      <c r="V178" s="1087"/>
      <c r="W178" s="1087"/>
      <c r="X178" s="1087"/>
      <c r="Y178" s="1087"/>
      <c r="Z178" s="1087"/>
      <c r="AA178" s="1087"/>
      <c r="AB178" s="1087"/>
      <c r="AC178" s="1087"/>
      <c r="AD178" s="1087"/>
      <c r="AE178" s="1087"/>
      <c r="AF178" s="1087"/>
      <c r="AG178" s="1087"/>
      <c r="AH178" s="1087"/>
      <c r="AI178" s="1087"/>
      <c r="AJ178" s="1087"/>
      <c r="AK178" s="1087"/>
      <c r="AL178" s="1087"/>
      <c r="AM178" s="1092"/>
      <c r="AN178" s="1088"/>
      <c r="AO178" s="1088"/>
      <c r="AP178" s="1088"/>
      <c r="AQ178" s="1088"/>
      <c r="AR178" s="1088"/>
      <c r="AS178" s="1088"/>
      <c r="AT178" s="1088"/>
      <c r="AU178" s="1088"/>
      <c r="AV178" s="1088"/>
      <c r="AW178" s="1088"/>
      <c r="AX178" s="1088"/>
      <c r="AY178" s="1088"/>
      <c r="AZ178" s="1088"/>
      <c r="BA178" s="1088"/>
      <c r="BB178" s="1088"/>
      <c r="BC178" s="1088"/>
      <c r="BD178" s="1088"/>
      <c r="BE178" s="1088"/>
      <c r="BF178" s="1088"/>
      <c r="BG178" s="29">
        <f t="shared" si="5"/>
        <v>0</v>
      </c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29"/>
      <c r="BX178" s="29"/>
    </row>
    <row r="179" spans="1:76" s="182" customFormat="1" ht="12.75" hidden="1" customHeight="1">
      <c r="A179" s="512" t="str">
        <f t="shared" si="6"/>
        <v>OK</v>
      </c>
      <c r="B179" s="538" t="str">
        <f t="shared" si="7"/>
        <v/>
      </c>
      <c r="C179" s="1086">
        <f>CONSOLIDA!GD128</f>
        <v>0</v>
      </c>
      <c r="D179" s="1086"/>
      <c r="E179" s="1086"/>
      <c r="F179" s="1086"/>
      <c r="G179" s="1086"/>
      <c r="H179" s="1087">
        <f>CONSOLIDA!GE128</f>
        <v>0</v>
      </c>
      <c r="I179" s="1087"/>
      <c r="J179" s="1087"/>
      <c r="K179" s="1087"/>
      <c r="L179" s="1087"/>
      <c r="M179" s="1087"/>
      <c r="N179" s="1087"/>
      <c r="O179" s="1087"/>
      <c r="P179" s="1087"/>
      <c r="Q179" s="1087"/>
      <c r="R179" s="1087"/>
      <c r="S179" s="1087"/>
      <c r="T179" s="1087"/>
      <c r="U179" s="1087"/>
      <c r="V179" s="1087"/>
      <c r="W179" s="1087"/>
      <c r="X179" s="1087"/>
      <c r="Y179" s="1087"/>
      <c r="Z179" s="1087"/>
      <c r="AA179" s="1087"/>
      <c r="AB179" s="1087"/>
      <c r="AC179" s="1087"/>
      <c r="AD179" s="1087"/>
      <c r="AE179" s="1087"/>
      <c r="AF179" s="1087"/>
      <c r="AG179" s="1087"/>
      <c r="AH179" s="1087"/>
      <c r="AI179" s="1087"/>
      <c r="AJ179" s="1087"/>
      <c r="AK179" s="1087"/>
      <c r="AL179" s="1087"/>
      <c r="AM179" s="1092"/>
      <c r="AN179" s="1088"/>
      <c r="AO179" s="1088"/>
      <c r="AP179" s="1088"/>
      <c r="AQ179" s="1088"/>
      <c r="AR179" s="1088"/>
      <c r="AS179" s="1088"/>
      <c r="AT179" s="1088"/>
      <c r="AU179" s="1088"/>
      <c r="AV179" s="1088"/>
      <c r="AW179" s="1088"/>
      <c r="AX179" s="1088"/>
      <c r="AY179" s="1088"/>
      <c r="AZ179" s="1088"/>
      <c r="BA179" s="1088"/>
      <c r="BB179" s="1088"/>
      <c r="BC179" s="1088"/>
      <c r="BD179" s="1088"/>
      <c r="BE179" s="1088"/>
      <c r="BF179" s="1088"/>
      <c r="BG179" s="29">
        <f t="shared" si="5"/>
        <v>0</v>
      </c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29"/>
      <c r="BX179" s="29"/>
    </row>
    <row r="180" spans="1:76" s="182" customFormat="1" ht="12.75" hidden="1" customHeight="1">
      <c r="A180" s="512" t="str">
        <f t="shared" si="6"/>
        <v>OK</v>
      </c>
      <c r="B180" s="538" t="str">
        <f t="shared" si="7"/>
        <v/>
      </c>
      <c r="C180" s="1086">
        <f>CONSOLIDA!GD129</f>
        <v>0</v>
      </c>
      <c r="D180" s="1086"/>
      <c r="E180" s="1086"/>
      <c r="F180" s="1086"/>
      <c r="G180" s="1086"/>
      <c r="H180" s="1087">
        <f>CONSOLIDA!GE129</f>
        <v>0</v>
      </c>
      <c r="I180" s="1087"/>
      <c r="J180" s="1087"/>
      <c r="K180" s="1087"/>
      <c r="L180" s="1087"/>
      <c r="M180" s="1087"/>
      <c r="N180" s="1087"/>
      <c r="O180" s="1087"/>
      <c r="P180" s="1087"/>
      <c r="Q180" s="1087"/>
      <c r="R180" s="1087"/>
      <c r="S180" s="1087"/>
      <c r="T180" s="1087"/>
      <c r="U180" s="1087"/>
      <c r="V180" s="1087"/>
      <c r="W180" s="1087"/>
      <c r="X180" s="1087"/>
      <c r="Y180" s="1087"/>
      <c r="Z180" s="1087"/>
      <c r="AA180" s="1087"/>
      <c r="AB180" s="1087"/>
      <c r="AC180" s="1087"/>
      <c r="AD180" s="1087"/>
      <c r="AE180" s="1087"/>
      <c r="AF180" s="1087"/>
      <c r="AG180" s="1087"/>
      <c r="AH180" s="1087"/>
      <c r="AI180" s="1087"/>
      <c r="AJ180" s="1087"/>
      <c r="AK180" s="1087"/>
      <c r="AL180" s="1087"/>
      <c r="AM180" s="1092"/>
      <c r="AN180" s="1088"/>
      <c r="AO180" s="1088"/>
      <c r="AP180" s="1088"/>
      <c r="AQ180" s="1088"/>
      <c r="AR180" s="1088"/>
      <c r="AS180" s="1088"/>
      <c r="AT180" s="1088"/>
      <c r="AU180" s="1088"/>
      <c r="AV180" s="1088"/>
      <c r="AW180" s="1088"/>
      <c r="AX180" s="1088"/>
      <c r="AY180" s="1088"/>
      <c r="AZ180" s="1088"/>
      <c r="BA180" s="1088"/>
      <c r="BB180" s="1088"/>
      <c r="BC180" s="1088"/>
      <c r="BD180" s="1088"/>
      <c r="BE180" s="1088"/>
      <c r="BF180" s="1088"/>
      <c r="BG180" s="29">
        <f t="shared" si="5"/>
        <v>0</v>
      </c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29"/>
      <c r="BX180" s="29"/>
    </row>
    <row r="181" spans="1:76" s="182" customFormat="1" ht="12.75" hidden="1" customHeight="1">
      <c r="A181" s="512" t="str">
        <f t="shared" si="6"/>
        <v>OK</v>
      </c>
      <c r="B181" s="538" t="str">
        <f t="shared" si="7"/>
        <v/>
      </c>
      <c r="C181" s="1086">
        <f>CONSOLIDA!GD130</f>
        <v>0</v>
      </c>
      <c r="D181" s="1086"/>
      <c r="E181" s="1086"/>
      <c r="F181" s="1086"/>
      <c r="G181" s="1086"/>
      <c r="H181" s="1087">
        <f>CONSOLIDA!GE130</f>
        <v>0</v>
      </c>
      <c r="I181" s="1087"/>
      <c r="J181" s="1087"/>
      <c r="K181" s="1087"/>
      <c r="L181" s="1087"/>
      <c r="M181" s="1087"/>
      <c r="N181" s="1087"/>
      <c r="O181" s="1087"/>
      <c r="P181" s="1087"/>
      <c r="Q181" s="1087"/>
      <c r="R181" s="1087"/>
      <c r="S181" s="1087"/>
      <c r="T181" s="1087"/>
      <c r="U181" s="1087"/>
      <c r="V181" s="1087"/>
      <c r="W181" s="1087"/>
      <c r="X181" s="1087"/>
      <c r="Y181" s="1087"/>
      <c r="Z181" s="1087"/>
      <c r="AA181" s="1087"/>
      <c r="AB181" s="1087"/>
      <c r="AC181" s="1087"/>
      <c r="AD181" s="1087"/>
      <c r="AE181" s="1087"/>
      <c r="AF181" s="1087"/>
      <c r="AG181" s="1087"/>
      <c r="AH181" s="1087"/>
      <c r="AI181" s="1087"/>
      <c r="AJ181" s="1087"/>
      <c r="AK181" s="1087"/>
      <c r="AL181" s="1087"/>
      <c r="AM181" s="1092"/>
      <c r="AN181" s="1088"/>
      <c r="AO181" s="1088"/>
      <c r="AP181" s="1088"/>
      <c r="AQ181" s="1088"/>
      <c r="AR181" s="1088"/>
      <c r="AS181" s="1088"/>
      <c r="AT181" s="1088"/>
      <c r="AU181" s="1088"/>
      <c r="AV181" s="1088"/>
      <c r="AW181" s="1088"/>
      <c r="AX181" s="1088"/>
      <c r="AY181" s="1088"/>
      <c r="AZ181" s="1088"/>
      <c r="BA181" s="1088"/>
      <c r="BB181" s="1088"/>
      <c r="BC181" s="1088"/>
      <c r="BD181" s="1088"/>
      <c r="BE181" s="1088"/>
      <c r="BF181" s="1088"/>
      <c r="BG181" s="29">
        <f t="shared" si="5"/>
        <v>0</v>
      </c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29"/>
      <c r="BX181" s="29"/>
    </row>
    <row r="182" spans="1:76" s="182" customFormat="1" ht="12.75" hidden="1" customHeight="1">
      <c r="A182" s="512" t="str">
        <f t="shared" si="6"/>
        <v>OK</v>
      </c>
      <c r="B182" s="538" t="str">
        <f t="shared" si="7"/>
        <v/>
      </c>
      <c r="C182" s="1086">
        <f>CONSOLIDA!GD131</f>
        <v>0</v>
      </c>
      <c r="D182" s="1086"/>
      <c r="E182" s="1086"/>
      <c r="F182" s="1086"/>
      <c r="G182" s="1086"/>
      <c r="H182" s="1087">
        <f>CONSOLIDA!GE131</f>
        <v>0</v>
      </c>
      <c r="I182" s="1087"/>
      <c r="J182" s="1087"/>
      <c r="K182" s="1087"/>
      <c r="L182" s="1087"/>
      <c r="M182" s="1087"/>
      <c r="N182" s="1087"/>
      <c r="O182" s="1087"/>
      <c r="P182" s="1087"/>
      <c r="Q182" s="1087"/>
      <c r="R182" s="1087"/>
      <c r="S182" s="1087"/>
      <c r="T182" s="1087"/>
      <c r="U182" s="1087"/>
      <c r="V182" s="1087"/>
      <c r="W182" s="1087"/>
      <c r="X182" s="1087"/>
      <c r="Y182" s="1087"/>
      <c r="Z182" s="1087"/>
      <c r="AA182" s="1087"/>
      <c r="AB182" s="1087"/>
      <c r="AC182" s="1087"/>
      <c r="AD182" s="1087"/>
      <c r="AE182" s="1087"/>
      <c r="AF182" s="1087"/>
      <c r="AG182" s="1087"/>
      <c r="AH182" s="1087"/>
      <c r="AI182" s="1087"/>
      <c r="AJ182" s="1087"/>
      <c r="AK182" s="1087"/>
      <c r="AL182" s="1087"/>
      <c r="AM182" s="1092"/>
      <c r="AN182" s="1088"/>
      <c r="AO182" s="1088"/>
      <c r="AP182" s="1088"/>
      <c r="AQ182" s="1088"/>
      <c r="AR182" s="1088"/>
      <c r="AS182" s="1088"/>
      <c r="AT182" s="1088"/>
      <c r="AU182" s="1088"/>
      <c r="AV182" s="1088"/>
      <c r="AW182" s="1088"/>
      <c r="AX182" s="1088"/>
      <c r="AY182" s="1088"/>
      <c r="AZ182" s="1088"/>
      <c r="BA182" s="1088"/>
      <c r="BB182" s="1088"/>
      <c r="BC182" s="1088"/>
      <c r="BD182" s="1088"/>
      <c r="BE182" s="1088"/>
      <c r="BF182" s="1088"/>
      <c r="BG182" s="29">
        <f t="shared" si="5"/>
        <v>0</v>
      </c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29"/>
      <c r="BX182" s="29"/>
    </row>
    <row r="183" spans="1:76" s="182" customFormat="1" ht="12.75" hidden="1" customHeight="1">
      <c r="A183" s="512" t="str">
        <f t="shared" si="6"/>
        <v>OK</v>
      </c>
      <c r="B183" s="538" t="str">
        <f t="shared" si="7"/>
        <v/>
      </c>
      <c r="C183" s="1086">
        <f>CONSOLIDA!GD132</f>
        <v>0</v>
      </c>
      <c r="D183" s="1086"/>
      <c r="E183" s="1086"/>
      <c r="F183" s="1086"/>
      <c r="G183" s="1086"/>
      <c r="H183" s="1087">
        <f>CONSOLIDA!GE132</f>
        <v>0</v>
      </c>
      <c r="I183" s="1087"/>
      <c r="J183" s="1087"/>
      <c r="K183" s="1087"/>
      <c r="L183" s="1087"/>
      <c r="M183" s="1087"/>
      <c r="N183" s="1087"/>
      <c r="O183" s="1087"/>
      <c r="P183" s="1087"/>
      <c r="Q183" s="1087"/>
      <c r="R183" s="1087"/>
      <c r="S183" s="1087"/>
      <c r="T183" s="1087"/>
      <c r="U183" s="1087"/>
      <c r="V183" s="1087"/>
      <c r="W183" s="1087"/>
      <c r="X183" s="1087"/>
      <c r="Y183" s="1087"/>
      <c r="Z183" s="1087"/>
      <c r="AA183" s="1087"/>
      <c r="AB183" s="1087"/>
      <c r="AC183" s="1087"/>
      <c r="AD183" s="1087"/>
      <c r="AE183" s="1087"/>
      <c r="AF183" s="1087"/>
      <c r="AG183" s="1087"/>
      <c r="AH183" s="1087"/>
      <c r="AI183" s="1087"/>
      <c r="AJ183" s="1087"/>
      <c r="AK183" s="1087"/>
      <c r="AL183" s="1087"/>
      <c r="AM183" s="1092"/>
      <c r="AN183" s="1088"/>
      <c r="AO183" s="1088"/>
      <c r="AP183" s="1088"/>
      <c r="AQ183" s="1088"/>
      <c r="AR183" s="1088"/>
      <c r="AS183" s="1088"/>
      <c r="AT183" s="1088"/>
      <c r="AU183" s="1088"/>
      <c r="AV183" s="1088"/>
      <c r="AW183" s="1088"/>
      <c r="AX183" s="1088"/>
      <c r="AY183" s="1088"/>
      <c r="AZ183" s="1088"/>
      <c r="BA183" s="1088"/>
      <c r="BB183" s="1088"/>
      <c r="BC183" s="1088"/>
      <c r="BD183" s="1088"/>
      <c r="BE183" s="1088"/>
      <c r="BF183" s="1088"/>
      <c r="BG183" s="29">
        <f t="shared" ref="BG183:BG226" si="8">IF(C183=0,0,1)</f>
        <v>0</v>
      </c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29"/>
      <c r="BX183" s="29"/>
    </row>
    <row r="184" spans="1:76" s="182" customFormat="1" ht="12.75" hidden="1" customHeight="1">
      <c r="A184" s="512" t="str">
        <f t="shared" ref="A184:A247" si="9">IF(AND(BG184=0,AM184=""),"OK","")</f>
        <v>OK</v>
      </c>
      <c r="B184" s="538" t="str">
        <f t="shared" si="7"/>
        <v/>
      </c>
      <c r="C184" s="1086">
        <f>CONSOLIDA!GD133</f>
        <v>0</v>
      </c>
      <c r="D184" s="1086"/>
      <c r="E184" s="1086"/>
      <c r="F184" s="1086"/>
      <c r="G184" s="1086"/>
      <c r="H184" s="1087">
        <f>CONSOLIDA!GE133</f>
        <v>0</v>
      </c>
      <c r="I184" s="1087"/>
      <c r="J184" s="1087"/>
      <c r="K184" s="1087"/>
      <c r="L184" s="1087"/>
      <c r="M184" s="1087"/>
      <c r="N184" s="1087"/>
      <c r="O184" s="1087"/>
      <c r="P184" s="1087"/>
      <c r="Q184" s="1087"/>
      <c r="R184" s="1087"/>
      <c r="S184" s="1087"/>
      <c r="T184" s="1087"/>
      <c r="U184" s="1087"/>
      <c r="V184" s="1087"/>
      <c r="W184" s="1087"/>
      <c r="X184" s="1087"/>
      <c r="Y184" s="1087"/>
      <c r="Z184" s="1087"/>
      <c r="AA184" s="1087"/>
      <c r="AB184" s="1087"/>
      <c r="AC184" s="1087"/>
      <c r="AD184" s="1087"/>
      <c r="AE184" s="1087"/>
      <c r="AF184" s="1087"/>
      <c r="AG184" s="1087"/>
      <c r="AH184" s="1087"/>
      <c r="AI184" s="1087"/>
      <c r="AJ184" s="1087"/>
      <c r="AK184" s="1087"/>
      <c r="AL184" s="1087"/>
      <c r="AM184" s="1092"/>
      <c r="AN184" s="1088"/>
      <c r="AO184" s="1088"/>
      <c r="AP184" s="1088"/>
      <c r="AQ184" s="1088"/>
      <c r="AR184" s="1088"/>
      <c r="AS184" s="1088"/>
      <c r="AT184" s="1088"/>
      <c r="AU184" s="1088"/>
      <c r="AV184" s="1088"/>
      <c r="AW184" s="1088"/>
      <c r="AX184" s="1088"/>
      <c r="AY184" s="1088"/>
      <c r="AZ184" s="1088"/>
      <c r="BA184" s="1088"/>
      <c r="BB184" s="1088"/>
      <c r="BC184" s="1088"/>
      <c r="BD184" s="1088"/>
      <c r="BE184" s="1088"/>
      <c r="BF184" s="1088"/>
      <c r="BG184" s="29">
        <f t="shared" si="8"/>
        <v>0</v>
      </c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29"/>
      <c r="BX184" s="29"/>
    </row>
    <row r="185" spans="1:76" s="182" customFormat="1" ht="12.75" hidden="1" customHeight="1">
      <c r="A185" s="512" t="str">
        <f t="shared" si="9"/>
        <v>OK</v>
      </c>
      <c r="B185" s="538" t="str">
        <f t="shared" ref="B185:B248" si="10">IF(C185=0,"",B184+1)</f>
        <v/>
      </c>
      <c r="C185" s="1086">
        <f>CONSOLIDA!GD134</f>
        <v>0</v>
      </c>
      <c r="D185" s="1086"/>
      <c r="E185" s="1086"/>
      <c r="F185" s="1086"/>
      <c r="G185" s="1086"/>
      <c r="H185" s="1087">
        <f>CONSOLIDA!GE134</f>
        <v>0</v>
      </c>
      <c r="I185" s="1087"/>
      <c r="J185" s="1087"/>
      <c r="K185" s="1087"/>
      <c r="L185" s="1087"/>
      <c r="M185" s="1087"/>
      <c r="N185" s="1087"/>
      <c r="O185" s="1087"/>
      <c r="P185" s="1087"/>
      <c r="Q185" s="1087"/>
      <c r="R185" s="1087"/>
      <c r="S185" s="1087"/>
      <c r="T185" s="1087"/>
      <c r="U185" s="1087"/>
      <c r="V185" s="1087"/>
      <c r="W185" s="1087"/>
      <c r="X185" s="1087"/>
      <c r="Y185" s="1087"/>
      <c r="Z185" s="1087"/>
      <c r="AA185" s="1087"/>
      <c r="AB185" s="1087"/>
      <c r="AC185" s="1087"/>
      <c r="AD185" s="1087"/>
      <c r="AE185" s="1087"/>
      <c r="AF185" s="1087"/>
      <c r="AG185" s="1087"/>
      <c r="AH185" s="1087"/>
      <c r="AI185" s="1087"/>
      <c r="AJ185" s="1087"/>
      <c r="AK185" s="1087"/>
      <c r="AL185" s="1087"/>
      <c r="AM185" s="1092"/>
      <c r="AN185" s="1088"/>
      <c r="AO185" s="1088"/>
      <c r="AP185" s="1088"/>
      <c r="AQ185" s="1088"/>
      <c r="AR185" s="1088"/>
      <c r="AS185" s="1088"/>
      <c r="AT185" s="1088"/>
      <c r="AU185" s="1088"/>
      <c r="AV185" s="1088"/>
      <c r="AW185" s="1088"/>
      <c r="AX185" s="1088"/>
      <c r="AY185" s="1088"/>
      <c r="AZ185" s="1088"/>
      <c r="BA185" s="1088"/>
      <c r="BB185" s="1088"/>
      <c r="BC185" s="1088"/>
      <c r="BD185" s="1088"/>
      <c r="BE185" s="1088"/>
      <c r="BF185" s="1088"/>
      <c r="BG185" s="29">
        <f t="shared" si="8"/>
        <v>0</v>
      </c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29"/>
      <c r="BX185" s="29"/>
    </row>
    <row r="186" spans="1:76" s="182" customFormat="1" ht="12.75" hidden="1" customHeight="1">
      <c r="A186" s="512" t="str">
        <f t="shared" si="9"/>
        <v>OK</v>
      </c>
      <c r="B186" s="538" t="str">
        <f t="shared" si="10"/>
        <v/>
      </c>
      <c r="C186" s="1086">
        <f>CONSOLIDA!GD135</f>
        <v>0</v>
      </c>
      <c r="D186" s="1086"/>
      <c r="E186" s="1086"/>
      <c r="F186" s="1086"/>
      <c r="G186" s="1086"/>
      <c r="H186" s="1087">
        <f>CONSOLIDA!GE135</f>
        <v>0</v>
      </c>
      <c r="I186" s="1087"/>
      <c r="J186" s="1087"/>
      <c r="K186" s="1087"/>
      <c r="L186" s="1087"/>
      <c r="M186" s="1087"/>
      <c r="N186" s="1087"/>
      <c r="O186" s="1087"/>
      <c r="P186" s="1087"/>
      <c r="Q186" s="1087"/>
      <c r="R186" s="1087"/>
      <c r="S186" s="1087"/>
      <c r="T186" s="1087"/>
      <c r="U186" s="1087"/>
      <c r="V186" s="1087"/>
      <c r="W186" s="1087"/>
      <c r="X186" s="1087"/>
      <c r="Y186" s="1087"/>
      <c r="Z186" s="1087"/>
      <c r="AA186" s="1087"/>
      <c r="AB186" s="1087"/>
      <c r="AC186" s="1087"/>
      <c r="AD186" s="1087"/>
      <c r="AE186" s="1087"/>
      <c r="AF186" s="1087"/>
      <c r="AG186" s="1087"/>
      <c r="AH186" s="1087"/>
      <c r="AI186" s="1087"/>
      <c r="AJ186" s="1087"/>
      <c r="AK186" s="1087"/>
      <c r="AL186" s="1087"/>
      <c r="AM186" s="1092"/>
      <c r="AN186" s="1088"/>
      <c r="AO186" s="1088"/>
      <c r="AP186" s="1088"/>
      <c r="AQ186" s="1088"/>
      <c r="AR186" s="1088"/>
      <c r="AS186" s="1088"/>
      <c r="AT186" s="1088"/>
      <c r="AU186" s="1088"/>
      <c r="AV186" s="1088"/>
      <c r="AW186" s="1088"/>
      <c r="AX186" s="1088"/>
      <c r="AY186" s="1088"/>
      <c r="AZ186" s="1088"/>
      <c r="BA186" s="1088"/>
      <c r="BB186" s="1088"/>
      <c r="BC186" s="1088"/>
      <c r="BD186" s="1088"/>
      <c r="BE186" s="1088"/>
      <c r="BF186" s="1088"/>
      <c r="BG186" s="29">
        <f t="shared" si="8"/>
        <v>0</v>
      </c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29"/>
      <c r="BX186" s="29"/>
    </row>
    <row r="187" spans="1:76" s="182" customFormat="1" ht="12.75" hidden="1" customHeight="1">
      <c r="A187" s="512" t="str">
        <f t="shared" si="9"/>
        <v>OK</v>
      </c>
      <c r="B187" s="538" t="str">
        <f t="shared" si="10"/>
        <v/>
      </c>
      <c r="C187" s="1086">
        <f>CONSOLIDA!GD136</f>
        <v>0</v>
      </c>
      <c r="D187" s="1086"/>
      <c r="E187" s="1086"/>
      <c r="F187" s="1086"/>
      <c r="G187" s="1086"/>
      <c r="H187" s="1087">
        <f>CONSOLIDA!GE136</f>
        <v>0</v>
      </c>
      <c r="I187" s="1087"/>
      <c r="J187" s="1087"/>
      <c r="K187" s="1087"/>
      <c r="L187" s="1087"/>
      <c r="M187" s="1087"/>
      <c r="N187" s="1087"/>
      <c r="O187" s="1087"/>
      <c r="P187" s="1087"/>
      <c r="Q187" s="1087"/>
      <c r="R187" s="1087"/>
      <c r="S187" s="1087"/>
      <c r="T187" s="1087"/>
      <c r="U187" s="1087"/>
      <c r="V187" s="1087"/>
      <c r="W187" s="1087"/>
      <c r="X187" s="1087"/>
      <c r="Y187" s="1087"/>
      <c r="Z187" s="1087"/>
      <c r="AA187" s="1087"/>
      <c r="AB187" s="1087"/>
      <c r="AC187" s="1087"/>
      <c r="AD187" s="1087"/>
      <c r="AE187" s="1087"/>
      <c r="AF187" s="1087"/>
      <c r="AG187" s="1087"/>
      <c r="AH187" s="1087"/>
      <c r="AI187" s="1087"/>
      <c r="AJ187" s="1087"/>
      <c r="AK187" s="1087"/>
      <c r="AL187" s="1087"/>
      <c r="AM187" s="1092"/>
      <c r="AN187" s="1088"/>
      <c r="AO187" s="1088"/>
      <c r="AP187" s="1088"/>
      <c r="AQ187" s="1088"/>
      <c r="AR187" s="1088"/>
      <c r="AS187" s="1088"/>
      <c r="AT187" s="1088"/>
      <c r="AU187" s="1088"/>
      <c r="AV187" s="1088"/>
      <c r="AW187" s="1088"/>
      <c r="AX187" s="1088"/>
      <c r="AY187" s="1088"/>
      <c r="AZ187" s="1088"/>
      <c r="BA187" s="1088"/>
      <c r="BB187" s="1088"/>
      <c r="BC187" s="1088"/>
      <c r="BD187" s="1088"/>
      <c r="BE187" s="1088"/>
      <c r="BF187" s="1088"/>
      <c r="BG187" s="29">
        <f t="shared" si="8"/>
        <v>0</v>
      </c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29"/>
      <c r="BX187" s="29"/>
    </row>
    <row r="188" spans="1:76" s="182" customFormat="1" ht="12.75" hidden="1" customHeight="1">
      <c r="A188" s="512" t="str">
        <f t="shared" si="9"/>
        <v>OK</v>
      </c>
      <c r="B188" s="538" t="str">
        <f t="shared" si="10"/>
        <v/>
      </c>
      <c r="C188" s="1086">
        <f>CONSOLIDA!GD137</f>
        <v>0</v>
      </c>
      <c r="D188" s="1086"/>
      <c r="E188" s="1086"/>
      <c r="F188" s="1086"/>
      <c r="G188" s="1086"/>
      <c r="H188" s="1087">
        <f>CONSOLIDA!GE137</f>
        <v>0</v>
      </c>
      <c r="I188" s="1087"/>
      <c r="J188" s="1087"/>
      <c r="K188" s="1087"/>
      <c r="L188" s="1087"/>
      <c r="M188" s="1087"/>
      <c r="N188" s="1087"/>
      <c r="O188" s="1087"/>
      <c r="P188" s="1087"/>
      <c r="Q188" s="1087"/>
      <c r="R188" s="1087"/>
      <c r="S188" s="1087"/>
      <c r="T188" s="1087"/>
      <c r="U188" s="1087"/>
      <c r="V188" s="1087"/>
      <c r="W188" s="1087"/>
      <c r="X188" s="1087"/>
      <c r="Y188" s="1087"/>
      <c r="Z188" s="1087"/>
      <c r="AA188" s="1087"/>
      <c r="AB188" s="1087"/>
      <c r="AC188" s="1087"/>
      <c r="AD188" s="1087"/>
      <c r="AE188" s="1087"/>
      <c r="AF188" s="1087"/>
      <c r="AG188" s="1087"/>
      <c r="AH188" s="1087"/>
      <c r="AI188" s="1087"/>
      <c r="AJ188" s="1087"/>
      <c r="AK188" s="1087"/>
      <c r="AL188" s="1087"/>
      <c r="AM188" s="1092"/>
      <c r="AN188" s="1088"/>
      <c r="AO188" s="1088"/>
      <c r="AP188" s="1088"/>
      <c r="AQ188" s="1088"/>
      <c r="AR188" s="1088"/>
      <c r="AS188" s="1088"/>
      <c r="AT188" s="1088"/>
      <c r="AU188" s="1088"/>
      <c r="AV188" s="1088"/>
      <c r="AW188" s="1088"/>
      <c r="AX188" s="1088"/>
      <c r="AY188" s="1088"/>
      <c r="AZ188" s="1088"/>
      <c r="BA188" s="1088"/>
      <c r="BB188" s="1088"/>
      <c r="BC188" s="1088"/>
      <c r="BD188" s="1088"/>
      <c r="BE188" s="1088"/>
      <c r="BF188" s="1088"/>
      <c r="BG188" s="29">
        <f t="shared" si="8"/>
        <v>0</v>
      </c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29"/>
      <c r="BX188" s="29"/>
    </row>
    <row r="189" spans="1:76" s="182" customFormat="1" ht="12.75" hidden="1" customHeight="1">
      <c r="A189" s="512" t="str">
        <f t="shared" si="9"/>
        <v>OK</v>
      </c>
      <c r="B189" s="538" t="str">
        <f t="shared" si="10"/>
        <v/>
      </c>
      <c r="C189" s="1086">
        <f>CONSOLIDA!GD138</f>
        <v>0</v>
      </c>
      <c r="D189" s="1086"/>
      <c r="E189" s="1086"/>
      <c r="F189" s="1086"/>
      <c r="G189" s="1086"/>
      <c r="H189" s="1087">
        <f>CONSOLIDA!GE138</f>
        <v>0</v>
      </c>
      <c r="I189" s="1087"/>
      <c r="J189" s="1087"/>
      <c r="K189" s="1087"/>
      <c r="L189" s="1087"/>
      <c r="M189" s="1087"/>
      <c r="N189" s="1087"/>
      <c r="O189" s="1087"/>
      <c r="P189" s="1087"/>
      <c r="Q189" s="1087"/>
      <c r="R189" s="1087"/>
      <c r="S189" s="1087"/>
      <c r="T189" s="1087"/>
      <c r="U189" s="1087"/>
      <c r="V189" s="1087"/>
      <c r="W189" s="1087"/>
      <c r="X189" s="1087"/>
      <c r="Y189" s="1087"/>
      <c r="Z189" s="1087"/>
      <c r="AA189" s="1087"/>
      <c r="AB189" s="1087"/>
      <c r="AC189" s="1087"/>
      <c r="AD189" s="1087"/>
      <c r="AE189" s="1087"/>
      <c r="AF189" s="1087"/>
      <c r="AG189" s="1087"/>
      <c r="AH189" s="1087"/>
      <c r="AI189" s="1087"/>
      <c r="AJ189" s="1087"/>
      <c r="AK189" s="1087"/>
      <c r="AL189" s="1087"/>
      <c r="AM189" s="1092"/>
      <c r="AN189" s="1088"/>
      <c r="AO189" s="1088"/>
      <c r="AP189" s="1088"/>
      <c r="AQ189" s="1088"/>
      <c r="AR189" s="1088"/>
      <c r="AS189" s="1088"/>
      <c r="AT189" s="1088"/>
      <c r="AU189" s="1088"/>
      <c r="AV189" s="1088"/>
      <c r="AW189" s="1088"/>
      <c r="AX189" s="1088"/>
      <c r="AY189" s="1088"/>
      <c r="AZ189" s="1088"/>
      <c r="BA189" s="1088"/>
      <c r="BB189" s="1088"/>
      <c r="BC189" s="1088"/>
      <c r="BD189" s="1088"/>
      <c r="BE189" s="1088"/>
      <c r="BF189" s="1088"/>
      <c r="BG189" s="29">
        <f t="shared" si="8"/>
        <v>0</v>
      </c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29"/>
      <c r="BX189" s="29"/>
    </row>
    <row r="190" spans="1:76" s="182" customFormat="1" ht="12.75" hidden="1" customHeight="1">
      <c r="A190" s="512" t="str">
        <f t="shared" si="9"/>
        <v>OK</v>
      </c>
      <c r="B190" s="538" t="str">
        <f t="shared" si="10"/>
        <v/>
      </c>
      <c r="C190" s="1086">
        <f>CONSOLIDA!GD139</f>
        <v>0</v>
      </c>
      <c r="D190" s="1086"/>
      <c r="E190" s="1086"/>
      <c r="F190" s="1086"/>
      <c r="G190" s="1086"/>
      <c r="H190" s="1087">
        <f>CONSOLIDA!GE139</f>
        <v>0</v>
      </c>
      <c r="I190" s="1087"/>
      <c r="J190" s="1087"/>
      <c r="K190" s="1087"/>
      <c r="L190" s="1087"/>
      <c r="M190" s="1087"/>
      <c r="N190" s="1087"/>
      <c r="O190" s="1087"/>
      <c r="P190" s="1087"/>
      <c r="Q190" s="1087"/>
      <c r="R190" s="1087"/>
      <c r="S190" s="1087"/>
      <c r="T190" s="1087"/>
      <c r="U190" s="1087"/>
      <c r="V190" s="1087"/>
      <c r="W190" s="1087"/>
      <c r="X190" s="1087"/>
      <c r="Y190" s="1087"/>
      <c r="Z190" s="1087"/>
      <c r="AA190" s="1087"/>
      <c r="AB190" s="1087"/>
      <c r="AC190" s="1087"/>
      <c r="AD190" s="1087"/>
      <c r="AE190" s="1087"/>
      <c r="AF190" s="1087"/>
      <c r="AG190" s="1087"/>
      <c r="AH190" s="1087"/>
      <c r="AI190" s="1087"/>
      <c r="AJ190" s="1087"/>
      <c r="AK190" s="1087"/>
      <c r="AL190" s="1087"/>
      <c r="AM190" s="1092"/>
      <c r="AN190" s="1088"/>
      <c r="AO190" s="1088"/>
      <c r="AP190" s="1088"/>
      <c r="AQ190" s="1088"/>
      <c r="AR190" s="1088"/>
      <c r="AS190" s="1088"/>
      <c r="AT190" s="1088"/>
      <c r="AU190" s="1088"/>
      <c r="AV190" s="1088"/>
      <c r="AW190" s="1088"/>
      <c r="AX190" s="1088"/>
      <c r="AY190" s="1088"/>
      <c r="AZ190" s="1088"/>
      <c r="BA190" s="1088"/>
      <c r="BB190" s="1088"/>
      <c r="BC190" s="1088"/>
      <c r="BD190" s="1088"/>
      <c r="BE190" s="1088"/>
      <c r="BF190" s="1088"/>
      <c r="BG190" s="29">
        <f t="shared" si="8"/>
        <v>0</v>
      </c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29"/>
      <c r="BX190" s="29"/>
    </row>
    <row r="191" spans="1:76" s="182" customFormat="1" ht="12.75" hidden="1" customHeight="1">
      <c r="A191" s="512" t="str">
        <f t="shared" si="9"/>
        <v>OK</v>
      </c>
      <c r="B191" s="538" t="str">
        <f t="shared" si="10"/>
        <v/>
      </c>
      <c r="C191" s="1086">
        <f>CONSOLIDA!GD140</f>
        <v>0</v>
      </c>
      <c r="D191" s="1086"/>
      <c r="E191" s="1086"/>
      <c r="F191" s="1086"/>
      <c r="G191" s="1086"/>
      <c r="H191" s="1087">
        <f>CONSOLIDA!GE140</f>
        <v>0</v>
      </c>
      <c r="I191" s="1087"/>
      <c r="J191" s="1087"/>
      <c r="K191" s="1087"/>
      <c r="L191" s="1087"/>
      <c r="M191" s="1087"/>
      <c r="N191" s="1087"/>
      <c r="O191" s="1087"/>
      <c r="P191" s="1087"/>
      <c r="Q191" s="1087"/>
      <c r="R191" s="1087"/>
      <c r="S191" s="1087"/>
      <c r="T191" s="1087"/>
      <c r="U191" s="1087"/>
      <c r="V191" s="1087"/>
      <c r="W191" s="1087"/>
      <c r="X191" s="1087"/>
      <c r="Y191" s="1087"/>
      <c r="Z191" s="1087"/>
      <c r="AA191" s="1087"/>
      <c r="AB191" s="1087"/>
      <c r="AC191" s="1087"/>
      <c r="AD191" s="1087"/>
      <c r="AE191" s="1087"/>
      <c r="AF191" s="1087"/>
      <c r="AG191" s="1087"/>
      <c r="AH191" s="1087"/>
      <c r="AI191" s="1087"/>
      <c r="AJ191" s="1087"/>
      <c r="AK191" s="1087"/>
      <c r="AL191" s="1087"/>
      <c r="AM191" s="1092"/>
      <c r="AN191" s="1088"/>
      <c r="AO191" s="1088"/>
      <c r="AP191" s="1088"/>
      <c r="AQ191" s="1088"/>
      <c r="AR191" s="1088"/>
      <c r="AS191" s="1088"/>
      <c r="AT191" s="1088"/>
      <c r="AU191" s="1088"/>
      <c r="AV191" s="1088"/>
      <c r="AW191" s="1088"/>
      <c r="AX191" s="1088"/>
      <c r="AY191" s="1088"/>
      <c r="AZ191" s="1088"/>
      <c r="BA191" s="1088"/>
      <c r="BB191" s="1088"/>
      <c r="BC191" s="1088"/>
      <c r="BD191" s="1088"/>
      <c r="BE191" s="1088"/>
      <c r="BF191" s="1088"/>
      <c r="BG191" s="29">
        <f t="shared" si="8"/>
        <v>0</v>
      </c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29"/>
      <c r="BX191" s="29"/>
    </row>
    <row r="192" spans="1:76" s="182" customFormat="1" ht="12.75" hidden="1" customHeight="1">
      <c r="A192" s="512" t="str">
        <f t="shared" si="9"/>
        <v>OK</v>
      </c>
      <c r="B192" s="538" t="str">
        <f t="shared" si="10"/>
        <v/>
      </c>
      <c r="C192" s="1086">
        <f>CONSOLIDA!GD141</f>
        <v>0</v>
      </c>
      <c r="D192" s="1086"/>
      <c r="E192" s="1086"/>
      <c r="F192" s="1086"/>
      <c r="G192" s="1086"/>
      <c r="H192" s="1087">
        <f>CONSOLIDA!GE141</f>
        <v>0</v>
      </c>
      <c r="I192" s="1087"/>
      <c r="J192" s="1087"/>
      <c r="K192" s="1087"/>
      <c r="L192" s="1087"/>
      <c r="M192" s="1087"/>
      <c r="N192" s="1087"/>
      <c r="O192" s="1087"/>
      <c r="P192" s="1087"/>
      <c r="Q192" s="1087"/>
      <c r="R192" s="1087"/>
      <c r="S192" s="1087"/>
      <c r="T192" s="1087"/>
      <c r="U192" s="1087"/>
      <c r="V192" s="1087"/>
      <c r="W192" s="1087"/>
      <c r="X192" s="1087"/>
      <c r="Y192" s="1087"/>
      <c r="Z192" s="1087"/>
      <c r="AA192" s="1087"/>
      <c r="AB192" s="1087"/>
      <c r="AC192" s="1087"/>
      <c r="AD192" s="1087"/>
      <c r="AE192" s="1087"/>
      <c r="AF192" s="1087"/>
      <c r="AG192" s="1087"/>
      <c r="AH192" s="1087"/>
      <c r="AI192" s="1087"/>
      <c r="AJ192" s="1087"/>
      <c r="AK192" s="1087"/>
      <c r="AL192" s="1087"/>
      <c r="AM192" s="1092"/>
      <c r="AN192" s="1088"/>
      <c r="AO192" s="1088"/>
      <c r="AP192" s="1088"/>
      <c r="AQ192" s="1088"/>
      <c r="AR192" s="1088"/>
      <c r="AS192" s="1088"/>
      <c r="AT192" s="1088"/>
      <c r="AU192" s="1088"/>
      <c r="AV192" s="1088"/>
      <c r="AW192" s="1088"/>
      <c r="AX192" s="1088"/>
      <c r="AY192" s="1088"/>
      <c r="AZ192" s="1088"/>
      <c r="BA192" s="1088"/>
      <c r="BB192" s="1088"/>
      <c r="BC192" s="1088"/>
      <c r="BD192" s="1088"/>
      <c r="BE192" s="1088"/>
      <c r="BF192" s="1088"/>
      <c r="BG192" s="29">
        <f t="shared" si="8"/>
        <v>0</v>
      </c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29"/>
      <c r="BX192" s="29"/>
    </row>
    <row r="193" spans="1:76" s="182" customFormat="1" ht="12.75" hidden="1" customHeight="1">
      <c r="A193" s="512" t="str">
        <f t="shared" si="9"/>
        <v>OK</v>
      </c>
      <c r="B193" s="538" t="str">
        <f t="shared" si="10"/>
        <v/>
      </c>
      <c r="C193" s="1086">
        <f>CONSOLIDA!GD142</f>
        <v>0</v>
      </c>
      <c r="D193" s="1086"/>
      <c r="E193" s="1086"/>
      <c r="F193" s="1086"/>
      <c r="G193" s="1086"/>
      <c r="H193" s="1087">
        <f>CONSOLIDA!GE142</f>
        <v>0</v>
      </c>
      <c r="I193" s="1087"/>
      <c r="J193" s="1087"/>
      <c r="K193" s="1087"/>
      <c r="L193" s="1087"/>
      <c r="M193" s="1087"/>
      <c r="N193" s="1087"/>
      <c r="O193" s="1087"/>
      <c r="P193" s="1087"/>
      <c r="Q193" s="1087"/>
      <c r="R193" s="1087"/>
      <c r="S193" s="1087"/>
      <c r="T193" s="1087"/>
      <c r="U193" s="1087"/>
      <c r="V193" s="1087"/>
      <c r="W193" s="1087"/>
      <c r="X193" s="1087"/>
      <c r="Y193" s="1087"/>
      <c r="Z193" s="1087"/>
      <c r="AA193" s="1087"/>
      <c r="AB193" s="1087"/>
      <c r="AC193" s="1087"/>
      <c r="AD193" s="1087"/>
      <c r="AE193" s="1087"/>
      <c r="AF193" s="1087"/>
      <c r="AG193" s="1087"/>
      <c r="AH193" s="1087"/>
      <c r="AI193" s="1087"/>
      <c r="AJ193" s="1087"/>
      <c r="AK193" s="1087"/>
      <c r="AL193" s="1087"/>
      <c r="AM193" s="1092"/>
      <c r="AN193" s="1088"/>
      <c r="AO193" s="1088"/>
      <c r="AP193" s="1088"/>
      <c r="AQ193" s="1088"/>
      <c r="AR193" s="1088"/>
      <c r="AS193" s="1088"/>
      <c r="AT193" s="1088"/>
      <c r="AU193" s="1088"/>
      <c r="AV193" s="1088"/>
      <c r="AW193" s="1088"/>
      <c r="AX193" s="1088"/>
      <c r="AY193" s="1088"/>
      <c r="AZ193" s="1088"/>
      <c r="BA193" s="1088"/>
      <c r="BB193" s="1088"/>
      <c r="BC193" s="1088"/>
      <c r="BD193" s="1088"/>
      <c r="BE193" s="1088"/>
      <c r="BF193" s="1088"/>
      <c r="BG193" s="29">
        <f t="shared" si="8"/>
        <v>0</v>
      </c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29"/>
      <c r="BX193" s="29"/>
    </row>
    <row r="194" spans="1:76" s="182" customFormat="1" ht="12.75" hidden="1" customHeight="1">
      <c r="A194" s="512" t="str">
        <f t="shared" si="9"/>
        <v>OK</v>
      </c>
      <c r="B194" s="538" t="str">
        <f t="shared" si="10"/>
        <v/>
      </c>
      <c r="C194" s="1086">
        <f>CONSOLIDA!GD143</f>
        <v>0</v>
      </c>
      <c r="D194" s="1086"/>
      <c r="E194" s="1086"/>
      <c r="F194" s="1086"/>
      <c r="G194" s="1086"/>
      <c r="H194" s="1087">
        <f>CONSOLIDA!GE143</f>
        <v>0</v>
      </c>
      <c r="I194" s="1087"/>
      <c r="J194" s="1087"/>
      <c r="K194" s="1087"/>
      <c r="L194" s="1087"/>
      <c r="M194" s="1087"/>
      <c r="N194" s="1087"/>
      <c r="O194" s="1087"/>
      <c r="P194" s="1087"/>
      <c r="Q194" s="1087"/>
      <c r="R194" s="1087"/>
      <c r="S194" s="1087"/>
      <c r="T194" s="1087"/>
      <c r="U194" s="1087"/>
      <c r="V194" s="1087"/>
      <c r="W194" s="1087"/>
      <c r="X194" s="1087"/>
      <c r="Y194" s="1087"/>
      <c r="Z194" s="1087"/>
      <c r="AA194" s="1087"/>
      <c r="AB194" s="1087"/>
      <c r="AC194" s="1087"/>
      <c r="AD194" s="1087"/>
      <c r="AE194" s="1087"/>
      <c r="AF194" s="1087"/>
      <c r="AG194" s="1087"/>
      <c r="AH194" s="1087"/>
      <c r="AI194" s="1087"/>
      <c r="AJ194" s="1087"/>
      <c r="AK194" s="1087"/>
      <c r="AL194" s="1087"/>
      <c r="AM194" s="1092"/>
      <c r="AN194" s="1088"/>
      <c r="AO194" s="1088"/>
      <c r="AP194" s="1088"/>
      <c r="AQ194" s="1088"/>
      <c r="AR194" s="1088"/>
      <c r="AS194" s="1088"/>
      <c r="AT194" s="1088"/>
      <c r="AU194" s="1088"/>
      <c r="AV194" s="1088"/>
      <c r="AW194" s="1088"/>
      <c r="AX194" s="1088"/>
      <c r="AY194" s="1088"/>
      <c r="AZ194" s="1088"/>
      <c r="BA194" s="1088"/>
      <c r="BB194" s="1088"/>
      <c r="BC194" s="1088"/>
      <c r="BD194" s="1088"/>
      <c r="BE194" s="1088"/>
      <c r="BF194" s="1088"/>
      <c r="BG194" s="29">
        <f t="shared" si="8"/>
        <v>0</v>
      </c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29"/>
      <c r="BX194" s="29"/>
    </row>
    <row r="195" spans="1:76" s="182" customFormat="1" ht="12.75" hidden="1" customHeight="1">
      <c r="A195" s="512" t="str">
        <f t="shared" si="9"/>
        <v>OK</v>
      </c>
      <c r="B195" s="538" t="str">
        <f t="shared" si="10"/>
        <v/>
      </c>
      <c r="C195" s="1086">
        <f>CONSOLIDA!GD144</f>
        <v>0</v>
      </c>
      <c r="D195" s="1086"/>
      <c r="E195" s="1086"/>
      <c r="F195" s="1086"/>
      <c r="G195" s="1086"/>
      <c r="H195" s="1087">
        <f>CONSOLIDA!GE144</f>
        <v>0</v>
      </c>
      <c r="I195" s="1087"/>
      <c r="J195" s="1087"/>
      <c r="K195" s="1087"/>
      <c r="L195" s="1087"/>
      <c r="M195" s="1087"/>
      <c r="N195" s="1087"/>
      <c r="O195" s="1087"/>
      <c r="P195" s="1087"/>
      <c r="Q195" s="1087"/>
      <c r="R195" s="1087"/>
      <c r="S195" s="1087"/>
      <c r="T195" s="1087"/>
      <c r="U195" s="1087"/>
      <c r="V195" s="1087"/>
      <c r="W195" s="1087"/>
      <c r="X195" s="1087"/>
      <c r="Y195" s="1087"/>
      <c r="Z195" s="1087"/>
      <c r="AA195" s="1087"/>
      <c r="AB195" s="1087"/>
      <c r="AC195" s="1087"/>
      <c r="AD195" s="1087"/>
      <c r="AE195" s="1087"/>
      <c r="AF195" s="1087"/>
      <c r="AG195" s="1087"/>
      <c r="AH195" s="1087"/>
      <c r="AI195" s="1087"/>
      <c r="AJ195" s="1087"/>
      <c r="AK195" s="1087"/>
      <c r="AL195" s="1087"/>
      <c r="AM195" s="1092"/>
      <c r="AN195" s="1088"/>
      <c r="AO195" s="1088"/>
      <c r="AP195" s="1088"/>
      <c r="AQ195" s="1088"/>
      <c r="AR195" s="1088"/>
      <c r="AS195" s="1088"/>
      <c r="AT195" s="1088"/>
      <c r="AU195" s="1088"/>
      <c r="AV195" s="1088"/>
      <c r="AW195" s="1088"/>
      <c r="AX195" s="1088"/>
      <c r="AY195" s="1088"/>
      <c r="AZ195" s="1088"/>
      <c r="BA195" s="1088"/>
      <c r="BB195" s="1088"/>
      <c r="BC195" s="1088"/>
      <c r="BD195" s="1088"/>
      <c r="BE195" s="1088"/>
      <c r="BF195" s="1088"/>
      <c r="BG195" s="29">
        <f t="shared" si="8"/>
        <v>0</v>
      </c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29"/>
      <c r="BX195" s="29"/>
    </row>
    <row r="196" spans="1:76" s="182" customFormat="1" ht="12.75" hidden="1" customHeight="1">
      <c r="A196" s="512" t="str">
        <f t="shared" si="9"/>
        <v>OK</v>
      </c>
      <c r="B196" s="538" t="str">
        <f t="shared" si="10"/>
        <v/>
      </c>
      <c r="C196" s="1086">
        <f>CONSOLIDA!GD145</f>
        <v>0</v>
      </c>
      <c r="D196" s="1086"/>
      <c r="E196" s="1086"/>
      <c r="F196" s="1086"/>
      <c r="G196" s="1086"/>
      <c r="H196" s="1087">
        <f>CONSOLIDA!GE145</f>
        <v>0</v>
      </c>
      <c r="I196" s="1087"/>
      <c r="J196" s="1087"/>
      <c r="K196" s="1087"/>
      <c r="L196" s="1087"/>
      <c r="M196" s="1087"/>
      <c r="N196" s="1087"/>
      <c r="O196" s="1087"/>
      <c r="P196" s="1087"/>
      <c r="Q196" s="1087"/>
      <c r="R196" s="1087"/>
      <c r="S196" s="1087"/>
      <c r="T196" s="1087"/>
      <c r="U196" s="1087"/>
      <c r="V196" s="1087"/>
      <c r="W196" s="1087"/>
      <c r="X196" s="1087"/>
      <c r="Y196" s="1087"/>
      <c r="Z196" s="1087"/>
      <c r="AA196" s="1087"/>
      <c r="AB196" s="1087"/>
      <c r="AC196" s="1087"/>
      <c r="AD196" s="1087"/>
      <c r="AE196" s="1087"/>
      <c r="AF196" s="1087"/>
      <c r="AG196" s="1087"/>
      <c r="AH196" s="1087"/>
      <c r="AI196" s="1087"/>
      <c r="AJ196" s="1087"/>
      <c r="AK196" s="1087"/>
      <c r="AL196" s="1087"/>
      <c r="AM196" s="1092"/>
      <c r="AN196" s="1088"/>
      <c r="AO196" s="1088"/>
      <c r="AP196" s="1088"/>
      <c r="AQ196" s="1088"/>
      <c r="AR196" s="1088"/>
      <c r="AS196" s="1088"/>
      <c r="AT196" s="1088"/>
      <c r="AU196" s="1088"/>
      <c r="AV196" s="1088"/>
      <c r="AW196" s="1088"/>
      <c r="AX196" s="1088"/>
      <c r="AY196" s="1088"/>
      <c r="AZ196" s="1088"/>
      <c r="BA196" s="1088"/>
      <c r="BB196" s="1088"/>
      <c r="BC196" s="1088"/>
      <c r="BD196" s="1088"/>
      <c r="BE196" s="1088"/>
      <c r="BF196" s="1088"/>
      <c r="BG196" s="29">
        <f t="shared" si="8"/>
        <v>0</v>
      </c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29"/>
      <c r="BX196" s="29"/>
    </row>
    <row r="197" spans="1:76" s="182" customFormat="1" ht="12.75" hidden="1" customHeight="1">
      <c r="A197" s="512" t="str">
        <f t="shared" si="9"/>
        <v>OK</v>
      </c>
      <c r="B197" s="538" t="str">
        <f t="shared" si="10"/>
        <v/>
      </c>
      <c r="C197" s="1086">
        <f>CONSOLIDA!GD146</f>
        <v>0</v>
      </c>
      <c r="D197" s="1086"/>
      <c r="E197" s="1086"/>
      <c r="F197" s="1086"/>
      <c r="G197" s="1086"/>
      <c r="H197" s="1087">
        <f>CONSOLIDA!GE146</f>
        <v>0</v>
      </c>
      <c r="I197" s="1087"/>
      <c r="J197" s="1087"/>
      <c r="K197" s="1087"/>
      <c r="L197" s="1087"/>
      <c r="M197" s="1087"/>
      <c r="N197" s="1087"/>
      <c r="O197" s="1087"/>
      <c r="P197" s="1087"/>
      <c r="Q197" s="1087"/>
      <c r="R197" s="1087"/>
      <c r="S197" s="1087"/>
      <c r="T197" s="1087"/>
      <c r="U197" s="1087"/>
      <c r="V197" s="1087"/>
      <c r="W197" s="1087"/>
      <c r="X197" s="1087"/>
      <c r="Y197" s="1087"/>
      <c r="Z197" s="1087"/>
      <c r="AA197" s="1087"/>
      <c r="AB197" s="1087"/>
      <c r="AC197" s="1087"/>
      <c r="AD197" s="1087"/>
      <c r="AE197" s="1087"/>
      <c r="AF197" s="1087"/>
      <c r="AG197" s="1087"/>
      <c r="AH197" s="1087"/>
      <c r="AI197" s="1087"/>
      <c r="AJ197" s="1087"/>
      <c r="AK197" s="1087"/>
      <c r="AL197" s="1087"/>
      <c r="AM197" s="1092"/>
      <c r="AN197" s="1088"/>
      <c r="AO197" s="1088"/>
      <c r="AP197" s="1088"/>
      <c r="AQ197" s="1088"/>
      <c r="AR197" s="1088"/>
      <c r="AS197" s="1088"/>
      <c r="AT197" s="1088"/>
      <c r="AU197" s="1088"/>
      <c r="AV197" s="1088"/>
      <c r="AW197" s="1088"/>
      <c r="AX197" s="1088"/>
      <c r="AY197" s="1088"/>
      <c r="AZ197" s="1088"/>
      <c r="BA197" s="1088"/>
      <c r="BB197" s="1088"/>
      <c r="BC197" s="1088"/>
      <c r="BD197" s="1088"/>
      <c r="BE197" s="1088"/>
      <c r="BF197" s="1088"/>
      <c r="BG197" s="29">
        <f t="shared" si="8"/>
        <v>0</v>
      </c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29"/>
      <c r="BX197" s="29"/>
    </row>
    <row r="198" spans="1:76" s="182" customFormat="1" ht="12.75" hidden="1" customHeight="1">
      <c r="A198" s="512" t="str">
        <f t="shared" si="9"/>
        <v>OK</v>
      </c>
      <c r="B198" s="538" t="str">
        <f t="shared" si="10"/>
        <v/>
      </c>
      <c r="C198" s="1086">
        <f>CONSOLIDA!GD147</f>
        <v>0</v>
      </c>
      <c r="D198" s="1086"/>
      <c r="E198" s="1086"/>
      <c r="F198" s="1086"/>
      <c r="G198" s="1086"/>
      <c r="H198" s="1087">
        <f>CONSOLIDA!GE147</f>
        <v>0</v>
      </c>
      <c r="I198" s="1087"/>
      <c r="J198" s="1087"/>
      <c r="K198" s="1087"/>
      <c r="L198" s="1087"/>
      <c r="M198" s="1087"/>
      <c r="N198" s="1087"/>
      <c r="O198" s="1087"/>
      <c r="P198" s="1087"/>
      <c r="Q198" s="1087"/>
      <c r="R198" s="1087"/>
      <c r="S198" s="1087"/>
      <c r="T198" s="1087"/>
      <c r="U198" s="1087"/>
      <c r="V198" s="1087"/>
      <c r="W198" s="1087"/>
      <c r="X198" s="1087"/>
      <c r="Y198" s="1087"/>
      <c r="Z198" s="1087"/>
      <c r="AA198" s="1087"/>
      <c r="AB198" s="1087"/>
      <c r="AC198" s="1087"/>
      <c r="AD198" s="1087"/>
      <c r="AE198" s="1087"/>
      <c r="AF198" s="1087"/>
      <c r="AG198" s="1087"/>
      <c r="AH198" s="1087"/>
      <c r="AI198" s="1087"/>
      <c r="AJ198" s="1087"/>
      <c r="AK198" s="1087"/>
      <c r="AL198" s="1087"/>
      <c r="AM198" s="1092"/>
      <c r="AN198" s="1088"/>
      <c r="AO198" s="1088"/>
      <c r="AP198" s="1088"/>
      <c r="AQ198" s="1088"/>
      <c r="AR198" s="1088"/>
      <c r="AS198" s="1088"/>
      <c r="AT198" s="1088"/>
      <c r="AU198" s="1088"/>
      <c r="AV198" s="1088"/>
      <c r="AW198" s="1088"/>
      <c r="AX198" s="1088"/>
      <c r="AY198" s="1088"/>
      <c r="AZ198" s="1088"/>
      <c r="BA198" s="1088"/>
      <c r="BB198" s="1088"/>
      <c r="BC198" s="1088"/>
      <c r="BD198" s="1088"/>
      <c r="BE198" s="1088"/>
      <c r="BF198" s="1088"/>
      <c r="BG198" s="29">
        <f t="shared" si="8"/>
        <v>0</v>
      </c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29"/>
      <c r="BX198" s="29"/>
    </row>
    <row r="199" spans="1:76" s="182" customFormat="1" ht="12.75" hidden="1" customHeight="1">
      <c r="A199" s="512" t="str">
        <f t="shared" si="9"/>
        <v>OK</v>
      </c>
      <c r="B199" s="538" t="str">
        <f t="shared" si="10"/>
        <v/>
      </c>
      <c r="C199" s="1086">
        <f>CONSOLIDA!GD148</f>
        <v>0</v>
      </c>
      <c r="D199" s="1086"/>
      <c r="E199" s="1086"/>
      <c r="F199" s="1086"/>
      <c r="G199" s="1086"/>
      <c r="H199" s="1087">
        <f>CONSOLIDA!GE148</f>
        <v>0</v>
      </c>
      <c r="I199" s="1087"/>
      <c r="J199" s="1087"/>
      <c r="K199" s="1087"/>
      <c r="L199" s="1087"/>
      <c r="M199" s="1087"/>
      <c r="N199" s="1087"/>
      <c r="O199" s="1087"/>
      <c r="P199" s="1087"/>
      <c r="Q199" s="1087"/>
      <c r="R199" s="1087"/>
      <c r="S199" s="1087"/>
      <c r="T199" s="1087"/>
      <c r="U199" s="1087"/>
      <c r="V199" s="1087"/>
      <c r="W199" s="1087"/>
      <c r="X199" s="1087"/>
      <c r="Y199" s="1087"/>
      <c r="Z199" s="1087"/>
      <c r="AA199" s="1087"/>
      <c r="AB199" s="1087"/>
      <c r="AC199" s="1087"/>
      <c r="AD199" s="1087"/>
      <c r="AE199" s="1087"/>
      <c r="AF199" s="1087"/>
      <c r="AG199" s="1087"/>
      <c r="AH199" s="1087"/>
      <c r="AI199" s="1087"/>
      <c r="AJ199" s="1087"/>
      <c r="AK199" s="1087"/>
      <c r="AL199" s="1087"/>
      <c r="AM199" s="1092"/>
      <c r="AN199" s="1088"/>
      <c r="AO199" s="1088"/>
      <c r="AP199" s="1088"/>
      <c r="AQ199" s="1088"/>
      <c r="AR199" s="1088"/>
      <c r="AS199" s="1088"/>
      <c r="AT199" s="1088"/>
      <c r="AU199" s="1088"/>
      <c r="AV199" s="1088"/>
      <c r="AW199" s="1088"/>
      <c r="AX199" s="1088"/>
      <c r="AY199" s="1088"/>
      <c r="AZ199" s="1088"/>
      <c r="BA199" s="1088"/>
      <c r="BB199" s="1088"/>
      <c r="BC199" s="1088"/>
      <c r="BD199" s="1088"/>
      <c r="BE199" s="1088"/>
      <c r="BF199" s="1088"/>
      <c r="BG199" s="29">
        <f t="shared" si="8"/>
        <v>0</v>
      </c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29"/>
      <c r="BX199" s="29"/>
    </row>
    <row r="200" spans="1:76" s="182" customFormat="1" ht="12.75" hidden="1" customHeight="1">
      <c r="A200" s="512" t="str">
        <f t="shared" si="9"/>
        <v>OK</v>
      </c>
      <c r="B200" s="538" t="str">
        <f t="shared" si="10"/>
        <v/>
      </c>
      <c r="C200" s="1086">
        <f>CONSOLIDA!GD149</f>
        <v>0</v>
      </c>
      <c r="D200" s="1086"/>
      <c r="E200" s="1086"/>
      <c r="F200" s="1086"/>
      <c r="G200" s="1086"/>
      <c r="H200" s="1087">
        <f>CONSOLIDA!GE149</f>
        <v>0</v>
      </c>
      <c r="I200" s="1087"/>
      <c r="J200" s="1087"/>
      <c r="K200" s="1087"/>
      <c r="L200" s="1087"/>
      <c r="M200" s="1087"/>
      <c r="N200" s="1087"/>
      <c r="O200" s="1087"/>
      <c r="P200" s="1087"/>
      <c r="Q200" s="1087"/>
      <c r="R200" s="1087"/>
      <c r="S200" s="1087"/>
      <c r="T200" s="1087"/>
      <c r="U200" s="1087"/>
      <c r="V200" s="1087"/>
      <c r="W200" s="1087"/>
      <c r="X200" s="1087"/>
      <c r="Y200" s="1087"/>
      <c r="Z200" s="1087"/>
      <c r="AA200" s="1087"/>
      <c r="AB200" s="1087"/>
      <c r="AC200" s="1087"/>
      <c r="AD200" s="1087"/>
      <c r="AE200" s="1087"/>
      <c r="AF200" s="1087"/>
      <c r="AG200" s="1087"/>
      <c r="AH200" s="1087"/>
      <c r="AI200" s="1087"/>
      <c r="AJ200" s="1087"/>
      <c r="AK200" s="1087"/>
      <c r="AL200" s="1087"/>
      <c r="AM200" s="1092"/>
      <c r="AN200" s="1088"/>
      <c r="AO200" s="1088"/>
      <c r="AP200" s="1088"/>
      <c r="AQ200" s="1088"/>
      <c r="AR200" s="1088"/>
      <c r="AS200" s="1088"/>
      <c r="AT200" s="1088"/>
      <c r="AU200" s="1088"/>
      <c r="AV200" s="1088"/>
      <c r="AW200" s="1088"/>
      <c r="AX200" s="1088"/>
      <c r="AY200" s="1088"/>
      <c r="AZ200" s="1088"/>
      <c r="BA200" s="1088"/>
      <c r="BB200" s="1088"/>
      <c r="BC200" s="1088"/>
      <c r="BD200" s="1088"/>
      <c r="BE200" s="1088"/>
      <c r="BF200" s="1088"/>
      <c r="BG200" s="29">
        <f t="shared" si="8"/>
        <v>0</v>
      </c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29"/>
      <c r="BX200" s="29"/>
    </row>
    <row r="201" spans="1:76" s="182" customFormat="1" ht="12.75" hidden="1" customHeight="1">
      <c r="A201" s="512" t="str">
        <f t="shared" si="9"/>
        <v>OK</v>
      </c>
      <c r="B201" s="538" t="str">
        <f t="shared" si="10"/>
        <v/>
      </c>
      <c r="C201" s="1086">
        <f>CONSOLIDA!GD150</f>
        <v>0</v>
      </c>
      <c r="D201" s="1086"/>
      <c r="E201" s="1086"/>
      <c r="F201" s="1086"/>
      <c r="G201" s="1086"/>
      <c r="H201" s="1087">
        <f>CONSOLIDA!GE150</f>
        <v>0</v>
      </c>
      <c r="I201" s="1087"/>
      <c r="J201" s="1087"/>
      <c r="K201" s="1087"/>
      <c r="L201" s="1087"/>
      <c r="M201" s="1087"/>
      <c r="N201" s="1087"/>
      <c r="O201" s="1087"/>
      <c r="P201" s="1087"/>
      <c r="Q201" s="1087"/>
      <c r="R201" s="1087"/>
      <c r="S201" s="1087"/>
      <c r="T201" s="1087"/>
      <c r="U201" s="1087"/>
      <c r="V201" s="1087"/>
      <c r="W201" s="1087"/>
      <c r="X201" s="1087"/>
      <c r="Y201" s="1087"/>
      <c r="Z201" s="1087"/>
      <c r="AA201" s="1087"/>
      <c r="AB201" s="1087"/>
      <c r="AC201" s="1087"/>
      <c r="AD201" s="1087"/>
      <c r="AE201" s="1087"/>
      <c r="AF201" s="1087"/>
      <c r="AG201" s="1087"/>
      <c r="AH201" s="1087"/>
      <c r="AI201" s="1087"/>
      <c r="AJ201" s="1087"/>
      <c r="AK201" s="1087"/>
      <c r="AL201" s="1087"/>
      <c r="AM201" s="1092"/>
      <c r="AN201" s="1088"/>
      <c r="AO201" s="1088"/>
      <c r="AP201" s="1088"/>
      <c r="AQ201" s="1088"/>
      <c r="AR201" s="1088"/>
      <c r="AS201" s="1088"/>
      <c r="AT201" s="1088"/>
      <c r="AU201" s="1088"/>
      <c r="AV201" s="1088"/>
      <c r="AW201" s="1088"/>
      <c r="AX201" s="1088"/>
      <c r="AY201" s="1088"/>
      <c r="AZ201" s="1088"/>
      <c r="BA201" s="1088"/>
      <c r="BB201" s="1088"/>
      <c r="BC201" s="1088"/>
      <c r="BD201" s="1088"/>
      <c r="BE201" s="1088"/>
      <c r="BF201" s="1088"/>
      <c r="BG201" s="29">
        <f t="shared" si="8"/>
        <v>0</v>
      </c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29"/>
      <c r="BX201" s="29"/>
    </row>
    <row r="202" spans="1:76" s="182" customFormat="1" ht="12.75" hidden="1" customHeight="1">
      <c r="A202" s="512" t="str">
        <f t="shared" si="9"/>
        <v>OK</v>
      </c>
      <c r="B202" s="538" t="str">
        <f t="shared" si="10"/>
        <v/>
      </c>
      <c r="C202" s="1086">
        <f>CONSOLIDA!GD151</f>
        <v>0</v>
      </c>
      <c r="D202" s="1086"/>
      <c r="E202" s="1086"/>
      <c r="F202" s="1086"/>
      <c r="G202" s="1086"/>
      <c r="H202" s="1087">
        <f>CONSOLIDA!GE151</f>
        <v>0</v>
      </c>
      <c r="I202" s="1087"/>
      <c r="J202" s="1087"/>
      <c r="K202" s="1087"/>
      <c r="L202" s="1087"/>
      <c r="M202" s="1087"/>
      <c r="N202" s="1087"/>
      <c r="O202" s="1087"/>
      <c r="P202" s="1087"/>
      <c r="Q202" s="1087"/>
      <c r="R202" s="1087"/>
      <c r="S202" s="1087"/>
      <c r="T202" s="1087"/>
      <c r="U202" s="1087"/>
      <c r="V202" s="1087"/>
      <c r="W202" s="1087"/>
      <c r="X202" s="1087"/>
      <c r="Y202" s="1087"/>
      <c r="Z202" s="1087"/>
      <c r="AA202" s="1087"/>
      <c r="AB202" s="1087"/>
      <c r="AC202" s="1087"/>
      <c r="AD202" s="1087"/>
      <c r="AE202" s="1087"/>
      <c r="AF202" s="1087"/>
      <c r="AG202" s="1087"/>
      <c r="AH202" s="1087"/>
      <c r="AI202" s="1087"/>
      <c r="AJ202" s="1087"/>
      <c r="AK202" s="1087"/>
      <c r="AL202" s="1087"/>
      <c r="AM202" s="1092"/>
      <c r="AN202" s="1088"/>
      <c r="AO202" s="1088"/>
      <c r="AP202" s="1088"/>
      <c r="AQ202" s="1088"/>
      <c r="AR202" s="1088"/>
      <c r="AS202" s="1088"/>
      <c r="AT202" s="1088"/>
      <c r="AU202" s="1088"/>
      <c r="AV202" s="1088"/>
      <c r="AW202" s="1088"/>
      <c r="AX202" s="1088"/>
      <c r="AY202" s="1088"/>
      <c r="AZ202" s="1088"/>
      <c r="BA202" s="1088"/>
      <c r="BB202" s="1088"/>
      <c r="BC202" s="1088"/>
      <c r="BD202" s="1088"/>
      <c r="BE202" s="1088"/>
      <c r="BF202" s="1088"/>
      <c r="BG202" s="29">
        <f t="shared" si="8"/>
        <v>0</v>
      </c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29"/>
      <c r="BX202" s="29"/>
    </row>
    <row r="203" spans="1:76" s="182" customFormat="1" ht="12.75" hidden="1" customHeight="1">
      <c r="A203" s="512" t="str">
        <f t="shared" si="9"/>
        <v>OK</v>
      </c>
      <c r="B203" s="538" t="str">
        <f t="shared" si="10"/>
        <v/>
      </c>
      <c r="C203" s="1086">
        <f>CONSOLIDA!GD152</f>
        <v>0</v>
      </c>
      <c r="D203" s="1086"/>
      <c r="E203" s="1086"/>
      <c r="F203" s="1086"/>
      <c r="G203" s="1086"/>
      <c r="H203" s="1087">
        <f>CONSOLIDA!GE152</f>
        <v>0</v>
      </c>
      <c r="I203" s="1087"/>
      <c r="J203" s="1087"/>
      <c r="K203" s="1087"/>
      <c r="L203" s="1087"/>
      <c r="M203" s="1087"/>
      <c r="N203" s="1087"/>
      <c r="O203" s="1087"/>
      <c r="P203" s="1087"/>
      <c r="Q203" s="1087"/>
      <c r="R203" s="1087"/>
      <c r="S203" s="1087"/>
      <c r="T203" s="1087"/>
      <c r="U203" s="1087"/>
      <c r="V203" s="1087"/>
      <c r="W203" s="1087"/>
      <c r="X203" s="1087"/>
      <c r="Y203" s="1087"/>
      <c r="Z203" s="1087"/>
      <c r="AA203" s="1087"/>
      <c r="AB203" s="1087"/>
      <c r="AC203" s="1087"/>
      <c r="AD203" s="1087"/>
      <c r="AE203" s="1087"/>
      <c r="AF203" s="1087"/>
      <c r="AG203" s="1087"/>
      <c r="AH203" s="1087"/>
      <c r="AI203" s="1087"/>
      <c r="AJ203" s="1087"/>
      <c r="AK203" s="1087"/>
      <c r="AL203" s="1087"/>
      <c r="AM203" s="1092"/>
      <c r="AN203" s="1088"/>
      <c r="AO203" s="1088"/>
      <c r="AP203" s="1088"/>
      <c r="AQ203" s="1088"/>
      <c r="AR203" s="1088"/>
      <c r="AS203" s="1088"/>
      <c r="AT203" s="1088"/>
      <c r="AU203" s="1088"/>
      <c r="AV203" s="1088"/>
      <c r="AW203" s="1088"/>
      <c r="AX203" s="1088"/>
      <c r="AY203" s="1088"/>
      <c r="AZ203" s="1088"/>
      <c r="BA203" s="1088"/>
      <c r="BB203" s="1088"/>
      <c r="BC203" s="1088"/>
      <c r="BD203" s="1088"/>
      <c r="BE203" s="1088"/>
      <c r="BF203" s="1088"/>
      <c r="BG203" s="29">
        <f t="shared" si="8"/>
        <v>0</v>
      </c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29"/>
      <c r="BX203" s="29"/>
    </row>
    <row r="204" spans="1:76" s="182" customFormat="1" ht="12.75" hidden="1" customHeight="1">
      <c r="A204" s="512" t="str">
        <f t="shared" si="9"/>
        <v>OK</v>
      </c>
      <c r="B204" s="538" t="str">
        <f t="shared" si="10"/>
        <v/>
      </c>
      <c r="C204" s="1086">
        <f>CONSOLIDA!GD153</f>
        <v>0</v>
      </c>
      <c r="D204" s="1086"/>
      <c r="E204" s="1086"/>
      <c r="F204" s="1086"/>
      <c r="G204" s="1086"/>
      <c r="H204" s="1087">
        <f>CONSOLIDA!GE153</f>
        <v>0</v>
      </c>
      <c r="I204" s="1087"/>
      <c r="J204" s="1087"/>
      <c r="K204" s="1087"/>
      <c r="L204" s="1087"/>
      <c r="M204" s="1087"/>
      <c r="N204" s="1087"/>
      <c r="O204" s="1087"/>
      <c r="P204" s="1087"/>
      <c r="Q204" s="1087"/>
      <c r="R204" s="1087"/>
      <c r="S204" s="1087"/>
      <c r="T204" s="1087"/>
      <c r="U204" s="1087"/>
      <c r="V204" s="1087"/>
      <c r="W204" s="1087"/>
      <c r="X204" s="1087"/>
      <c r="Y204" s="1087"/>
      <c r="Z204" s="1087"/>
      <c r="AA204" s="1087"/>
      <c r="AB204" s="1087"/>
      <c r="AC204" s="1087"/>
      <c r="AD204" s="1087"/>
      <c r="AE204" s="1087"/>
      <c r="AF204" s="1087"/>
      <c r="AG204" s="1087"/>
      <c r="AH204" s="1087"/>
      <c r="AI204" s="1087"/>
      <c r="AJ204" s="1087"/>
      <c r="AK204" s="1087"/>
      <c r="AL204" s="1087"/>
      <c r="AM204" s="1092"/>
      <c r="AN204" s="1088"/>
      <c r="AO204" s="1088"/>
      <c r="AP204" s="1088"/>
      <c r="AQ204" s="1088"/>
      <c r="AR204" s="1088"/>
      <c r="AS204" s="1088"/>
      <c r="AT204" s="1088"/>
      <c r="AU204" s="1088"/>
      <c r="AV204" s="1088"/>
      <c r="AW204" s="1088"/>
      <c r="AX204" s="1088"/>
      <c r="AY204" s="1088"/>
      <c r="AZ204" s="1088"/>
      <c r="BA204" s="1088"/>
      <c r="BB204" s="1088"/>
      <c r="BC204" s="1088"/>
      <c r="BD204" s="1088"/>
      <c r="BE204" s="1088"/>
      <c r="BF204" s="1088"/>
      <c r="BG204" s="29">
        <f t="shared" si="8"/>
        <v>0</v>
      </c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29"/>
      <c r="BX204" s="29"/>
    </row>
    <row r="205" spans="1:76" s="182" customFormat="1" ht="12.75" hidden="1" customHeight="1">
      <c r="A205" s="512" t="str">
        <f t="shared" si="9"/>
        <v>OK</v>
      </c>
      <c r="B205" s="538" t="str">
        <f t="shared" si="10"/>
        <v/>
      </c>
      <c r="C205" s="1086">
        <f>CONSOLIDA!GD154</f>
        <v>0</v>
      </c>
      <c r="D205" s="1086"/>
      <c r="E205" s="1086"/>
      <c r="F205" s="1086"/>
      <c r="G205" s="1086"/>
      <c r="H205" s="1087">
        <f>CONSOLIDA!GE154</f>
        <v>0</v>
      </c>
      <c r="I205" s="1087"/>
      <c r="J205" s="1087"/>
      <c r="K205" s="1087"/>
      <c r="L205" s="1087"/>
      <c r="M205" s="1087"/>
      <c r="N205" s="1087"/>
      <c r="O205" s="1087"/>
      <c r="P205" s="1087"/>
      <c r="Q205" s="1087"/>
      <c r="R205" s="1087"/>
      <c r="S205" s="1087"/>
      <c r="T205" s="1087"/>
      <c r="U205" s="1087"/>
      <c r="V205" s="1087"/>
      <c r="W205" s="1087"/>
      <c r="X205" s="1087"/>
      <c r="Y205" s="1087"/>
      <c r="Z205" s="1087"/>
      <c r="AA205" s="1087"/>
      <c r="AB205" s="1087"/>
      <c r="AC205" s="1087"/>
      <c r="AD205" s="1087"/>
      <c r="AE205" s="1087"/>
      <c r="AF205" s="1087"/>
      <c r="AG205" s="1087"/>
      <c r="AH205" s="1087"/>
      <c r="AI205" s="1087"/>
      <c r="AJ205" s="1087"/>
      <c r="AK205" s="1087"/>
      <c r="AL205" s="1087"/>
      <c r="AM205" s="1092"/>
      <c r="AN205" s="1088"/>
      <c r="AO205" s="1088"/>
      <c r="AP205" s="1088"/>
      <c r="AQ205" s="1088"/>
      <c r="AR205" s="1088"/>
      <c r="AS205" s="1088"/>
      <c r="AT205" s="1088"/>
      <c r="AU205" s="1088"/>
      <c r="AV205" s="1088"/>
      <c r="AW205" s="1088"/>
      <c r="AX205" s="1088"/>
      <c r="AY205" s="1088"/>
      <c r="AZ205" s="1088"/>
      <c r="BA205" s="1088"/>
      <c r="BB205" s="1088"/>
      <c r="BC205" s="1088"/>
      <c r="BD205" s="1088"/>
      <c r="BE205" s="1088"/>
      <c r="BF205" s="1088"/>
      <c r="BG205" s="29">
        <f t="shared" si="8"/>
        <v>0</v>
      </c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29"/>
      <c r="BX205" s="29"/>
    </row>
    <row r="206" spans="1:76" s="182" customFormat="1" ht="12.75" hidden="1" customHeight="1">
      <c r="A206" s="512" t="str">
        <f t="shared" si="9"/>
        <v>OK</v>
      </c>
      <c r="B206" s="538" t="str">
        <f t="shared" si="10"/>
        <v/>
      </c>
      <c r="C206" s="1086">
        <f>CONSOLIDA!GD155</f>
        <v>0</v>
      </c>
      <c r="D206" s="1086"/>
      <c r="E206" s="1086"/>
      <c r="F206" s="1086"/>
      <c r="G206" s="1086"/>
      <c r="H206" s="1087">
        <f>CONSOLIDA!GE155</f>
        <v>0</v>
      </c>
      <c r="I206" s="1087"/>
      <c r="J206" s="1087"/>
      <c r="K206" s="1087"/>
      <c r="L206" s="1087"/>
      <c r="M206" s="1087"/>
      <c r="N206" s="1087"/>
      <c r="O206" s="1087"/>
      <c r="P206" s="1087"/>
      <c r="Q206" s="1087"/>
      <c r="R206" s="1087"/>
      <c r="S206" s="1087"/>
      <c r="T206" s="1087"/>
      <c r="U206" s="1087"/>
      <c r="V206" s="1087"/>
      <c r="W206" s="1087"/>
      <c r="X206" s="1087"/>
      <c r="Y206" s="1087"/>
      <c r="Z206" s="1087"/>
      <c r="AA206" s="1087"/>
      <c r="AB206" s="1087"/>
      <c r="AC206" s="1087"/>
      <c r="AD206" s="1087"/>
      <c r="AE206" s="1087"/>
      <c r="AF206" s="1087"/>
      <c r="AG206" s="1087"/>
      <c r="AH206" s="1087"/>
      <c r="AI206" s="1087"/>
      <c r="AJ206" s="1087"/>
      <c r="AK206" s="1087"/>
      <c r="AL206" s="1087"/>
      <c r="AM206" s="1092"/>
      <c r="AN206" s="1088"/>
      <c r="AO206" s="1088"/>
      <c r="AP206" s="1088"/>
      <c r="AQ206" s="1088"/>
      <c r="AR206" s="1088"/>
      <c r="AS206" s="1088"/>
      <c r="AT206" s="1088"/>
      <c r="AU206" s="1088"/>
      <c r="AV206" s="1088"/>
      <c r="AW206" s="1088"/>
      <c r="AX206" s="1088"/>
      <c r="AY206" s="1088"/>
      <c r="AZ206" s="1088"/>
      <c r="BA206" s="1088"/>
      <c r="BB206" s="1088"/>
      <c r="BC206" s="1088"/>
      <c r="BD206" s="1088"/>
      <c r="BE206" s="1088"/>
      <c r="BF206" s="1088"/>
      <c r="BG206" s="29">
        <f t="shared" si="8"/>
        <v>0</v>
      </c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29"/>
      <c r="BX206" s="29"/>
    </row>
    <row r="207" spans="1:76" s="182" customFormat="1" ht="12.75" hidden="1" customHeight="1">
      <c r="A207" s="512" t="str">
        <f t="shared" si="9"/>
        <v>OK</v>
      </c>
      <c r="B207" s="538" t="str">
        <f t="shared" si="10"/>
        <v/>
      </c>
      <c r="C207" s="1086">
        <f>CONSOLIDA!GD156</f>
        <v>0</v>
      </c>
      <c r="D207" s="1086"/>
      <c r="E207" s="1086"/>
      <c r="F207" s="1086"/>
      <c r="G207" s="1086"/>
      <c r="H207" s="1087">
        <f>CONSOLIDA!GE156</f>
        <v>0</v>
      </c>
      <c r="I207" s="1087"/>
      <c r="J207" s="1087"/>
      <c r="K207" s="1087"/>
      <c r="L207" s="1087"/>
      <c r="M207" s="1087"/>
      <c r="N207" s="1087"/>
      <c r="O207" s="1087"/>
      <c r="P207" s="1087"/>
      <c r="Q207" s="1087"/>
      <c r="R207" s="1087"/>
      <c r="S207" s="1087"/>
      <c r="T207" s="1087"/>
      <c r="U207" s="1087"/>
      <c r="V207" s="1087"/>
      <c r="W207" s="1087"/>
      <c r="X207" s="1087"/>
      <c r="Y207" s="1087"/>
      <c r="Z207" s="1087"/>
      <c r="AA207" s="1087"/>
      <c r="AB207" s="1087"/>
      <c r="AC207" s="1087"/>
      <c r="AD207" s="1087"/>
      <c r="AE207" s="1087"/>
      <c r="AF207" s="1087"/>
      <c r="AG207" s="1087"/>
      <c r="AH207" s="1087"/>
      <c r="AI207" s="1087"/>
      <c r="AJ207" s="1087"/>
      <c r="AK207" s="1087"/>
      <c r="AL207" s="1087"/>
      <c r="AM207" s="1092"/>
      <c r="AN207" s="1088"/>
      <c r="AO207" s="1088"/>
      <c r="AP207" s="1088"/>
      <c r="AQ207" s="1088"/>
      <c r="AR207" s="1088"/>
      <c r="AS207" s="1088"/>
      <c r="AT207" s="1088"/>
      <c r="AU207" s="1088"/>
      <c r="AV207" s="1088"/>
      <c r="AW207" s="1088"/>
      <c r="AX207" s="1088"/>
      <c r="AY207" s="1088"/>
      <c r="AZ207" s="1088"/>
      <c r="BA207" s="1088"/>
      <c r="BB207" s="1088"/>
      <c r="BC207" s="1088"/>
      <c r="BD207" s="1088"/>
      <c r="BE207" s="1088"/>
      <c r="BF207" s="1088"/>
      <c r="BG207" s="29">
        <f t="shared" si="8"/>
        <v>0</v>
      </c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29"/>
      <c r="BX207" s="29"/>
    </row>
    <row r="208" spans="1:76" s="182" customFormat="1" ht="12.75" hidden="1" customHeight="1">
      <c r="A208" s="512" t="str">
        <f t="shared" si="9"/>
        <v>OK</v>
      </c>
      <c r="B208" s="538" t="str">
        <f t="shared" si="10"/>
        <v/>
      </c>
      <c r="C208" s="1086">
        <f>CONSOLIDA!GD157</f>
        <v>0</v>
      </c>
      <c r="D208" s="1086"/>
      <c r="E208" s="1086"/>
      <c r="F208" s="1086"/>
      <c r="G208" s="1086"/>
      <c r="H208" s="1087">
        <f>CONSOLIDA!GE157</f>
        <v>0</v>
      </c>
      <c r="I208" s="1087"/>
      <c r="J208" s="1087"/>
      <c r="K208" s="1087"/>
      <c r="L208" s="1087"/>
      <c r="M208" s="1087"/>
      <c r="N208" s="1087"/>
      <c r="O208" s="1087"/>
      <c r="P208" s="1087"/>
      <c r="Q208" s="1087"/>
      <c r="R208" s="1087"/>
      <c r="S208" s="1087"/>
      <c r="T208" s="1087"/>
      <c r="U208" s="1087"/>
      <c r="V208" s="1087"/>
      <c r="W208" s="1087"/>
      <c r="X208" s="1087"/>
      <c r="Y208" s="1087"/>
      <c r="Z208" s="1087"/>
      <c r="AA208" s="1087"/>
      <c r="AB208" s="1087"/>
      <c r="AC208" s="1087"/>
      <c r="AD208" s="1087"/>
      <c r="AE208" s="1087"/>
      <c r="AF208" s="1087"/>
      <c r="AG208" s="1087"/>
      <c r="AH208" s="1087"/>
      <c r="AI208" s="1087"/>
      <c r="AJ208" s="1087"/>
      <c r="AK208" s="1087"/>
      <c r="AL208" s="1087"/>
      <c r="AM208" s="1092"/>
      <c r="AN208" s="1088"/>
      <c r="AO208" s="1088"/>
      <c r="AP208" s="1088"/>
      <c r="AQ208" s="1088"/>
      <c r="AR208" s="1088"/>
      <c r="AS208" s="1088"/>
      <c r="AT208" s="1088"/>
      <c r="AU208" s="1088"/>
      <c r="AV208" s="1088"/>
      <c r="AW208" s="1088"/>
      <c r="AX208" s="1088"/>
      <c r="AY208" s="1088"/>
      <c r="AZ208" s="1088"/>
      <c r="BA208" s="1088"/>
      <c r="BB208" s="1088"/>
      <c r="BC208" s="1088"/>
      <c r="BD208" s="1088"/>
      <c r="BE208" s="1088"/>
      <c r="BF208" s="1088"/>
      <c r="BG208" s="29">
        <f t="shared" si="8"/>
        <v>0</v>
      </c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29"/>
      <c r="BX208" s="29"/>
    </row>
    <row r="209" spans="1:76" s="182" customFormat="1" ht="12.75" hidden="1" customHeight="1">
      <c r="A209" s="512" t="str">
        <f t="shared" si="9"/>
        <v>OK</v>
      </c>
      <c r="B209" s="538" t="str">
        <f t="shared" si="10"/>
        <v/>
      </c>
      <c r="C209" s="1086">
        <f>CONSOLIDA!GD158</f>
        <v>0</v>
      </c>
      <c r="D209" s="1086"/>
      <c r="E209" s="1086"/>
      <c r="F209" s="1086"/>
      <c r="G209" s="1086"/>
      <c r="H209" s="1087">
        <f>CONSOLIDA!GE158</f>
        <v>0</v>
      </c>
      <c r="I209" s="1087"/>
      <c r="J209" s="1087"/>
      <c r="K209" s="1087"/>
      <c r="L209" s="1087"/>
      <c r="M209" s="1087"/>
      <c r="N209" s="1087"/>
      <c r="O209" s="1087"/>
      <c r="P209" s="1087"/>
      <c r="Q209" s="1087"/>
      <c r="R209" s="1087"/>
      <c r="S209" s="1087"/>
      <c r="T209" s="1087"/>
      <c r="U209" s="1087"/>
      <c r="V209" s="1087"/>
      <c r="W209" s="1087"/>
      <c r="X209" s="1087"/>
      <c r="Y209" s="1087"/>
      <c r="Z209" s="1087"/>
      <c r="AA209" s="1087"/>
      <c r="AB209" s="1087"/>
      <c r="AC209" s="1087"/>
      <c r="AD209" s="1087"/>
      <c r="AE209" s="1087"/>
      <c r="AF209" s="1087"/>
      <c r="AG209" s="1087"/>
      <c r="AH209" s="1087"/>
      <c r="AI209" s="1087"/>
      <c r="AJ209" s="1087"/>
      <c r="AK209" s="1087"/>
      <c r="AL209" s="1087"/>
      <c r="AM209" s="1092"/>
      <c r="AN209" s="1088"/>
      <c r="AO209" s="1088"/>
      <c r="AP209" s="1088"/>
      <c r="AQ209" s="1088"/>
      <c r="AR209" s="1088"/>
      <c r="AS209" s="1088"/>
      <c r="AT209" s="1088"/>
      <c r="AU209" s="1088"/>
      <c r="AV209" s="1088"/>
      <c r="AW209" s="1088"/>
      <c r="AX209" s="1088"/>
      <c r="AY209" s="1088"/>
      <c r="AZ209" s="1088"/>
      <c r="BA209" s="1088"/>
      <c r="BB209" s="1088"/>
      <c r="BC209" s="1088"/>
      <c r="BD209" s="1088"/>
      <c r="BE209" s="1088"/>
      <c r="BF209" s="1088"/>
      <c r="BG209" s="29">
        <f t="shared" si="8"/>
        <v>0</v>
      </c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29"/>
      <c r="BX209" s="29"/>
    </row>
    <row r="210" spans="1:76" s="182" customFormat="1" ht="12.75" hidden="1" customHeight="1">
      <c r="A210" s="512" t="str">
        <f t="shared" si="9"/>
        <v>OK</v>
      </c>
      <c r="B210" s="538" t="str">
        <f t="shared" si="10"/>
        <v/>
      </c>
      <c r="C210" s="1086">
        <f>CONSOLIDA!GD159</f>
        <v>0</v>
      </c>
      <c r="D210" s="1086"/>
      <c r="E210" s="1086"/>
      <c r="F210" s="1086"/>
      <c r="G210" s="1086"/>
      <c r="H210" s="1087">
        <f>CONSOLIDA!GE159</f>
        <v>0</v>
      </c>
      <c r="I210" s="1087"/>
      <c r="J210" s="1087"/>
      <c r="K210" s="1087"/>
      <c r="L210" s="1087"/>
      <c r="M210" s="1087"/>
      <c r="N210" s="1087"/>
      <c r="O210" s="1087"/>
      <c r="P210" s="1087"/>
      <c r="Q210" s="1087"/>
      <c r="R210" s="1087"/>
      <c r="S210" s="1087"/>
      <c r="T210" s="1087"/>
      <c r="U210" s="1087"/>
      <c r="V210" s="1087"/>
      <c r="W210" s="1087"/>
      <c r="X210" s="1087"/>
      <c r="Y210" s="1087"/>
      <c r="Z210" s="1087"/>
      <c r="AA210" s="1087"/>
      <c r="AB210" s="1087"/>
      <c r="AC210" s="1087"/>
      <c r="AD210" s="1087"/>
      <c r="AE210" s="1087"/>
      <c r="AF210" s="1087"/>
      <c r="AG210" s="1087"/>
      <c r="AH210" s="1087"/>
      <c r="AI210" s="1087"/>
      <c r="AJ210" s="1087"/>
      <c r="AK210" s="1087"/>
      <c r="AL210" s="1087"/>
      <c r="AM210" s="1092"/>
      <c r="AN210" s="1088"/>
      <c r="AO210" s="1088"/>
      <c r="AP210" s="1088"/>
      <c r="AQ210" s="1088"/>
      <c r="AR210" s="1088"/>
      <c r="AS210" s="1088"/>
      <c r="AT210" s="1088"/>
      <c r="AU210" s="1088"/>
      <c r="AV210" s="1088"/>
      <c r="AW210" s="1088"/>
      <c r="AX210" s="1088"/>
      <c r="AY210" s="1088"/>
      <c r="AZ210" s="1088"/>
      <c r="BA210" s="1088"/>
      <c r="BB210" s="1088"/>
      <c r="BC210" s="1088"/>
      <c r="BD210" s="1088"/>
      <c r="BE210" s="1088"/>
      <c r="BF210" s="1088"/>
      <c r="BG210" s="29">
        <f t="shared" si="8"/>
        <v>0</v>
      </c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29"/>
      <c r="BX210" s="29"/>
    </row>
    <row r="211" spans="1:76" s="182" customFormat="1" ht="12.75" hidden="1" customHeight="1">
      <c r="A211" s="512" t="str">
        <f t="shared" si="9"/>
        <v>OK</v>
      </c>
      <c r="B211" s="538" t="str">
        <f t="shared" si="10"/>
        <v/>
      </c>
      <c r="C211" s="1086">
        <f>CONSOLIDA!GD160</f>
        <v>0</v>
      </c>
      <c r="D211" s="1086"/>
      <c r="E211" s="1086"/>
      <c r="F211" s="1086"/>
      <c r="G211" s="1086"/>
      <c r="H211" s="1087">
        <f>CONSOLIDA!GE160</f>
        <v>0</v>
      </c>
      <c r="I211" s="1087"/>
      <c r="J211" s="1087"/>
      <c r="K211" s="1087"/>
      <c r="L211" s="1087"/>
      <c r="M211" s="1087"/>
      <c r="N211" s="1087"/>
      <c r="O211" s="1087"/>
      <c r="P211" s="1087"/>
      <c r="Q211" s="1087"/>
      <c r="R211" s="1087"/>
      <c r="S211" s="1087"/>
      <c r="T211" s="1087"/>
      <c r="U211" s="1087"/>
      <c r="V211" s="1087"/>
      <c r="W211" s="1087"/>
      <c r="X211" s="1087"/>
      <c r="Y211" s="1087"/>
      <c r="Z211" s="1087"/>
      <c r="AA211" s="1087"/>
      <c r="AB211" s="1087"/>
      <c r="AC211" s="1087"/>
      <c r="AD211" s="1087"/>
      <c r="AE211" s="1087"/>
      <c r="AF211" s="1087"/>
      <c r="AG211" s="1087"/>
      <c r="AH211" s="1087"/>
      <c r="AI211" s="1087"/>
      <c r="AJ211" s="1087"/>
      <c r="AK211" s="1087"/>
      <c r="AL211" s="1087"/>
      <c r="AM211" s="1092"/>
      <c r="AN211" s="1088"/>
      <c r="AO211" s="1088"/>
      <c r="AP211" s="1088"/>
      <c r="AQ211" s="1088"/>
      <c r="AR211" s="1088"/>
      <c r="AS211" s="1088"/>
      <c r="AT211" s="1088"/>
      <c r="AU211" s="1088"/>
      <c r="AV211" s="1088"/>
      <c r="AW211" s="1088"/>
      <c r="AX211" s="1088"/>
      <c r="AY211" s="1088"/>
      <c r="AZ211" s="1088"/>
      <c r="BA211" s="1088"/>
      <c r="BB211" s="1088"/>
      <c r="BC211" s="1088"/>
      <c r="BD211" s="1088"/>
      <c r="BE211" s="1088"/>
      <c r="BF211" s="1088"/>
      <c r="BG211" s="29">
        <f t="shared" si="8"/>
        <v>0</v>
      </c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29"/>
      <c r="BX211" s="29"/>
    </row>
    <row r="212" spans="1:76" s="182" customFormat="1" ht="12.75" hidden="1" customHeight="1">
      <c r="A212" s="512" t="str">
        <f t="shared" si="9"/>
        <v>OK</v>
      </c>
      <c r="B212" s="538" t="str">
        <f t="shared" si="10"/>
        <v/>
      </c>
      <c r="C212" s="1086">
        <f>CONSOLIDA!GD161</f>
        <v>0</v>
      </c>
      <c r="D212" s="1086"/>
      <c r="E212" s="1086"/>
      <c r="F212" s="1086"/>
      <c r="G212" s="1086"/>
      <c r="H212" s="1087">
        <f>CONSOLIDA!GE161</f>
        <v>0</v>
      </c>
      <c r="I212" s="1087"/>
      <c r="J212" s="1087"/>
      <c r="K212" s="1087"/>
      <c r="L212" s="1087"/>
      <c r="M212" s="1087"/>
      <c r="N212" s="1087"/>
      <c r="O212" s="1087"/>
      <c r="P212" s="1087"/>
      <c r="Q212" s="1087"/>
      <c r="R212" s="1087"/>
      <c r="S212" s="1087"/>
      <c r="T212" s="1087"/>
      <c r="U212" s="1087"/>
      <c r="V212" s="1087"/>
      <c r="W212" s="1087"/>
      <c r="X212" s="1087"/>
      <c r="Y212" s="1087"/>
      <c r="Z212" s="1087"/>
      <c r="AA212" s="1087"/>
      <c r="AB212" s="1087"/>
      <c r="AC212" s="1087"/>
      <c r="AD212" s="1087"/>
      <c r="AE212" s="1087"/>
      <c r="AF212" s="1087"/>
      <c r="AG212" s="1087"/>
      <c r="AH212" s="1087"/>
      <c r="AI212" s="1087"/>
      <c r="AJ212" s="1087"/>
      <c r="AK212" s="1087"/>
      <c r="AL212" s="1087"/>
      <c r="AM212" s="1092"/>
      <c r="AN212" s="1088"/>
      <c r="AO212" s="1088"/>
      <c r="AP212" s="1088"/>
      <c r="AQ212" s="1088"/>
      <c r="AR212" s="1088"/>
      <c r="AS212" s="1088"/>
      <c r="AT212" s="1088"/>
      <c r="AU212" s="1088"/>
      <c r="AV212" s="1088"/>
      <c r="AW212" s="1088"/>
      <c r="AX212" s="1088"/>
      <c r="AY212" s="1088"/>
      <c r="AZ212" s="1088"/>
      <c r="BA212" s="1088"/>
      <c r="BB212" s="1088"/>
      <c r="BC212" s="1088"/>
      <c r="BD212" s="1088"/>
      <c r="BE212" s="1088"/>
      <c r="BF212" s="1088"/>
      <c r="BG212" s="29">
        <f t="shared" si="8"/>
        <v>0</v>
      </c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29"/>
      <c r="BX212" s="29"/>
    </row>
    <row r="213" spans="1:76" s="182" customFormat="1" ht="12.75" hidden="1" customHeight="1">
      <c r="A213" s="512" t="str">
        <f t="shared" si="9"/>
        <v>OK</v>
      </c>
      <c r="B213" s="538" t="str">
        <f t="shared" si="10"/>
        <v/>
      </c>
      <c r="C213" s="1086">
        <f>CONSOLIDA!GD162</f>
        <v>0</v>
      </c>
      <c r="D213" s="1086"/>
      <c r="E213" s="1086"/>
      <c r="F213" s="1086"/>
      <c r="G213" s="1086"/>
      <c r="H213" s="1087">
        <f>CONSOLIDA!GE162</f>
        <v>0</v>
      </c>
      <c r="I213" s="1087"/>
      <c r="J213" s="1087"/>
      <c r="K213" s="1087"/>
      <c r="L213" s="1087"/>
      <c r="M213" s="1087"/>
      <c r="N213" s="1087"/>
      <c r="O213" s="1087"/>
      <c r="P213" s="1087"/>
      <c r="Q213" s="1087"/>
      <c r="R213" s="1087"/>
      <c r="S213" s="1087"/>
      <c r="T213" s="1087"/>
      <c r="U213" s="1087"/>
      <c r="V213" s="1087"/>
      <c r="W213" s="1087"/>
      <c r="X213" s="1087"/>
      <c r="Y213" s="1087"/>
      <c r="Z213" s="1087"/>
      <c r="AA213" s="1087"/>
      <c r="AB213" s="1087"/>
      <c r="AC213" s="1087"/>
      <c r="AD213" s="1087"/>
      <c r="AE213" s="1087"/>
      <c r="AF213" s="1087"/>
      <c r="AG213" s="1087"/>
      <c r="AH213" s="1087"/>
      <c r="AI213" s="1087"/>
      <c r="AJ213" s="1087"/>
      <c r="AK213" s="1087"/>
      <c r="AL213" s="1087"/>
      <c r="AM213" s="1092"/>
      <c r="AN213" s="1088"/>
      <c r="AO213" s="1088"/>
      <c r="AP213" s="1088"/>
      <c r="AQ213" s="1088"/>
      <c r="AR213" s="1088"/>
      <c r="AS213" s="1088"/>
      <c r="AT213" s="1088"/>
      <c r="AU213" s="1088"/>
      <c r="AV213" s="1088"/>
      <c r="AW213" s="1088"/>
      <c r="AX213" s="1088"/>
      <c r="AY213" s="1088"/>
      <c r="AZ213" s="1088"/>
      <c r="BA213" s="1088"/>
      <c r="BB213" s="1088"/>
      <c r="BC213" s="1088"/>
      <c r="BD213" s="1088"/>
      <c r="BE213" s="1088"/>
      <c r="BF213" s="1088"/>
      <c r="BG213" s="29">
        <f t="shared" si="8"/>
        <v>0</v>
      </c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29"/>
      <c r="BX213" s="29"/>
    </row>
    <row r="214" spans="1:76" s="182" customFormat="1" ht="12.75" hidden="1" customHeight="1">
      <c r="A214" s="512" t="str">
        <f t="shared" si="9"/>
        <v>OK</v>
      </c>
      <c r="B214" s="538" t="str">
        <f t="shared" si="10"/>
        <v/>
      </c>
      <c r="C214" s="1086">
        <f>CONSOLIDA!GD163</f>
        <v>0</v>
      </c>
      <c r="D214" s="1086"/>
      <c r="E214" s="1086"/>
      <c r="F214" s="1086"/>
      <c r="G214" s="1086"/>
      <c r="H214" s="1087">
        <f>CONSOLIDA!GE163</f>
        <v>0</v>
      </c>
      <c r="I214" s="1087"/>
      <c r="J214" s="1087"/>
      <c r="K214" s="1087"/>
      <c r="L214" s="1087"/>
      <c r="M214" s="1087"/>
      <c r="N214" s="1087"/>
      <c r="O214" s="1087"/>
      <c r="P214" s="1087"/>
      <c r="Q214" s="1087"/>
      <c r="R214" s="1087"/>
      <c r="S214" s="1087"/>
      <c r="T214" s="1087"/>
      <c r="U214" s="1087"/>
      <c r="V214" s="1087"/>
      <c r="W214" s="1087"/>
      <c r="X214" s="1087"/>
      <c r="Y214" s="1087"/>
      <c r="Z214" s="1087"/>
      <c r="AA214" s="1087"/>
      <c r="AB214" s="1087"/>
      <c r="AC214" s="1087"/>
      <c r="AD214" s="1087"/>
      <c r="AE214" s="1087"/>
      <c r="AF214" s="1087"/>
      <c r="AG214" s="1087"/>
      <c r="AH214" s="1087"/>
      <c r="AI214" s="1087"/>
      <c r="AJ214" s="1087"/>
      <c r="AK214" s="1087"/>
      <c r="AL214" s="1087"/>
      <c r="AM214" s="1092"/>
      <c r="AN214" s="1088"/>
      <c r="AO214" s="1088"/>
      <c r="AP214" s="1088"/>
      <c r="AQ214" s="1088"/>
      <c r="AR214" s="1088"/>
      <c r="AS214" s="1088"/>
      <c r="AT214" s="1088"/>
      <c r="AU214" s="1088"/>
      <c r="AV214" s="1088"/>
      <c r="AW214" s="1088"/>
      <c r="AX214" s="1088"/>
      <c r="AY214" s="1088"/>
      <c r="AZ214" s="1088"/>
      <c r="BA214" s="1088"/>
      <c r="BB214" s="1088"/>
      <c r="BC214" s="1088"/>
      <c r="BD214" s="1088"/>
      <c r="BE214" s="1088"/>
      <c r="BF214" s="1088"/>
      <c r="BG214" s="29">
        <f t="shared" si="8"/>
        <v>0</v>
      </c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29"/>
      <c r="BX214" s="29"/>
    </row>
    <row r="215" spans="1:76" s="182" customFormat="1" ht="12.75" hidden="1" customHeight="1">
      <c r="A215" s="512" t="str">
        <f t="shared" si="9"/>
        <v>OK</v>
      </c>
      <c r="B215" s="538" t="str">
        <f t="shared" si="10"/>
        <v/>
      </c>
      <c r="C215" s="1086">
        <f>CONSOLIDA!GD164</f>
        <v>0</v>
      </c>
      <c r="D215" s="1086"/>
      <c r="E215" s="1086"/>
      <c r="F215" s="1086"/>
      <c r="G215" s="1086"/>
      <c r="H215" s="1087">
        <f>CONSOLIDA!GE164</f>
        <v>0</v>
      </c>
      <c r="I215" s="1087"/>
      <c r="J215" s="1087"/>
      <c r="K215" s="1087"/>
      <c r="L215" s="1087"/>
      <c r="M215" s="1087"/>
      <c r="N215" s="1087"/>
      <c r="O215" s="1087"/>
      <c r="P215" s="1087"/>
      <c r="Q215" s="1087"/>
      <c r="R215" s="1087"/>
      <c r="S215" s="1087"/>
      <c r="T215" s="1087"/>
      <c r="U215" s="1087"/>
      <c r="V215" s="1087"/>
      <c r="W215" s="1087"/>
      <c r="X215" s="1087"/>
      <c r="Y215" s="1087"/>
      <c r="Z215" s="1087"/>
      <c r="AA215" s="1087"/>
      <c r="AB215" s="1087"/>
      <c r="AC215" s="1087"/>
      <c r="AD215" s="1087"/>
      <c r="AE215" s="1087"/>
      <c r="AF215" s="1087"/>
      <c r="AG215" s="1087"/>
      <c r="AH215" s="1087"/>
      <c r="AI215" s="1087"/>
      <c r="AJ215" s="1087"/>
      <c r="AK215" s="1087"/>
      <c r="AL215" s="1087"/>
      <c r="AM215" s="1092"/>
      <c r="AN215" s="1088"/>
      <c r="AO215" s="1088"/>
      <c r="AP215" s="1088"/>
      <c r="AQ215" s="1088"/>
      <c r="AR215" s="1088"/>
      <c r="AS215" s="1088"/>
      <c r="AT215" s="1088"/>
      <c r="AU215" s="1088"/>
      <c r="AV215" s="1088"/>
      <c r="AW215" s="1088"/>
      <c r="AX215" s="1088"/>
      <c r="AY215" s="1088"/>
      <c r="AZ215" s="1088"/>
      <c r="BA215" s="1088"/>
      <c r="BB215" s="1088"/>
      <c r="BC215" s="1088"/>
      <c r="BD215" s="1088"/>
      <c r="BE215" s="1088"/>
      <c r="BF215" s="1088"/>
      <c r="BG215" s="29">
        <f t="shared" si="8"/>
        <v>0</v>
      </c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29"/>
      <c r="BX215" s="29"/>
    </row>
    <row r="216" spans="1:76" s="182" customFormat="1" ht="12.75" hidden="1" customHeight="1">
      <c r="A216" s="512" t="str">
        <f t="shared" si="9"/>
        <v>OK</v>
      </c>
      <c r="B216" s="538" t="str">
        <f t="shared" si="10"/>
        <v/>
      </c>
      <c r="C216" s="1086">
        <f>CONSOLIDA!GD165</f>
        <v>0</v>
      </c>
      <c r="D216" s="1086"/>
      <c r="E216" s="1086"/>
      <c r="F216" s="1086"/>
      <c r="G216" s="1086"/>
      <c r="H216" s="1087">
        <f>CONSOLIDA!GE165</f>
        <v>0</v>
      </c>
      <c r="I216" s="1087"/>
      <c r="J216" s="1087"/>
      <c r="K216" s="1087"/>
      <c r="L216" s="1087"/>
      <c r="M216" s="1087"/>
      <c r="N216" s="1087"/>
      <c r="O216" s="1087"/>
      <c r="P216" s="1087"/>
      <c r="Q216" s="1087"/>
      <c r="R216" s="1087"/>
      <c r="S216" s="1087"/>
      <c r="T216" s="1087"/>
      <c r="U216" s="1087"/>
      <c r="V216" s="1087"/>
      <c r="W216" s="1087"/>
      <c r="X216" s="1087"/>
      <c r="Y216" s="1087"/>
      <c r="Z216" s="1087"/>
      <c r="AA216" s="1087"/>
      <c r="AB216" s="1087"/>
      <c r="AC216" s="1087"/>
      <c r="AD216" s="1087"/>
      <c r="AE216" s="1087"/>
      <c r="AF216" s="1087"/>
      <c r="AG216" s="1087"/>
      <c r="AH216" s="1087"/>
      <c r="AI216" s="1087"/>
      <c r="AJ216" s="1087"/>
      <c r="AK216" s="1087"/>
      <c r="AL216" s="1087"/>
      <c r="AM216" s="1092"/>
      <c r="AN216" s="1088"/>
      <c r="AO216" s="1088"/>
      <c r="AP216" s="1088"/>
      <c r="AQ216" s="1088"/>
      <c r="AR216" s="1088"/>
      <c r="AS216" s="1088"/>
      <c r="AT216" s="1088"/>
      <c r="AU216" s="1088"/>
      <c r="AV216" s="1088"/>
      <c r="AW216" s="1088"/>
      <c r="AX216" s="1088"/>
      <c r="AY216" s="1088"/>
      <c r="AZ216" s="1088"/>
      <c r="BA216" s="1088"/>
      <c r="BB216" s="1088"/>
      <c r="BC216" s="1088"/>
      <c r="BD216" s="1088"/>
      <c r="BE216" s="1088"/>
      <c r="BF216" s="1088"/>
      <c r="BG216" s="29">
        <f t="shared" si="8"/>
        <v>0</v>
      </c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29"/>
      <c r="BX216" s="29"/>
    </row>
    <row r="217" spans="1:76" s="182" customFormat="1" ht="12.75" hidden="1" customHeight="1">
      <c r="A217" s="512" t="str">
        <f t="shared" si="9"/>
        <v>OK</v>
      </c>
      <c r="B217" s="538" t="str">
        <f t="shared" si="10"/>
        <v/>
      </c>
      <c r="C217" s="1086">
        <f>CONSOLIDA!GD166</f>
        <v>0</v>
      </c>
      <c r="D217" s="1086"/>
      <c r="E217" s="1086"/>
      <c r="F217" s="1086"/>
      <c r="G217" s="1086"/>
      <c r="H217" s="1087">
        <f>CONSOLIDA!GE166</f>
        <v>0</v>
      </c>
      <c r="I217" s="1087"/>
      <c r="J217" s="1087"/>
      <c r="K217" s="1087"/>
      <c r="L217" s="1087"/>
      <c r="M217" s="1087"/>
      <c r="N217" s="1087"/>
      <c r="O217" s="1087"/>
      <c r="P217" s="1087"/>
      <c r="Q217" s="1087"/>
      <c r="R217" s="1087"/>
      <c r="S217" s="1087"/>
      <c r="T217" s="1087"/>
      <c r="U217" s="1087"/>
      <c r="V217" s="1087"/>
      <c r="W217" s="1087"/>
      <c r="X217" s="1087"/>
      <c r="Y217" s="1087"/>
      <c r="Z217" s="1087"/>
      <c r="AA217" s="1087"/>
      <c r="AB217" s="1087"/>
      <c r="AC217" s="1087"/>
      <c r="AD217" s="1087"/>
      <c r="AE217" s="1087"/>
      <c r="AF217" s="1087"/>
      <c r="AG217" s="1087"/>
      <c r="AH217" s="1087"/>
      <c r="AI217" s="1087"/>
      <c r="AJ217" s="1087"/>
      <c r="AK217" s="1087"/>
      <c r="AL217" s="1087"/>
      <c r="AM217" s="1092"/>
      <c r="AN217" s="1088"/>
      <c r="AO217" s="1088"/>
      <c r="AP217" s="1088"/>
      <c r="AQ217" s="1088"/>
      <c r="AR217" s="1088"/>
      <c r="AS217" s="1088"/>
      <c r="AT217" s="1088"/>
      <c r="AU217" s="1088"/>
      <c r="AV217" s="1088"/>
      <c r="AW217" s="1088"/>
      <c r="AX217" s="1088"/>
      <c r="AY217" s="1088"/>
      <c r="AZ217" s="1088"/>
      <c r="BA217" s="1088"/>
      <c r="BB217" s="1088"/>
      <c r="BC217" s="1088"/>
      <c r="BD217" s="1088"/>
      <c r="BE217" s="1088"/>
      <c r="BF217" s="1088"/>
      <c r="BG217" s="29">
        <f t="shared" si="8"/>
        <v>0</v>
      </c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29"/>
      <c r="BX217" s="29"/>
    </row>
    <row r="218" spans="1:76" s="182" customFormat="1" ht="12.75" hidden="1" customHeight="1">
      <c r="A218" s="512" t="str">
        <f t="shared" si="9"/>
        <v>OK</v>
      </c>
      <c r="B218" s="538" t="str">
        <f t="shared" si="10"/>
        <v/>
      </c>
      <c r="C218" s="1086">
        <f>CONSOLIDA!GD167</f>
        <v>0</v>
      </c>
      <c r="D218" s="1086"/>
      <c r="E218" s="1086"/>
      <c r="F218" s="1086"/>
      <c r="G218" s="1086"/>
      <c r="H218" s="1087">
        <f>CONSOLIDA!GE167</f>
        <v>0</v>
      </c>
      <c r="I218" s="1087"/>
      <c r="J218" s="1087"/>
      <c r="K218" s="1087"/>
      <c r="L218" s="1087"/>
      <c r="M218" s="1087"/>
      <c r="N218" s="1087"/>
      <c r="O218" s="1087"/>
      <c r="P218" s="1087"/>
      <c r="Q218" s="1087"/>
      <c r="R218" s="1087"/>
      <c r="S218" s="1087"/>
      <c r="T218" s="1087"/>
      <c r="U218" s="1087"/>
      <c r="V218" s="1087"/>
      <c r="W218" s="1087"/>
      <c r="X218" s="1087"/>
      <c r="Y218" s="1087"/>
      <c r="Z218" s="1087"/>
      <c r="AA218" s="1087"/>
      <c r="AB218" s="1087"/>
      <c r="AC218" s="1087"/>
      <c r="AD218" s="1087"/>
      <c r="AE218" s="1087"/>
      <c r="AF218" s="1087"/>
      <c r="AG218" s="1087"/>
      <c r="AH218" s="1087"/>
      <c r="AI218" s="1087"/>
      <c r="AJ218" s="1087"/>
      <c r="AK218" s="1087"/>
      <c r="AL218" s="1087"/>
      <c r="AM218" s="1092"/>
      <c r="AN218" s="1088"/>
      <c r="AO218" s="1088"/>
      <c r="AP218" s="1088"/>
      <c r="AQ218" s="1088"/>
      <c r="AR218" s="1088"/>
      <c r="AS218" s="1088"/>
      <c r="AT218" s="1088"/>
      <c r="AU218" s="1088"/>
      <c r="AV218" s="1088"/>
      <c r="AW218" s="1088"/>
      <c r="AX218" s="1088"/>
      <c r="AY218" s="1088"/>
      <c r="AZ218" s="1088"/>
      <c r="BA218" s="1088"/>
      <c r="BB218" s="1088"/>
      <c r="BC218" s="1088"/>
      <c r="BD218" s="1088"/>
      <c r="BE218" s="1088"/>
      <c r="BF218" s="1088"/>
      <c r="BG218" s="29">
        <f t="shared" si="8"/>
        <v>0</v>
      </c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29"/>
      <c r="BX218" s="29"/>
    </row>
    <row r="219" spans="1:76" s="182" customFormat="1" ht="12.75" hidden="1" customHeight="1">
      <c r="A219" s="512" t="str">
        <f t="shared" si="9"/>
        <v>OK</v>
      </c>
      <c r="B219" s="538" t="str">
        <f t="shared" si="10"/>
        <v/>
      </c>
      <c r="C219" s="1086">
        <f>CONSOLIDA!GD168</f>
        <v>0</v>
      </c>
      <c r="D219" s="1086"/>
      <c r="E219" s="1086"/>
      <c r="F219" s="1086"/>
      <c r="G219" s="1086"/>
      <c r="H219" s="1087">
        <f>CONSOLIDA!GE168</f>
        <v>0</v>
      </c>
      <c r="I219" s="1087"/>
      <c r="J219" s="1087"/>
      <c r="K219" s="1087"/>
      <c r="L219" s="1087"/>
      <c r="M219" s="1087"/>
      <c r="N219" s="1087"/>
      <c r="O219" s="1087"/>
      <c r="P219" s="1087"/>
      <c r="Q219" s="1087"/>
      <c r="R219" s="1087"/>
      <c r="S219" s="1087"/>
      <c r="T219" s="1087"/>
      <c r="U219" s="1087"/>
      <c r="V219" s="1087"/>
      <c r="W219" s="1087"/>
      <c r="X219" s="1087"/>
      <c r="Y219" s="1087"/>
      <c r="Z219" s="1087"/>
      <c r="AA219" s="1087"/>
      <c r="AB219" s="1087"/>
      <c r="AC219" s="1087"/>
      <c r="AD219" s="1087"/>
      <c r="AE219" s="1087"/>
      <c r="AF219" s="1087"/>
      <c r="AG219" s="1087"/>
      <c r="AH219" s="1087"/>
      <c r="AI219" s="1087"/>
      <c r="AJ219" s="1087"/>
      <c r="AK219" s="1087"/>
      <c r="AL219" s="1087"/>
      <c r="AM219" s="1092"/>
      <c r="AN219" s="1088"/>
      <c r="AO219" s="1088"/>
      <c r="AP219" s="1088"/>
      <c r="AQ219" s="1088"/>
      <c r="AR219" s="1088"/>
      <c r="AS219" s="1088"/>
      <c r="AT219" s="1088"/>
      <c r="AU219" s="1088"/>
      <c r="AV219" s="1088"/>
      <c r="AW219" s="1088"/>
      <c r="AX219" s="1088"/>
      <c r="AY219" s="1088"/>
      <c r="AZ219" s="1088"/>
      <c r="BA219" s="1088"/>
      <c r="BB219" s="1088"/>
      <c r="BC219" s="1088"/>
      <c r="BD219" s="1088"/>
      <c r="BE219" s="1088"/>
      <c r="BF219" s="1088"/>
      <c r="BG219" s="29">
        <f t="shared" si="8"/>
        <v>0</v>
      </c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29"/>
      <c r="BX219" s="29"/>
    </row>
    <row r="220" spans="1:76" s="182" customFormat="1" ht="12.75" hidden="1" customHeight="1">
      <c r="A220" s="512" t="str">
        <f t="shared" si="9"/>
        <v>OK</v>
      </c>
      <c r="B220" s="538" t="str">
        <f t="shared" si="10"/>
        <v/>
      </c>
      <c r="C220" s="1086">
        <f>CONSOLIDA!GD169</f>
        <v>0</v>
      </c>
      <c r="D220" s="1086"/>
      <c r="E220" s="1086"/>
      <c r="F220" s="1086"/>
      <c r="G220" s="1086"/>
      <c r="H220" s="1087">
        <f>CONSOLIDA!GE169</f>
        <v>0</v>
      </c>
      <c r="I220" s="1087"/>
      <c r="J220" s="1087"/>
      <c r="K220" s="1087"/>
      <c r="L220" s="1087"/>
      <c r="M220" s="1087"/>
      <c r="N220" s="1087"/>
      <c r="O220" s="1087"/>
      <c r="P220" s="1087"/>
      <c r="Q220" s="1087"/>
      <c r="R220" s="1087"/>
      <c r="S220" s="1087"/>
      <c r="T220" s="1087"/>
      <c r="U220" s="1087"/>
      <c r="V220" s="1087"/>
      <c r="W220" s="1087"/>
      <c r="X220" s="1087"/>
      <c r="Y220" s="1087"/>
      <c r="Z220" s="1087"/>
      <c r="AA220" s="1087"/>
      <c r="AB220" s="1087"/>
      <c r="AC220" s="1087"/>
      <c r="AD220" s="1087"/>
      <c r="AE220" s="1087"/>
      <c r="AF220" s="1087"/>
      <c r="AG220" s="1087"/>
      <c r="AH220" s="1087"/>
      <c r="AI220" s="1087"/>
      <c r="AJ220" s="1087"/>
      <c r="AK220" s="1087"/>
      <c r="AL220" s="1087"/>
      <c r="AM220" s="1092"/>
      <c r="AN220" s="1088"/>
      <c r="AO220" s="1088"/>
      <c r="AP220" s="1088"/>
      <c r="AQ220" s="1088"/>
      <c r="AR220" s="1088"/>
      <c r="AS220" s="1088"/>
      <c r="AT220" s="1088"/>
      <c r="AU220" s="1088"/>
      <c r="AV220" s="1088"/>
      <c r="AW220" s="1088"/>
      <c r="AX220" s="1088"/>
      <c r="AY220" s="1088"/>
      <c r="AZ220" s="1088"/>
      <c r="BA220" s="1088"/>
      <c r="BB220" s="1088"/>
      <c r="BC220" s="1088"/>
      <c r="BD220" s="1088"/>
      <c r="BE220" s="1088"/>
      <c r="BF220" s="1088"/>
      <c r="BG220" s="29">
        <f t="shared" si="8"/>
        <v>0</v>
      </c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29"/>
      <c r="BX220" s="29"/>
    </row>
    <row r="221" spans="1:76" s="182" customFormat="1" ht="12.75" hidden="1" customHeight="1">
      <c r="A221" s="512" t="str">
        <f t="shared" si="9"/>
        <v>OK</v>
      </c>
      <c r="B221" s="538" t="str">
        <f t="shared" si="10"/>
        <v/>
      </c>
      <c r="C221" s="1086">
        <f>CONSOLIDA!GD170</f>
        <v>0</v>
      </c>
      <c r="D221" s="1086"/>
      <c r="E221" s="1086"/>
      <c r="F221" s="1086"/>
      <c r="G221" s="1086"/>
      <c r="H221" s="1087">
        <f>CONSOLIDA!GE170</f>
        <v>0</v>
      </c>
      <c r="I221" s="1087"/>
      <c r="J221" s="1087"/>
      <c r="K221" s="1087"/>
      <c r="L221" s="1087"/>
      <c r="M221" s="1087"/>
      <c r="N221" s="1087"/>
      <c r="O221" s="1087"/>
      <c r="P221" s="1087"/>
      <c r="Q221" s="1087"/>
      <c r="R221" s="1087"/>
      <c r="S221" s="1087"/>
      <c r="T221" s="1087"/>
      <c r="U221" s="1087"/>
      <c r="V221" s="1087"/>
      <c r="W221" s="1087"/>
      <c r="X221" s="1087"/>
      <c r="Y221" s="1087"/>
      <c r="Z221" s="1087"/>
      <c r="AA221" s="1087"/>
      <c r="AB221" s="1087"/>
      <c r="AC221" s="1087"/>
      <c r="AD221" s="1087"/>
      <c r="AE221" s="1087"/>
      <c r="AF221" s="1087"/>
      <c r="AG221" s="1087"/>
      <c r="AH221" s="1087"/>
      <c r="AI221" s="1087"/>
      <c r="AJ221" s="1087"/>
      <c r="AK221" s="1087"/>
      <c r="AL221" s="1087"/>
      <c r="AM221" s="1088"/>
      <c r="AN221" s="1088"/>
      <c r="AO221" s="1088"/>
      <c r="AP221" s="1088"/>
      <c r="AQ221" s="1088"/>
      <c r="AR221" s="1088"/>
      <c r="AS221" s="1088"/>
      <c r="AT221" s="1088"/>
      <c r="AU221" s="1088"/>
      <c r="AV221" s="1088"/>
      <c r="AW221" s="1088"/>
      <c r="AX221" s="1088"/>
      <c r="AY221" s="1088"/>
      <c r="AZ221" s="1088"/>
      <c r="BA221" s="1088"/>
      <c r="BB221" s="1088"/>
      <c r="BC221" s="1088"/>
      <c r="BD221" s="1088"/>
      <c r="BE221" s="1088"/>
      <c r="BF221" s="1088"/>
      <c r="BG221" s="29">
        <f t="shared" si="8"/>
        <v>0</v>
      </c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29"/>
      <c r="BX221" s="29"/>
    </row>
    <row r="222" spans="1:76" s="182" customFormat="1" ht="12.75" hidden="1" customHeight="1">
      <c r="A222" s="512" t="str">
        <f t="shared" si="9"/>
        <v>OK</v>
      </c>
      <c r="B222" s="538" t="str">
        <f t="shared" si="10"/>
        <v/>
      </c>
      <c r="C222" s="1086">
        <f>CONSOLIDA!GD171</f>
        <v>0</v>
      </c>
      <c r="D222" s="1086"/>
      <c r="E222" s="1086"/>
      <c r="F222" s="1086"/>
      <c r="G222" s="1086"/>
      <c r="H222" s="1087">
        <f>CONSOLIDA!GE171</f>
        <v>0</v>
      </c>
      <c r="I222" s="1087"/>
      <c r="J222" s="1087"/>
      <c r="K222" s="1087"/>
      <c r="L222" s="1087"/>
      <c r="M222" s="1087"/>
      <c r="N222" s="1087"/>
      <c r="O222" s="1087"/>
      <c r="P222" s="1087"/>
      <c r="Q222" s="1087"/>
      <c r="R222" s="1087"/>
      <c r="S222" s="1087"/>
      <c r="T222" s="1087"/>
      <c r="U222" s="1087"/>
      <c r="V222" s="1087"/>
      <c r="W222" s="1087"/>
      <c r="X222" s="1087"/>
      <c r="Y222" s="1087"/>
      <c r="Z222" s="1087"/>
      <c r="AA222" s="1087"/>
      <c r="AB222" s="1087"/>
      <c r="AC222" s="1087"/>
      <c r="AD222" s="1087"/>
      <c r="AE222" s="1087"/>
      <c r="AF222" s="1087"/>
      <c r="AG222" s="1087"/>
      <c r="AH222" s="1087"/>
      <c r="AI222" s="1087"/>
      <c r="AJ222" s="1087"/>
      <c r="AK222" s="1087"/>
      <c r="AL222" s="1087"/>
      <c r="AM222" s="1088"/>
      <c r="AN222" s="1088"/>
      <c r="AO222" s="1088"/>
      <c r="AP222" s="1088"/>
      <c r="AQ222" s="1088"/>
      <c r="AR222" s="1088"/>
      <c r="AS222" s="1088"/>
      <c r="AT222" s="1088"/>
      <c r="AU222" s="1088"/>
      <c r="AV222" s="1088"/>
      <c r="AW222" s="1088"/>
      <c r="AX222" s="1088"/>
      <c r="AY222" s="1088"/>
      <c r="AZ222" s="1088"/>
      <c r="BA222" s="1088"/>
      <c r="BB222" s="1088"/>
      <c r="BC222" s="1088"/>
      <c r="BD222" s="1088"/>
      <c r="BE222" s="1088"/>
      <c r="BF222" s="1088"/>
      <c r="BG222" s="29">
        <f t="shared" si="8"/>
        <v>0</v>
      </c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29"/>
      <c r="BX222" s="29"/>
    </row>
    <row r="223" spans="1:76" s="182" customFormat="1" ht="12.75" hidden="1" customHeight="1">
      <c r="A223" s="512" t="str">
        <f t="shared" si="9"/>
        <v>OK</v>
      </c>
      <c r="B223" s="538" t="str">
        <f t="shared" si="10"/>
        <v/>
      </c>
      <c r="C223" s="1086">
        <f>CONSOLIDA!GD172</f>
        <v>0</v>
      </c>
      <c r="D223" s="1086"/>
      <c r="E223" s="1086"/>
      <c r="F223" s="1086"/>
      <c r="G223" s="1086"/>
      <c r="H223" s="1087">
        <f>CONSOLIDA!GE172</f>
        <v>0</v>
      </c>
      <c r="I223" s="1087"/>
      <c r="J223" s="1087"/>
      <c r="K223" s="1087"/>
      <c r="L223" s="1087"/>
      <c r="M223" s="1087"/>
      <c r="N223" s="1087"/>
      <c r="O223" s="1087"/>
      <c r="P223" s="1087"/>
      <c r="Q223" s="1087"/>
      <c r="R223" s="1087"/>
      <c r="S223" s="1087"/>
      <c r="T223" s="1087"/>
      <c r="U223" s="1087"/>
      <c r="V223" s="1087"/>
      <c r="W223" s="1087"/>
      <c r="X223" s="1087"/>
      <c r="Y223" s="1087"/>
      <c r="Z223" s="1087"/>
      <c r="AA223" s="1087"/>
      <c r="AB223" s="1087"/>
      <c r="AC223" s="1087"/>
      <c r="AD223" s="1087"/>
      <c r="AE223" s="1087"/>
      <c r="AF223" s="1087"/>
      <c r="AG223" s="1087"/>
      <c r="AH223" s="1087"/>
      <c r="AI223" s="1087"/>
      <c r="AJ223" s="1087"/>
      <c r="AK223" s="1087"/>
      <c r="AL223" s="1087"/>
      <c r="AM223" s="1088"/>
      <c r="AN223" s="1088"/>
      <c r="AO223" s="1088"/>
      <c r="AP223" s="1088"/>
      <c r="AQ223" s="1088"/>
      <c r="AR223" s="1088"/>
      <c r="AS223" s="1088"/>
      <c r="AT223" s="1088"/>
      <c r="AU223" s="1088"/>
      <c r="AV223" s="1088"/>
      <c r="AW223" s="1088"/>
      <c r="AX223" s="1088"/>
      <c r="AY223" s="1088"/>
      <c r="AZ223" s="1088"/>
      <c r="BA223" s="1088"/>
      <c r="BB223" s="1088"/>
      <c r="BC223" s="1088"/>
      <c r="BD223" s="1088"/>
      <c r="BE223" s="1088"/>
      <c r="BF223" s="1088"/>
      <c r="BG223" s="29">
        <f t="shared" si="8"/>
        <v>0</v>
      </c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29"/>
      <c r="BX223" s="29"/>
    </row>
    <row r="224" spans="1:76" s="182" customFormat="1" ht="12.75" hidden="1" customHeight="1">
      <c r="A224" s="512" t="str">
        <f t="shared" si="9"/>
        <v>OK</v>
      </c>
      <c r="B224" s="538" t="str">
        <f t="shared" si="10"/>
        <v/>
      </c>
      <c r="C224" s="1086">
        <f>CONSOLIDA!GD173</f>
        <v>0</v>
      </c>
      <c r="D224" s="1086"/>
      <c r="E224" s="1086"/>
      <c r="F224" s="1086"/>
      <c r="G224" s="1086"/>
      <c r="H224" s="1087">
        <f>CONSOLIDA!GE173</f>
        <v>0</v>
      </c>
      <c r="I224" s="1087"/>
      <c r="J224" s="1087"/>
      <c r="K224" s="1087"/>
      <c r="L224" s="1087"/>
      <c r="M224" s="1087"/>
      <c r="N224" s="1087"/>
      <c r="O224" s="1087"/>
      <c r="P224" s="1087"/>
      <c r="Q224" s="1087"/>
      <c r="R224" s="1087"/>
      <c r="S224" s="1087"/>
      <c r="T224" s="1087"/>
      <c r="U224" s="1087"/>
      <c r="V224" s="1087"/>
      <c r="W224" s="1087"/>
      <c r="X224" s="1087"/>
      <c r="Y224" s="1087"/>
      <c r="Z224" s="1087"/>
      <c r="AA224" s="1087"/>
      <c r="AB224" s="1087"/>
      <c r="AC224" s="1087"/>
      <c r="AD224" s="1087"/>
      <c r="AE224" s="1087"/>
      <c r="AF224" s="1087"/>
      <c r="AG224" s="1087"/>
      <c r="AH224" s="1087"/>
      <c r="AI224" s="1087"/>
      <c r="AJ224" s="1087"/>
      <c r="AK224" s="1087"/>
      <c r="AL224" s="1087"/>
      <c r="AM224" s="1088"/>
      <c r="AN224" s="1088"/>
      <c r="AO224" s="1088"/>
      <c r="AP224" s="1088"/>
      <c r="AQ224" s="1088"/>
      <c r="AR224" s="1088"/>
      <c r="AS224" s="1088"/>
      <c r="AT224" s="1088"/>
      <c r="AU224" s="1088"/>
      <c r="AV224" s="1088"/>
      <c r="AW224" s="1088"/>
      <c r="AX224" s="1088"/>
      <c r="AY224" s="1088"/>
      <c r="AZ224" s="1088"/>
      <c r="BA224" s="1088"/>
      <c r="BB224" s="1088"/>
      <c r="BC224" s="1088"/>
      <c r="BD224" s="1088"/>
      <c r="BE224" s="1088"/>
      <c r="BF224" s="1088"/>
      <c r="BG224" s="29">
        <f t="shared" si="8"/>
        <v>0</v>
      </c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29"/>
      <c r="BX224" s="29"/>
    </row>
    <row r="225" spans="1:76" s="182" customFormat="1" ht="12.75" hidden="1" customHeight="1">
      <c r="A225" s="512" t="str">
        <f t="shared" si="9"/>
        <v>OK</v>
      </c>
      <c r="B225" s="538" t="str">
        <f t="shared" si="10"/>
        <v/>
      </c>
      <c r="C225" s="1086">
        <f>CONSOLIDA!GD174</f>
        <v>0</v>
      </c>
      <c r="D225" s="1086"/>
      <c r="E225" s="1086"/>
      <c r="F225" s="1086"/>
      <c r="G225" s="1086"/>
      <c r="H225" s="1087">
        <f>CONSOLIDA!GE174</f>
        <v>0</v>
      </c>
      <c r="I225" s="1087"/>
      <c r="J225" s="1087"/>
      <c r="K225" s="1087"/>
      <c r="L225" s="1087"/>
      <c r="M225" s="1087"/>
      <c r="N225" s="1087"/>
      <c r="O225" s="1087"/>
      <c r="P225" s="1087"/>
      <c r="Q225" s="1087"/>
      <c r="R225" s="1087"/>
      <c r="S225" s="1087"/>
      <c r="T225" s="1087"/>
      <c r="U225" s="1087"/>
      <c r="V225" s="1087"/>
      <c r="W225" s="1087"/>
      <c r="X225" s="1087"/>
      <c r="Y225" s="1087"/>
      <c r="Z225" s="1087"/>
      <c r="AA225" s="1087"/>
      <c r="AB225" s="1087"/>
      <c r="AC225" s="1087"/>
      <c r="AD225" s="1087"/>
      <c r="AE225" s="1087"/>
      <c r="AF225" s="1087"/>
      <c r="AG225" s="1087"/>
      <c r="AH225" s="1087"/>
      <c r="AI225" s="1087"/>
      <c r="AJ225" s="1087"/>
      <c r="AK225" s="1087"/>
      <c r="AL225" s="1087"/>
      <c r="AM225" s="1088"/>
      <c r="AN225" s="1088"/>
      <c r="AO225" s="1088"/>
      <c r="AP225" s="1088"/>
      <c r="AQ225" s="1088"/>
      <c r="AR225" s="1088"/>
      <c r="AS225" s="1088"/>
      <c r="AT225" s="1088"/>
      <c r="AU225" s="1088"/>
      <c r="AV225" s="1088"/>
      <c r="AW225" s="1088"/>
      <c r="AX225" s="1088"/>
      <c r="AY225" s="1088"/>
      <c r="AZ225" s="1088"/>
      <c r="BA225" s="1088"/>
      <c r="BB225" s="1088"/>
      <c r="BC225" s="1088"/>
      <c r="BD225" s="1088"/>
      <c r="BE225" s="1088"/>
      <c r="BF225" s="1088"/>
      <c r="BG225" s="29">
        <f t="shared" si="8"/>
        <v>0</v>
      </c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29"/>
      <c r="BX225" s="29"/>
    </row>
    <row r="226" spans="1:76" s="182" customFormat="1" ht="12.75" hidden="1" customHeight="1">
      <c r="A226" s="512" t="str">
        <f t="shared" si="9"/>
        <v>OK</v>
      </c>
      <c r="B226" s="538" t="str">
        <f t="shared" si="10"/>
        <v/>
      </c>
      <c r="C226" s="1086">
        <f>CONSOLIDA!GD175</f>
        <v>0</v>
      </c>
      <c r="D226" s="1086"/>
      <c r="E226" s="1086"/>
      <c r="F226" s="1086"/>
      <c r="G226" s="1086"/>
      <c r="H226" s="1087">
        <f>CONSOLIDA!GE175</f>
        <v>0</v>
      </c>
      <c r="I226" s="1087"/>
      <c r="J226" s="1087"/>
      <c r="K226" s="1087"/>
      <c r="L226" s="1087"/>
      <c r="M226" s="1087"/>
      <c r="N226" s="1087"/>
      <c r="O226" s="1087"/>
      <c r="P226" s="1087"/>
      <c r="Q226" s="1087"/>
      <c r="R226" s="1087"/>
      <c r="S226" s="1087"/>
      <c r="T226" s="1087"/>
      <c r="U226" s="1087"/>
      <c r="V226" s="1087"/>
      <c r="W226" s="1087"/>
      <c r="X226" s="1087"/>
      <c r="Y226" s="1087"/>
      <c r="Z226" s="1087"/>
      <c r="AA226" s="1087"/>
      <c r="AB226" s="1087"/>
      <c r="AC226" s="1087"/>
      <c r="AD226" s="1087"/>
      <c r="AE226" s="1087"/>
      <c r="AF226" s="1087"/>
      <c r="AG226" s="1087"/>
      <c r="AH226" s="1087"/>
      <c r="AI226" s="1087"/>
      <c r="AJ226" s="1087"/>
      <c r="AK226" s="1087"/>
      <c r="AL226" s="1087"/>
      <c r="AM226" s="1088"/>
      <c r="AN226" s="1088"/>
      <c r="AO226" s="1088"/>
      <c r="AP226" s="1088"/>
      <c r="AQ226" s="1088"/>
      <c r="AR226" s="1088"/>
      <c r="AS226" s="1088"/>
      <c r="AT226" s="1088"/>
      <c r="AU226" s="1088"/>
      <c r="AV226" s="1088"/>
      <c r="AW226" s="1088"/>
      <c r="AX226" s="1088"/>
      <c r="AY226" s="1088"/>
      <c r="AZ226" s="1088"/>
      <c r="BA226" s="1088"/>
      <c r="BB226" s="1088"/>
      <c r="BC226" s="1088"/>
      <c r="BD226" s="1088"/>
      <c r="BE226" s="1088"/>
      <c r="BF226" s="1088"/>
      <c r="BG226" s="29">
        <f t="shared" si="8"/>
        <v>0</v>
      </c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29"/>
      <c r="BX226" s="29"/>
    </row>
    <row r="227" spans="1:76" s="182" customFormat="1" ht="12.75" hidden="1" customHeight="1">
      <c r="A227" s="512" t="str">
        <f t="shared" si="9"/>
        <v>OK</v>
      </c>
      <c r="B227" s="538" t="str">
        <f t="shared" si="10"/>
        <v/>
      </c>
      <c r="C227" s="1086">
        <f>CONSOLIDA!GD176</f>
        <v>0</v>
      </c>
      <c r="D227" s="1086"/>
      <c r="E227" s="1086"/>
      <c r="F227" s="1086"/>
      <c r="G227" s="1086"/>
      <c r="H227" s="1087">
        <f>CONSOLIDA!GE176</f>
        <v>0</v>
      </c>
      <c r="I227" s="1087"/>
      <c r="J227" s="1087"/>
      <c r="K227" s="1087"/>
      <c r="L227" s="1087"/>
      <c r="M227" s="1087"/>
      <c r="N227" s="1087"/>
      <c r="O227" s="1087"/>
      <c r="P227" s="1087"/>
      <c r="Q227" s="1087"/>
      <c r="R227" s="1087"/>
      <c r="S227" s="1087"/>
      <c r="T227" s="1087"/>
      <c r="U227" s="1087"/>
      <c r="V227" s="1087"/>
      <c r="W227" s="1087"/>
      <c r="X227" s="1087"/>
      <c r="Y227" s="1087"/>
      <c r="Z227" s="1087"/>
      <c r="AA227" s="1087"/>
      <c r="AB227" s="1087"/>
      <c r="AC227" s="1087"/>
      <c r="AD227" s="1087"/>
      <c r="AE227" s="1087"/>
      <c r="AF227" s="1087"/>
      <c r="AG227" s="1087"/>
      <c r="AH227" s="1087"/>
      <c r="AI227" s="1087"/>
      <c r="AJ227" s="1087"/>
      <c r="AK227" s="1087"/>
      <c r="AL227" s="1087"/>
      <c r="AM227" s="1088"/>
      <c r="AN227" s="1088"/>
      <c r="AO227" s="1088"/>
      <c r="AP227" s="1088"/>
      <c r="AQ227" s="1088"/>
      <c r="AR227" s="1088"/>
      <c r="AS227" s="1088"/>
      <c r="AT227" s="1088"/>
      <c r="AU227" s="1088"/>
      <c r="AV227" s="1088"/>
      <c r="AW227" s="1088"/>
      <c r="AX227" s="1088"/>
      <c r="AY227" s="1088"/>
      <c r="AZ227" s="1088"/>
      <c r="BA227" s="1088"/>
      <c r="BB227" s="1088"/>
      <c r="BC227" s="1088"/>
      <c r="BD227" s="1088"/>
      <c r="BE227" s="1088"/>
      <c r="BF227" s="1088"/>
      <c r="BG227" s="29">
        <f>IF(C227=0,0,1)</f>
        <v>0</v>
      </c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29"/>
      <c r="BX227" s="29"/>
    </row>
    <row r="228" spans="1:76" s="182" customFormat="1" ht="12.75" hidden="1" customHeight="1">
      <c r="A228" s="512" t="str">
        <f t="shared" si="9"/>
        <v>OK</v>
      </c>
      <c r="B228" s="538" t="str">
        <f t="shared" si="10"/>
        <v/>
      </c>
      <c r="C228" s="1086">
        <f>CONSOLIDA!GD177</f>
        <v>0</v>
      </c>
      <c r="D228" s="1086"/>
      <c r="E228" s="1086"/>
      <c r="F228" s="1086"/>
      <c r="G228" s="1086"/>
      <c r="H228" s="1087">
        <f>CONSOLIDA!GE177</f>
        <v>0</v>
      </c>
      <c r="I228" s="1087"/>
      <c r="J228" s="1087"/>
      <c r="K228" s="1087"/>
      <c r="L228" s="1087"/>
      <c r="M228" s="1087"/>
      <c r="N228" s="1087"/>
      <c r="O228" s="1087"/>
      <c r="P228" s="1087"/>
      <c r="Q228" s="1087"/>
      <c r="R228" s="1087"/>
      <c r="S228" s="1087"/>
      <c r="T228" s="1087"/>
      <c r="U228" s="1087"/>
      <c r="V228" s="1087"/>
      <c r="W228" s="1087"/>
      <c r="X228" s="1087"/>
      <c r="Y228" s="1087"/>
      <c r="Z228" s="1087"/>
      <c r="AA228" s="1087"/>
      <c r="AB228" s="1087"/>
      <c r="AC228" s="1087"/>
      <c r="AD228" s="1087"/>
      <c r="AE228" s="1087"/>
      <c r="AF228" s="1087"/>
      <c r="AG228" s="1087"/>
      <c r="AH228" s="1087"/>
      <c r="AI228" s="1087"/>
      <c r="AJ228" s="1087"/>
      <c r="AK228" s="1087"/>
      <c r="AL228" s="1087"/>
      <c r="AM228" s="1088"/>
      <c r="AN228" s="1088"/>
      <c r="AO228" s="1088"/>
      <c r="AP228" s="1088"/>
      <c r="AQ228" s="1088"/>
      <c r="AR228" s="1088"/>
      <c r="AS228" s="1088"/>
      <c r="AT228" s="1088"/>
      <c r="AU228" s="1088"/>
      <c r="AV228" s="1088"/>
      <c r="AW228" s="1088"/>
      <c r="AX228" s="1088"/>
      <c r="AY228" s="1088"/>
      <c r="AZ228" s="1088"/>
      <c r="BA228" s="1088"/>
      <c r="BB228" s="1088"/>
      <c r="BC228" s="1088"/>
      <c r="BD228" s="1088"/>
      <c r="BE228" s="1088"/>
      <c r="BF228" s="1088"/>
      <c r="BG228" s="29">
        <f t="shared" ref="BG228:BG255" si="11">IF(C228=0,0,1)</f>
        <v>0</v>
      </c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29"/>
      <c r="BX228" s="29"/>
    </row>
    <row r="229" spans="1:76" s="182" customFormat="1" ht="12.75" hidden="1" customHeight="1">
      <c r="A229" s="512" t="str">
        <f t="shared" si="9"/>
        <v>OK</v>
      </c>
      <c r="B229" s="538" t="str">
        <f t="shared" si="10"/>
        <v/>
      </c>
      <c r="C229" s="1086">
        <f>CONSOLIDA!GD178</f>
        <v>0</v>
      </c>
      <c r="D229" s="1086"/>
      <c r="E229" s="1086"/>
      <c r="F229" s="1086"/>
      <c r="G229" s="1086"/>
      <c r="H229" s="1087">
        <f>CONSOLIDA!GE178</f>
        <v>0</v>
      </c>
      <c r="I229" s="1087"/>
      <c r="J229" s="1087"/>
      <c r="K229" s="1087"/>
      <c r="L229" s="1087"/>
      <c r="M229" s="1087"/>
      <c r="N229" s="1087"/>
      <c r="O229" s="1087"/>
      <c r="P229" s="1087"/>
      <c r="Q229" s="1087"/>
      <c r="R229" s="1087"/>
      <c r="S229" s="1087"/>
      <c r="T229" s="1087"/>
      <c r="U229" s="1087"/>
      <c r="V229" s="1087"/>
      <c r="W229" s="1087"/>
      <c r="X229" s="1087"/>
      <c r="Y229" s="1087"/>
      <c r="Z229" s="1087"/>
      <c r="AA229" s="1087"/>
      <c r="AB229" s="1087"/>
      <c r="AC229" s="1087"/>
      <c r="AD229" s="1087"/>
      <c r="AE229" s="1087"/>
      <c r="AF229" s="1087"/>
      <c r="AG229" s="1087"/>
      <c r="AH229" s="1087"/>
      <c r="AI229" s="1087"/>
      <c r="AJ229" s="1087"/>
      <c r="AK229" s="1087"/>
      <c r="AL229" s="1087"/>
      <c r="AM229" s="1088"/>
      <c r="AN229" s="1088"/>
      <c r="AO229" s="1088"/>
      <c r="AP229" s="1088"/>
      <c r="AQ229" s="1088"/>
      <c r="AR229" s="1088"/>
      <c r="AS229" s="1088"/>
      <c r="AT229" s="1088"/>
      <c r="AU229" s="1088"/>
      <c r="AV229" s="1088"/>
      <c r="AW229" s="1088"/>
      <c r="AX229" s="1088"/>
      <c r="AY229" s="1088"/>
      <c r="AZ229" s="1088"/>
      <c r="BA229" s="1088"/>
      <c r="BB229" s="1088"/>
      <c r="BC229" s="1088"/>
      <c r="BD229" s="1088"/>
      <c r="BE229" s="1088"/>
      <c r="BF229" s="1088"/>
      <c r="BG229" s="29">
        <f t="shared" si="11"/>
        <v>0</v>
      </c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29"/>
      <c r="BX229" s="29"/>
    </row>
    <row r="230" spans="1:76" s="182" customFormat="1" ht="12.75" hidden="1" customHeight="1">
      <c r="A230" s="512" t="str">
        <f t="shared" si="9"/>
        <v>OK</v>
      </c>
      <c r="B230" s="538" t="str">
        <f t="shared" si="10"/>
        <v/>
      </c>
      <c r="C230" s="1086">
        <f>CONSOLIDA!GD179</f>
        <v>0</v>
      </c>
      <c r="D230" s="1086"/>
      <c r="E230" s="1086"/>
      <c r="F230" s="1086"/>
      <c r="G230" s="1086"/>
      <c r="H230" s="1087">
        <f>CONSOLIDA!GE179</f>
        <v>0</v>
      </c>
      <c r="I230" s="1087"/>
      <c r="J230" s="1087"/>
      <c r="K230" s="1087"/>
      <c r="L230" s="1087"/>
      <c r="M230" s="1087"/>
      <c r="N230" s="1087"/>
      <c r="O230" s="1087"/>
      <c r="P230" s="1087"/>
      <c r="Q230" s="1087"/>
      <c r="R230" s="1087"/>
      <c r="S230" s="1087"/>
      <c r="T230" s="1087"/>
      <c r="U230" s="1087"/>
      <c r="V230" s="1087"/>
      <c r="W230" s="1087"/>
      <c r="X230" s="1087"/>
      <c r="Y230" s="1087"/>
      <c r="Z230" s="1087"/>
      <c r="AA230" s="1087"/>
      <c r="AB230" s="1087"/>
      <c r="AC230" s="1087"/>
      <c r="AD230" s="1087"/>
      <c r="AE230" s="1087"/>
      <c r="AF230" s="1087"/>
      <c r="AG230" s="1087"/>
      <c r="AH230" s="1087"/>
      <c r="AI230" s="1087"/>
      <c r="AJ230" s="1087"/>
      <c r="AK230" s="1087"/>
      <c r="AL230" s="1087"/>
      <c r="AM230" s="1088"/>
      <c r="AN230" s="1088"/>
      <c r="AO230" s="1088"/>
      <c r="AP230" s="1088"/>
      <c r="AQ230" s="1088"/>
      <c r="AR230" s="1088"/>
      <c r="AS230" s="1088"/>
      <c r="AT230" s="1088"/>
      <c r="AU230" s="1088"/>
      <c r="AV230" s="1088"/>
      <c r="AW230" s="1088"/>
      <c r="AX230" s="1088"/>
      <c r="AY230" s="1088"/>
      <c r="AZ230" s="1088"/>
      <c r="BA230" s="1088"/>
      <c r="BB230" s="1088"/>
      <c r="BC230" s="1088"/>
      <c r="BD230" s="1088"/>
      <c r="BE230" s="1088"/>
      <c r="BF230" s="1088"/>
      <c r="BG230" s="29">
        <f t="shared" si="11"/>
        <v>0</v>
      </c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29"/>
      <c r="BX230" s="29"/>
    </row>
    <row r="231" spans="1:76" s="182" customFormat="1" ht="12.75" hidden="1" customHeight="1">
      <c r="A231" s="512" t="str">
        <f t="shared" si="9"/>
        <v>OK</v>
      </c>
      <c r="B231" s="538" t="str">
        <f t="shared" si="10"/>
        <v/>
      </c>
      <c r="C231" s="1086">
        <f>CONSOLIDA!GD180</f>
        <v>0</v>
      </c>
      <c r="D231" s="1086"/>
      <c r="E231" s="1086"/>
      <c r="F231" s="1086"/>
      <c r="G231" s="1086"/>
      <c r="H231" s="1087">
        <f>CONSOLIDA!GE180</f>
        <v>0</v>
      </c>
      <c r="I231" s="1087"/>
      <c r="J231" s="1087"/>
      <c r="K231" s="1087"/>
      <c r="L231" s="1087"/>
      <c r="M231" s="1087"/>
      <c r="N231" s="1087"/>
      <c r="O231" s="1087"/>
      <c r="P231" s="1087"/>
      <c r="Q231" s="1087"/>
      <c r="R231" s="1087"/>
      <c r="S231" s="1087"/>
      <c r="T231" s="1087"/>
      <c r="U231" s="1087"/>
      <c r="V231" s="1087"/>
      <c r="W231" s="1087"/>
      <c r="X231" s="1087"/>
      <c r="Y231" s="1087"/>
      <c r="Z231" s="1087"/>
      <c r="AA231" s="1087"/>
      <c r="AB231" s="1087"/>
      <c r="AC231" s="1087"/>
      <c r="AD231" s="1087"/>
      <c r="AE231" s="1087"/>
      <c r="AF231" s="1087"/>
      <c r="AG231" s="1087"/>
      <c r="AH231" s="1087"/>
      <c r="AI231" s="1087"/>
      <c r="AJ231" s="1087"/>
      <c r="AK231" s="1087"/>
      <c r="AL231" s="1087"/>
      <c r="AM231" s="1088"/>
      <c r="AN231" s="1088"/>
      <c r="AO231" s="1088"/>
      <c r="AP231" s="1088"/>
      <c r="AQ231" s="1088"/>
      <c r="AR231" s="1088"/>
      <c r="AS231" s="1088"/>
      <c r="AT231" s="1088"/>
      <c r="AU231" s="1088"/>
      <c r="AV231" s="1088"/>
      <c r="AW231" s="1088"/>
      <c r="AX231" s="1088"/>
      <c r="AY231" s="1088"/>
      <c r="AZ231" s="1088"/>
      <c r="BA231" s="1088"/>
      <c r="BB231" s="1088"/>
      <c r="BC231" s="1088"/>
      <c r="BD231" s="1088"/>
      <c r="BE231" s="1088"/>
      <c r="BF231" s="1088"/>
      <c r="BG231" s="29">
        <f t="shared" si="11"/>
        <v>0</v>
      </c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29"/>
      <c r="BX231" s="29"/>
    </row>
    <row r="232" spans="1:76" s="182" customFormat="1" ht="12.75" hidden="1" customHeight="1">
      <c r="A232" s="512" t="str">
        <f t="shared" si="9"/>
        <v>OK</v>
      </c>
      <c r="B232" s="538" t="str">
        <f t="shared" si="10"/>
        <v/>
      </c>
      <c r="C232" s="1086">
        <f>CONSOLIDA!GD181</f>
        <v>0</v>
      </c>
      <c r="D232" s="1086"/>
      <c r="E232" s="1086"/>
      <c r="F232" s="1086"/>
      <c r="G232" s="1086"/>
      <c r="H232" s="1087">
        <f>CONSOLIDA!GE181</f>
        <v>0</v>
      </c>
      <c r="I232" s="1087"/>
      <c r="J232" s="1087"/>
      <c r="K232" s="1087"/>
      <c r="L232" s="1087"/>
      <c r="M232" s="1087"/>
      <c r="N232" s="1087"/>
      <c r="O232" s="1087"/>
      <c r="P232" s="1087"/>
      <c r="Q232" s="1087"/>
      <c r="R232" s="1087"/>
      <c r="S232" s="1087"/>
      <c r="T232" s="1087"/>
      <c r="U232" s="1087"/>
      <c r="V232" s="1087"/>
      <c r="W232" s="1087"/>
      <c r="X232" s="1087"/>
      <c r="Y232" s="1087"/>
      <c r="Z232" s="1087"/>
      <c r="AA232" s="1087"/>
      <c r="AB232" s="1087"/>
      <c r="AC232" s="1087"/>
      <c r="AD232" s="1087"/>
      <c r="AE232" s="1087"/>
      <c r="AF232" s="1087"/>
      <c r="AG232" s="1087"/>
      <c r="AH232" s="1087"/>
      <c r="AI232" s="1087"/>
      <c r="AJ232" s="1087"/>
      <c r="AK232" s="1087"/>
      <c r="AL232" s="1087"/>
      <c r="AM232" s="1088"/>
      <c r="AN232" s="1088"/>
      <c r="AO232" s="1088"/>
      <c r="AP232" s="1088"/>
      <c r="AQ232" s="1088"/>
      <c r="AR232" s="1088"/>
      <c r="AS232" s="1088"/>
      <c r="AT232" s="1088"/>
      <c r="AU232" s="1088"/>
      <c r="AV232" s="1088"/>
      <c r="AW232" s="1088"/>
      <c r="AX232" s="1088"/>
      <c r="AY232" s="1088"/>
      <c r="AZ232" s="1088"/>
      <c r="BA232" s="1088"/>
      <c r="BB232" s="1088"/>
      <c r="BC232" s="1088"/>
      <c r="BD232" s="1088"/>
      <c r="BE232" s="1088"/>
      <c r="BF232" s="1088"/>
      <c r="BG232" s="29">
        <f t="shared" si="11"/>
        <v>0</v>
      </c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29"/>
      <c r="BX232" s="29"/>
    </row>
    <row r="233" spans="1:76" s="182" customFormat="1" ht="12.75" hidden="1" customHeight="1">
      <c r="A233" s="512" t="str">
        <f t="shared" si="9"/>
        <v>OK</v>
      </c>
      <c r="B233" s="538" t="str">
        <f t="shared" si="10"/>
        <v/>
      </c>
      <c r="C233" s="1086">
        <f>CONSOLIDA!GD182</f>
        <v>0</v>
      </c>
      <c r="D233" s="1086"/>
      <c r="E233" s="1086"/>
      <c r="F233" s="1086"/>
      <c r="G233" s="1086"/>
      <c r="H233" s="1087">
        <f>CONSOLIDA!GE182</f>
        <v>0</v>
      </c>
      <c r="I233" s="1087"/>
      <c r="J233" s="1087"/>
      <c r="K233" s="1087"/>
      <c r="L233" s="1087"/>
      <c r="M233" s="1087"/>
      <c r="N233" s="1087"/>
      <c r="O233" s="1087"/>
      <c r="P233" s="1087"/>
      <c r="Q233" s="1087"/>
      <c r="R233" s="1087"/>
      <c r="S233" s="1087"/>
      <c r="T233" s="1087"/>
      <c r="U233" s="1087"/>
      <c r="V233" s="1087"/>
      <c r="W233" s="1087"/>
      <c r="X233" s="1087"/>
      <c r="Y233" s="1087"/>
      <c r="Z233" s="1087"/>
      <c r="AA233" s="1087"/>
      <c r="AB233" s="1087"/>
      <c r="AC233" s="1087"/>
      <c r="AD233" s="1087"/>
      <c r="AE233" s="1087"/>
      <c r="AF233" s="1087"/>
      <c r="AG233" s="1087"/>
      <c r="AH233" s="1087"/>
      <c r="AI233" s="1087"/>
      <c r="AJ233" s="1087"/>
      <c r="AK233" s="1087"/>
      <c r="AL233" s="1087"/>
      <c r="AM233" s="1088"/>
      <c r="AN233" s="1088"/>
      <c r="AO233" s="1088"/>
      <c r="AP233" s="1088"/>
      <c r="AQ233" s="1088"/>
      <c r="AR233" s="1088"/>
      <c r="AS233" s="1088"/>
      <c r="AT233" s="1088"/>
      <c r="AU233" s="1088"/>
      <c r="AV233" s="1088"/>
      <c r="AW233" s="1088"/>
      <c r="AX233" s="1088"/>
      <c r="AY233" s="1088"/>
      <c r="AZ233" s="1088"/>
      <c r="BA233" s="1088"/>
      <c r="BB233" s="1088"/>
      <c r="BC233" s="1088"/>
      <c r="BD233" s="1088"/>
      <c r="BE233" s="1088"/>
      <c r="BF233" s="1088"/>
      <c r="BG233" s="29">
        <f t="shared" si="11"/>
        <v>0</v>
      </c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29"/>
      <c r="BX233" s="29"/>
    </row>
    <row r="234" spans="1:76" s="182" customFormat="1" ht="12.75" hidden="1" customHeight="1">
      <c r="A234" s="512" t="str">
        <f t="shared" si="9"/>
        <v>OK</v>
      </c>
      <c r="B234" s="538" t="str">
        <f t="shared" si="10"/>
        <v/>
      </c>
      <c r="C234" s="1086">
        <f>CONSOLIDA!GD183</f>
        <v>0</v>
      </c>
      <c r="D234" s="1086"/>
      <c r="E234" s="1086"/>
      <c r="F234" s="1086"/>
      <c r="G234" s="1086"/>
      <c r="H234" s="1087">
        <f>CONSOLIDA!GE183</f>
        <v>0</v>
      </c>
      <c r="I234" s="1087"/>
      <c r="J234" s="1087"/>
      <c r="K234" s="1087"/>
      <c r="L234" s="1087"/>
      <c r="M234" s="1087"/>
      <c r="N234" s="1087"/>
      <c r="O234" s="1087"/>
      <c r="P234" s="1087"/>
      <c r="Q234" s="1087"/>
      <c r="R234" s="1087"/>
      <c r="S234" s="1087"/>
      <c r="T234" s="1087"/>
      <c r="U234" s="1087"/>
      <c r="V234" s="1087"/>
      <c r="W234" s="1087"/>
      <c r="X234" s="1087"/>
      <c r="Y234" s="1087"/>
      <c r="Z234" s="1087"/>
      <c r="AA234" s="1087"/>
      <c r="AB234" s="1087"/>
      <c r="AC234" s="1087"/>
      <c r="AD234" s="1087"/>
      <c r="AE234" s="1087"/>
      <c r="AF234" s="1087"/>
      <c r="AG234" s="1087"/>
      <c r="AH234" s="1087"/>
      <c r="AI234" s="1087"/>
      <c r="AJ234" s="1087"/>
      <c r="AK234" s="1087"/>
      <c r="AL234" s="1087"/>
      <c r="AM234" s="1088"/>
      <c r="AN234" s="1088"/>
      <c r="AO234" s="1088"/>
      <c r="AP234" s="1088"/>
      <c r="AQ234" s="1088"/>
      <c r="AR234" s="1088"/>
      <c r="AS234" s="1088"/>
      <c r="AT234" s="1088"/>
      <c r="AU234" s="1088"/>
      <c r="AV234" s="1088"/>
      <c r="AW234" s="1088"/>
      <c r="AX234" s="1088"/>
      <c r="AY234" s="1088"/>
      <c r="AZ234" s="1088"/>
      <c r="BA234" s="1088"/>
      <c r="BB234" s="1088"/>
      <c r="BC234" s="1088"/>
      <c r="BD234" s="1088"/>
      <c r="BE234" s="1088"/>
      <c r="BF234" s="1088"/>
      <c r="BG234" s="29">
        <f t="shared" si="11"/>
        <v>0</v>
      </c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29"/>
      <c r="BX234" s="29"/>
    </row>
    <row r="235" spans="1:76" s="182" customFormat="1" ht="12.75" hidden="1" customHeight="1">
      <c r="A235" s="512" t="str">
        <f t="shared" si="9"/>
        <v>OK</v>
      </c>
      <c r="B235" s="538" t="str">
        <f t="shared" si="10"/>
        <v/>
      </c>
      <c r="C235" s="1086">
        <f>CONSOLIDA!GD184</f>
        <v>0</v>
      </c>
      <c r="D235" s="1086"/>
      <c r="E235" s="1086"/>
      <c r="F235" s="1086"/>
      <c r="G235" s="1086"/>
      <c r="H235" s="1087">
        <f>CONSOLIDA!GE184</f>
        <v>0</v>
      </c>
      <c r="I235" s="1087"/>
      <c r="J235" s="1087"/>
      <c r="K235" s="1087"/>
      <c r="L235" s="1087"/>
      <c r="M235" s="1087"/>
      <c r="N235" s="1087"/>
      <c r="O235" s="1087"/>
      <c r="P235" s="1087"/>
      <c r="Q235" s="1087"/>
      <c r="R235" s="1087"/>
      <c r="S235" s="1087"/>
      <c r="T235" s="1087"/>
      <c r="U235" s="1087"/>
      <c r="V235" s="1087"/>
      <c r="W235" s="1087"/>
      <c r="X235" s="1087"/>
      <c r="Y235" s="1087"/>
      <c r="Z235" s="1087"/>
      <c r="AA235" s="1087"/>
      <c r="AB235" s="1087"/>
      <c r="AC235" s="1087"/>
      <c r="AD235" s="1087"/>
      <c r="AE235" s="1087"/>
      <c r="AF235" s="1087"/>
      <c r="AG235" s="1087"/>
      <c r="AH235" s="1087"/>
      <c r="AI235" s="1087"/>
      <c r="AJ235" s="1087"/>
      <c r="AK235" s="1087"/>
      <c r="AL235" s="1087"/>
      <c r="AM235" s="1088"/>
      <c r="AN235" s="1088"/>
      <c r="AO235" s="1088"/>
      <c r="AP235" s="1088"/>
      <c r="AQ235" s="1088"/>
      <c r="AR235" s="1088"/>
      <c r="AS235" s="1088"/>
      <c r="AT235" s="1088"/>
      <c r="AU235" s="1088"/>
      <c r="AV235" s="1088"/>
      <c r="AW235" s="1088"/>
      <c r="AX235" s="1088"/>
      <c r="AY235" s="1088"/>
      <c r="AZ235" s="1088"/>
      <c r="BA235" s="1088"/>
      <c r="BB235" s="1088"/>
      <c r="BC235" s="1088"/>
      <c r="BD235" s="1088"/>
      <c r="BE235" s="1088"/>
      <c r="BF235" s="1088"/>
      <c r="BG235" s="29">
        <f t="shared" si="11"/>
        <v>0</v>
      </c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29"/>
      <c r="BX235" s="29"/>
    </row>
    <row r="236" spans="1:76" s="182" customFormat="1" ht="12.75" hidden="1" customHeight="1">
      <c r="A236" s="512" t="str">
        <f t="shared" si="9"/>
        <v>OK</v>
      </c>
      <c r="B236" s="538" t="str">
        <f t="shared" si="10"/>
        <v/>
      </c>
      <c r="C236" s="1086">
        <f>CONSOLIDA!GD185</f>
        <v>0</v>
      </c>
      <c r="D236" s="1086"/>
      <c r="E236" s="1086"/>
      <c r="F236" s="1086"/>
      <c r="G236" s="1086"/>
      <c r="H236" s="1087">
        <f>CONSOLIDA!GE185</f>
        <v>0</v>
      </c>
      <c r="I236" s="1087"/>
      <c r="J236" s="1087"/>
      <c r="K236" s="1087"/>
      <c r="L236" s="1087"/>
      <c r="M236" s="1087"/>
      <c r="N236" s="1087"/>
      <c r="O236" s="1087"/>
      <c r="P236" s="1087"/>
      <c r="Q236" s="1087"/>
      <c r="R236" s="1087"/>
      <c r="S236" s="1087"/>
      <c r="T236" s="1087"/>
      <c r="U236" s="1087"/>
      <c r="V236" s="1087"/>
      <c r="W236" s="1087"/>
      <c r="X236" s="1087"/>
      <c r="Y236" s="1087"/>
      <c r="Z236" s="1087"/>
      <c r="AA236" s="1087"/>
      <c r="AB236" s="1087"/>
      <c r="AC236" s="1087"/>
      <c r="AD236" s="1087"/>
      <c r="AE236" s="1087"/>
      <c r="AF236" s="1087"/>
      <c r="AG236" s="1087"/>
      <c r="AH236" s="1087"/>
      <c r="AI236" s="1087"/>
      <c r="AJ236" s="1087"/>
      <c r="AK236" s="1087"/>
      <c r="AL236" s="1087"/>
      <c r="AM236" s="1088"/>
      <c r="AN236" s="1088"/>
      <c r="AO236" s="1088"/>
      <c r="AP236" s="1088"/>
      <c r="AQ236" s="1088"/>
      <c r="AR236" s="1088"/>
      <c r="AS236" s="1088"/>
      <c r="AT236" s="1088"/>
      <c r="AU236" s="1088"/>
      <c r="AV236" s="1088"/>
      <c r="AW236" s="1088"/>
      <c r="AX236" s="1088"/>
      <c r="AY236" s="1088"/>
      <c r="AZ236" s="1088"/>
      <c r="BA236" s="1088"/>
      <c r="BB236" s="1088"/>
      <c r="BC236" s="1088"/>
      <c r="BD236" s="1088"/>
      <c r="BE236" s="1088"/>
      <c r="BF236" s="1088"/>
      <c r="BG236" s="29">
        <f t="shared" si="11"/>
        <v>0</v>
      </c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29"/>
      <c r="BX236" s="29"/>
    </row>
    <row r="237" spans="1:76" s="182" customFormat="1" ht="12.75" hidden="1" customHeight="1">
      <c r="A237" s="512" t="str">
        <f t="shared" si="9"/>
        <v>OK</v>
      </c>
      <c r="B237" s="538" t="str">
        <f t="shared" si="10"/>
        <v/>
      </c>
      <c r="C237" s="1086">
        <f>CONSOLIDA!GD186</f>
        <v>0</v>
      </c>
      <c r="D237" s="1086"/>
      <c r="E237" s="1086"/>
      <c r="F237" s="1086"/>
      <c r="G237" s="1086"/>
      <c r="H237" s="1087">
        <f>CONSOLIDA!GE186</f>
        <v>0</v>
      </c>
      <c r="I237" s="1087"/>
      <c r="J237" s="1087"/>
      <c r="K237" s="1087"/>
      <c r="L237" s="1087"/>
      <c r="M237" s="1087"/>
      <c r="N237" s="1087"/>
      <c r="O237" s="1087"/>
      <c r="P237" s="1087"/>
      <c r="Q237" s="1087"/>
      <c r="R237" s="1087"/>
      <c r="S237" s="1087"/>
      <c r="T237" s="1087"/>
      <c r="U237" s="1087"/>
      <c r="V237" s="1087"/>
      <c r="W237" s="1087"/>
      <c r="X237" s="1087"/>
      <c r="Y237" s="1087"/>
      <c r="Z237" s="1087"/>
      <c r="AA237" s="1087"/>
      <c r="AB237" s="1087"/>
      <c r="AC237" s="1087"/>
      <c r="AD237" s="1087"/>
      <c r="AE237" s="1087"/>
      <c r="AF237" s="1087"/>
      <c r="AG237" s="1087"/>
      <c r="AH237" s="1087"/>
      <c r="AI237" s="1087"/>
      <c r="AJ237" s="1087"/>
      <c r="AK237" s="1087"/>
      <c r="AL237" s="1087"/>
      <c r="AM237" s="1088"/>
      <c r="AN237" s="1088"/>
      <c r="AO237" s="1088"/>
      <c r="AP237" s="1088"/>
      <c r="AQ237" s="1088"/>
      <c r="AR237" s="1088"/>
      <c r="AS237" s="1088"/>
      <c r="AT237" s="1088"/>
      <c r="AU237" s="1088"/>
      <c r="AV237" s="1088"/>
      <c r="AW237" s="1088"/>
      <c r="AX237" s="1088"/>
      <c r="AY237" s="1088"/>
      <c r="AZ237" s="1088"/>
      <c r="BA237" s="1088"/>
      <c r="BB237" s="1088"/>
      <c r="BC237" s="1088"/>
      <c r="BD237" s="1088"/>
      <c r="BE237" s="1088"/>
      <c r="BF237" s="1088"/>
      <c r="BG237" s="29">
        <f t="shared" si="11"/>
        <v>0</v>
      </c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29"/>
      <c r="BX237" s="29"/>
    </row>
    <row r="238" spans="1:76" s="182" customFormat="1" ht="12.75" hidden="1" customHeight="1">
      <c r="A238" s="512" t="str">
        <f t="shared" si="9"/>
        <v>OK</v>
      </c>
      <c r="B238" s="538" t="str">
        <f t="shared" si="10"/>
        <v/>
      </c>
      <c r="C238" s="1086">
        <f>CONSOLIDA!GD187</f>
        <v>0</v>
      </c>
      <c r="D238" s="1086"/>
      <c r="E238" s="1086"/>
      <c r="F238" s="1086"/>
      <c r="G238" s="1086"/>
      <c r="H238" s="1087">
        <f>CONSOLIDA!GE187</f>
        <v>0</v>
      </c>
      <c r="I238" s="1087"/>
      <c r="J238" s="1087"/>
      <c r="K238" s="1087"/>
      <c r="L238" s="1087"/>
      <c r="M238" s="1087"/>
      <c r="N238" s="1087"/>
      <c r="O238" s="1087"/>
      <c r="P238" s="1087"/>
      <c r="Q238" s="1087"/>
      <c r="R238" s="1087"/>
      <c r="S238" s="1087"/>
      <c r="T238" s="1087"/>
      <c r="U238" s="1087"/>
      <c r="V238" s="1087"/>
      <c r="W238" s="1087"/>
      <c r="X238" s="1087"/>
      <c r="Y238" s="1087"/>
      <c r="Z238" s="1087"/>
      <c r="AA238" s="1087"/>
      <c r="AB238" s="1087"/>
      <c r="AC238" s="1087"/>
      <c r="AD238" s="1087"/>
      <c r="AE238" s="1087"/>
      <c r="AF238" s="1087"/>
      <c r="AG238" s="1087"/>
      <c r="AH238" s="1087"/>
      <c r="AI238" s="1087"/>
      <c r="AJ238" s="1087"/>
      <c r="AK238" s="1087"/>
      <c r="AL238" s="1087"/>
      <c r="AM238" s="1088"/>
      <c r="AN238" s="1088"/>
      <c r="AO238" s="1088"/>
      <c r="AP238" s="1088"/>
      <c r="AQ238" s="1088"/>
      <c r="AR238" s="1088"/>
      <c r="AS238" s="1088"/>
      <c r="AT238" s="1088"/>
      <c r="AU238" s="1088"/>
      <c r="AV238" s="1088"/>
      <c r="AW238" s="1088"/>
      <c r="AX238" s="1088"/>
      <c r="AY238" s="1088"/>
      <c r="AZ238" s="1088"/>
      <c r="BA238" s="1088"/>
      <c r="BB238" s="1088"/>
      <c r="BC238" s="1088"/>
      <c r="BD238" s="1088"/>
      <c r="BE238" s="1088"/>
      <c r="BF238" s="1088"/>
      <c r="BG238" s="29">
        <f t="shared" si="11"/>
        <v>0</v>
      </c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29"/>
      <c r="BX238" s="29"/>
    </row>
    <row r="239" spans="1:76" s="182" customFormat="1" ht="12.75" hidden="1" customHeight="1">
      <c r="A239" s="512" t="str">
        <f t="shared" si="9"/>
        <v>OK</v>
      </c>
      <c r="B239" s="538" t="str">
        <f t="shared" si="10"/>
        <v/>
      </c>
      <c r="C239" s="1086">
        <f>CONSOLIDA!GD188</f>
        <v>0</v>
      </c>
      <c r="D239" s="1086"/>
      <c r="E239" s="1086"/>
      <c r="F239" s="1086"/>
      <c r="G239" s="1086"/>
      <c r="H239" s="1087">
        <f>CONSOLIDA!GE188</f>
        <v>0</v>
      </c>
      <c r="I239" s="1087"/>
      <c r="J239" s="1087"/>
      <c r="K239" s="1087"/>
      <c r="L239" s="1087"/>
      <c r="M239" s="1087"/>
      <c r="N239" s="1087"/>
      <c r="O239" s="1087"/>
      <c r="P239" s="1087"/>
      <c r="Q239" s="1087"/>
      <c r="R239" s="1087"/>
      <c r="S239" s="1087"/>
      <c r="T239" s="1087"/>
      <c r="U239" s="1087"/>
      <c r="V239" s="1087"/>
      <c r="W239" s="1087"/>
      <c r="X239" s="1087"/>
      <c r="Y239" s="1087"/>
      <c r="Z239" s="1087"/>
      <c r="AA239" s="1087"/>
      <c r="AB239" s="1087"/>
      <c r="AC239" s="1087"/>
      <c r="AD239" s="1087"/>
      <c r="AE239" s="1087"/>
      <c r="AF239" s="1087"/>
      <c r="AG239" s="1087"/>
      <c r="AH239" s="1087"/>
      <c r="AI239" s="1087"/>
      <c r="AJ239" s="1087"/>
      <c r="AK239" s="1087"/>
      <c r="AL239" s="1087"/>
      <c r="AM239" s="1088"/>
      <c r="AN239" s="1088"/>
      <c r="AO239" s="1088"/>
      <c r="AP239" s="1088"/>
      <c r="AQ239" s="1088"/>
      <c r="AR239" s="1088"/>
      <c r="AS239" s="1088"/>
      <c r="AT239" s="1088"/>
      <c r="AU239" s="1088"/>
      <c r="AV239" s="1088"/>
      <c r="AW239" s="1088"/>
      <c r="AX239" s="1088"/>
      <c r="AY239" s="1088"/>
      <c r="AZ239" s="1088"/>
      <c r="BA239" s="1088"/>
      <c r="BB239" s="1088"/>
      <c r="BC239" s="1088"/>
      <c r="BD239" s="1088"/>
      <c r="BE239" s="1088"/>
      <c r="BF239" s="1088"/>
      <c r="BG239" s="29">
        <f t="shared" si="11"/>
        <v>0</v>
      </c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29"/>
      <c r="BX239" s="29"/>
    </row>
    <row r="240" spans="1:76" s="182" customFormat="1" ht="12.75" hidden="1" customHeight="1">
      <c r="A240" s="512" t="str">
        <f t="shared" si="9"/>
        <v>OK</v>
      </c>
      <c r="B240" s="538" t="str">
        <f t="shared" si="10"/>
        <v/>
      </c>
      <c r="C240" s="1086">
        <f>CONSOLIDA!GD189</f>
        <v>0</v>
      </c>
      <c r="D240" s="1086"/>
      <c r="E240" s="1086"/>
      <c r="F240" s="1086"/>
      <c r="G240" s="1086"/>
      <c r="H240" s="1087">
        <f>CONSOLIDA!GE189</f>
        <v>0</v>
      </c>
      <c r="I240" s="1087"/>
      <c r="J240" s="1087"/>
      <c r="K240" s="1087"/>
      <c r="L240" s="1087"/>
      <c r="M240" s="1087"/>
      <c r="N240" s="1087"/>
      <c r="O240" s="1087"/>
      <c r="P240" s="1087"/>
      <c r="Q240" s="1087"/>
      <c r="R240" s="1087"/>
      <c r="S240" s="1087"/>
      <c r="T240" s="1087"/>
      <c r="U240" s="1087"/>
      <c r="V240" s="1087"/>
      <c r="W240" s="1087"/>
      <c r="X240" s="1087"/>
      <c r="Y240" s="1087"/>
      <c r="Z240" s="1087"/>
      <c r="AA240" s="1087"/>
      <c r="AB240" s="1087"/>
      <c r="AC240" s="1087"/>
      <c r="AD240" s="1087"/>
      <c r="AE240" s="1087"/>
      <c r="AF240" s="1087"/>
      <c r="AG240" s="1087"/>
      <c r="AH240" s="1087"/>
      <c r="AI240" s="1087"/>
      <c r="AJ240" s="1087"/>
      <c r="AK240" s="1087"/>
      <c r="AL240" s="1087"/>
      <c r="AM240" s="1088"/>
      <c r="AN240" s="1088"/>
      <c r="AO240" s="1088"/>
      <c r="AP240" s="1088"/>
      <c r="AQ240" s="1088"/>
      <c r="AR240" s="1088"/>
      <c r="AS240" s="1088"/>
      <c r="AT240" s="1088"/>
      <c r="AU240" s="1088"/>
      <c r="AV240" s="1088"/>
      <c r="AW240" s="1088"/>
      <c r="AX240" s="1088"/>
      <c r="AY240" s="1088"/>
      <c r="AZ240" s="1088"/>
      <c r="BA240" s="1088"/>
      <c r="BB240" s="1088"/>
      <c r="BC240" s="1088"/>
      <c r="BD240" s="1088"/>
      <c r="BE240" s="1088"/>
      <c r="BF240" s="1088"/>
      <c r="BG240" s="29">
        <f t="shared" si="11"/>
        <v>0</v>
      </c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29"/>
      <c r="BX240" s="29"/>
    </row>
    <row r="241" spans="1:76" s="182" customFormat="1" ht="12.75" hidden="1" customHeight="1">
      <c r="A241" s="512" t="str">
        <f t="shared" si="9"/>
        <v>OK</v>
      </c>
      <c r="B241" s="538" t="str">
        <f t="shared" si="10"/>
        <v/>
      </c>
      <c r="C241" s="1086">
        <f>CONSOLIDA!GD190</f>
        <v>0</v>
      </c>
      <c r="D241" s="1086"/>
      <c r="E241" s="1086"/>
      <c r="F241" s="1086"/>
      <c r="G241" s="1086"/>
      <c r="H241" s="1087">
        <f>CONSOLIDA!GE190</f>
        <v>0</v>
      </c>
      <c r="I241" s="1087"/>
      <c r="J241" s="1087"/>
      <c r="K241" s="1087"/>
      <c r="L241" s="1087"/>
      <c r="M241" s="1087"/>
      <c r="N241" s="1087"/>
      <c r="O241" s="1087"/>
      <c r="P241" s="1087"/>
      <c r="Q241" s="1087"/>
      <c r="R241" s="1087"/>
      <c r="S241" s="1087"/>
      <c r="T241" s="1087"/>
      <c r="U241" s="1087"/>
      <c r="V241" s="1087"/>
      <c r="W241" s="1087"/>
      <c r="X241" s="1087"/>
      <c r="Y241" s="1087"/>
      <c r="Z241" s="1087"/>
      <c r="AA241" s="1087"/>
      <c r="AB241" s="1087"/>
      <c r="AC241" s="1087"/>
      <c r="AD241" s="1087"/>
      <c r="AE241" s="1087"/>
      <c r="AF241" s="1087"/>
      <c r="AG241" s="1087"/>
      <c r="AH241" s="1087"/>
      <c r="AI241" s="1087"/>
      <c r="AJ241" s="1087"/>
      <c r="AK241" s="1087"/>
      <c r="AL241" s="1087"/>
      <c r="AM241" s="1088"/>
      <c r="AN241" s="1088"/>
      <c r="AO241" s="1088"/>
      <c r="AP241" s="1088"/>
      <c r="AQ241" s="1088"/>
      <c r="AR241" s="1088"/>
      <c r="AS241" s="1088"/>
      <c r="AT241" s="1088"/>
      <c r="AU241" s="1088"/>
      <c r="AV241" s="1088"/>
      <c r="AW241" s="1088"/>
      <c r="AX241" s="1088"/>
      <c r="AY241" s="1088"/>
      <c r="AZ241" s="1088"/>
      <c r="BA241" s="1088"/>
      <c r="BB241" s="1088"/>
      <c r="BC241" s="1088"/>
      <c r="BD241" s="1088"/>
      <c r="BE241" s="1088"/>
      <c r="BF241" s="1088"/>
      <c r="BG241" s="29">
        <f t="shared" si="11"/>
        <v>0</v>
      </c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29"/>
      <c r="BX241" s="29"/>
    </row>
    <row r="242" spans="1:76" s="182" customFormat="1" ht="12.75" hidden="1" customHeight="1">
      <c r="A242" s="512" t="str">
        <f t="shared" si="9"/>
        <v>OK</v>
      </c>
      <c r="B242" s="538" t="str">
        <f t="shared" si="10"/>
        <v/>
      </c>
      <c r="C242" s="1086">
        <f>CONSOLIDA!GD191</f>
        <v>0</v>
      </c>
      <c r="D242" s="1086"/>
      <c r="E242" s="1086"/>
      <c r="F242" s="1086"/>
      <c r="G242" s="1086"/>
      <c r="H242" s="1087">
        <f>CONSOLIDA!GE191</f>
        <v>0</v>
      </c>
      <c r="I242" s="1087"/>
      <c r="J242" s="1087"/>
      <c r="K242" s="1087"/>
      <c r="L242" s="1087"/>
      <c r="M242" s="1087"/>
      <c r="N242" s="1087"/>
      <c r="O242" s="1087"/>
      <c r="P242" s="1087"/>
      <c r="Q242" s="1087"/>
      <c r="R242" s="1087"/>
      <c r="S242" s="1087"/>
      <c r="T242" s="1087"/>
      <c r="U242" s="1087"/>
      <c r="V242" s="1087"/>
      <c r="W242" s="1087"/>
      <c r="X242" s="1087"/>
      <c r="Y242" s="1087"/>
      <c r="Z242" s="1087"/>
      <c r="AA242" s="1087"/>
      <c r="AB242" s="1087"/>
      <c r="AC242" s="1087"/>
      <c r="AD242" s="1087"/>
      <c r="AE242" s="1087"/>
      <c r="AF242" s="1087"/>
      <c r="AG242" s="1087"/>
      <c r="AH242" s="1087"/>
      <c r="AI242" s="1087"/>
      <c r="AJ242" s="1087"/>
      <c r="AK242" s="1087"/>
      <c r="AL242" s="1087"/>
      <c r="AM242" s="1088"/>
      <c r="AN242" s="1088"/>
      <c r="AO242" s="1088"/>
      <c r="AP242" s="1088"/>
      <c r="AQ242" s="1088"/>
      <c r="AR242" s="1088"/>
      <c r="AS242" s="1088"/>
      <c r="AT242" s="1088"/>
      <c r="AU242" s="1088"/>
      <c r="AV242" s="1088"/>
      <c r="AW242" s="1088"/>
      <c r="AX242" s="1088"/>
      <c r="AY242" s="1088"/>
      <c r="AZ242" s="1088"/>
      <c r="BA242" s="1088"/>
      <c r="BB242" s="1088"/>
      <c r="BC242" s="1088"/>
      <c r="BD242" s="1088"/>
      <c r="BE242" s="1088"/>
      <c r="BF242" s="1088"/>
      <c r="BG242" s="29">
        <f t="shared" si="11"/>
        <v>0</v>
      </c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29"/>
      <c r="BX242" s="29"/>
    </row>
    <row r="243" spans="1:76" s="182" customFormat="1" ht="12.75" hidden="1" customHeight="1">
      <c r="A243" s="512" t="str">
        <f t="shared" si="9"/>
        <v>OK</v>
      </c>
      <c r="B243" s="538" t="str">
        <f t="shared" si="10"/>
        <v/>
      </c>
      <c r="C243" s="1086">
        <f>CONSOLIDA!GD192</f>
        <v>0</v>
      </c>
      <c r="D243" s="1086"/>
      <c r="E243" s="1086"/>
      <c r="F243" s="1086"/>
      <c r="G243" s="1086"/>
      <c r="H243" s="1087">
        <f>CONSOLIDA!GE192</f>
        <v>0</v>
      </c>
      <c r="I243" s="1087"/>
      <c r="J243" s="1087"/>
      <c r="K243" s="1087"/>
      <c r="L243" s="1087"/>
      <c r="M243" s="1087"/>
      <c r="N243" s="1087"/>
      <c r="O243" s="1087"/>
      <c r="P243" s="1087"/>
      <c r="Q243" s="1087"/>
      <c r="R243" s="1087"/>
      <c r="S243" s="1087"/>
      <c r="T243" s="1087"/>
      <c r="U243" s="1087"/>
      <c r="V243" s="1087"/>
      <c r="W243" s="1087"/>
      <c r="X243" s="1087"/>
      <c r="Y243" s="1087"/>
      <c r="Z243" s="1087"/>
      <c r="AA243" s="1087"/>
      <c r="AB243" s="1087"/>
      <c r="AC243" s="1087"/>
      <c r="AD243" s="1087"/>
      <c r="AE243" s="1087"/>
      <c r="AF243" s="1087"/>
      <c r="AG243" s="1087"/>
      <c r="AH243" s="1087"/>
      <c r="AI243" s="1087"/>
      <c r="AJ243" s="1087"/>
      <c r="AK243" s="1087"/>
      <c r="AL243" s="1087"/>
      <c r="AM243" s="1088"/>
      <c r="AN243" s="1088"/>
      <c r="AO243" s="1088"/>
      <c r="AP243" s="1088"/>
      <c r="AQ243" s="1088"/>
      <c r="AR243" s="1088"/>
      <c r="AS243" s="1088"/>
      <c r="AT243" s="1088"/>
      <c r="AU243" s="1088"/>
      <c r="AV243" s="1088"/>
      <c r="AW243" s="1088"/>
      <c r="AX243" s="1088"/>
      <c r="AY243" s="1088"/>
      <c r="AZ243" s="1088"/>
      <c r="BA243" s="1088"/>
      <c r="BB243" s="1088"/>
      <c r="BC243" s="1088"/>
      <c r="BD243" s="1088"/>
      <c r="BE243" s="1088"/>
      <c r="BF243" s="1088"/>
      <c r="BG243" s="29">
        <f t="shared" si="11"/>
        <v>0</v>
      </c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29"/>
      <c r="BX243" s="29"/>
    </row>
    <row r="244" spans="1:76" ht="12.75" hidden="1" customHeight="1">
      <c r="A244" s="512" t="str">
        <f t="shared" si="9"/>
        <v>OK</v>
      </c>
      <c r="B244" s="538" t="str">
        <f t="shared" si="10"/>
        <v/>
      </c>
      <c r="C244" s="1086">
        <f>CONSOLIDA!GD193</f>
        <v>0</v>
      </c>
      <c r="D244" s="1086"/>
      <c r="E244" s="1086"/>
      <c r="F244" s="1086"/>
      <c r="G244" s="1086"/>
      <c r="H244" s="1087">
        <f>CONSOLIDA!GE193</f>
        <v>0</v>
      </c>
      <c r="I244" s="1087"/>
      <c r="J244" s="1087"/>
      <c r="K244" s="1087"/>
      <c r="L244" s="1087"/>
      <c r="M244" s="1087"/>
      <c r="N244" s="1087"/>
      <c r="O244" s="1087"/>
      <c r="P244" s="1087"/>
      <c r="Q244" s="1087"/>
      <c r="R244" s="1087"/>
      <c r="S244" s="1087"/>
      <c r="T244" s="1087"/>
      <c r="U244" s="1087"/>
      <c r="V244" s="1087"/>
      <c r="W244" s="1087"/>
      <c r="X244" s="1087"/>
      <c r="Y244" s="1087"/>
      <c r="Z244" s="1087"/>
      <c r="AA244" s="1087"/>
      <c r="AB244" s="1087"/>
      <c r="AC244" s="1087"/>
      <c r="AD244" s="1087"/>
      <c r="AE244" s="1087"/>
      <c r="AF244" s="1087"/>
      <c r="AG244" s="1087"/>
      <c r="AH244" s="1087"/>
      <c r="AI244" s="1087"/>
      <c r="AJ244" s="1087"/>
      <c r="AK244" s="1087"/>
      <c r="AL244" s="1087"/>
      <c r="AM244" s="1088"/>
      <c r="AN244" s="1088"/>
      <c r="AO244" s="1088"/>
      <c r="AP244" s="1088"/>
      <c r="AQ244" s="1088"/>
      <c r="AR244" s="1088"/>
      <c r="AS244" s="1088"/>
      <c r="AT244" s="1088"/>
      <c r="AU244" s="1088"/>
      <c r="AV244" s="1088"/>
      <c r="AW244" s="1088"/>
      <c r="AX244" s="1088"/>
      <c r="AY244" s="1088"/>
      <c r="AZ244" s="1088"/>
      <c r="BA244" s="1088"/>
      <c r="BB244" s="1088"/>
      <c r="BC244" s="1088"/>
      <c r="BD244" s="1088"/>
      <c r="BE244" s="1088"/>
      <c r="BF244" s="1088"/>
      <c r="BG244" s="29">
        <f t="shared" si="11"/>
        <v>0</v>
      </c>
      <c r="BH244" s="29"/>
      <c r="BI244" s="29"/>
      <c r="BJ244" s="29"/>
      <c r="BK244" s="29"/>
      <c r="BL244" s="29"/>
      <c r="BM244" s="29"/>
      <c r="BN244" s="29"/>
      <c r="BO244" s="29"/>
      <c r="BP244" s="29"/>
      <c r="BQ244" s="29"/>
      <c r="BR244" s="29"/>
      <c r="BS244" s="29"/>
      <c r="BT244" s="29"/>
      <c r="BU244" s="29"/>
      <c r="BV244" s="29"/>
      <c r="BX244" s="29"/>
    </row>
    <row r="245" spans="1:76" ht="12.75" hidden="1" customHeight="1">
      <c r="A245" s="512" t="str">
        <f t="shared" si="9"/>
        <v>OK</v>
      </c>
      <c r="B245" s="538" t="str">
        <f t="shared" si="10"/>
        <v/>
      </c>
      <c r="C245" s="1086">
        <f>CONSOLIDA!GD194</f>
        <v>0</v>
      </c>
      <c r="D245" s="1086"/>
      <c r="E245" s="1086"/>
      <c r="F245" s="1086"/>
      <c r="G245" s="1086"/>
      <c r="H245" s="1087">
        <f>CONSOLIDA!GE194</f>
        <v>0</v>
      </c>
      <c r="I245" s="1087"/>
      <c r="J245" s="1087"/>
      <c r="K245" s="1087"/>
      <c r="L245" s="1087"/>
      <c r="M245" s="1087"/>
      <c r="N245" s="1087"/>
      <c r="O245" s="1087"/>
      <c r="P245" s="1087"/>
      <c r="Q245" s="1087"/>
      <c r="R245" s="1087"/>
      <c r="S245" s="1087"/>
      <c r="T245" s="1087"/>
      <c r="U245" s="1087"/>
      <c r="V245" s="1087"/>
      <c r="W245" s="1087"/>
      <c r="X245" s="1087"/>
      <c r="Y245" s="1087"/>
      <c r="Z245" s="1087"/>
      <c r="AA245" s="1087"/>
      <c r="AB245" s="1087"/>
      <c r="AC245" s="1087"/>
      <c r="AD245" s="1087"/>
      <c r="AE245" s="1087"/>
      <c r="AF245" s="1087"/>
      <c r="AG245" s="1087"/>
      <c r="AH245" s="1087"/>
      <c r="AI245" s="1087"/>
      <c r="AJ245" s="1087"/>
      <c r="AK245" s="1087"/>
      <c r="AL245" s="1087"/>
      <c r="AM245" s="1088"/>
      <c r="AN245" s="1088"/>
      <c r="AO245" s="1088"/>
      <c r="AP245" s="1088"/>
      <c r="AQ245" s="1088"/>
      <c r="AR245" s="1088"/>
      <c r="AS245" s="1088"/>
      <c r="AT245" s="1088"/>
      <c r="AU245" s="1088"/>
      <c r="AV245" s="1088"/>
      <c r="AW245" s="1088"/>
      <c r="AX245" s="1088"/>
      <c r="AY245" s="1088"/>
      <c r="AZ245" s="1088"/>
      <c r="BA245" s="1088"/>
      <c r="BB245" s="1088"/>
      <c r="BC245" s="1088"/>
      <c r="BD245" s="1088"/>
      <c r="BE245" s="1088"/>
      <c r="BF245" s="1088"/>
      <c r="BG245" s="29">
        <f t="shared" si="11"/>
        <v>0</v>
      </c>
      <c r="BX245" s="392"/>
    </row>
    <row r="246" spans="1:76" ht="12.75" hidden="1" customHeight="1">
      <c r="A246" s="512" t="str">
        <f t="shared" si="9"/>
        <v>OK</v>
      </c>
      <c r="B246" s="538" t="str">
        <f t="shared" si="10"/>
        <v/>
      </c>
      <c r="C246" s="1086">
        <f>CONSOLIDA!GD195</f>
        <v>0</v>
      </c>
      <c r="D246" s="1086"/>
      <c r="E246" s="1086"/>
      <c r="F246" s="1086"/>
      <c r="G246" s="1086"/>
      <c r="H246" s="1087">
        <f>CONSOLIDA!GE195</f>
        <v>0</v>
      </c>
      <c r="I246" s="1087"/>
      <c r="J246" s="1087"/>
      <c r="K246" s="1087"/>
      <c r="L246" s="1087"/>
      <c r="M246" s="1087"/>
      <c r="N246" s="1087"/>
      <c r="O246" s="1087"/>
      <c r="P246" s="1087"/>
      <c r="Q246" s="1087"/>
      <c r="R246" s="1087"/>
      <c r="S246" s="1087"/>
      <c r="T246" s="1087"/>
      <c r="U246" s="1087"/>
      <c r="V246" s="1087"/>
      <c r="W246" s="1087"/>
      <c r="X246" s="1087"/>
      <c r="Y246" s="1087"/>
      <c r="Z246" s="1087"/>
      <c r="AA246" s="1087"/>
      <c r="AB246" s="1087"/>
      <c r="AC246" s="1087"/>
      <c r="AD246" s="1087"/>
      <c r="AE246" s="1087"/>
      <c r="AF246" s="1087"/>
      <c r="AG246" s="1087"/>
      <c r="AH246" s="1087"/>
      <c r="AI246" s="1087"/>
      <c r="AJ246" s="1087"/>
      <c r="AK246" s="1087"/>
      <c r="AL246" s="1087"/>
      <c r="AM246" s="1088"/>
      <c r="AN246" s="1088"/>
      <c r="AO246" s="1088"/>
      <c r="AP246" s="1088"/>
      <c r="AQ246" s="1088"/>
      <c r="AR246" s="1088"/>
      <c r="AS246" s="1088"/>
      <c r="AT246" s="1088"/>
      <c r="AU246" s="1088"/>
      <c r="AV246" s="1088"/>
      <c r="AW246" s="1088"/>
      <c r="AX246" s="1088"/>
      <c r="AY246" s="1088"/>
      <c r="AZ246" s="1088"/>
      <c r="BA246" s="1088"/>
      <c r="BB246" s="1088"/>
      <c r="BC246" s="1088"/>
      <c r="BD246" s="1088"/>
      <c r="BE246" s="1088"/>
      <c r="BF246" s="1088"/>
      <c r="BG246" s="29">
        <f t="shared" si="11"/>
        <v>0</v>
      </c>
      <c r="BX246" s="392"/>
    </row>
    <row r="247" spans="1:76" ht="12.75" hidden="1" customHeight="1">
      <c r="A247" s="512" t="str">
        <f t="shared" si="9"/>
        <v>OK</v>
      </c>
      <c r="B247" s="538" t="str">
        <f t="shared" si="10"/>
        <v/>
      </c>
      <c r="C247" s="1086">
        <f>CONSOLIDA!GD196</f>
        <v>0</v>
      </c>
      <c r="D247" s="1086"/>
      <c r="E247" s="1086"/>
      <c r="F247" s="1086"/>
      <c r="G247" s="1086"/>
      <c r="H247" s="1087">
        <f>CONSOLIDA!GE196</f>
        <v>0</v>
      </c>
      <c r="I247" s="1087"/>
      <c r="J247" s="1087"/>
      <c r="K247" s="1087"/>
      <c r="L247" s="1087"/>
      <c r="M247" s="1087"/>
      <c r="N247" s="1087"/>
      <c r="O247" s="1087"/>
      <c r="P247" s="1087"/>
      <c r="Q247" s="1087"/>
      <c r="R247" s="1087"/>
      <c r="S247" s="1087"/>
      <c r="T247" s="1087"/>
      <c r="U247" s="1087"/>
      <c r="V247" s="1087"/>
      <c r="W247" s="1087"/>
      <c r="X247" s="1087"/>
      <c r="Y247" s="1087"/>
      <c r="Z247" s="1087"/>
      <c r="AA247" s="1087"/>
      <c r="AB247" s="1087"/>
      <c r="AC247" s="1087"/>
      <c r="AD247" s="1087"/>
      <c r="AE247" s="1087"/>
      <c r="AF247" s="1087"/>
      <c r="AG247" s="1087"/>
      <c r="AH247" s="1087"/>
      <c r="AI247" s="1087"/>
      <c r="AJ247" s="1087"/>
      <c r="AK247" s="1087"/>
      <c r="AL247" s="1087"/>
      <c r="AM247" s="1088"/>
      <c r="AN247" s="1088"/>
      <c r="AO247" s="1088"/>
      <c r="AP247" s="1088"/>
      <c r="AQ247" s="1088"/>
      <c r="AR247" s="1088"/>
      <c r="AS247" s="1088"/>
      <c r="AT247" s="1088"/>
      <c r="AU247" s="1088"/>
      <c r="AV247" s="1088"/>
      <c r="AW247" s="1088"/>
      <c r="AX247" s="1088"/>
      <c r="AY247" s="1088"/>
      <c r="AZ247" s="1088"/>
      <c r="BA247" s="1088"/>
      <c r="BB247" s="1088"/>
      <c r="BC247" s="1088"/>
      <c r="BD247" s="1088"/>
      <c r="BE247" s="1088"/>
      <c r="BF247" s="1088"/>
      <c r="BG247" s="29">
        <f t="shared" si="11"/>
        <v>0</v>
      </c>
      <c r="BX247" s="392"/>
    </row>
    <row r="248" spans="1:76" ht="12.75" hidden="1" customHeight="1">
      <c r="A248" s="512" t="str">
        <f t="shared" ref="A248:A255" si="12">IF(AND(BG248=0,AM248=""),"OK","")</f>
        <v>OK</v>
      </c>
      <c r="B248" s="538" t="str">
        <f t="shared" si="10"/>
        <v/>
      </c>
      <c r="C248" s="1086">
        <f>CONSOLIDA!GD197</f>
        <v>0</v>
      </c>
      <c r="D248" s="1086"/>
      <c r="E248" s="1086"/>
      <c r="F248" s="1086"/>
      <c r="G248" s="1086"/>
      <c r="H248" s="1087">
        <f>CONSOLIDA!GE197</f>
        <v>0</v>
      </c>
      <c r="I248" s="1087"/>
      <c r="J248" s="1087"/>
      <c r="K248" s="1087"/>
      <c r="L248" s="1087"/>
      <c r="M248" s="1087"/>
      <c r="N248" s="1087"/>
      <c r="O248" s="1087"/>
      <c r="P248" s="1087"/>
      <c r="Q248" s="1087"/>
      <c r="R248" s="1087"/>
      <c r="S248" s="1087"/>
      <c r="T248" s="1087"/>
      <c r="U248" s="1087"/>
      <c r="V248" s="1087"/>
      <c r="W248" s="1087"/>
      <c r="X248" s="1087"/>
      <c r="Y248" s="1087"/>
      <c r="Z248" s="1087"/>
      <c r="AA248" s="1087"/>
      <c r="AB248" s="1087"/>
      <c r="AC248" s="1087"/>
      <c r="AD248" s="1087"/>
      <c r="AE248" s="1087"/>
      <c r="AF248" s="1087"/>
      <c r="AG248" s="1087"/>
      <c r="AH248" s="1087"/>
      <c r="AI248" s="1087"/>
      <c r="AJ248" s="1087"/>
      <c r="AK248" s="1087"/>
      <c r="AL248" s="1087"/>
      <c r="AM248" s="1088"/>
      <c r="AN248" s="1088"/>
      <c r="AO248" s="1088"/>
      <c r="AP248" s="1088"/>
      <c r="AQ248" s="1088"/>
      <c r="AR248" s="1088"/>
      <c r="AS248" s="1088"/>
      <c r="AT248" s="1088"/>
      <c r="AU248" s="1088"/>
      <c r="AV248" s="1088"/>
      <c r="AW248" s="1088"/>
      <c r="AX248" s="1088"/>
      <c r="AY248" s="1088"/>
      <c r="AZ248" s="1088"/>
      <c r="BA248" s="1088"/>
      <c r="BB248" s="1088"/>
      <c r="BC248" s="1088"/>
      <c r="BD248" s="1088"/>
      <c r="BE248" s="1088"/>
      <c r="BF248" s="1088"/>
      <c r="BG248" s="29">
        <f t="shared" si="11"/>
        <v>0</v>
      </c>
      <c r="BX248" s="392"/>
    </row>
    <row r="249" spans="1:76" ht="12.75" hidden="1" customHeight="1">
      <c r="A249" s="512" t="str">
        <f t="shared" si="12"/>
        <v>OK</v>
      </c>
      <c r="B249" s="538" t="str">
        <f t="shared" ref="B249:B255" si="13">IF(C249=0,"",B248+1)</f>
        <v/>
      </c>
      <c r="C249" s="1086">
        <f>CONSOLIDA!GD198</f>
        <v>0</v>
      </c>
      <c r="D249" s="1086"/>
      <c r="E249" s="1086"/>
      <c r="F249" s="1086"/>
      <c r="G249" s="1086"/>
      <c r="H249" s="1087">
        <f>CONSOLIDA!GE198</f>
        <v>0</v>
      </c>
      <c r="I249" s="1087"/>
      <c r="J249" s="1087"/>
      <c r="K249" s="1087"/>
      <c r="L249" s="1087"/>
      <c r="M249" s="1087"/>
      <c r="N249" s="1087"/>
      <c r="O249" s="1087"/>
      <c r="P249" s="1087"/>
      <c r="Q249" s="1087"/>
      <c r="R249" s="1087"/>
      <c r="S249" s="1087"/>
      <c r="T249" s="1087"/>
      <c r="U249" s="1087"/>
      <c r="V249" s="1087"/>
      <c r="W249" s="1087"/>
      <c r="X249" s="1087"/>
      <c r="Y249" s="1087"/>
      <c r="Z249" s="1087"/>
      <c r="AA249" s="1087"/>
      <c r="AB249" s="1087"/>
      <c r="AC249" s="1087"/>
      <c r="AD249" s="1087"/>
      <c r="AE249" s="1087"/>
      <c r="AF249" s="1087"/>
      <c r="AG249" s="1087"/>
      <c r="AH249" s="1087"/>
      <c r="AI249" s="1087"/>
      <c r="AJ249" s="1087"/>
      <c r="AK249" s="1087"/>
      <c r="AL249" s="1087"/>
      <c r="AM249" s="1088"/>
      <c r="AN249" s="1088"/>
      <c r="AO249" s="1088"/>
      <c r="AP249" s="1088"/>
      <c r="AQ249" s="1088"/>
      <c r="AR249" s="1088"/>
      <c r="AS249" s="1088"/>
      <c r="AT249" s="1088"/>
      <c r="AU249" s="1088"/>
      <c r="AV249" s="1088"/>
      <c r="AW249" s="1088"/>
      <c r="AX249" s="1088"/>
      <c r="AY249" s="1088"/>
      <c r="AZ249" s="1088"/>
      <c r="BA249" s="1088"/>
      <c r="BB249" s="1088"/>
      <c r="BC249" s="1088"/>
      <c r="BD249" s="1088"/>
      <c r="BE249" s="1088"/>
      <c r="BF249" s="1088"/>
      <c r="BG249" s="29">
        <f t="shared" si="11"/>
        <v>0</v>
      </c>
      <c r="BX249" s="392"/>
    </row>
    <row r="250" spans="1:76" ht="12.75" hidden="1" customHeight="1">
      <c r="A250" s="512" t="str">
        <f t="shared" si="12"/>
        <v>OK</v>
      </c>
      <c r="B250" s="538" t="str">
        <f t="shared" si="13"/>
        <v/>
      </c>
      <c r="C250" s="1086">
        <f>CONSOLIDA!GD199</f>
        <v>0</v>
      </c>
      <c r="D250" s="1086"/>
      <c r="E250" s="1086"/>
      <c r="F250" s="1086"/>
      <c r="G250" s="1086"/>
      <c r="H250" s="1087">
        <f>CONSOLIDA!GE199</f>
        <v>0</v>
      </c>
      <c r="I250" s="1087"/>
      <c r="J250" s="1087"/>
      <c r="K250" s="1087"/>
      <c r="L250" s="1087"/>
      <c r="M250" s="1087"/>
      <c r="N250" s="1087"/>
      <c r="O250" s="1087"/>
      <c r="P250" s="1087"/>
      <c r="Q250" s="1087"/>
      <c r="R250" s="1087"/>
      <c r="S250" s="1087"/>
      <c r="T250" s="1087"/>
      <c r="U250" s="1087"/>
      <c r="V250" s="1087"/>
      <c r="W250" s="1087"/>
      <c r="X250" s="1087"/>
      <c r="Y250" s="1087"/>
      <c r="Z250" s="1087"/>
      <c r="AA250" s="1087"/>
      <c r="AB250" s="1087"/>
      <c r="AC250" s="1087"/>
      <c r="AD250" s="1087"/>
      <c r="AE250" s="1087"/>
      <c r="AF250" s="1087"/>
      <c r="AG250" s="1087"/>
      <c r="AH250" s="1087"/>
      <c r="AI250" s="1087"/>
      <c r="AJ250" s="1087"/>
      <c r="AK250" s="1087"/>
      <c r="AL250" s="1087"/>
      <c r="AM250" s="1088"/>
      <c r="AN250" s="1088"/>
      <c r="AO250" s="1088"/>
      <c r="AP250" s="1088"/>
      <c r="AQ250" s="1088"/>
      <c r="AR250" s="1088"/>
      <c r="AS250" s="1088"/>
      <c r="AT250" s="1088"/>
      <c r="AU250" s="1088"/>
      <c r="AV250" s="1088"/>
      <c r="AW250" s="1088"/>
      <c r="AX250" s="1088"/>
      <c r="AY250" s="1088"/>
      <c r="AZ250" s="1088"/>
      <c r="BA250" s="1088"/>
      <c r="BB250" s="1088"/>
      <c r="BC250" s="1088"/>
      <c r="BD250" s="1088"/>
      <c r="BE250" s="1088"/>
      <c r="BF250" s="1088"/>
      <c r="BG250" s="29">
        <f t="shared" si="11"/>
        <v>0</v>
      </c>
      <c r="BX250" s="392"/>
    </row>
    <row r="251" spans="1:76" ht="12.75" hidden="1" customHeight="1">
      <c r="A251" s="512" t="str">
        <f t="shared" si="12"/>
        <v>OK</v>
      </c>
      <c r="B251" s="538" t="str">
        <f t="shared" si="13"/>
        <v/>
      </c>
      <c r="C251" s="1086">
        <f>CONSOLIDA!GD200</f>
        <v>0</v>
      </c>
      <c r="D251" s="1086"/>
      <c r="E251" s="1086"/>
      <c r="F251" s="1086"/>
      <c r="G251" s="1086"/>
      <c r="H251" s="1087">
        <f>CONSOLIDA!GE200</f>
        <v>0</v>
      </c>
      <c r="I251" s="1087"/>
      <c r="J251" s="1087"/>
      <c r="K251" s="1087"/>
      <c r="L251" s="1087"/>
      <c r="M251" s="1087"/>
      <c r="N251" s="1087"/>
      <c r="O251" s="1087"/>
      <c r="P251" s="1087"/>
      <c r="Q251" s="1087"/>
      <c r="R251" s="1087"/>
      <c r="S251" s="1087"/>
      <c r="T251" s="1087"/>
      <c r="U251" s="1087"/>
      <c r="V251" s="1087"/>
      <c r="W251" s="1087"/>
      <c r="X251" s="1087"/>
      <c r="Y251" s="1087"/>
      <c r="Z251" s="1087"/>
      <c r="AA251" s="1087"/>
      <c r="AB251" s="1087"/>
      <c r="AC251" s="1087"/>
      <c r="AD251" s="1087"/>
      <c r="AE251" s="1087"/>
      <c r="AF251" s="1087"/>
      <c r="AG251" s="1087"/>
      <c r="AH251" s="1087"/>
      <c r="AI251" s="1087"/>
      <c r="AJ251" s="1087"/>
      <c r="AK251" s="1087"/>
      <c r="AL251" s="1087"/>
      <c r="AM251" s="1088"/>
      <c r="AN251" s="1088"/>
      <c r="AO251" s="1088"/>
      <c r="AP251" s="1088"/>
      <c r="AQ251" s="1088"/>
      <c r="AR251" s="1088"/>
      <c r="AS251" s="1088"/>
      <c r="AT251" s="1088"/>
      <c r="AU251" s="1088"/>
      <c r="AV251" s="1088"/>
      <c r="AW251" s="1088"/>
      <c r="AX251" s="1088"/>
      <c r="AY251" s="1088"/>
      <c r="AZ251" s="1088"/>
      <c r="BA251" s="1088"/>
      <c r="BB251" s="1088"/>
      <c r="BC251" s="1088"/>
      <c r="BD251" s="1088"/>
      <c r="BE251" s="1088"/>
      <c r="BF251" s="1088"/>
      <c r="BG251" s="29">
        <f t="shared" si="11"/>
        <v>0</v>
      </c>
      <c r="BX251" s="392"/>
    </row>
    <row r="252" spans="1:76" ht="12.75" hidden="1" customHeight="1">
      <c r="A252" s="512" t="str">
        <f t="shared" si="12"/>
        <v>OK</v>
      </c>
      <c r="B252" s="538" t="str">
        <f t="shared" si="13"/>
        <v/>
      </c>
      <c r="C252" s="1086">
        <f>CONSOLIDA!GD201</f>
        <v>0</v>
      </c>
      <c r="D252" s="1086"/>
      <c r="E252" s="1086"/>
      <c r="F252" s="1086"/>
      <c r="G252" s="1086"/>
      <c r="H252" s="1087">
        <f>CONSOLIDA!GE201</f>
        <v>0</v>
      </c>
      <c r="I252" s="1087"/>
      <c r="J252" s="1087"/>
      <c r="K252" s="1087"/>
      <c r="L252" s="1087"/>
      <c r="M252" s="1087"/>
      <c r="N252" s="1087"/>
      <c r="O252" s="1087"/>
      <c r="P252" s="1087"/>
      <c r="Q252" s="1087"/>
      <c r="R252" s="1087"/>
      <c r="S252" s="1087"/>
      <c r="T252" s="1087"/>
      <c r="U252" s="1087"/>
      <c r="V252" s="1087"/>
      <c r="W252" s="1087"/>
      <c r="X252" s="1087"/>
      <c r="Y252" s="1087"/>
      <c r="Z252" s="1087"/>
      <c r="AA252" s="1087"/>
      <c r="AB252" s="1087"/>
      <c r="AC252" s="1087"/>
      <c r="AD252" s="1087"/>
      <c r="AE252" s="1087"/>
      <c r="AF252" s="1087"/>
      <c r="AG252" s="1087"/>
      <c r="AH252" s="1087"/>
      <c r="AI252" s="1087"/>
      <c r="AJ252" s="1087"/>
      <c r="AK252" s="1087"/>
      <c r="AL252" s="1087"/>
      <c r="AM252" s="1088"/>
      <c r="AN252" s="1088"/>
      <c r="AO252" s="1088"/>
      <c r="AP252" s="1088"/>
      <c r="AQ252" s="1088"/>
      <c r="AR252" s="1088"/>
      <c r="AS252" s="1088"/>
      <c r="AT252" s="1088"/>
      <c r="AU252" s="1088"/>
      <c r="AV252" s="1088"/>
      <c r="AW252" s="1088"/>
      <c r="AX252" s="1088"/>
      <c r="AY252" s="1088"/>
      <c r="AZ252" s="1088"/>
      <c r="BA252" s="1088"/>
      <c r="BB252" s="1088"/>
      <c r="BC252" s="1088"/>
      <c r="BD252" s="1088"/>
      <c r="BE252" s="1088"/>
      <c r="BF252" s="1088"/>
      <c r="BG252" s="29">
        <f t="shared" si="11"/>
        <v>0</v>
      </c>
      <c r="BX252" s="392"/>
    </row>
    <row r="253" spans="1:76" ht="12.75" hidden="1" customHeight="1">
      <c r="A253" s="512" t="str">
        <f t="shared" si="12"/>
        <v>OK</v>
      </c>
      <c r="B253" s="538" t="str">
        <f t="shared" si="13"/>
        <v/>
      </c>
      <c r="C253" s="1086">
        <f>CONSOLIDA!GD202</f>
        <v>0</v>
      </c>
      <c r="D253" s="1086"/>
      <c r="E253" s="1086"/>
      <c r="F253" s="1086"/>
      <c r="G253" s="1086"/>
      <c r="H253" s="1087">
        <f>CONSOLIDA!GE202</f>
        <v>0</v>
      </c>
      <c r="I253" s="1087"/>
      <c r="J253" s="1087"/>
      <c r="K253" s="1087"/>
      <c r="L253" s="1087"/>
      <c r="M253" s="1087"/>
      <c r="N253" s="1087"/>
      <c r="O253" s="1087"/>
      <c r="P253" s="1087"/>
      <c r="Q253" s="1087"/>
      <c r="R253" s="1087"/>
      <c r="S253" s="1087"/>
      <c r="T253" s="1087"/>
      <c r="U253" s="1087"/>
      <c r="V253" s="1087"/>
      <c r="W253" s="1087"/>
      <c r="X253" s="1087"/>
      <c r="Y253" s="1087"/>
      <c r="Z253" s="1087"/>
      <c r="AA253" s="1087"/>
      <c r="AB253" s="1087"/>
      <c r="AC253" s="1087"/>
      <c r="AD253" s="1087"/>
      <c r="AE253" s="1087"/>
      <c r="AF253" s="1087"/>
      <c r="AG253" s="1087"/>
      <c r="AH253" s="1087"/>
      <c r="AI253" s="1087"/>
      <c r="AJ253" s="1087"/>
      <c r="AK253" s="1087"/>
      <c r="AL253" s="1087"/>
      <c r="AM253" s="1088"/>
      <c r="AN253" s="1088"/>
      <c r="AO253" s="1088"/>
      <c r="AP253" s="1088"/>
      <c r="AQ253" s="1088"/>
      <c r="AR253" s="1088"/>
      <c r="AS253" s="1088"/>
      <c r="AT253" s="1088"/>
      <c r="AU253" s="1088"/>
      <c r="AV253" s="1088"/>
      <c r="AW253" s="1088"/>
      <c r="AX253" s="1088"/>
      <c r="AY253" s="1088"/>
      <c r="AZ253" s="1088"/>
      <c r="BA253" s="1088"/>
      <c r="BB253" s="1088"/>
      <c r="BC253" s="1088"/>
      <c r="BD253" s="1088"/>
      <c r="BE253" s="1088"/>
      <c r="BF253" s="1088"/>
      <c r="BG253" s="29">
        <f t="shared" si="11"/>
        <v>0</v>
      </c>
      <c r="BX253" s="392"/>
    </row>
    <row r="254" spans="1:76" ht="12.75" hidden="1" customHeight="1">
      <c r="A254" s="512" t="str">
        <f t="shared" si="12"/>
        <v>OK</v>
      </c>
      <c r="B254" s="538" t="str">
        <f t="shared" si="13"/>
        <v/>
      </c>
      <c r="C254" s="1086">
        <f>CONSOLIDA!GD203</f>
        <v>0</v>
      </c>
      <c r="D254" s="1086"/>
      <c r="E254" s="1086"/>
      <c r="F254" s="1086"/>
      <c r="G254" s="1086"/>
      <c r="H254" s="1087">
        <f>CONSOLIDA!GE203</f>
        <v>0</v>
      </c>
      <c r="I254" s="1087"/>
      <c r="J254" s="1087"/>
      <c r="K254" s="1087"/>
      <c r="L254" s="1087"/>
      <c r="M254" s="1087"/>
      <c r="N254" s="1087"/>
      <c r="O254" s="1087"/>
      <c r="P254" s="1087"/>
      <c r="Q254" s="1087"/>
      <c r="R254" s="1087"/>
      <c r="S254" s="1087"/>
      <c r="T254" s="1087"/>
      <c r="U254" s="1087"/>
      <c r="V254" s="1087"/>
      <c r="W254" s="1087"/>
      <c r="X254" s="1087"/>
      <c r="Y254" s="1087"/>
      <c r="Z254" s="1087"/>
      <c r="AA254" s="1087"/>
      <c r="AB254" s="1087"/>
      <c r="AC254" s="1087"/>
      <c r="AD254" s="1087"/>
      <c r="AE254" s="1087"/>
      <c r="AF254" s="1087"/>
      <c r="AG254" s="1087"/>
      <c r="AH254" s="1087"/>
      <c r="AI254" s="1087"/>
      <c r="AJ254" s="1087"/>
      <c r="AK254" s="1087"/>
      <c r="AL254" s="1087"/>
      <c r="AM254" s="1088"/>
      <c r="AN254" s="1088"/>
      <c r="AO254" s="1088"/>
      <c r="AP254" s="1088"/>
      <c r="AQ254" s="1088"/>
      <c r="AR254" s="1088"/>
      <c r="AS254" s="1088"/>
      <c r="AT254" s="1088"/>
      <c r="AU254" s="1088"/>
      <c r="AV254" s="1088"/>
      <c r="AW254" s="1088"/>
      <c r="AX254" s="1088"/>
      <c r="AY254" s="1088"/>
      <c r="AZ254" s="1088"/>
      <c r="BA254" s="1088"/>
      <c r="BB254" s="1088"/>
      <c r="BC254" s="1088"/>
      <c r="BD254" s="1088"/>
      <c r="BE254" s="1088"/>
      <c r="BF254" s="1088"/>
      <c r="BG254" s="29">
        <f t="shared" si="11"/>
        <v>0</v>
      </c>
      <c r="BX254" s="392"/>
    </row>
    <row r="255" spans="1:76" ht="12.75" hidden="1" customHeight="1">
      <c r="A255" s="512" t="str">
        <f t="shared" si="12"/>
        <v>OK</v>
      </c>
      <c r="B255" s="538" t="str">
        <f t="shared" si="13"/>
        <v/>
      </c>
      <c r="C255" s="1086">
        <f>CONSOLIDA!GD204</f>
        <v>0</v>
      </c>
      <c r="D255" s="1086"/>
      <c r="E255" s="1086"/>
      <c r="F255" s="1086"/>
      <c r="G255" s="1086"/>
      <c r="H255" s="1087">
        <f>CONSOLIDA!GE204</f>
        <v>0</v>
      </c>
      <c r="I255" s="1087"/>
      <c r="J255" s="1087"/>
      <c r="K255" s="1087"/>
      <c r="L255" s="1087"/>
      <c r="M255" s="1087"/>
      <c r="N255" s="1087"/>
      <c r="O255" s="1087"/>
      <c r="P255" s="1087"/>
      <c r="Q255" s="1087"/>
      <c r="R255" s="1087"/>
      <c r="S255" s="1087"/>
      <c r="T255" s="1087"/>
      <c r="U255" s="1087"/>
      <c r="V255" s="1087"/>
      <c r="W255" s="1087"/>
      <c r="X255" s="1087"/>
      <c r="Y255" s="1087"/>
      <c r="Z255" s="1087"/>
      <c r="AA255" s="1087"/>
      <c r="AB255" s="1087"/>
      <c r="AC255" s="1087"/>
      <c r="AD255" s="1087"/>
      <c r="AE255" s="1087"/>
      <c r="AF255" s="1087"/>
      <c r="AG255" s="1087"/>
      <c r="AH255" s="1087"/>
      <c r="AI255" s="1087"/>
      <c r="AJ255" s="1087"/>
      <c r="AK255" s="1087"/>
      <c r="AL255" s="1087"/>
      <c r="AM255" s="1088"/>
      <c r="AN255" s="1088"/>
      <c r="AO255" s="1088"/>
      <c r="AP255" s="1088"/>
      <c r="AQ255" s="1088"/>
      <c r="AR255" s="1088"/>
      <c r="AS255" s="1088"/>
      <c r="AT255" s="1088"/>
      <c r="AU255" s="1088"/>
      <c r="AV255" s="1088"/>
      <c r="AW255" s="1088"/>
      <c r="AX255" s="1088"/>
      <c r="AY255" s="1088"/>
      <c r="AZ255" s="1088"/>
      <c r="BA255" s="1088"/>
      <c r="BB255" s="1088"/>
      <c r="BC255" s="1088"/>
      <c r="BD255" s="1088"/>
      <c r="BE255" s="1088"/>
      <c r="BF255" s="1088"/>
      <c r="BG255" s="29">
        <f t="shared" si="11"/>
        <v>0</v>
      </c>
      <c r="BX255" s="392"/>
    </row>
    <row r="256" spans="1:76" ht="12.75" customHeight="1">
      <c r="A256" s="456"/>
      <c r="B256" s="29"/>
      <c r="C256" s="1089"/>
      <c r="D256" s="1089"/>
      <c r="E256" s="1089"/>
      <c r="F256" s="1089"/>
      <c r="G256" s="1089"/>
      <c r="H256" s="1089"/>
      <c r="I256" s="1089"/>
      <c r="J256" s="1089"/>
      <c r="K256" s="1089"/>
      <c r="L256" s="1089"/>
      <c r="M256" s="1089"/>
      <c r="N256" s="1089"/>
      <c r="O256" s="1089"/>
      <c r="P256" s="1089"/>
      <c r="Q256" s="1089"/>
      <c r="R256" s="1089"/>
      <c r="S256" s="1089"/>
      <c r="T256" s="1089"/>
      <c r="U256" s="1089"/>
      <c r="V256" s="1089"/>
      <c r="W256" s="1089"/>
      <c r="X256" s="1089"/>
      <c r="Y256" s="1089"/>
      <c r="Z256" s="1089"/>
      <c r="AA256" s="1089"/>
      <c r="AB256" s="1089"/>
      <c r="AC256" s="1089"/>
      <c r="AD256" s="1089"/>
      <c r="AE256" s="1089"/>
      <c r="AF256" s="1089"/>
      <c r="AG256" s="1089"/>
      <c r="AH256" s="1089"/>
      <c r="AI256" s="1089"/>
      <c r="AJ256" s="1089"/>
      <c r="AK256" s="1089"/>
      <c r="AL256" s="1089"/>
      <c r="AM256" s="1089"/>
      <c r="AN256" s="1089"/>
      <c r="AO256" s="1089"/>
      <c r="AP256" s="1089"/>
      <c r="AQ256" s="1089"/>
      <c r="AR256" s="1089"/>
      <c r="AS256" s="1089"/>
      <c r="AT256" s="1089"/>
      <c r="AU256" s="1089"/>
      <c r="AV256" s="1089"/>
      <c r="AW256" s="1089"/>
      <c r="AX256" s="1089"/>
      <c r="AY256" s="1089"/>
      <c r="AZ256" s="1089"/>
      <c r="BA256" s="1089"/>
      <c r="BB256" s="1089"/>
      <c r="BC256" s="1089"/>
      <c r="BD256" s="1089"/>
      <c r="BE256" s="1089"/>
      <c r="BF256" s="1089"/>
      <c r="BG256" s="315"/>
      <c r="BX256" s="392"/>
    </row>
    <row r="257" spans="1:76" ht="12.75" customHeight="1">
      <c r="A257" s="29"/>
      <c r="B257" s="76"/>
      <c r="C257" s="1090" t="s">
        <v>206</v>
      </c>
      <c r="D257" s="1090"/>
      <c r="E257" s="1090"/>
      <c r="F257" s="1090"/>
      <c r="G257" s="1090"/>
      <c r="H257" s="1090"/>
      <c r="I257" s="1090"/>
      <c r="J257" s="1090"/>
      <c r="K257" s="1090"/>
      <c r="L257" s="1090"/>
      <c r="M257" s="1090"/>
      <c r="N257" s="1090"/>
      <c r="O257" s="1090"/>
      <c r="P257" s="1090"/>
      <c r="Q257" s="1090"/>
      <c r="R257" s="1090"/>
      <c r="S257" s="1090"/>
      <c r="T257" s="1090"/>
      <c r="U257" s="1090"/>
      <c r="V257" s="1090"/>
      <c r="W257" s="1090"/>
      <c r="X257" s="1090"/>
      <c r="Y257" s="1090"/>
      <c r="Z257" s="1090"/>
      <c r="AA257" s="1090"/>
      <c r="AB257" s="1090"/>
      <c r="AC257" s="1090"/>
      <c r="AD257" s="1090"/>
      <c r="AE257" s="1090"/>
      <c r="AF257" s="1090"/>
      <c r="AG257" s="1090"/>
      <c r="AH257" s="1090"/>
      <c r="AI257" s="1090"/>
      <c r="AJ257" s="1090"/>
      <c r="AK257" s="1090"/>
      <c r="AL257" s="1090"/>
      <c r="AM257" s="1090"/>
      <c r="AN257" s="1090"/>
      <c r="AO257" s="1090"/>
      <c r="AP257" s="1090"/>
      <c r="AQ257" s="1090"/>
      <c r="AR257" s="1090"/>
      <c r="AS257" s="1090"/>
      <c r="AT257" s="1090"/>
      <c r="AU257" s="1090"/>
      <c r="AV257" s="1090"/>
      <c r="AW257" s="1090"/>
      <c r="AX257" s="1090"/>
      <c r="AY257" s="1090"/>
      <c r="AZ257" s="1090"/>
      <c r="BA257" s="1090"/>
      <c r="BB257" s="1090"/>
      <c r="BC257" s="1090"/>
      <c r="BD257" s="1090"/>
      <c r="BE257" s="1090"/>
      <c r="BF257" s="1090"/>
      <c r="BG257" s="315"/>
      <c r="BX257" s="392"/>
    </row>
    <row r="258" spans="1:76" ht="12.75" customHeight="1">
      <c r="A258" s="257" t="s">
        <v>240</v>
      </c>
      <c r="B258" s="76"/>
      <c r="C258" s="416"/>
      <c r="D258" s="416"/>
      <c r="E258" s="416"/>
      <c r="F258" s="416"/>
      <c r="G258" s="416"/>
      <c r="H258" s="416"/>
      <c r="I258" s="416"/>
      <c r="J258" s="416"/>
      <c r="K258" s="416"/>
      <c r="L258" s="416"/>
      <c r="M258" s="416"/>
      <c r="N258" s="416"/>
      <c r="O258" s="416"/>
      <c r="P258" s="416"/>
      <c r="Q258" s="416"/>
      <c r="R258" s="416"/>
      <c r="S258" s="416"/>
      <c r="T258" s="416"/>
      <c r="U258" s="416"/>
      <c r="V258" s="416"/>
      <c r="W258" s="416"/>
      <c r="X258" s="416"/>
      <c r="Y258" s="416"/>
      <c r="Z258" s="416"/>
      <c r="AA258" s="416"/>
      <c r="AB258" s="416"/>
      <c r="AC258" s="416"/>
      <c r="AD258" s="416"/>
      <c r="AE258" s="416"/>
      <c r="AF258" s="416"/>
      <c r="AG258" s="416"/>
      <c r="AH258" s="416"/>
      <c r="AI258" s="416"/>
      <c r="AJ258" s="416"/>
      <c r="AK258" s="416"/>
      <c r="AL258" s="416"/>
      <c r="AM258" s="416"/>
      <c r="AN258" s="416"/>
      <c r="AO258" s="416"/>
      <c r="AP258" s="416"/>
      <c r="AQ258" s="416"/>
      <c r="AR258" s="416"/>
      <c r="AS258" s="416"/>
      <c r="AT258" s="416"/>
      <c r="AU258" s="416"/>
      <c r="AV258" s="416"/>
      <c r="AW258" s="416"/>
      <c r="AX258" s="416"/>
      <c r="AY258" s="416"/>
      <c r="AZ258" s="416"/>
      <c r="BA258" s="416"/>
      <c r="BB258" s="416"/>
      <c r="BC258" s="416"/>
      <c r="BD258" s="416"/>
      <c r="BE258" s="416"/>
      <c r="BF258" s="29"/>
      <c r="BG258" s="224"/>
      <c r="BX258" s="392"/>
    </row>
    <row r="259" spans="1:76" ht="12.75" customHeight="1">
      <c r="A259" s="29"/>
      <c r="B259" s="76"/>
      <c r="C259" s="48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29"/>
      <c r="BX259" s="392"/>
    </row>
    <row r="260" spans="1:76" ht="12.75" customHeight="1">
      <c r="A260" s="29"/>
      <c r="B260" s="76"/>
      <c r="C260" s="48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1091"/>
      <c r="AF260" s="1091"/>
      <c r="AG260" s="1091"/>
      <c r="AH260" s="1091"/>
      <c r="AI260" s="1091"/>
      <c r="AJ260" s="1091"/>
      <c r="AK260" s="1091"/>
      <c r="AL260" s="1091"/>
      <c r="AM260" s="1091"/>
      <c r="AN260" s="1091"/>
      <c r="AO260" s="1091"/>
      <c r="AP260" s="1091"/>
      <c r="AQ260" s="1091"/>
      <c r="AR260" s="1091"/>
      <c r="AS260" s="1091"/>
      <c r="AT260" s="1091"/>
      <c r="AU260" s="1091"/>
      <c r="AV260" s="1091"/>
      <c r="AW260" s="1091"/>
      <c r="AX260" s="1091"/>
      <c r="AY260" s="1091"/>
      <c r="AZ260" s="1091"/>
      <c r="BA260" s="1091"/>
      <c r="BB260" s="1091"/>
      <c r="BC260" s="1091"/>
      <c r="BD260" s="1091"/>
      <c r="BE260" s="1091"/>
      <c r="BF260" s="1091"/>
      <c r="BX260" s="392"/>
    </row>
    <row r="261" spans="1:76" ht="12.75" customHeight="1">
      <c r="A261" s="29"/>
      <c r="B261" s="76"/>
      <c r="C261" s="48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1089" t="s">
        <v>207</v>
      </c>
      <c r="AF261" s="1089"/>
      <c r="AG261" s="1089"/>
      <c r="AH261" s="1089"/>
      <c r="AI261" s="1089"/>
      <c r="AJ261" s="1089"/>
      <c r="AK261" s="1089"/>
      <c r="AL261" s="1089"/>
      <c r="AM261" s="1089"/>
      <c r="AN261" s="1089"/>
      <c r="AO261" s="1089"/>
      <c r="AP261" s="1089"/>
      <c r="AQ261" s="1089"/>
      <c r="AR261" s="1089"/>
      <c r="AS261" s="1089"/>
      <c r="AT261" s="1089"/>
      <c r="AU261" s="1089"/>
      <c r="AV261" s="1089"/>
      <c r="AW261" s="1089"/>
      <c r="AX261" s="1089"/>
      <c r="AY261" s="1089"/>
      <c r="AZ261" s="1089"/>
      <c r="BA261" s="1089"/>
      <c r="BB261" s="1089"/>
      <c r="BC261" s="1089"/>
      <c r="BD261" s="1089"/>
      <c r="BE261" s="1089"/>
      <c r="BF261" s="1089"/>
      <c r="BX261" s="392"/>
    </row>
    <row r="262" spans="1:76" ht="12.75" customHeight="1">
      <c r="A262" s="29"/>
      <c r="B262" s="76"/>
      <c r="C262" s="48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1085" t="str">
        <f>"Diretoria Regional de Educação - "&amp;BASE!$D$5</f>
        <v>Diretoria Regional de Educação - CAMPO LIMPO</v>
      </c>
      <c r="AF262" s="1085"/>
      <c r="AG262" s="1085"/>
      <c r="AH262" s="1085"/>
      <c r="AI262" s="1085"/>
      <c r="AJ262" s="1085"/>
      <c r="AK262" s="1085"/>
      <c r="AL262" s="1085"/>
      <c r="AM262" s="1085"/>
      <c r="AN262" s="1085"/>
      <c r="AO262" s="1085"/>
      <c r="AP262" s="1085"/>
      <c r="AQ262" s="1085"/>
      <c r="AR262" s="1085"/>
      <c r="AS262" s="1085"/>
      <c r="AT262" s="1085"/>
      <c r="AU262" s="1085"/>
      <c r="AV262" s="1085"/>
      <c r="AW262" s="1085"/>
      <c r="AX262" s="1085"/>
      <c r="AY262" s="1085"/>
      <c r="AZ262" s="1085"/>
      <c r="BA262" s="1085"/>
      <c r="BB262" s="1085"/>
      <c r="BC262" s="1085"/>
      <c r="BD262" s="1085"/>
      <c r="BE262" s="1085"/>
      <c r="BF262" s="1085"/>
      <c r="BX262" s="392"/>
    </row>
    <row r="263" spans="1:76" ht="12.75" customHeight="1">
      <c r="A263" s="29"/>
      <c r="B263" s="76"/>
      <c r="C263" s="486" t="s">
        <v>359</v>
      </c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  <c r="BC263" s="76"/>
      <c r="BD263" s="76"/>
      <c r="BE263" s="76"/>
      <c r="BF263" s="29"/>
      <c r="BX263" s="392"/>
    </row>
    <row r="264" spans="1:76" ht="12.75" customHeight="1">
      <c r="A264" s="29"/>
      <c r="B264" s="76"/>
      <c r="C264" s="486" t="str">
        <f>BASE!$E$17</f>
        <v>BRUNO CAETANO RAIMUNDO</v>
      </c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29"/>
      <c r="BX264" s="392"/>
    </row>
    <row r="265" spans="1:76" ht="12.75" customHeight="1">
      <c r="A265" s="29"/>
      <c r="B265" s="76"/>
      <c r="C265" s="486" t="s">
        <v>360</v>
      </c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  <c r="BC265" s="76"/>
      <c r="BD265" s="76"/>
      <c r="BE265" s="76"/>
      <c r="BF265" s="29"/>
      <c r="BX265" s="392"/>
    </row>
    <row r="266" spans="1:76" ht="12.75" customHeight="1">
      <c r="A266" s="29"/>
      <c r="B266" s="76"/>
      <c r="C266" s="486" t="s">
        <v>106</v>
      </c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  <c r="BC266" s="76"/>
      <c r="BD266" s="76"/>
      <c r="BE266" s="76"/>
      <c r="BF266" s="29"/>
      <c r="BX266" s="392"/>
    </row>
    <row r="267" spans="1:76">
      <c r="A267" s="392"/>
      <c r="B267" s="453"/>
      <c r="C267" s="453"/>
      <c r="D267" s="453"/>
      <c r="E267" s="453"/>
      <c r="F267" s="453"/>
      <c r="G267" s="453"/>
      <c r="H267" s="453"/>
      <c r="I267" s="453"/>
      <c r="J267" s="453"/>
      <c r="K267" s="453"/>
      <c r="L267" s="453"/>
      <c r="M267" s="453"/>
      <c r="N267" s="453"/>
      <c r="O267" s="453"/>
      <c r="P267" s="453"/>
      <c r="Q267" s="453"/>
      <c r="R267" s="453"/>
      <c r="S267" s="453"/>
      <c r="T267" s="453"/>
      <c r="U267" s="453"/>
      <c r="V267" s="453"/>
      <c r="W267" s="453"/>
      <c r="X267" s="453"/>
      <c r="Y267" s="453"/>
      <c r="Z267" s="453"/>
      <c r="AA267" s="453"/>
      <c r="AB267" s="453"/>
      <c r="AC267" s="453"/>
      <c r="AD267" s="453"/>
      <c r="AE267" s="453"/>
      <c r="AF267" s="453"/>
      <c r="AG267" s="453"/>
      <c r="AH267" s="453"/>
      <c r="AI267" s="453"/>
      <c r="AJ267" s="453"/>
      <c r="AK267" s="453"/>
      <c r="AL267" s="453"/>
      <c r="AM267" s="453"/>
      <c r="AN267" s="453"/>
      <c r="AO267" s="453"/>
      <c r="AP267" s="453"/>
      <c r="AQ267" s="453"/>
      <c r="AR267" s="453"/>
      <c r="AS267" s="453"/>
      <c r="AT267" s="453"/>
      <c r="AU267" s="453"/>
      <c r="AV267" s="453"/>
      <c r="AW267" s="453"/>
      <c r="AX267" s="453"/>
      <c r="AY267" s="453"/>
      <c r="AZ267" s="453"/>
      <c r="BA267" s="453"/>
      <c r="BB267" s="453"/>
      <c r="BC267" s="453"/>
      <c r="BD267" s="453"/>
      <c r="BE267" s="453"/>
      <c r="BF267" s="392"/>
      <c r="BG267" s="392"/>
      <c r="BH267" s="392"/>
      <c r="BI267" s="392"/>
      <c r="BJ267" s="392"/>
      <c r="BK267" s="392"/>
      <c r="BL267" s="392"/>
      <c r="BM267" s="392"/>
      <c r="BN267" s="392"/>
      <c r="BO267" s="392"/>
      <c r="BP267" s="392"/>
      <c r="BQ267" s="392"/>
      <c r="BR267" s="392"/>
      <c r="BS267" s="392"/>
      <c r="BT267" s="392"/>
      <c r="BU267" s="392"/>
      <c r="BV267" s="392"/>
      <c r="BW267" s="392"/>
      <c r="BX267" s="392"/>
    </row>
    <row r="268" spans="1:76">
      <c r="A268" s="392"/>
      <c r="B268" s="453"/>
      <c r="C268" s="453"/>
      <c r="D268" s="453"/>
      <c r="E268" s="453"/>
      <c r="F268" s="453"/>
      <c r="G268" s="453"/>
      <c r="H268" s="453"/>
      <c r="I268" s="453"/>
      <c r="J268" s="453"/>
      <c r="K268" s="453"/>
      <c r="L268" s="453"/>
      <c r="M268" s="453"/>
      <c r="N268" s="453"/>
      <c r="O268" s="453"/>
      <c r="P268" s="453"/>
      <c r="Q268" s="453"/>
      <c r="R268" s="453"/>
      <c r="S268" s="453"/>
      <c r="T268" s="453"/>
      <c r="U268" s="453"/>
      <c r="V268" s="453"/>
      <c r="W268" s="453"/>
      <c r="X268" s="453"/>
      <c r="Y268" s="453"/>
      <c r="Z268" s="453"/>
      <c r="AA268" s="453"/>
      <c r="AB268" s="453"/>
      <c r="AC268" s="453"/>
      <c r="AD268" s="453"/>
      <c r="AE268" s="453"/>
      <c r="AF268" s="453"/>
      <c r="AG268" s="453"/>
      <c r="AH268" s="453"/>
      <c r="AI268" s="453"/>
      <c r="AJ268" s="453"/>
      <c r="AK268" s="453"/>
      <c r="AL268" s="453"/>
      <c r="AM268" s="453"/>
      <c r="AN268" s="453"/>
      <c r="AO268" s="453"/>
      <c r="AP268" s="453"/>
      <c r="AQ268" s="453"/>
      <c r="AR268" s="453"/>
      <c r="AS268" s="453"/>
      <c r="AT268" s="453"/>
      <c r="AU268" s="453"/>
      <c r="AV268" s="453"/>
      <c r="AW268" s="453"/>
      <c r="AX268" s="453"/>
      <c r="AY268" s="453"/>
      <c r="AZ268" s="453"/>
      <c r="BA268" s="453"/>
      <c r="BB268" s="453"/>
      <c r="BC268" s="453"/>
      <c r="BD268" s="453"/>
      <c r="BE268" s="453"/>
      <c r="BF268" s="392"/>
      <c r="BG268" s="392"/>
      <c r="BH268" s="392"/>
      <c r="BI268" s="392"/>
      <c r="BJ268" s="392"/>
      <c r="BK268" s="392"/>
      <c r="BL268" s="392"/>
      <c r="BM268" s="392"/>
      <c r="BN268" s="392"/>
      <c r="BO268" s="392"/>
      <c r="BP268" s="392"/>
      <c r="BQ268" s="392"/>
      <c r="BR268" s="392"/>
      <c r="BS268" s="392"/>
      <c r="BT268" s="392"/>
      <c r="BU268" s="392"/>
      <c r="BV268" s="392"/>
      <c r="BW268" s="392"/>
      <c r="BX268" s="392"/>
    </row>
  </sheetData>
  <sheetProtection password="F326" sheet="1" objects="1" scenarios="1" formatRows="0"/>
  <mergeCells count="700">
    <mergeCell ref="D47:BF47"/>
    <mergeCell ref="D48:BF48"/>
    <mergeCell ref="D50:BF50"/>
    <mergeCell ref="AM58:BF58"/>
    <mergeCell ref="C59:G59"/>
    <mergeCell ref="D49:BF49"/>
    <mergeCell ref="C54:G54"/>
    <mergeCell ref="H54:AL54"/>
    <mergeCell ref="C66:G66"/>
    <mergeCell ref="C65:G65"/>
    <mergeCell ref="H65:AL65"/>
    <mergeCell ref="C61:G61"/>
    <mergeCell ref="H61:AL61"/>
    <mergeCell ref="H62:AL62"/>
    <mergeCell ref="C63:G63"/>
    <mergeCell ref="H64:AL64"/>
    <mergeCell ref="C62:G62"/>
    <mergeCell ref="H63:AL63"/>
    <mergeCell ref="C13:M13"/>
    <mergeCell ref="D18:BF18"/>
    <mergeCell ref="S14:BF14"/>
    <mergeCell ref="D21:AB21"/>
    <mergeCell ref="E20:N20"/>
    <mergeCell ref="O20:BF20"/>
    <mergeCell ref="D12:I12"/>
    <mergeCell ref="B16:BF16"/>
    <mergeCell ref="C17:BF17"/>
    <mergeCell ref="P13:BE13"/>
    <mergeCell ref="AW21:BF21"/>
    <mergeCell ref="AM21:AV21"/>
    <mergeCell ref="B2:BF2"/>
    <mergeCell ref="B3:BF3"/>
    <mergeCell ref="B4:BF4"/>
    <mergeCell ref="B5:BF5"/>
    <mergeCell ref="B8:BF8"/>
    <mergeCell ref="C11:I11"/>
    <mergeCell ref="B10:BF10"/>
    <mergeCell ref="J11:R11"/>
    <mergeCell ref="BA9:BD9"/>
    <mergeCell ref="AY9:AZ9"/>
    <mergeCell ref="B6:BF6"/>
    <mergeCell ref="B7:BF7"/>
    <mergeCell ref="B9:AC9"/>
    <mergeCell ref="AD9:AI9"/>
    <mergeCell ref="AJ9:AK9"/>
    <mergeCell ref="AN9:AX9"/>
    <mergeCell ref="AL9:AM9"/>
    <mergeCell ref="C41:BF41"/>
    <mergeCell ref="AM26:AV26"/>
    <mergeCell ref="AW26:BF26"/>
    <mergeCell ref="AW27:BF27"/>
    <mergeCell ref="D27:AB27"/>
    <mergeCell ref="AW28:BF28"/>
    <mergeCell ref="D46:BF46"/>
    <mergeCell ref="C39:BF39"/>
    <mergeCell ref="C40:BF40"/>
    <mergeCell ref="D43:BF43"/>
    <mergeCell ref="E30:N30"/>
    <mergeCell ref="AC29:AL29"/>
    <mergeCell ref="AM29:AV29"/>
    <mergeCell ref="AW29:BF29"/>
    <mergeCell ref="C31:BF31"/>
    <mergeCell ref="O30:BF30"/>
    <mergeCell ref="C37:BF37"/>
    <mergeCell ref="D28:AB28"/>
    <mergeCell ref="AC28:AL28"/>
    <mergeCell ref="C32:BF32"/>
    <mergeCell ref="C36:BF36"/>
    <mergeCell ref="AC22:AL22"/>
    <mergeCell ref="B51:BF51"/>
    <mergeCell ref="D24:AB24"/>
    <mergeCell ref="D25:AB25"/>
    <mergeCell ref="AM23:AV23"/>
    <mergeCell ref="C56:G56"/>
    <mergeCell ref="H56:AL56"/>
    <mergeCell ref="AM55:BF55"/>
    <mergeCell ref="AC25:AL25"/>
    <mergeCell ref="AM25:AV25"/>
    <mergeCell ref="D44:BF44"/>
    <mergeCell ref="D45:BF45"/>
    <mergeCell ref="AM56:BF56"/>
    <mergeCell ref="C38:BF38"/>
    <mergeCell ref="C52:BF52"/>
    <mergeCell ref="C33:BF33"/>
    <mergeCell ref="C34:BF34"/>
    <mergeCell ref="C42:BF42"/>
    <mergeCell ref="AW24:BF24"/>
    <mergeCell ref="C55:G55"/>
    <mergeCell ref="H55:AL55"/>
    <mergeCell ref="AW22:BF22"/>
    <mergeCell ref="AC24:AL24"/>
    <mergeCell ref="AM24:AV24"/>
    <mergeCell ref="AW23:BF23"/>
    <mergeCell ref="AW25:BF25"/>
    <mergeCell ref="AM28:AV28"/>
    <mergeCell ref="AC26:AL26"/>
    <mergeCell ref="D29:AB29"/>
    <mergeCell ref="AC27:AL27"/>
    <mergeCell ref="AM27:AV27"/>
    <mergeCell ref="C35:BF35"/>
    <mergeCell ref="D26:AB26"/>
    <mergeCell ref="H79:AL79"/>
    <mergeCell ref="C73:G73"/>
    <mergeCell ref="H90:AL90"/>
    <mergeCell ref="C88:G88"/>
    <mergeCell ref="C82:G82"/>
    <mergeCell ref="H82:AL82"/>
    <mergeCell ref="C83:G83"/>
    <mergeCell ref="AM63:BF63"/>
    <mergeCell ref="AM66:BF66"/>
    <mergeCell ref="AM65:BF65"/>
    <mergeCell ref="AM64:BF64"/>
    <mergeCell ref="C67:G67"/>
    <mergeCell ref="H67:AL67"/>
    <mergeCell ref="H66:AL66"/>
    <mergeCell ref="C74:G74"/>
    <mergeCell ref="H76:AL76"/>
    <mergeCell ref="C68:G68"/>
    <mergeCell ref="H68:AL68"/>
    <mergeCell ref="H74:AL74"/>
    <mergeCell ref="C75:G75"/>
    <mergeCell ref="C77:G77"/>
    <mergeCell ref="H77:AL77"/>
    <mergeCell ref="C69:G69"/>
    <mergeCell ref="C76:G76"/>
    <mergeCell ref="C71:G71"/>
    <mergeCell ref="H71:AL71"/>
    <mergeCell ref="C70:G70"/>
    <mergeCell ref="H70:AL70"/>
    <mergeCell ref="H72:AL72"/>
    <mergeCell ref="H73:AL73"/>
    <mergeCell ref="C72:G72"/>
    <mergeCell ref="AM82:BF82"/>
    <mergeCell ref="AM216:BF216"/>
    <mergeCell ref="H95:AL95"/>
    <mergeCell ref="H84:AL84"/>
    <mergeCell ref="H87:AL87"/>
    <mergeCell ref="H93:AL93"/>
    <mergeCell ref="H85:AL85"/>
    <mergeCell ref="C81:G81"/>
    <mergeCell ref="H81:AL81"/>
    <mergeCell ref="C87:G87"/>
    <mergeCell ref="C91:G91"/>
    <mergeCell ref="H91:AL91"/>
    <mergeCell ref="C102:G102"/>
    <mergeCell ref="H102:AL102"/>
    <mergeCell ref="C96:G96"/>
    <mergeCell ref="H96:AL96"/>
    <mergeCell ref="C97:G97"/>
    <mergeCell ref="H97:AL97"/>
    <mergeCell ref="C99:G99"/>
    <mergeCell ref="H99:AL99"/>
    <mergeCell ref="C98:G98"/>
    <mergeCell ref="H98:AL98"/>
    <mergeCell ref="C100:G100"/>
    <mergeCell ref="H100:AL100"/>
    <mergeCell ref="H75:AL75"/>
    <mergeCell ref="H222:AL222"/>
    <mergeCell ref="C214:G214"/>
    <mergeCell ref="H214:AL214"/>
    <mergeCell ref="C95:G95"/>
    <mergeCell ref="C90:G90"/>
    <mergeCell ref="C84:G84"/>
    <mergeCell ref="C93:G93"/>
    <mergeCell ref="C85:G85"/>
    <mergeCell ref="C80:G80"/>
    <mergeCell ref="H80:AL80"/>
    <mergeCell ref="C78:G78"/>
    <mergeCell ref="H78:AL78"/>
    <mergeCell ref="C79:G79"/>
    <mergeCell ref="H83:AL83"/>
    <mergeCell ref="C89:G89"/>
    <mergeCell ref="H89:AL89"/>
    <mergeCell ref="C94:G94"/>
    <mergeCell ref="H94:AL94"/>
    <mergeCell ref="C86:G86"/>
    <mergeCell ref="H86:AL86"/>
    <mergeCell ref="C92:G92"/>
    <mergeCell ref="H92:AL92"/>
    <mergeCell ref="H88:AL88"/>
    <mergeCell ref="AM214:BF214"/>
    <mergeCell ref="AM215:BF215"/>
    <mergeCell ref="AM116:BF116"/>
    <mergeCell ref="AM212:BF212"/>
    <mergeCell ref="H109:AL109"/>
    <mergeCell ref="C110:G110"/>
    <mergeCell ref="H110:AL110"/>
    <mergeCell ref="C112:G112"/>
    <mergeCell ref="H113:AL113"/>
    <mergeCell ref="C115:G115"/>
    <mergeCell ref="H115:AL115"/>
    <mergeCell ref="C114:G114"/>
    <mergeCell ref="H114:AL114"/>
    <mergeCell ref="C113:G113"/>
    <mergeCell ref="AM109:BF109"/>
    <mergeCell ref="C118:G118"/>
    <mergeCell ref="H118:AL118"/>
    <mergeCell ref="AM228:BF228"/>
    <mergeCell ref="AM223:BF223"/>
    <mergeCell ref="AM222:BF222"/>
    <mergeCell ref="AM219:BF219"/>
    <mergeCell ref="AM218:BF218"/>
    <mergeCell ref="AM227:BF227"/>
    <mergeCell ref="AM224:BF224"/>
    <mergeCell ref="AM225:BF225"/>
    <mergeCell ref="AM220:BF220"/>
    <mergeCell ref="AM221:BF221"/>
    <mergeCell ref="AM226:BF226"/>
    <mergeCell ref="AM217:BF217"/>
    <mergeCell ref="C101:G101"/>
    <mergeCell ref="H101:AL101"/>
    <mergeCell ref="C108:G108"/>
    <mergeCell ref="H108:AL108"/>
    <mergeCell ref="C104:G104"/>
    <mergeCell ref="H104:AL104"/>
    <mergeCell ref="C106:G106"/>
    <mergeCell ref="H106:AL106"/>
    <mergeCell ref="H112:AL112"/>
    <mergeCell ref="C111:G111"/>
    <mergeCell ref="H111:AL111"/>
    <mergeCell ref="C103:G103"/>
    <mergeCell ref="H103:AL103"/>
    <mergeCell ref="C105:G105"/>
    <mergeCell ref="H105:AL105"/>
    <mergeCell ref="C107:G107"/>
    <mergeCell ref="H107:AL107"/>
    <mergeCell ref="C117:G117"/>
    <mergeCell ref="H117:AL117"/>
    <mergeCell ref="AM117:BF117"/>
    <mergeCell ref="C116:G116"/>
    <mergeCell ref="H116:AL116"/>
    <mergeCell ref="C109:G109"/>
    <mergeCell ref="AM118:BF118"/>
    <mergeCell ref="C119:G119"/>
    <mergeCell ref="H119:AL119"/>
    <mergeCell ref="AM119:BF119"/>
    <mergeCell ref="C120:G120"/>
    <mergeCell ref="H120:AL120"/>
    <mergeCell ref="AM120:BF120"/>
    <mergeCell ref="C121:G121"/>
    <mergeCell ref="H121:AL121"/>
    <mergeCell ref="AM121:BF121"/>
    <mergeCell ref="C122:G122"/>
    <mergeCell ref="H122:AL122"/>
    <mergeCell ref="AM122:BF122"/>
    <mergeCell ref="C123:G123"/>
    <mergeCell ref="H123:AL123"/>
    <mergeCell ref="AM123:BF123"/>
    <mergeCell ref="C124:G124"/>
    <mergeCell ref="H124:AL124"/>
    <mergeCell ref="AM124:BF124"/>
    <mergeCell ref="C125:G125"/>
    <mergeCell ref="H125:AL125"/>
    <mergeCell ref="AM125:BF125"/>
    <mergeCell ref="C126:G126"/>
    <mergeCell ref="H126:AL126"/>
    <mergeCell ref="AM126:BF126"/>
    <mergeCell ref="C127:G127"/>
    <mergeCell ref="H127:AL127"/>
    <mergeCell ref="AM127:BF127"/>
    <mergeCell ref="C128:G128"/>
    <mergeCell ref="H128:AL128"/>
    <mergeCell ref="AM128:BF128"/>
    <mergeCell ref="C129:G129"/>
    <mergeCell ref="H129:AL129"/>
    <mergeCell ref="AM129:BF129"/>
    <mergeCell ref="C130:G130"/>
    <mergeCell ref="H130:AL130"/>
    <mergeCell ref="AM130:BF130"/>
    <mergeCell ref="C131:G131"/>
    <mergeCell ref="H131:AL131"/>
    <mergeCell ref="AM131:BF131"/>
    <mergeCell ref="C132:G132"/>
    <mergeCell ref="H132:AL132"/>
    <mergeCell ref="AM132:BF132"/>
    <mergeCell ref="C133:G133"/>
    <mergeCell ref="H133:AL133"/>
    <mergeCell ref="AM133:BF133"/>
    <mergeCell ref="C134:G134"/>
    <mergeCell ref="H134:AL134"/>
    <mergeCell ref="AM134:BF134"/>
    <mergeCell ref="C135:G135"/>
    <mergeCell ref="H135:AL135"/>
    <mergeCell ref="AM135:BF135"/>
    <mergeCell ref="C136:G136"/>
    <mergeCell ref="H136:AL136"/>
    <mergeCell ref="AM136:BF136"/>
    <mergeCell ref="C137:G137"/>
    <mergeCell ref="H137:AL137"/>
    <mergeCell ref="AM137:BF137"/>
    <mergeCell ref="C138:G138"/>
    <mergeCell ref="H138:AL138"/>
    <mergeCell ref="AM138:BF138"/>
    <mergeCell ref="C139:G139"/>
    <mergeCell ref="H139:AL139"/>
    <mergeCell ref="AM139:BF139"/>
    <mergeCell ref="C140:G140"/>
    <mergeCell ref="H140:AL140"/>
    <mergeCell ref="AM140:BF140"/>
    <mergeCell ref="C141:G141"/>
    <mergeCell ref="H141:AL141"/>
    <mergeCell ref="AM141:BF141"/>
    <mergeCell ref="C142:G142"/>
    <mergeCell ref="H142:AL142"/>
    <mergeCell ref="AM142:BF142"/>
    <mergeCell ref="C143:G143"/>
    <mergeCell ref="H143:AL143"/>
    <mergeCell ref="AM143:BF143"/>
    <mergeCell ref="C144:G144"/>
    <mergeCell ref="H144:AL144"/>
    <mergeCell ref="AM144:BF144"/>
    <mergeCell ref="C145:G145"/>
    <mergeCell ref="H145:AL145"/>
    <mergeCell ref="AM145:BF145"/>
    <mergeCell ref="C146:G146"/>
    <mergeCell ref="H146:AL146"/>
    <mergeCell ref="AM146:BF146"/>
    <mergeCell ref="C147:G147"/>
    <mergeCell ref="H147:AL147"/>
    <mergeCell ref="AM147:BF147"/>
    <mergeCell ref="C148:G148"/>
    <mergeCell ref="H148:AL148"/>
    <mergeCell ref="AM148:BF148"/>
    <mergeCell ref="C149:G149"/>
    <mergeCell ref="H149:AL149"/>
    <mergeCell ref="AM149:BF149"/>
    <mergeCell ref="C150:G150"/>
    <mergeCell ref="H150:AL150"/>
    <mergeCell ref="AM150:BF150"/>
    <mergeCell ref="C151:G151"/>
    <mergeCell ref="H151:AL151"/>
    <mergeCell ref="AM151:BF151"/>
    <mergeCell ref="C152:G152"/>
    <mergeCell ref="H152:AL152"/>
    <mergeCell ref="AM152:BF152"/>
    <mergeCell ref="C153:G153"/>
    <mergeCell ref="H153:AL153"/>
    <mergeCell ref="AM153:BF153"/>
    <mergeCell ref="C154:G154"/>
    <mergeCell ref="H154:AL154"/>
    <mergeCell ref="AM154:BF154"/>
    <mergeCell ref="C155:G155"/>
    <mergeCell ref="H155:AL155"/>
    <mergeCell ref="AM155:BF155"/>
    <mergeCell ref="C156:G156"/>
    <mergeCell ref="H156:AL156"/>
    <mergeCell ref="AM156:BF156"/>
    <mergeCell ref="C157:G157"/>
    <mergeCell ref="H157:AL157"/>
    <mergeCell ref="AM157:BF157"/>
    <mergeCell ref="C158:G158"/>
    <mergeCell ref="H158:AL158"/>
    <mergeCell ref="AM158:BF158"/>
    <mergeCell ref="C159:G159"/>
    <mergeCell ref="H159:AL159"/>
    <mergeCell ref="AM159:BF159"/>
    <mergeCell ref="C160:G160"/>
    <mergeCell ref="H160:AL160"/>
    <mergeCell ref="AM160:BF160"/>
    <mergeCell ref="C161:G161"/>
    <mergeCell ref="H161:AL161"/>
    <mergeCell ref="AM161:BF161"/>
    <mergeCell ref="C162:G162"/>
    <mergeCell ref="H162:AL162"/>
    <mergeCell ref="AM162:BF162"/>
    <mergeCell ref="C163:G163"/>
    <mergeCell ref="H163:AL163"/>
    <mergeCell ref="AM163:BF163"/>
    <mergeCell ref="C164:G164"/>
    <mergeCell ref="H164:AL164"/>
    <mergeCell ref="AM164:BF164"/>
    <mergeCell ref="C165:G165"/>
    <mergeCell ref="H165:AL165"/>
    <mergeCell ref="AM165:BF165"/>
    <mergeCell ref="C166:G166"/>
    <mergeCell ref="H166:AL166"/>
    <mergeCell ref="AM166:BF166"/>
    <mergeCell ref="C167:G167"/>
    <mergeCell ref="H167:AL167"/>
    <mergeCell ref="AM167:BF167"/>
    <mergeCell ref="C168:G168"/>
    <mergeCell ref="H168:AL168"/>
    <mergeCell ref="AM168:BF168"/>
    <mergeCell ref="C169:G169"/>
    <mergeCell ref="H169:AL169"/>
    <mergeCell ref="AM169:BF169"/>
    <mergeCell ref="C170:G170"/>
    <mergeCell ref="H170:AL170"/>
    <mergeCell ref="AM170:BF170"/>
    <mergeCell ref="C171:G171"/>
    <mergeCell ref="H171:AL171"/>
    <mergeCell ref="AM171:BF171"/>
    <mergeCell ref="C172:G172"/>
    <mergeCell ref="H172:AL172"/>
    <mergeCell ref="AM172:BF172"/>
    <mergeCell ref="C173:G173"/>
    <mergeCell ref="H173:AL173"/>
    <mergeCell ref="AM173:BF173"/>
    <mergeCell ref="C174:G174"/>
    <mergeCell ref="H174:AL174"/>
    <mergeCell ref="AM174:BF174"/>
    <mergeCell ref="C175:G175"/>
    <mergeCell ref="H175:AL175"/>
    <mergeCell ref="AM175:BF175"/>
    <mergeCell ref="C176:G176"/>
    <mergeCell ref="H176:AL176"/>
    <mergeCell ref="AM176:BF176"/>
    <mergeCell ref="C177:G177"/>
    <mergeCell ref="H177:AL177"/>
    <mergeCell ref="AM177:BF177"/>
    <mergeCell ref="C178:G178"/>
    <mergeCell ref="H178:AL178"/>
    <mergeCell ref="AM178:BF178"/>
    <mergeCell ref="C179:G179"/>
    <mergeCell ref="H179:AL179"/>
    <mergeCell ref="AM179:BF179"/>
    <mergeCell ref="C180:G180"/>
    <mergeCell ref="H180:AL180"/>
    <mergeCell ref="AM180:BF180"/>
    <mergeCell ref="C181:G181"/>
    <mergeCell ref="H181:AL181"/>
    <mergeCell ref="AM181:BF181"/>
    <mergeCell ref="C182:G182"/>
    <mergeCell ref="H182:AL182"/>
    <mergeCell ref="AM182:BF182"/>
    <mergeCell ref="C183:G183"/>
    <mergeCell ref="H183:AL183"/>
    <mergeCell ref="AM183:BF183"/>
    <mergeCell ref="C184:G184"/>
    <mergeCell ref="H184:AL184"/>
    <mergeCell ref="AM184:BF184"/>
    <mergeCell ref="C185:G185"/>
    <mergeCell ref="H185:AL185"/>
    <mergeCell ref="AM185:BF185"/>
    <mergeCell ref="C186:G186"/>
    <mergeCell ref="H186:AL186"/>
    <mergeCell ref="AM186:BF186"/>
    <mergeCell ref="C187:G187"/>
    <mergeCell ref="H187:AL187"/>
    <mergeCell ref="AM187:BF187"/>
    <mergeCell ref="C188:G188"/>
    <mergeCell ref="H188:AL188"/>
    <mergeCell ref="AM188:BF188"/>
    <mergeCell ref="C189:G189"/>
    <mergeCell ref="H189:AL189"/>
    <mergeCell ref="AM189:BF189"/>
    <mergeCell ref="C190:G190"/>
    <mergeCell ref="H190:AL190"/>
    <mergeCell ref="AM190:BF190"/>
    <mergeCell ref="C191:G191"/>
    <mergeCell ref="H191:AL191"/>
    <mergeCell ref="AM191:BF191"/>
    <mergeCell ref="C192:G192"/>
    <mergeCell ref="H192:AL192"/>
    <mergeCell ref="AM192:BF192"/>
    <mergeCell ref="C193:G193"/>
    <mergeCell ref="H193:AL193"/>
    <mergeCell ref="AM193:BF193"/>
    <mergeCell ref="C194:G194"/>
    <mergeCell ref="H194:AL194"/>
    <mergeCell ref="AM194:BF194"/>
    <mergeCell ref="C195:G195"/>
    <mergeCell ref="H195:AL195"/>
    <mergeCell ref="AM195:BF195"/>
    <mergeCell ref="C196:G196"/>
    <mergeCell ref="H196:AL196"/>
    <mergeCell ref="AM196:BF196"/>
    <mergeCell ref="C197:G197"/>
    <mergeCell ref="H197:AL197"/>
    <mergeCell ref="AM197:BF197"/>
    <mergeCell ref="C198:G198"/>
    <mergeCell ref="H198:AL198"/>
    <mergeCell ref="AM198:BF198"/>
    <mergeCell ref="C199:G199"/>
    <mergeCell ref="H199:AL199"/>
    <mergeCell ref="AM199:BF199"/>
    <mergeCell ref="C200:G200"/>
    <mergeCell ref="H200:AL200"/>
    <mergeCell ref="AM200:BF200"/>
    <mergeCell ref="C201:G201"/>
    <mergeCell ref="H201:AL201"/>
    <mergeCell ref="AM201:BF201"/>
    <mergeCell ref="C202:G202"/>
    <mergeCell ref="H202:AL202"/>
    <mergeCell ref="AM202:BF202"/>
    <mergeCell ref="C203:G203"/>
    <mergeCell ref="H203:AL203"/>
    <mergeCell ref="AM203:BF203"/>
    <mergeCell ref="C204:G204"/>
    <mergeCell ref="H204:AL204"/>
    <mergeCell ref="AM204:BF204"/>
    <mergeCell ref="C205:G205"/>
    <mergeCell ref="H205:AL205"/>
    <mergeCell ref="AM205:BF205"/>
    <mergeCell ref="C206:G206"/>
    <mergeCell ref="H206:AL206"/>
    <mergeCell ref="AM206:BF206"/>
    <mergeCell ref="C207:G207"/>
    <mergeCell ref="H207:AL207"/>
    <mergeCell ref="AM207:BF207"/>
    <mergeCell ref="H210:AL210"/>
    <mergeCell ref="C208:G208"/>
    <mergeCell ref="H208:AL208"/>
    <mergeCell ref="AM208:BF208"/>
    <mergeCell ref="C209:G209"/>
    <mergeCell ref="H209:AL209"/>
    <mergeCell ref="AM209:BF209"/>
    <mergeCell ref="C213:G213"/>
    <mergeCell ref="H213:AL213"/>
    <mergeCell ref="AM213:BF213"/>
    <mergeCell ref="C212:G212"/>
    <mergeCell ref="H212:AL212"/>
    <mergeCell ref="AM210:BF210"/>
    <mergeCell ref="C211:G211"/>
    <mergeCell ref="H211:AL211"/>
    <mergeCell ref="AM211:BF211"/>
    <mergeCell ref="C210:G210"/>
    <mergeCell ref="C218:G218"/>
    <mergeCell ref="H218:AL218"/>
    <mergeCell ref="H215:AL215"/>
    <mergeCell ref="C217:G217"/>
    <mergeCell ref="H217:AL217"/>
    <mergeCell ref="C216:G216"/>
    <mergeCell ref="H216:AL216"/>
    <mergeCell ref="C225:G225"/>
    <mergeCell ref="C219:G219"/>
    <mergeCell ref="H219:AL219"/>
    <mergeCell ref="C222:G222"/>
    <mergeCell ref="H225:AL225"/>
    <mergeCell ref="H220:AL220"/>
    <mergeCell ref="C223:G223"/>
    <mergeCell ref="H223:AL223"/>
    <mergeCell ref="H224:AL224"/>
    <mergeCell ref="H221:AL221"/>
    <mergeCell ref="C232:G232"/>
    <mergeCell ref="H232:AL232"/>
    <mergeCell ref="AM232:BF232"/>
    <mergeCell ref="C229:G229"/>
    <mergeCell ref="H229:AL229"/>
    <mergeCell ref="AM229:BF229"/>
    <mergeCell ref="AM230:BF230"/>
    <mergeCell ref="C231:G231"/>
    <mergeCell ref="H231:AL231"/>
    <mergeCell ref="AM231:BF231"/>
    <mergeCell ref="C230:G230"/>
    <mergeCell ref="H230:AL230"/>
    <mergeCell ref="C226:G226"/>
    <mergeCell ref="H226:AL226"/>
    <mergeCell ref="C228:G228"/>
    <mergeCell ref="H228:AL228"/>
    <mergeCell ref="C227:G227"/>
    <mergeCell ref="H227:AL227"/>
    <mergeCell ref="AM54:BF54"/>
    <mergeCell ref="C53:G53"/>
    <mergeCell ref="C224:G224"/>
    <mergeCell ref="C215:G215"/>
    <mergeCell ref="C220:G220"/>
    <mergeCell ref="C221:G221"/>
    <mergeCell ref="H69:AL69"/>
    <mergeCell ref="AM81:BF81"/>
    <mergeCell ref="AM80:BF80"/>
    <mergeCell ref="AM79:BF79"/>
    <mergeCell ref="AM74:BF74"/>
    <mergeCell ref="AM73:BF73"/>
    <mergeCell ref="AM83:BF83"/>
    <mergeCell ref="AM76:BF76"/>
    <mergeCell ref="AM75:BF75"/>
    <mergeCell ref="AM78:BF78"/>
    <mergeCell ref="AM77:BF77"/>
    <mergeCell ref="AM86:BF86"/>
    <mergeCell ref="AM22:AV22"/>
    <mergeCell ref="AC21:AL21"/>
    <mergeCell ref="D22:AB22"/>
    <mergeCell ref="AC23:AL23"/>
    <mergeCell ref="D23:AB23"/>
    <mergeCell ref="AM69:BF69"/>
    <mergeCell ref="AM72:BF72"/>
    <mergeCell ref="AM71:BF71"/>
    <mergeCell ref="AM70:BF70"/>
    <mergeCell ref="C57:G57"/>
    <mergeCell ref="H57:AL57"/>
    <mergeCell ref="AM57:BF57"/>
    <mergeCell ref="C60:G60"/>
    <mergeCell ref="H60:AL60"/>
    <mergeCell ref="AM60:BF60"/>
    <mergeCell ref="AM59:BF59"/>
    <mergeCell ref="C58:G58"/>
    <mergeCell ref="H58:AL58"/>
    <mergeCell ref="H59:AL59"/>
    <mergeCell ref="C64:G64"/>
    <mergeCell ref="AM61:BF61"/>
    <mergeCell ref="AM62:BF62"/>
    <mergeCell ref="AM68:BF68"/>
    <mergeCell ref="AM67:BF67"/>
    <mergeCell ref="AM90:BF90"/>
    <mergeCell ref="AM91:BF91"/>
    <mergeCell ref="AM89:BF89"/>
    <mergeCell ref="AM84:BF84"/>
    <mergeCell ref="AM85:BF85"/>
    <mergeCell ref="AM101:BF101"/>
    <mergeCell ref="AM100:BF100"/>
    <mergeCell ref="AM87:BF87"/>
    <mergeCell ref="AM88:BF88"/>
    <mergeCell ref="AM95:BF95"/>
    <mergeCell ref="AM94:BF94"/>
    <mergeCell ref="AM97:BF97"/>
    <mergeCell ref="AM96:BF96"/>
    <mergeCell ref="AM93:BF93"/>
    <mergeCell ref="AM92:BF92"/>
    <mergeCell ref="AM99:BF99"/>
    <mergeCell ref="AM98:BF98"/>
    <mergeCell ref="AM105:BF105"/>
    <mergeCell ref="AM104:BF104"/>
    <mergeCell ref="AM107:BF107"/>
    <mergeCell ref="AM106:BF106"/>
    <mergeCell ref="AM103:BF103"/>
    <mergeCell ref="AM102:BF102"/>
    <mergeCell ref="AM115:BF115"/>
    <mergeCell ref="AM114:BF114"/>
    <mergeCell ref="AM111:BF111"/>
    <mergeCell ref="AM110:BF110"/>
    <mergeCell ref="AM113:BF113"/>
    <mergeCell ref="AM112:BF112"/>
    <mergeCell ref="AM108:BF108"/>
    <mergeCell ref="C233:G233"/>
    <mergeCell ref="H233:AL233"/>
    <mergeCell ref="C234:G234"/>
    <mergeCell ref="H234:AL234"/>
    <mergeCell ref="AM234:BF234"/>
    <mergeCell ref="C235:G235"/>
    <mergeCell ref="H235:AL235"/>
    <mergeCell ref="AM235:BF235"/>
    <mergeCell ref="C236:G236"/>
    <mergeCell ref="H236:AL236"/>
    <mergeCell ref="AM236:BF236"/>
    <mergeCell ref="AM233:BF233"/>
    <mergeCell ref="C237:G237"/>
    <mergeCell ref="H237:AL237"/>
    <mergeCell ref="AM237:BF237"/>
    <mergeCell ref="C238:G238"/>
    <mergeCell ref="H238:AL238"/>
    <mergeCell ref="AM238:BF238"/>
    <mergeCell ref="C239:G239"/>
    <mergeCell ref="H239:AL239"/>
    <mergeCell ref="AM239:BF239"/>
    <mergeCell ref="C240:G240"/>
    <mergeCell ref="H240:AL240"/>
    <mergeCell ref="AM240:BF240"/>
    <mergeCell ref="C241:G241"/>
    <mergeCell ref="H241:AL241"/>
    <mergeCell ref="AM241:BF241"/>
    <mergeCell ref="C242:G242"/>
    <mergeCell ref="H242:AL242"/>
    <mergeCell ref="AM242:BF242"/>
    <mergeCell ref="C243:G243"/>
    <mergeCell ref="H243:AL243"/>
    <mergeCell ref="AM243:BF243"/>
    <mergeCell ref="C244:G244"/>
    <mergeCell ref="H244:AL244"/>
    <mergeCell ref="AM244:BF244"/>
    <mergeCell ref="C245:G245"/>
    <mergeCell ref="H245:AL245"/>
    <mergeCell ref="AM245:BF245"/>
    <mergeCell ref="C246:G246"/>
    <mergeCell ref="H246:AL246"/>
    <mergeCell ref="AM246:BF246"/>
    <mergeCell ref="C247:G247"/>
    <mergeCell ref="H247:AL247"/>
    <mergeCell ref="AM247:BF247"/>
    <mergeCell ref="C248:G248"/>
    <mergeCell ref="H248:AL248"/>
    <mergeCell ref="AM248:BF248"/>
    <mergeCell ref="C249:G249"/>
    <mergeCell ref="H249:AL249"/>
    <mergeCell ref="AM249:BF249"/>
    <mergeCell ref="C250:G250"/>
    <mergeCell ref="H250:AL250"/>
    <mergeCell ref="AM250:BF250"/>
    <mergeCell ref="C251:G251"/>
    <mergeCell ref="H251:AL251"/>
    <mergeCell ref="AM251:BF251"/>
    <mergeCell ref="C252:G252"/>
    <mergeCell ref="H252:AL252"/>
    <mergeCell ref="AM252:BF252"/>
    <mergeCell ref="C253:G253"/>
    <mergeCell ref="H253:AL253"/>
    <mergeCell ref="AM253:BF253"/>
    <mergeCell ref="C254:G254"/>
    <mergeCell ref="H254:AL254"/>
    <mergeCell ref="AM254:BF254"/>
    <mergeCell ref="AE262:BF262"/>
    <mergeCell ref="C255:G255"/>
    <mergeCell ref="H255:AL255"/>
    <mergeCell ref="AM255:BF255"/>
    <mergeCell ref="C256:E256"/>
    <mergeCell ref="F256:AL256"/>
    <mergeCell ref="AM256:BF256"/>
    <mergeCell ref="C257:BF257"/>
    <mergeCell ref="AE260:BF260"/>
    <mergeCell ref="AE261:BF261"/>
  </mergeCells>
  <phoneticPr fontId="7" type="noConversion"/>
  <conditionalFormatting sqref="C38:BF38">
    <cfRule type="cellIs" dxfId="32" priority="18" stopIfTrue="1" operator="greaterThanOrEqual">
      <formula>1</formula>
    </cfRule>
    <cfRule type="expression" dxfId="31" priority="19" stopIfTrue="1">
      <formula>C37=BH40</formula>
    </cfRule>
  </conditionalFormatting>
  <conditionalFormatting sqref="J11">
    <cfRule type="cellIs" dxfId="30" priority="20" stopIfTrue="1" operator="equal">
      <formula>0</formula>
    </cfRule>
  </conditionalFormatting>
  <conditionalFormatting sqref="P13:BE13">
    <cfRule type="cellIs" dxfId="29" priority="12" stopIfTrue="1" operator="equal">
      <formula>$BQ$12</formula>
    </cfRule>
    <cfRule type="cellIs" dxfId="28" priority="13" stopIfTrue="1" operator="equal">
      <formula>$BQ$11</formula>
    </cfRule>
    <cfRule type="cellIs" dxfId="27" priority="24" stopIfTrue="1" operator="equal">
      <formula>$BQ$10</formula>
    </cfRule>
  </conditionalFormatting>
  <conditionalFormatting sqref="C33:BF35">
    <cfRule type="expression" dxfId="26" priority="26" stopIfTrue="1">
      <formula>C33=""</formula>
    </cfRule>
  </conditionalFormatting>
  <conditionalFormatting sqref="A14">
    <cfRule type="expression" dxfId="25" priority="6" stopIfTrue="1">
      <formula>IF($A$12=$BM$11,TRUE)</formula>
    </cfRule>
    <cfRule type="expression" dxfId="24" priority="48" stopIfTrue="1">
      <formula>IF($A$12=$BM$10,TRUE)</formula>
    </cfRule>
  </conditionalFormatting>
  <conditionalFormatting sqref="A11">
    <cfRule type="cellIs" dxfId="23" priority="8" stopIfTrue="1" operator="equal">
      <formula>$BO$9</formula>
    </cfRule>
  </conditionalFormatting>
  <conditionalFormatting sqref="A13">
    <cfRule type="cellIs" dxfId="22" priority="7" stopIfTrue="1" operator="equal">
      <formula>$BO$9</formula>
    </cfRule>
  </conditionalFormatting>
  <conditionalFormatting sqref="B55:BF255">
    <cfRule type="expression" dxfId="21" priority="4" stopIfTrue="1">
      <formula>$A$55=""</formula>
    </cfRule>
  </conditionalFormatting>
  <conditionalFormatting sqref="C32:BF32">
    <cfRule type="cellIs" dxfId="20" priority="1" operator="equal">
      <formula>"escreva sua justificativa aqui ..............................."</formula>
    </cfRule>
    <cfRule type="expression" dxfId="19" priority="3" stopIfTrue="1">
      <formula>C32=""</formula>
    </cfRule>
  </conditionalFormatting>
  <dataValidations count="2">
    <dataValidation type="list" allowBlank="1" showInputMessage="1" showErrorMessage="1" sqref="A12">
      <formula1>$BM$10:$BM$11</formula1>
    </dataValidation>
    <dataValidation type="list" allowBlank="1" showInputMessage="1" showErrorMessage="1" sqref="A14">
      <formula1>IF($A$12=$BM$9,$BN$9,IF($A$12=$BM$10,$BN$9:$BN$14,IF($A$12=$BM$11,$BN$9:$BN$14)))</formula1>
    </dataValidation>
  </dataValidations>
  <printOptions horizontalCentered="1"/>
  <pageMargins left="0.51181102362204722" right="0.19685039370078741" top="0.19685039370078741" bottom="0.55118110236220474" header="0.15748031496062992" footer="0.27559055118110237"/>
  <pageSetup paperSize="9" scale="93" orientation="portrait" r:id="rId1"/>
  <headerFooter alignWithMargins="0">
    <oddFooter>&amp;C&amp;"Arial,Negrito"&amp;P/&amp;N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>
    <tabColor indexed="14"/>
  </sheetPr>
  <dimension ref="A1:DB695"/>
  <sheetViews>
    <sheetView zoomScaleNormal="100" workbookViewId="0">
      <pane ySplit="9" topLeftCell="A10" activePane="bottomLeft" state="frozen"/>
      <selection pane="bottomLeft" activeCell="D21" sqref="D21:Y22"/>
    </sheetView>
  </sheetViews>
  <sheetFormatPr defaultColWidth="0" defaultRowHeight="12.75" zeroHeight="1"/>
  <cols>
    <col min="1" max="1" width="3" style="281" customWidth="1"/>
    <col min="2" max="2" width="1.7109375" style="182" customWidth="1"/>
    <col min="3" max="3" width="2.28515625" style="182" customWidth="1"/>
    <col min="4" max="4" width="1.7109375" style="182" customWidth="1"/>
    <col min="5" max="5" width="2.85546875" style="182" customWidth="1"/>
    <col min="6" max="6" width="2" style="182" customWidth="1"/>
    <col min="7" max="52" width="1.7109375" style="182" customWidth="1"/>
    <col min="53" max="55" width="2.28515625" style="182" customWidth="1"/>
    <col min="56" max="76" width="1.7109375" style="182" customWidth="1"/>
    <col min="77" max="79" width="2.28515625" style="182" customWidth="1"/>
    <col min="80" max="83" width="1.7109375" style="182" customWidth="1"/>
    <col min="84" max="84" width="2.28515625" style="182" customWidth="1"/>
    <col min="85" max="86" width="1.7109375" style="182" customWidth="1"/>
    <col min="87" max="87" width="17" style="282" hidden="1" customWidth="1"/>
    <col min="88" max="88" width="10.85546875" style="282" hidden="1" customWidth="1"/>
    <col min="89" max="89" width="9.140625" style="182" hidden="1" customWidth="1"/>
    <col min="90" max="90" width="9" style="182" hidden="1" customWidth="1"/>
    <col min="91" max="91" width="9.140625" style="182" hidden="1" customWidth="1"/>
    <col min="92" max="92" width="12.85546875" style="182" hidden="1" customWidth="1"/>
    <col min="93" max="93" width="21.28515625" style="182" hidden="1" customWidth="1"/>
    <col min="94" max="16384" width="9.140625" style="182" hidden="1"/>
  </cols>
  <sheetData>
    <row r="1" spans="1:106" s="3" customFormat="1" ht="13.5" thickBot="1">
      <c r="A1" s="106"/>
      <c r="B1" s="257">
        <v>3</v>
      </c>
      <c r="C1" s="257">
        <v>3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185"/>
      <c r="CJ1" s="17"/>
      <c r="CK1" s="3" t="str">
        <f>IF(AW8="","",AW8)</f>
        <v>APROVAR</v>
      </c>
      <c r="CO1" s="3" t="s">
        <v>420</v>
      </c>
      <c r="CR1" s="3">
        <v>2019</v>
      </c>
      <c r="CS1" s="3" t="s">
        <v>421</v>
      </c>
      <c r="CU1" s="3">
        <v>1</v>
      </c>
      <c r="CV1" s="3" t="s">
        <v>430</v>
      </c>
      <c r="CX1" s="3">
        <v>1</v>
      </c>
      <c r="CY1" s="3" t="s">
        <v>431</v>
      </c>
      <c r="DA1" s="3">
        <v>1</v>
      </c>
      <c r="DB1" s="3" t="s">
        <v>432</v>
      </c>
    </row>
    <row r="2" spans="1:106" s="3" customFormat="1">
      <c r="A2" s="100"/>
      <c r="B2" s="29"/>
      <c r="C2" s="29"/>
      <c r="D2" s="29"/>
      <c r="E2" s="29"/>
      <c r="F2" s="1154" t="s">
        <v>109</v>
      </c>
      <c r="G2" s="1154"/>
      <c r="H2" s="1154"/>
      <c r="I2" s="1153"/>
      <c r="J2" s="1153"/>
      <c r="K2" s="29"/>
      <c r="L2" s="945" t="s">
        <v>110</v>
      </c>
      <c r="M2" s="945"/>
      <c r="N2" s="945"/>
      <c r="O2" s="1153"/>
      <c r="P2" s="1153"/>
      <c r="Q2" s="1153"/>
      <c r="R2" s="1153"/>
      <c r="S2" s="1153"/>
      <c r="T2" s="1153"/>
      <c r="U2" s="1153"/>
      <c r="V2" s="29"/>
      <c r="W2" s="945" t="s">
        <v>111</v>
      </c>
      <c r="X2" s="945"/>
      <c r="Y2" s="945"/>
      <c r="Z2" s="1174"/>
      <c r="AA2" s="1174"/>
      <c r="AB2" s="1174"/>
      <c r="AC2" s="29"/>
      <c r="AD2" s="29"/>
      <c r="AE2" s="1026"/>
      <c r="AF2" s="1026"/>
      <c r="AG2" s="1026"/>
      <c r="AH2" s="1026"/>
      <c r="AI2" s="1026"/>
      <c r="AJ2" s="1171"/>
      <c r="AK2" s="1172"/>
      <c r="AL2" s="1172"/>
      <c r="AM2" s="1172"/>
      <c r="AN2" s="1172"/>
      <c r="AO2" s="1172"/>
      <c r="AP2" s="304"/>
      <c r="AQ2" s="1142" t="s">
        <v>253</v>
      </c>
      <c r="AR2" s="1142"/>
      <c r="AS2" s="1142"/>
      <c r="AT2" s="1142"/>
      <c r="AU2" s="1142"/>
      <c r="AV2" s="1142"/>
      <c r="AW2" s="1142"/>
      <c r="AX2" s="1142"/>
      <c r="AY2" s="1147"/>
      <c r="AZ2" s="1148"/>
      <c r="BA2" s="1148"/>
      <c r="BB2" s="1148"/>
      <c r="BC2" s="1148"/>
      <c r="BD2" s="1148"/>
      <c r="BE2" s="1148"/>
      <c r="BF2" s="1148"/>
      <c r="BG2" s="1148"/>
      <c r="BH2" s="1148"/>
      <c r="BI2" s="1148"/>
      <c r="BJ2" s="1148"/>
      <c r="BK2" s="1148"/>
      <c r="BL2" s="305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185"/>
      <c r="CJ2" s="17"/>
      <c r="CK2" s="3" t="str">
        <f>IF(AND(AW8="APROVAR",B21=1),CK13,IF(AND(AW8="RETIFICAR",B21=1),CK15,IF(AND(AW8="APROVAR",B21&gt;=1),CK14,IF(AND(AW8="RETIFICAR",B21&gt;=1),CK16,IF(B21=0,"")))))</f>
        <v/>
      </c>
      <c r="CR2" s="3">
        <v>2020</v>
      </c>
      <c r="CS2" s="3" t="s">
        <v>422</v>
      </c>
      <c r="CU2" s="3">
        <v>2</v>
      </c>
      <c r="CV2" s="3" t="s">
        <v>433</v>
      </c>
      <c r="CX2" s="3">
        <v>2</v>
      </c>
      <c r="CY2" s="3" t="s">
        <v>434</v>
      </c>
      <c r="DA2" s="3">
        <v>2</v>
      </c>
      <c r="DB2" s="3" t="s">
        <v>435</v>
      </c>
    </row>
    <row r="3" spans="1:106" s="3" customFormat="1">
      <c r="A3" s="100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306"/>
      <c r="AQ3" s="307"/>
      <c r="AR3" s="307"/>
      <c r="AS3" s="307"/>
      <c r="AT3" s="307"/>
      <c r="AU3" s="307"/>
      <c r="AV3" s="307"/>
      <c r="AW3" s="307"/>
      <c r="AX3" s="307"/>
      <c r="AY3" s="307"/>
      <c r="AZ3" s="307"/>
      <c r="BA3" s="307"/>
      <c r="BB3" s="307"/>
      <c r="BC3" s="307"/>
      <c r="BD3" s="307"/>
      <c r="BE3" s="307"/>
      <c r="BF3" s="307"/>
      <c r="BG3" s="307"/>
      <c r="BH3" s="307"/>
      <c r="BI3" s="307"/>
      <c r="BJ3" s="303"/>
      <c r="BK3" s="303"/>
      <c r="BL3" s="308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185"/>
      <c r="CJ3" s="17"/>
      <c r="CK3" s="3" t="str">
        <f>IF(AW8="","",BASE!$D$11)</f>
        <v>01/12/2019</v>
      </c>
      <c r="CO3" s="572" t="str">
        <f>IF($I$2="","",VLOOKUP($I$2,mes_extenso,2,FALSE))</f>
        <v/>
      </c>
      <c r="CP3" s="572" t="str">
        <f>IF($Z$2="","",VLOOKUP($Z$2,ano_extenso,2,FALSE))</f>
        <v/>
      </c>
      <c r="CR3" s="3">
        <v>2021</v>
      </c>
      <c r="CS3" s="3" t="s">
        <v>423</v>
      </c>
      <c r="CU3" s="3">
        <v>3</v>
      </c>
      <c r="CV3" s="3" t="s">
        <v>436</v>
      </c>
      <c r="CX3" s="3">
        <v>3</v>
      </c>
      <c r="CY3" s="3" t="s">
        <v>437</v>
      </c>
      <c r="DA3" s="3">
        <v>3</v>
      </c>
      <c r="DB3" s="3" t="s">
        <v>438</v>
      </c>
    </row>
    <row r="4" spans="1:106" s="3" customFormat="1">
      <c r="A4" s="100"/>
      <c r="B4" s="29"/>
      <c r="C4" s="29"/>
      <c r="D4" s="29"/>
      <c r="E4" s="29"/>
      <c r="F4" s="1154" t="s">
        <v>252</v>
      </c>
      <c r="G4" s="1154"/>
      <c r="H4" s="1154"/>
      <c r="I4" s="1154"/>
      <c r="J4" s="1155"/>
      <c r="K4" s="1156"/>
      <c r="L4" s="100" t="str">
        <f>IF(M4="","",":")</f>
        <v>:</v>
      </c>
      <c r="M4" s="1157">
        <v>0</v>
      </c>
      <c r="N4" s="1158"/>
      <c r="O4" s="945" t="s">
        <v>112</v>
      </c>
      <c r="P4" s="945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306"/>
      <c r="AQ4" s="1143" t="s">
        <v>254</v>
      </c>
      <c r="AR4" s="1143"/>
      <c r="AS4" s="1143"/>
      <c r="AT4" s="1143"/>
      <c r="AU4" s="1143"/>
      <c r="AV4" s="1163"/>
      <c r="AW4" s="1163"/>
      <c r="AX4" s="1163"/>
      <c r="AY4" s="1163"/>
      <c r="AZ4" s="1163"/>
      <c r="BA4" s="1163"/>
      <c r="BB4" s="307" t="s">
        <v>123</v>
      </c>
      <c r="BC4" s="307"/>
      <c r="BD4" s="307"/>
      <c r="BE4" s="1159"/>
      <c r="BF4" s="1160"/>
      <c r="BG4" s="1160"/>
      <c r="BH4" s="1160"/>
      <c r="BI4" s="1160"/>
      <c r="BJ4" s="1160"/>
      <c r="BK4" s="1160"/>
      <c r="BL4" s="320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185"/>
      <c r="CJ4" s="17"/>
      <c r="CK4" s="3" t="str">
        <f>IF(AND(AW8="APROVAR",B21=1),CL13,IF(AND(AW8="RETIFICAR",B21=1),CL15,IF(AND(AW8="APROVAR",B21&gt;=1),CL14,IF(AND(AW8="RETIFICAR",B21&gt;=1),CL16,IF(B21=0,"")))))</f>
        <v/>
      </c>
      <c r="CR4" s="3">
        <v>2022</v>
      </c>
      <c r="CS4" s="3" t="s">
        <v>424</v>
      </c>
      <c r="CU4" s="3">
        <v>4</v>
      </c>
      <c r="CV4" s="3" t="s">
        <v>439</v>
      </c>
      <c r="CX4" s="3">
        <v>4</v>
      </c>
      <c r="CY4" s="3" t="s">
        <v>440</v>
      </c>
      <c r="DA4" s="3">
        <v>4</v>
      </c>
      <c r="DB4" s="3" t="s">
        <v>441</v>
      </c>
    </row>
    <row r="5" spans="1:106" s="3" customFormat="1">
      <c r="A5" s="100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306"/>
      <c r="AQ5" s="307"/>
      <c r="AR5" s="307"/>
      <c r="AS5" s="307"/>
      <c r="AT5" s="307"/>
      <c r="AU5" s="307"/>
      <c r="AV5" s="307"/>
      <c r="AW5" s="307"/>
      <c r="AX5" s="307"/>
      <c r="AY5" s="307"/>
      <c r="AZ5" s="307"/>
      <c r="BA5" s="307"/>
      <c r="BB5" s="307"/>
      <c r="BC5" s="307"/>
      <c r="BD5" s="307"/>
      <c r="BE5" s="307"/>
      <c r="BF5" s="307"/>
      <c r="BG5" s="307"/>
      <c r="BH5" s="307"/>
      <c r="BI5" s="307"/>
      <c r="BJ5" s="303"/>
      <c r="BK5" s="303"/>
      <c r="BL5" s="308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185"/>
      <c r="CJ5" s="17"/>
      <c r="CK5" s="3" t="str">
        <f>IF(AND(AW8="APROVAR",B21=1),"",IF(AND(AW8="RETIFICAR",B21=1),CM15,IF(AND(AW8="APROVAR",B21&gt;=1),CM14,IF(AND(AW8="RETIFICAR",B21&gt;=1),CM16,IF(B21=0,"")))))</f>
        <v/>
      </c>
      <c r="CO5" s="3" t="s">
        <v>425</v>
      </c>
      <c r="CR5" s="3">
        <v>2023</v>
      </c>
      <c r="CS5" s="3" t="s">
        <v>426</v>
      </c>
      <c r="CU5" s="3">
        <v>5</v>
      </c>
      <c r="CV5" s="3" t="s">
        <v>442</v>
      </c>
      <c r="CX5" s="3">
        <v>5</v>
      </c>
      <c r="CY5" s="3" t="s">
        <v>443</v>
      </c>
      <c r="DA5" s="3">
        <v>5</v>
      </c>
      <c r="DB5" s="3" t="s">
        <v>444</v>
      </c>
    </row>
    <row r="6" spans="1:106" s="3" customFormat="1" ht="13.5" thickBot="1">
      <c r="A6" s="100"/>
      <c r="B6" s="29"/>
      <c r="C6" s="1183" t="s">
        <v>313</v>
      </c>
      <c r="D6" s="1183"/>
      <c r="E6" s="1183"/>
      <c r="F6" s="1183"/>
      <c r="G6" s="1183"/>
      <c r="H6" s="1183"/>
      <c r="I6" s="1183"/>
      <c r="J6" s="1183"/>
      <c r="K6" s="1164">
        <v>2555</v>
      </c>
      <c r="L6" s="1165"/>
      <c r="M6" s="1165"/>
      <c r="N6" s="1165"/>
      <c r="O6" s="1165"/>
      <c r="P6" s="1165"/>
      <c r="Q6" s="1165"/>
      <c r="R6" s="1165"/>
      <c r="S6" s="1165"/>
      <c r="T6" s="1165"/>
      <c r="U6" s="1165"/>
      <c r="V6" s="1165"/>
      <c r="W6" s="1165"/>
      <c r="X6" s="1165"/>
      <c r="Y6" s="1165"/>
      <c r="Z6" s="1165"/>
      <c r="AA6" s="1165"/>
      <c r="AB6" s="1165"/>
      <c r="AC6" s="1165"/>
      <c r="AD6" s="29"/>
      <c r="AE6" s="1026" t="s">
        <v>123</v>
      </c>
      <c r="AF6" s="1026"/>
      <c r="AG6" s="1026"/>
      <c r="AH6" s="1166" t="s">
        <v>386</v>
      </c>
      <c r="AI6" s="1167"/>
      <c r="AJ6" s="1167"/>
      <c r="AK6" s="1167"/>
      <c r="AL6" s="1167"/>
      <c r="AM6" s="1167"/>
      <c r="AN6" s="29"/>
      <c r="AO6" s="29"/>
      <c r="AP6" s="309"/>
      <c r="AQ6" s="1144" t="s">
        <v>255</v>
      </c>
      <c r="AR6" s="1144"/>
      <c r="AS6" s="1144"/>
      <c r="AT6" s="1144"/>
      <c r="AU6" s="1144"/>
      <c r="AV6" s="1145"/>
      <c r="AW6" s="1146"/>
      <c r="AX6" s="1146"/>
      <c r="AY6" s="1146"/>
      <c r="AZ6" s="1146"/>
      <c r="BA6" s="1146"/>
      <c r="BB6" s="1146"/>
      <c r="BC6" s="1146"/>
      <c r="BD6" s="1146"/>
      <c r="BE6" s="310"/>
      <c r="BF6" s="310"/>
      <c r="BG6" s="310"/>
      <c r="BH6" s="310"/>
      <c r="BI6" s="310"/>
      <c r="BJ6" s="312"/>
      <c r="BK6" s="312"/>
      <c r="BL6" s="311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185"/>
      <c r="CJ6" s="17"/>
      <c r="CO6" s="572" t="str">
        <f>IF($J$4="","",VLOOKUP($J$4,hora_extenso,2,FALSE))</f>
        <v/>
      </c>
      <c r="CP6" s="572" t="str">
        <f>IF($M$4=0,"",$CP$7)</f>
        <v/>
      </c>
      <c r="CQ6" s="572" t="str">
        <f>IF(OR($M$4="",$M$4=0),"",VLOOKUP($M$4,minuto_extenso,2,FALSE))</f>
        <v/>
      </c>
      <c r="CR6" s="3">
        <v>2024</v>
      </c>
      <c r="CS6" s="3" t="s">
        <v>427</v>
      </c>
      <c r="CU6" s="3">
        <v>6</v>
      </c>
      <c r="CV6" s="3" t="s">
        <v>445</v>
      </c>
      <c r="CX6" s="3">
        <v>6</v>
      </c>
      <c r="CY6" s="3" t="s">
        <v>446</v>
      </c>
      <c r="DA6" s="3">
        <v>6</v>
      </c>
      <c r="DB6" s="3" t="s">
        <v>447</v>
      </c>
    </row>
    <row r="7" spans="1:106" s="3" customFormat="1">
      <c r="A7" s="100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185"/>
      <c r="CJ7" s="17"/>
      <c r="CP7" s="3" t="s">
        <v>428</v>
      </c>
      <c r="CR7" s="3">
        <v>2025</v>
      </c>
      <c r="CS7" s="3" t="s">
        <v>429</v>
      </c>
      <c r="CU7" s="3">
        <v>7</v>
      </c>
      <c r="CV7" s="3" t="s">
        <v>448</v>
      </c>
      <c r="CX7" s="3">
        <v>7</v>
      </c>
      <c r="CY7" s="3" t="s">
        <v>449</v>
      </c>
      <c r="DA7" s="3">
        <v>7</v>
      </c>
      <c r="DB7" s="3" t="s">
        <v>450</v>
      </c>
    </row>
    <row r="8" spans="1:106" s="3" customFormat="1">
      <c r="A8" s="100"/>
      <c r="B8" s="29"/>
      <c r="C8" s="29"/>
      <c r="D8" s="29"/>
      <c r="E8" s="29"/>
      <c r="F8" s="1154" t="s">
        <v>143</v>
      </c>
      <c r="G8" s="1154"/>
      <c r="H8" s="1154"/>
      <c r="I8" s="1154"/>
      <c r="J8" s="1154"/>
      <c r="K8" s="1154"/>
      <c r="L8" s="1154"/>
      <c r="M8" s="1154"/>
      <c r="N8" s="1154"/>
      <c r="O8" s="1154"/>
      <c r="P8" s="1154"/>
      <c r="Q8" s="1161"/>
      <c r="R8" s="1162"/>
      <c r="S8" s="1162"/>
      <c r="T8" s="1162"/>
      <c r="U8" s="1162"/>
      <c r="V8" s="1162"/>
      <c r="W8" s="1162"/>
      <c r="X8" s="1162"/>
      <c r="Y8" s="1162"/>
      <c r="Z8" s="1162"/>
      <c r="AA8" s="1162"/>
      <c r="AB8" s="1162"/>
      <c r="AC8" s="1162"/>
      <c r="AD8" s="1162"/>
      <c r="AE8" s="1162"/>
      <c r="AF8" s="1162"/>
      <c r="AG8" s="1162"/>
      <c r="AH8" s="1162"/>
      <c r="AI8" s="1162"/>
      <c r="AJ8" s="1162"/>
      <c r="AK8" s="1162"/>
      <c r="AL8" s="1162"/>
      <c r="AM8" s="1162"/>
      <c r="AN8" s="29"/>
      <c r="AO8" s="29"/>
      <c r="AP8" s="1026" t="s">
        <v>249</v>
      </c>
      <c r="AQ8" s="1026"/>
      <c r="AR8" s="1026"/>
      <c r="AS8" s="1026"/>
      <c r="AT8" s="1026"/>
      <c r="AU8" s="1026"/>
      <c r="AV8" s="1026"/>
      <c r="AW8" s="1150" t="s">
        <v>399</v>
      </c>
      <c r="AX8" s="1150"/>
      <c r="AY8" s="1150"/>
      <c r="AZ8" s="1150"/>
      <c r="BA8" s="1150"/>
      <c r="BB8" s="1150"/>
      <c r="BC8" s="1150"/>
      <c r="BD8" s="1150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109"/>
      <c r="BP8" s="10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185"/>
      <c r="CJ8" s="17"/>
      <c r="CU8" s="3">
        <v>8</v>
      </c>
      <c r="CV8" s="3" t="s">
        <v>451</v>
      </c>
      <c r="CX8" s="3">
        <v>8</v>
      </c>
      <c r="CY8" s="3" t="s">
        <v>452</v>
      </c>
      <c r="DA8" s="3">
        <v>8</v>
      </c>
      <c r="DB8" s="3" t="s">
        <v>453</v>
      </c>
    </row>
    <row r="9" spans="1:106" s="3" customFormat="1">
      <c r="A9" s="100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185"/>
      <c r="CJ9" s="17"/>
      <c r="CU9" s="3">
        <v>9</v>
      </c>
      <c r="CV9" s="3" t="s">
        <v>454</v>
      </c>
      <c r="CX9" s="3">
        <v>9</v>
      </c>
      <c r="CY9" s="3" t="s">
        <v>455</v>
      </c>
      <c r="DA9" s="3">
        <v>9</v>
      </c>
      <c r="DB9" s="3" t="s">
        <v>456</v>
      </c>
    </row>
    <row r="10" spans="1:106" s="3" customFormat="1" ht="15.75">
      <c r="A10" s="100"/>
      <c r="B10" s="1107" t="s">
        <v>91</v>
      </c>
      <c r="C10" s="1107"/>
      <c r="D10" s="1107"/>
      <c r="E10" s="1107"/>
      <c r="F10" s="1107"/>
      <c r="G10" s="1107"/>
      <c r="H10" s="1107"/>
      <c r="I10" s="1107"/>
      <c r="J10" s="1107"/>
      <c r="K10" s="1107"/>
      <c r="L10" s="1107"/>
      <c r="M10" s="1107"/>
      <c r="N10" s="1107"/>
      <c r="O10" s="1107"/>
      <c r="P10" s="1107"/>
      <c r="Q10" s="1107"/>
      <c r="R10" s="1107"/>
      <c r="S10" s="1107"/>
      <c r="T10" s="1107"/>
      <c r="U10" s="1107"/>
      <c r="V10" s="1107"/>
      <c r="W10" s="1107"/>
      <c r="X10" s="1107"/>
      <c r="Y10" s="1107"/>
      <c r="Z10" s="1107"/>
      <c r="AA10" s="1107"/>
      <c r="AB10" s="1107"/>
      <c r="AC10" s="1107"/>
      <c r="AD10" s="1107"/>
      <c r="AE10" s="1107"/>
      <c r="AF10" s="1107"/>
      <c r="AG10" s="1107"/>
      <c r="AH10" s="1107"/>
      <c r="AI10" s="1107"/>
      <c r="AJ10" s="1107"/>
      <c r="AK10" s="1107"/>
      <c r="AL10" s="1107"/>
      <c r="AM10" s="1107"/>
      <c r="AN10" s="1107"/>
      <c r="AO10" s="1107"/>
      <c r="AP10" s="1107"/>
      <c r="AQ10" s="1107"/>
      <c r="AR10" s="1107"/>
      <c r="AS10" s="1107"/>
      <c r="AT10" s="1107"/>
      <c r="AU10" s="1107"/>
      <c r="AV10" s="1107"/>
      <c r="AW10" s="1107"/>
      <c r="AX10" s="1107"/>
      <c r="AY10" s="1107"/>
      <c r="AZ10" s="1107"/>
      <c r="BA10" s="1107"/>
      <c r="BB10" s="1107"/>
      <c r="BC10" s="1107"/>
      <c r="BD10" s="1107"/>
      <c r="BE10" s="1107"/>
      <c r="BF10" s="1107"/>
      <c r="BG10" s="1107"/>
      <c r="BH10" s="1107"/>
      <c r="BI10" s="1107"/>
      <c r="BJ10" s="1107"/>
      <c r="BK10" s="1107"/>
      <c r="BL10" s="1107"/>
      <c r="BM10" s="1107"/>
      <c r="BN10" s="1107"/>
      <c r="BO10" s="1107"/>
      <c r="BP10" s="1107"/>
      <c r="BQ10" s="1107"/>
      <c r="BR10" s="1107"/>
      <c r="BS10" s="1107"/>
      <c r="BT10" s="1107"/>
      <c r="BU10" s="1107"/>
      <c r="BV10" s="1107"/>
      <c r="BW10" s="1107"/>
      <c r="BX10" s="1107"/>
      <c r="BY10" s="1107"/>
      <c r="BZ10" s="1107"/>
      <c r="CA10" s="1107"/>
      <c r="CB10" s="1107"/>
      <c r="CC10" s="1107"/>
      <c r="CD10" s="1107"/>
      <c r="CE10" s="1107"/>
      <c r="CF10" s="1107"/>
      <c r="CG10" s="1107"/>
      <c r="CH10" s="108"/>
      <c r="CI10" s="179"/>
      <c r="CJ10" s="17"/>
      <c r="CU10" s="3">
        <v>10</v>
      </c>
      <c r="CV10" s="3" t="s">
        <v>457</v>
      </c>
      <c r="CX10" s="3">
        <v>10</v>
      </c>
      <c r="CY10" s="3" t="s">
        <v>458</v>
      </c>
      <c r="DA10" s="3">
        <v>10</v>
      </c>
      <c r="DB10" s="3" t="s">
        <v>459</v>
      </c>
    </row>
    <row r="11" spans="1:106" s="3" customFormat="1" ht="15.75">
      <c r="A11" s="100"/>
      <c r="B11" s="1107" t="s">
        <v>92</v>
      </c>
      <c r="C11" s="1107"/>
      <c r="D11" s="1107"/>
      <c r="E11" s="1107"/>
      <c r="F11" s="1107"/>
      <c r="G11" s="1107"/>
      <c r="H11" s="1107"/>
      <c r="I11" s="1107"/>
      <c r="J11" s="1107"/>
      <c r="K11" s="1107"/>
      <c r="L11" s="1107"/>
      <c r="M11" s="1107"/>
      <c r="N11" s="1107"/>
      <c r="O11" s="1107"/>
      <c r="P11" s="1107"/>
      <c r="Q11" s="1107"/>
      <c r="R11" s="1107"/>
      <c r="S11" s="1107"/>
      <c r="T11" s="1107"/>
      <c r="U11" s="1107"/>
      <c r="V11" s="1107"/>
      <c r="W11" s="1107"/>
      <c r="X11" s="1107"/>
      <c r="Y11" s="1107"/>
      <c r="Z11" s="1107"/>
      <c r="AA11" s="1107"/>
      <c r="AB11" s="1107"/>
      <c r="AC11" s="1107"/>
      <c r="AD11" s="1107"/>
      <c r="AE11" s="1107"/>
      <c r="AF11" s="1107"/>
      <c r="AG11" s="1107"/>
      <c r="AH11" s="1107"/>
      <c r="AI11" s="1107"/>
      <c r="AJ11" s="1107"/>
      <c r="AK11" s="1107"/>
      <c r="AL11" s="1107"/>
      <c r="AM11" s="1107"/>
      <c r="AN11" s="1107"/>
      <c r="AO11" s="1107"/>
      <c r="AP11" s="1107"/>
      <c r="AQ11" s="1107"/>
      <c r="AR11" s="1107"/>
      <c r="AS11" s="1107"/>
      <c r="AT11" s="1107"/>
      <c r="AU11" s="1107"/>
      <c r="AV11" s="1107"/>
      <c r="AW11" s="1107"/>
      <c r="AX11" s="1107"/>
      <c r="AY11" s="1107"/>
      <c r="AZ11" s="1107"/>
      <c r="BA11" s="1107"/>
      <c r="BB11" s="1107"/>
      <c r="BC11" s="1107"/>
      <c r="BD11" s="1107"/>
      <c r="BE11" s="1107"/>
      <c r="BF11" s="1107"/>
      <c r="BG11" s="1107"/>
      <c r="BH11" s="1107"/>
      <c r="BI11" s="1107"/>
      <c r="BJ11" s="1107"/>
      <c r="BK11" s="1107"/>
      <c r="BL11" s="1107"/>
      <c r="BM11" s="1107"/>
      <c r="BN11" s="1107"/>
      <c r="BO11" s="1107"/>
      <c r="BP11" s="1107"/>
      <c r="BQ11" s="1107"/>
      <c r="BR11" s="1107"/>
      <c r="BS11" s="1107"/>
      <c r="BT11" s="1107"/>
      <c r="BU11" s="1107"/>
      <c r="BV11" s="1107"/>
      <c r="BW11" s="1107"/>
      <c r="BX11" s="1107"/>
      <c r="BY11" s="1107"/>
      <c r="BZ11" s="1107"/>
      <c r="CA11" s="1107"/>
      <c r="CB11" s="1107"/>
      <c r="CC11" s="1107"/>
      <c r="CD11" s="1107"/>
      <c r="CE11" s="1107"/>
      <c r="CF11" s="1107"/>
      <c r="CG11" s="1107"/>
      <c r="CH11" s="108"/>
      <c r="CI11" s="179"/>
      <c r="CJ11" s="17"/>
      <c r="CL11" s="181" t="str">
        <f>BASE!$D$11</f>
        <v>01/12/2019</v>
      </c>
      <c r="CM11" s="3" t="s">
        <v>24</v>
      </c>
      <c r="CN11" s="181" t="str">
        <f>BASE!$F$11</f>
        <v>31/10/2020</v>
      </c>
      <c r="CO11" s="3" t="str">
        <f>BASE!$B$14&amp;" "&amp;BASE!$C$14</f>
        <v>1º Repasse de 2020</v>
      </c>
      <c r="CU11" s="3">
        <v>11</v>
      </c>
      <c r="CV11" s="3" t="s">
        <v>460</v>
      </c>
      <c r="CX11" s="3">
        <v>11</v>
      </c>
      <c r="CY11" s="3" t="s">
        <v>461</v>
      </c>
      <c r="DA11" s="3">
        <v>11</v>
      </c>
      <c r="DB11" s="3" t="s">
        <v>462</v>
      </c>
    </row>
    <row r="12" spans="1:106" s="3" customFormat="1" ht="15.75">
      <c r="A12" s="100"/>
      <c r="B12" s="1107" t="s">
        <v>93</v>
      </c>
      <c r="C12" s="1107"/>
      <c r="D12" s="1107"/>
      <c r="E12" s="1107"/>
      <c r="F12" s="1107"/>
      <c r="G12" s="1107"/>
      <c r="H12" s="1107"/>
      <c r="I12" s="1107"/>
      <c r="J12" s="1107"/>
      <c r="K12" s="1107"/>
      <c r="L12" s="1107"/>
      <c r="M12" s="1107"/>
      <c r="N12" s="1107"/>
      <c r="O12" s="1107"/>
      <c r="P12" s="1107"/>
      <c r="Q12" s="1107"/>
      <c r="R12" s="1107"/>
      <c r="S12" s="1107"/>
      <c r="T12" s="1107"/>
      <c r="U12" s="1107"/>
      <c r="V12" s="1107"/>
      <c r="W12" s="1107"/>
      <c r="X12" s="1107"/>
      <c r="Y12" s="1107"/>
      <c r="Z12" s="1107"/>
      <c r="AA12" s="1107"/>
      <c r="AB12" s="1107"/>
      <c r="AC12" s="1107"/>
      <c r="AD12" s="1107"/>
      <c r="AE12" s="1107"/>
      <c r="AF12" s="1107"/>
      <c r="AG12" s="1107"/>
      <c r="AH12" s="1107"/>
      <c r="AI12" s="1107"/>
      <c r="AJ12" s="1107"/>
      <c r="AK12" s="1107"/>
      <c r="AL12" s="1107"/>
      <c r="AM12" s="1107"/>
      <c r="AN12" s="1107"/>
      <c r="AO12" s="1107"/>
      <c r="AP12" s="1107"/>
      <c r="AQ12" s="1107"/>
      <c r="AR12" s="1107"/>
      <c r="AS12" s="1107"/>
      <c r="AT12" s="1107"/>
      <c r="AU12" s="1107"/>
      <c r="AV12" s="1107"/>
      <c r="AW12" s="1107"/>
      <c r="AX12" s="1107"/>
      <c r="AY12" s="1107"/>
      <c r="AZ12" s="1107"/>
      <c r="BA12" s="1107"/>
      <c r="BB12" s="1107"/>
      <c r="BC12" s="1107"/>
      <c r="BD12" s="1107"/>
      <c r="BE12" s="1107"/>
      <c r="BF12" s="1107"/>
      <c r="BG12" s="1107"/>
      <c r="BH12" s="1107"/>
      <c r="BI12" s="1107"/>
      <c r="BJ12" s="1107"/>
      <c r="BK12" s="1107"/>
      <c r="BL12" s="1107"/>
      <c r="BM12" s="1107"/>
      <c r="BN12" s="1107"/>
      <c r="BO12" s="1107"/>
      <c r="BP12" s="1107"/>
      <c r="BQ12" s="1107"/>
      <c r="BR12" s="1107"/>
      <c r="BS12" s="1107"/>
      <c r="BT12" s="1107"/>
      <c r="BU12" s="1107"/>
      <c r="BV12" s="1107"/>
      <c r="BW12" s="1107"/>
      <c r="BX12" s="1107"/>
      <c r="BY12" s="1107"/>
      <c r="BZ12" s="1107"/>
      <c r="CA12" s="1107"/>
      <c r="CB12" s="1107"/>
      <c r="CC12" s="1107"/>
      <c r="CD12" s="1107"/>
      <c r="CE12" s="1107"/>
      <c r="CF12" s="1107"/>
      <c r="CG12" s="1107"/>
      <c r="CH12" s="108"/>
      <c r="CI12" s="179"/>
      <c r="CJ12" s="17"/>
      <c r="CU12" s="3">
        <v>12</v>
      </c>
      <c r="CV12" s="3" t="s">
        <v>463</v>
      </c>
      <c r="CX12" s="3">
        <v>12</v>
      </c>
      <c r="CY12" s="3" t="s">
        <v>464</v>
      </c>
      <c r="DA12" s="3">
        <v>12</v>
      </c>
      <c r="DB12" s="3" t="s">
        <v>465</v>
      </c>
    </row>
    <row r="13" spans="1:106" s="3" customFormat="1" ht="15.75">
      <c r="A13" s="100"/>
      <c r="B13" s="1107" t="str">
        <f>BASE!$D$5</f>
        <v>CAMPO LIMPO</v>
      </c>
      <c r="C13" s="1107"/>
      <c r="D13" s="1107"/>
      <c r="E13" s="1107"/>
      <c r="F13" s="1107"/>
      <c r="G13" s="1107"/>
      <c r="H13" s="1107"/>
      <c r="I13" s="1107"/>
      <c r="J13" s="1107"/>
      <c r="K13" s="1107"/>
      <c r="L13" s="1107"/>
      <c r="M13" s="1107"/>
      <c r="N13" s="1107"/>
      <c r="O13" s="1107"/>
      <c r="P13" s="1107"/>
      <c r="Q13" s="1107"/>
      <c r="R13" s="1107"/>
      <c r="S13" s="1107"/>
      <c r="T13" s="1107"/>
      <c r="U13" s="1107"/>
      <c r="V13" s="1107"/>
      <c r="W13" s="1107"/>
      <c r="X13" s="1107"/>
      <c r="Y13" s="1107"/>
      <c r="Z13" s="1107"/>
      <c r="AA13" s="1107"/>
      <c r="AB13" s="1107"/>
      <c r="AC13" s="1107"/>
      <c r="AD13" s="1107"/>
      <c r="AE13" s="1107"/>
      <c r="AF13" s="1107"/>
      <c r="AG13" s="1107"/>
      <c r="AH13" s="1107"/>
      <c r="AI13" s="1107"/>
      <c r="AJ13" s="1107"/>
      <c r="AK13" s="1107"/>
      <c r="AL13" s="1107"/>
      <c r="AM13" s="1107"/>
      <c r="AN13" s="1107"/>
      <c r="AO13" s="1107"/>
      <c r="AP13" s="1107"/>
      <c r="AQ13" s="1107"/>
      <c r="AR13" s="1107"/>
      <c r="AS13" s="1107"/>
      <c r="AT13" s="1107"/>
      <c r="AU13" s="1107"/>
      <c r="AV13" s="1107"/>
      <c r="AW13" s="1107"/>
      <c r="AX13" s="1107"/>
      <c r="AY13" s="1107"/>
      <c r="AZ13" s="1107"/>
      <c r="BA13" s="1107"/>
      <c r="BB13" s="1107"/>
      <c r="BC13" s="1107"/>
      <c r="BD13" s="1107"/>
      <c r="BE13" s="1107"/>
      <c r="BF13" s="1107"/>
      <c r="BG13" s="1107"/>
      <c r="BH13" s="1107"/>
      <c r="BI13" s="1107"/>
      <c r="BJ13" s="1107"/>
      <c r="BK13" s="1107"/>
      <c r="BL13" s="1107"/>
      <c r="BM13" s="1107"/>
      <c r="BN13" s="1107"/>
      <c r="BO13" s="1107"/>
      <c r="BP13" s="1107"/>
      <c r="BQ13" s="1107"/>
      <c r="BR13" s="1107"/>
      <c r="BS13" s="1107"/>
      <c r="BT13" s="1107"/>
      <c r="BU13" s="1107"/>
      <c r="BV13" s="1107"/>
      <c r="BW13" s="1107"/>
      <c r="BX13" s="1107"/>
      <c r="BY13" s="1107"/>
      <c r="BZ13" s="1107"/>
      <c r="CA13" s="1107"/>
      <c r="CB13" s="1107"/>
      <c r="CC13" s="1107"/>
      <c r="CD13" s="1107"/>
      <c r="CE13" s="1107"/>
      <c r="CF13" s="1107"/>
      <c r="CG13" s="1107"/>
      <c r="CH13" s="108"/>
      <c r="CI13" s="179"/>
      <c r="CJ13" s="17" t="s">
        <v>250</v>
      </c>
      <c r="CK13" s="448" t="s">
        <v>331</v>
      </c>
      <c r="CL13" s="539" t="s">
        <v>404</v>
      </c>
      <c r="CN13" s="181"/>
      <c r="CU13" s="3">
        <v>13</v>
      </c>
      <c r="CV13" s="3" t="s">
        <v>466</v>
      </c>
      <c r="CX13" s="3">
        <v>13</v>
      </c>
      <c r="CY13" s="3" t="s">
        <v>467</v>
      </c>
      <c r="DA13" s="3">
        <v>13</v>
      </c>
      <c r="DB13" s="3" t="s">
        <v>468</v>
      </c>
    </row>
    <row r="14" spans="1:106" s="3" customFormat="1" ht="15.75">
      <c r="A14" s="100"/>
      <c r="B14" s="1107"/>
      <c r="C14" s="1107"/>
      <c r="D14" s="1107"/>
      <c r="E14" s="1107"/>
      <c r="F14" s="1107"/>
      <c r="G14" s="1107"/>
      <c r="H14" s="1107"/>
      <c r="I14" s="1107"/>
      <c r="J14" s="1107"/>
      <c r="K14" s="1107"/>
      <c r="L14" s="1107"/>
      <c r="M14" s="1107"/>
      <c r="N14" s="1107"/>
      <c r="O14" s="1107"/>
      <c r="P14" s="1107"/>
      <c r="Q14" s="1107"/>
      <c r="R14" s="1107"/>
      <c r="S14" s="1107"/>
      <c r="T14" s="1107"/>
      <c r="U14" s="1107"/>
      <c r="V14" s="1107"/>
      <c r="W14" s="1107"/>
      <c r="X14" s="1107"/>
      <c r="Y14" s="1107"/>
      <c r="Z14" s="1107"/>
      <c r="AA14" s="1107"/>
      <c r="AB14" s="1107"/>
      <c r="AC14" s="1107"/>
      <c r="AD14" s="1107"/>
      <c r="AE14" s="1107"/>
      <c r="AF14" s="1107"/>
      <c r="AG14" s="1107"/>
      <c r="AH14" s="1107"/>
      <c r="AI14" s="1107"/>
      <c r="AJ14" s="1107"/>
      <c r="AK14" s="1107"/>
      <c r="AL14" s="1107"/>
      <c r="AM14" s="1107"/>
      <c r="AN14" s="1107"/>
      <c r="AO14" s="1107"/>
      <c r="AP14" s="1107"/>
      <c r="AQ14" s="1107"/>
      <c r="AR14" s="1107"/>
      <c r="AS14" s="1107"/>
      <c r="AT14" s="1107"/>
      <c r="AU14" s="1107"/>
      <c r="AV14" s="1107"/>
      <c r="AW14" s="1107"/>
      <c r="AX14" s="1107"/>
      <c r="AY14" s="1107"/>
      <c r="AZ14" s="1107"/>
      <c r="BA14" s="1107"/>
      <c r="BB14" s="1107"/>
      <c r="BC14" s="1107"/>
      <c r="BD14" s="1107"/>
      <c r="BE14" s="1107"/>
      <c r="BF14" s="1107"/>
      <c r="BG14" s="1107"/>
      <c r="BH14" s="1107"/>
      <c r="BI14" s="1107"/>
      <c r="BJ14" s="1107"/>
      <c r="BK14" s="1107"/>
      <c r="BL14" s="1107"/>
      <c r="BM14" s="1107"/>
      <c r="BN14" s="1107"/>
      <c r="BO14" s="1107"/>
      <c r="BP14" s="1107"/>
      <c r="BQ14" s="1107"/>
      <c r="BR14" s="1107"/>
      <c r="BS14" s="1107"/>
      <c r="BT14" s="1107"/>
      <c r="BU14" s="1107"/>
      <c r="BV14" s="1107"/>
      <c r="BW14" s="1107"/>
      <c r="BX14" s="1107"/>
      <c r="BY14" s="1107"/>
      <c r="BZ14" s="1107"/>
      <c r="CA14" s="1107"/>
      <c r="CB14" s="1107"/>
      <c r="CC14" s="1107"/>
      <c r="CD14" s="1107"/>
      <c r="CE14" s="1107"/>
      <c r="CF14" s="1107"/>
      <c r="CG14" s="1107"/>
      <c r="CH14" s="108"/>
      <c r="CI14" s="179"/>
      <c r="CJ14" s="17" t="s">
        <v>251</v>
      </c>
      <c r="CK14" s="448" t="s">
        <v>332</v>
      </c>
      <c r="CL14" s="539" t="s">
        <v>405</v>
      </c>
      <c r="CM14" s="540" t="s">
        <v>406</v>
      </c>
      <c r="CN14" s="539" t="s">
        <v>407</v>
      </c>
      <c r="CU14" s="3">
        <v>14</v>
      </c>
      <c r="CV14" s="3" t="s">
        <v>469</v>
      </c>
      <c r="CX14" s="3">
        <v>14</v>
      </c>
      <c r="CY14" s="3" t="s">
        <v>470</v>
      </c>
      <c r="DA14" s="3">
        <v>14</v>
      </c>
      <c r="DB14" s="3" t="s">
        <v>471</v>
      </c>
    </row>
    <row r="15" spans="1:106" s="3" customFormat="1" ht="14.25" customHeight="1">
      <c r="A15" s="100"/>
      <c r="B15" s="1169" t="s">
        <v>108</v>
      </c>
      <c r="C15" s="1169"/>
      <c r="D15" s="1169"/>
      <c r="E15" s="1169"/>
      <c r="F15" s="1169"/>
      <c r="G15" s="1169"/>
      <c r="H15" s="1169"/>
      <c r="I15" s="1169"/>
      <c r="J15" s="1169"/>
      <c r="K15" s="1169"/>
      <c r="L15" s="1169"/>
      <c r="M15" s="1169"/>
      <c r="N15" s="1169"/>
      <c r="O15" s="1169"/>
      <c r="P15" s="1169"/>
      <c r="Q15" s="1169"/>
      <c r="R15" s="1169"/>
      <c r="S15" s="1169"/>
      <c r="T15" s="1169"/>
      <c r="U15" s="1169"/>
      <c r="V15" s="1169"/>
      <c r="W15" s="1169"/>
      <c r="X15" s="1169"/>
      <c r="Y15" s="1169"/>
      <c r="Z15" s="1169"/>
      <c r="AA15" s="1169"/>
      <c r="AB15" s="1169"/>
      <c r="AC15" s="1169"/>
      <c r="AD15" s="1169"/>
      <c r="AE15" s="1169"/>
      <c r="AF15" s="1169"/>
      <c r="AG15" s="1169"/>
      <c r="AH15" s="1169"/>
      <c r="AI15" s="1169"/>
      <c r="AJ15" s="1169"/>
      <c r="AK15" s="1169"/>
      <c r="AL15" s="1169"/>
      <c r="AM15" s="1169"/>
      <c r="AN15" s="1169"/>
      <c r="AO15" s="1169"/>
      <c r="AP15" s="1169"/>
      <c r="AQ15" s="1169"/>
      <c r="AR15" s="1169"/>
      <c r="AS15" s="1169"/>
      <c r="AT15" s="1169"/>
      <c r="AU15" s="1169"/>
      <c r="AV15" s="1169"/>
      <c r="AW15" s="1169"/>
      <c r="AX15" s="1169"/>
      <c r="AY15" s="1169"/>
      <c r="AZ15" s="1169"/>
      <c r="BA15" s="1169"/>
      <c r="BB15" s="1169"/>
      <c r="BC15" s="1169"/>
      <c r="BD15" s="1169"/>
      <c r="BE15" s="1169"/>
      <c r="BF15" s="1169"/>
      <c r="BG15" s="1169"/>
      <c r="BH15" s="1169"/>
      <c r="BI15" s="1169"/>
      <c r="BJ15" s="1169"/>
      <c r="BK15" s="1169"/>
      <c r="BL15" s="1169"/>
      <c r="BM15" s="1169"/>
      <c r="BN15" s="1169"/>
      <c r="BO15" s="1169"/>
      <c r="BP15" s="1169"/>
      <c r="BQ15" s="1169"/>
      <c r="BR15" s="1169"/>
      <c r="BS15" s="1169"/>
      <c r="BT15" s="1169"/>
      <c r="BU15" s="1169"/>
      <c r="BV15" s="1169"/>
      <c r="BW15" s="1169"/>
      <c r="BX15" s="1169"/>
      <c r="BY15" s="1169"/>
      <c r="BZ15" s="1169"/>
      <c r="CA15" s="1169"/>
      <c r="CB15" s="1169"/>
      <c r="CC15" s="1169"/>
      <c r="CD15" s="1169"/>
      <c r="CE15" s="1169"/>
      <c r="CF15" s="1169"/>
      <c r="CG15" s="1169"/>
      <c r="CH15" s="109"/>
      <c r="CI15" s="186"/>
      <c r="CJ15" s="17" t="s">
        <v>250</v>
      </c>
      <c r="CK15" s="448" t="s">
        <v>333</v>
      </c>
      <c r="CL15" s="3" t="str">
        <f>"aprovada em reunião da Comissão Específica, lavrada na ATA nº "&amp;AY2&amp;" e publicada"</f>
        <v>aprovada em reunião da Comissão Específica, lavrada na ATA nº  e publicada</v>
      </c>
      <c r="CM15" s="3" t="str">
        <f>"no DOC nº "&amp;AV4&amp;" de "&amp;BE4&amp;" pagina(s) "&amp;AV6&amp;", da seguinte APM, analisada sob aspecto de exatidão numérica e obediência à legislação"</f>
        <v>no DOC nº  de  pagina(s) , da seguinte APM, analisada sob aspecto de exatidão numérica e obediência à legislação</v>
      </c>
      <c r="CN15" s="181"/>
      <c r="CU15" s="3">
        <v>15</v>
      </c>
      <c r="CV15" s="3" t="s">
        <v>472</v>
      </c>
      <c r="CX15" s="3">
        <v>15</v>
      </c>
      <c r="CY15" s="3" t="s">
        <v>473</v>
      </c>
      <c r="DA15" s="3">
        <v>15</v>
      </c>
      <c r="DB15" s="3" t="s">
        <v>474</v>
      </c>
    </row>
    <row r="16" spans="1:106" s="3" customFormat="1" ht="14.25" customHeight="1">
      <c r="A16" s="100"/>
      <c r="B16" s="1169">
        <f>$Q$8</f>
        <v>0</v>
      </c>
      <c r="C16" s="1169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9"/>
      <c r="U16" s="1169"/>
      <c r="V16" s="1169"/>
      <c r="W16" s="1169"/>
      <c r="X16" s="1169"/>
      <c r="Y16" s="1169"/>
      <c r="Z16" s="1169"/>
      <c r="AA16" s="1169"/>
      <c r="AB16" s="1169"/>
      <c r="AC16" s="1169"/>
      <c r="AD16" s="1169"/>
      <c r="AE16" s="1169"/>
      <c r="AF16" s="1169"/>
      <c r="AG16" s="1169"/>
      <c r="AH16" s="1169"/>
      <c r="AI16" s="1169"/>
      <c r="AJ16" s="1169"/>
      <c r="AK16" s="1169"/>
      <c r="AL16" s="1169"/>
      <c r="AM16" s="1169"/>
      <c r="AN16" s="1169"/>
      <c r="AO16" s="1169"/>
      <c r="AP16" s="1169"/>
      <c r="AQ16" s="1169"/>
      <c r="AR16" s="1169"/>
      <c r="AS16" s="1169"/>
      <c r="AT16" s="1169"/>
      <c r="AU16" s="1169"/>
      <c r="AV16" s="1169"/>
      <c r="AW16" s="1169"/>
      <c r="AX16" s="1169"/>
      <c r="AY16" s="1169"/>
      <c r="AZ16" s="1169"/>
      <c r="BA16" s="1169"/>
      <c r="BB16" s="1169"/>
      <c r="BC16" s="1169"/>
      <c r="BD16" s="1169"/>
      <c r="BE16" s="1169"/>
      <c r="BF16" s="1169"/>
      <c r="BG16" s="1169"/>
      <c r="BH16" s="1169"/>
      <c r="BI16" s="1169"/>
      <c r="BJ16" s="1169"/>
      <c r="BK16" s="1169"/>
      <c r="BL16" s="1169"/>
      <c r="BM16" s="1169"/>
      <c r="BN16" s="1169"/>
      <c r="BO16" s="1169"/>
      <c r="BP16" s="1169"/>
      <c r="BQ16" s="1169"/>
      <c r="BR16" s="1169"/>
      <c r="BS16" s="1169"/>
      <c r="BT16" s="1169"/>
      <c r="BU16" s="1169"/>
      <c r="BV16" s="1169"/>
      <c r="BW16" s="1169"/>
      <c r="BX16" s="1169"/>
      <c r="BY16" s="1169"/>
      <c r="BZ16" s="1169"/>
      <c r="CA16" s="1169"/>
      <c r="CB16" s="1169"/>
      <c r="CC16" s="1169"/>
      <c r="CD16" s="1169"/>
      <c r="CE16" s="1169"/>
      <c r="CF16" s="1169"/>
      <c r="CG16" s="1169"/>
      <c r="CH16" s="109"/>
      <c r="CI16" s="186"/>
      <c r="CJ16" s="17" t="s">
        <v>251</v>
      </c>
      <c r="CK16" s="448" t="s">
        <v>334</v>
      </c>
      <c r="CL16" s="3" t="str">
        <f>"aprovadas em reunião da Comissão Específica, lavrada na ATA nº "&amp;AY2&amp;" e publicadas"</f>
        <v>aprovadas em reunião da Comissão Específica, lavrada na ATA nº  e publicadas</v>
      </c>
      <c r="CM16" s="3" t="str">
        <f>"no DOC nº "&amp;AV4&amp;" de "&amp;BE4&amp;" pagina(s) "&amp;AV6&amp;", das seguintes APMs, analisadas sob aspecto de exatidão numérica e obediência à legislação"</f>
        <v>no DOC nº  de  pagina(s) , das seguintes APMs, analisadas sob aspecto de exatidão numérica e obediência à legislação</v>
      </c>
      <c r="CN16" s="181"/>
      <c r="CU16" s="3">
        <v>16</v>
      </c>
      <c r="CV16" s="3" t="s">
        <v>475</v>
      </c>
      <c r="CX16" s="3">
        <v>16</v>
      </c>
      <c r="CY16" s="3" t="s">
        <v>476</v>
      </c>
      <c r="DA16" s="3">
        <v>16</v>
      </c>
      <c r="DB16" s="3" t="s">
        <v>477</v>
      </c>
    </row>
    <row r="17" spans="1:106" s="3" customFormat="1" ht="15.75">
      <c r="A17" s="100"/>
      <c r="B17" s="1169"/>
      <c r="C17" s="1169"/>
      <c r="D17" s="1169"/>
      <c r="E17" s="1169"/>
      <c r="F17" s="1169"/>
      <c r="G17" s="1169"/>
      <c r="H17" s="1169"/>
      <c r="I17" s="1169"/>
      <c r="J17" s="1169"/>
      <c r="K17" s="1169"/>
      <c r="L17" s="1169"/>
      <c r="M17" s="1169"/>
      <c r="N17" s="1169"/>
      <c r="O17" s="1169"/>
      <c r="P17" s="1169"/>
      <c r="Q17" s="1169"/>
      <c r="R17" s="1169"/>
      <c r="S17" s="1169"/>
      <c r="T17" s="1169"/>
      <c r="U17" s="1169"/>
      <c r="V17" s="1169"/>
      <c r="W17" s="1169"/>
      <c r="X17" s="1169"/>
      <c r="Y17" s="1169"/>
      <c r="Z17" s="1169"/>
      <c r="AA17" s="1169"/>
      <c r="AB17" s="1169"/>
      <c r="AC17" s="1169"/>
      <c r="AD17" s="1169"/>
      <c r="AE17" s="1169"/>
      <c r="AF17" s="1169"/>
      <c r="AG17" s="1169"/>
      <c r="AH17" s="1169"/>
      <c r="AI17" s="1169"/>
      <c r="AJ17" s="1169"/>
      <c r="AK17" s="1169"/>
      <c r="AL17" s="1169"/>
      <c r="AM17" s="1169"/>
      <c r="AN17" s="1169"/>
      <c r="AO17" s="1169"/>
      <c r="AP17" s="1169"/>
      <c r="AQ17" s="1169"/>
      <c r="AR17" s="1169"/>
      <c r="AS17" s="1169"/>
      <c r="AT17" s="1169"/>
      <c r="AU17" s="1169"/>
      <c r="AV17" s="1169"/>
      <c r="AW17" s="1169"/>
      <c r="AX17" s="1169"/>
      <c r="AY17" s="1169"/>
      <c r="AZ17" s="1169"/>
      <c r="BA17" s="1169"/>
      <c r="BB17" s="1169"/>
      <c r="BC17" s="1169"/>
      <c r="BD17" s="1169"/>
      <c r="BE17" s="1169"/>
      <c r="BF17" s="1169"/>
      <c r="BG17" s="1169"/>
      <c r="BH17" s="1169"/>
      <c r="BI17" s="1169"/>
      <c r="BJ17" s="1169"/>
      <c r="BK17" s="1169"/>
      <c r="BL17" s="1169"/>
      <c r="BM17" s="1169"/>
      <c r="BN17" s="1169"/>
      <c r="BO17" s="1169"/>
      <c r="BP17" s="1169"/>
      <c r="BQ17" s="1169"/>
      <c r="BR17" s="1169"/>
      <c r="BS17" s="1169"/>
      <c r="BT17" s="1169"/>
      <c r="BU17" s="1169"/>
      <c r="BV17" s="1169"/>
      <c r="BW17" s="1169"/>
      <c r="BX17" s="1169"/>
      <c r="BY17" s="1169"/>
      <c r="BZ17" s="1169"/>
      <c r="CA17" s="1169"/>
      <c r="CB17" s="1169"/>
      <c r="CC17" s="1169"/>
      <c r="CD17" s="1169"/>
      <c r="CE17" s="1169"/>
      <c r="CF17" s="1169"/>
      <c r="CG17" s="1169"/>
      <c r="CH17" s="108"/>
      <c r="CI17" s="179"/>
      <c r="CJ17" s="17"/>
      <c r="CU17" s="3">
        <v>17</v>
      </c>
      <c r="CV17" s="3" t="s">
        <v>478</v>
      </c>
      <c r="CX17" s="3">
        <v>17</v>
      </c>
      <c r="CY17" s="3" t="s">
        <v>479</v>
      </c>
      <c r="DA17" s="3">
        <v>17</v>
      </c>
      <c r="DB17" s="3" t="s">
        <v>480</v>
      </c>
    </row>
    <row r="18" spans="1:106" s="3" customFormat="1" ht="39.75" customHeight="1">
      <c r="A18" s="100"/>
      <c r="B18" s="1170"/>
      <c r="C18" s="1170"/>
      <c r="D18" s="1173" t="str">
        <f>CK18&amp;CO3&amp;CL18&amp;O2&amp;CN18&amp;CP3&amp;CP18&amp;CK19&amp;CO6&amp;CP6&amp;CQ6&amp;CP18&amp;CK20&amp;CK21&amp;CK22&amp;CL22&amp;CM22&amp;K6&amp;CN18&amp;AH6&amp;CK23</f>
        <v>Aos  dias do mês de  de , às , reuniu – se a Comissão Específica da Diretoria Regional de Educação - CAMPO LIMPO, instituída pela Portaria DRE-CL nº.: 2555 de 14/03/2018, para proceder a análise da prestação de contas dos recursos transferidos pelo PTRF, de acordo com o Item II, subitem 8 e Item V, subitem 16 do Anexo I da Portaria SME n°. 4.554/2008 e deliberou:</v>
      </c>
      <c r="E18" s="1173"/>
      <c r="F18" s="1173"/>
      <c r="G18" s="1173"/>
      <c r="H18" s="1173"/>
      <c r="I18" s="1173"/>
      <c r="J18" s="1173"/>
      <c r="K18" s="1173"/>
      <c r="L18" s="1173"/>
      <c r="M18" s="1173"/>
      <c r="N18" s="1173"/>
      <c r="O18" s="1173"/>
      <c r="P18" s="1173"/>
      <c r="Q18" s="1173"/>
      <c r="R18" s="1173"/>
      <c r="S18" s="1173"/>
      <c r="T18" s="1173"/>
      <c r="U18" s="1173"/>
      <c r="V18" s="1173"/>
      <c r="W18" s="1173"/>
      <c r="X18" s="1173"/>
      <c r="Y18" s="1173"/>
      <c r="Z18" s="1173"/>
      <c r="AA18" s="1173"/>
      <c r="AB18" s="1173"/>
      <c r="AC18" s="1173"/>
      <c r="AD18" s="1173"/>
      <c r="AE18" s="1173"/>
      <c r="AF18" s="1173"/>
      <c r="AG18" s="1173"/>
      <c r="AH18" s="1173"/>
      <c r="AI18" s="1173"/>
      <c r="AJ18" s="1173"/>
      <c r="AK18" s="1173"/>
      <c r="AL18" s="1173"/>
      <c r="AM18" s="1173"/>
      <c r="AN18" s="1173"/>
      <c r="AO18" s="1173"/>
      <c r="AP18" s="1173"/>
      <c r="AQ18" s="1173"/>
      <c r="AR18" s="1173"/>
      <c r="AS18" s="1173"/>
      <c r="AT18" s="1173"/>
      <c r="AU18" s="1173"/>
      <c r="AV18" s="1173"/>
      <c r="AW18" s="1173"/>
      <c r="AX18" s="1173"/>
      <c r="AY18" s="1173"/>
      <c r="AZ18" s="1173"/>
      <c r="BA18" s="1173"/>
      <c r="BB18" s="1173"/>
      <c r="BC18" s="1173"/>
      <c r="BD18" s="1173"/>
      <c r="BE18" s="1173"/>
      <c r="BF18" s="1173"/>
      <c r="BG18" s="1173"/>
      <c r="BH18" s="1173"/>
      <c r="BI18" s="1173"/>
      <c r="BJ18" s="1173"/>
      <c r="BK18" s="1173"/>
      <c r="BL18" s="1173"/>
      <c r="BM18" s="1173"/>
      <c r="BN18" s="1173"/>
      <c r="BO18" s="1173"/>
      <c r="BP18" s="1173"/>
      <c r="BQ18" s="1173"/>
      <c r="BR18" s="1173"/>
      <c r="BS18" s="1173"/>
      <c r="BT18" s="1173"/>
      <c r="BU18" s="1173"/>
      <c r="BV18" s="1173"/>
      <c r="BW18" s="1173"/>
      <c r="BX18" s="1173"/>
      <c r="BY18" s="1173"/>
      <c r="BZ18" s="1173"/>
      <c r="CA18" s="1173"/>
      <c r="CB18" s="1173"/>
      <c r="CC18" s="1173"/>
      <c r="CD18" s="1173"/>
      <c r="CE18" s="1173"/>
      <c r="CF18" s="1173"/>
      <c r="CG18" s="1173"/>
      <c r="CH18" s="103"/>
      <c r="CI18" s="187"/>
      <c r="CJ18" s="17"/>
      <c r="CK18" s="3" t="str">
        <f>IF($I$2=1,"No ","Aos ")</f>
        <v xml:space="preserve">Aos </v>
      </c>
      <c r="CL18" s="65" t="str">
        <f>IF($I$2=1," dia do mês de ", " dias do mês de ")</f>
        <v xml:space="preserve"> dias do mês de </v>
      </c>
      <c r="CN18" s="448" t="s">
        <v>115</v>
      </c>
      <c r="CO18" s="65"/>
      <c r="CP18" s="3" t="s">
        <v>113</v>
      </c>
      <c r="CU18" s="3">
        <v>18</v>
      </c>
      <c r="CV18" s="3" t="s">
        <v>481</v>
      </c>
      <c r="CX18" s="3">
        <v>18</v>
      </c>
      <c r="CY18" s="3" t="s">
        <v>482</v>
      </c>
      <c r="DA18" s="3">
        <v>18</v>
      </c>
      <c r="DB18" s="3" t="s">
        <v>483</v>
      </c>
    </row>
    <row r="19" spans="1:106" s="3" customFormat="1" ht="22.5" customHeight="1">
      <c r="A19" s="100"/>
      <c r="B19" s="1170"/>
      <c r="C19" s="1170"/>
      <c r="D19" s="1151" t="str">
        <f>IF(AW8="","","A)")</f>
        <v>A)</v>
      </c>
      <c r="E19" s="1151"/>
      <c r="F19" s="1116" t="str">
        <f>IF(AW8="","",AW8)</f>
        <v>APROVAR</v>
      </c>
      <c r="G19" s="1116"/>
      <c r="H19" s="1116"/>
      <c r="I19" s="1116"/>
      <c r="J19" s="1116"/>
      <c r="K19" s="1116"/>
      <c r="L19" s="1117" t="str">
        <f>IF(AND(AW8="APROVAR",B21=1),CK13,IF(AND(AW8="RETIFICAR",B21=1),CK15,IF(AND(AW8="APROVAR",B21&gt;=1),CK14,IF(AND(AW8="RETIFICAR",B21&gt;=1),CK16,IF(B21=0,"")))))</f>
        <v/>
      </c>
      <c r="M19" s="1117"/>
      <c r="N19" s="1117"/>
      <c r="O19" s="1117"/>
      <c r="P19" s="1117"/>
      <c r="Q19" s="1117"/>
      <c r="R19" s="1117"/>
      <c r="S19" s="1117"/>
      <c r="T19" s="1117"/>
      <c r="U19" s="1117"/>
      <c r="V19" s="1117"/>
      <c r="W19" s="1117"/>
      <c r="X19" s="1117"/>
      <c r="Y19" s="1117"/>
      <c r="Z19" s="1117"/>
      <c r="AA19" s="1117"/>
      <c r="AB19" s="1117"/>
      <c r="AC19" s="1117"/>
      <c r="AD19" s="1117"/>
      <c r="AE19" s="1117"/>
      <c r="AF19" s="1117"/>
      <c r="AG19" s="1117"/>
      <c r="AH19" s="1118" t="str">
        <f>IF(AW8="","",BASE!$D$11)</f>
        <v>01/12/2019</v>
      </c>
      <c r="AI19" s="1118"/>
      <c r="AJ19" s="1118"/>
      <c r="AK19" s="1118"/>
      <c r="AL19" s="1118"/>
      <c r="AM19" s="1118"/>
      <c r="AN19" s="541" t="str">
        <f>IF(AW8="","","a")</f>
        <v>a</v>
      </c>
      <c r="AO19" s="1118" t="str">
        <f>IF(AW8="","",BASE!$F$11)</f>
        <v>31/10/2020</v>
      </c>
      <c r="AP19" s="1118"/>
      <c r="AQ19" s="1118"/>
      <c r="AR19" s="1118"/>
      <c r="AS19" s="1118"/>
      <c r="AT19" s="1118"/>
      <c r="AU19" s="1117" t="str">
        <f>IF(AND(AW8="APROVAR",B21=1),CL13,IF(AND(AW8="RETIFICAR",B21=1),CL15,IF(AND(AW8="APROVAR",B21&gt;=1),CL14,IF(AND(AW8="RETIFICAR",B21&gt;=1),CL16,IF(B21=0,"")))))</f>
        <v/>
      </c>
      <c r="AV19" s="1117"/>
      <c r="AW19" s="1117"/>
      <c r="AX19" s="1117"/>
      <c r="AY19" s="1117"/>
      <c r="AZ19" s="1117"/>
      <c r="BA19" s="1117"/>
      <c r="BB19" s="1117"/>
      <c r="BC19" s="1117"/>
      <c r="BD19" s="1117"/>
      <c r="BE19" s="1117"/>
      <c r="BF19" s="1117"/>
      <c r="BG19" s="1117"/>
      <c r="BH19" s="1117"/>
      <c r="BI19" s="1117"/>
      <c r="BJ19" s="1117"/>
      <c r="BK19" s="1117"/>
      <c r="BL19" s="1117"/>
      <c r="BM19" s="1117"/>
      <c r="BN19" s="1117"/>
      <c r="BO19" s="1117"/>
      <c r="BP19" s="1117"/>
      <c r="BQ19" s="1117"/>
      <c r="BR19" s="1117"/>
      <c r="BS19" s="1117"/>
      <c r="BT19" s="1117"/>
      <c r="BU19" s="1117"/>
      <c r="BV19" s="1117"/>
      <c r="BW19" s="1117"/>
      <c r="BX19" s="1117"/>
      <c r="BY19" s="1117"/>
      <c r="BZ19" s="1117"/>
      <c r="CA19" s="1117"/>
      <c r="CB19" s="1117"/>
      <c r="CC19" s="1117"/>
      <c r="CD19" s="1117"/>
      <c r="CE19" s="1117"/>
      <c r="CF19" s="1117"/>
      <c r="CG19" s="1117"/>
      <c r="CH19" s="103"/>
      <c r="CI19" s="187"/>
      <c r="CJ19" s="17"/>
      <c r="CK19" s="3" t="s">
        <v>114</v>
      </c>
      <c r="CL19" s="65" t="str">
        <f>Extenso($J$4,"hora ","horas ")</f>
        <v/>
      </c>
      <c r="CM19" s="3" t="str">
        <f>IF(M4="","",IF(M4=0,""," e "))</f>
        <v/>
      </c>
      <c r="CN19" s="65" t="str">
        <f>Extenso($M$4,"minuto ","minutos ")</f>
        <v/>
      </c>
      <c r="CU19" s="3">
        <v>19</v>
      </c>
      <c r="CV19" s="3" t="s">
        <v>484</v>
      </c>
      <c r="CX19" s="3">
        <v>19</v>
      </c>
      <c r="CY19" s="3" t="s">
        <v>485</v>
      </c>
      <c r="DA19" s="3">
        <v>19</v>
      </c>
      <c r="DB19" s="3" t="s">
        <v>486</v>
      </c>
    </row>
    <row r="20" spans="1:106" s="3" customFormat="1" ht="18.75" customHeight="1">
      <c r="B20" s="313"/>
      <c r="C20" s="313"/>
      <c r="D20" s="542"/>
      <c r="E20" s="542"/>
      <c r="F20" s="1149" t="str">
        <f>IF(AND(AW8="APROVAR",B21=1),CN14,IF(AND(AW8="RETIFICAR",B21=1),CM15,IF(AND(AW8="APROVAR",B21&gt;=1),CM14,IF(AND(AW8="RETIFICAR",B21&gt;=1),CM16,IF(B21=0,"")))))</f>
        <v/>
      </c>
      <c r="G20" s="1149"/>
      <c r="H20" s="1149"/>
      <c r="I20" s="1149"/>
      <c r="J20" s="1149"/>
      <c r="K20" s="1149"/>
      <c r="L20" s="1149"/>
      <c r="M20" s="1149"/>
      <c r="N20" s="1149"/>
      <c r="O20" s="1149"/>
      <c r="P20" s="1149"/>
      <c r="Q20" s="1149"/>
      <c r="R20" s="1149"/>
      <c r="S20" s="1149"/>
      <c r="T20" s="1149"/>
      <c r="U20" s="1149"/>
      <c r="V20" s="1149"/>
      <c r="W20" s="1149"/>
      <c r="X20" s="1149"/>
      <c r="Y20" s="1149"/>
      <c r="Z20" s="1149"/>
      <c r="AA20" s="1149"/>
      <c r="AB20" s="1149"/>
      <c r="AC20" s="1149"/>
      <c r="AD20" s="1149"/>
      <c r="AE20" s="1149"/>
      <c r="AF20" s="1149"/>
      <c r="AG20" s="1149"/>
      <c r="AH20" s="1149"/>
      <c r="AI20" s="1149"/>
      <c r="AJ20" s="1149"/>
      <c r="AK20" s="1149"/>
      <c r="AL20" s="1149"/>
      <c r="AM20" s="1149"/>
      <c r="AN20" s="1149"/>
      <c r="AO20" s="1149"/>
      <c r="AP20" s="1149"/>
      <c r="AQ20" s="1149"/>
      <c r="AR20" s="1149"/>
      <c r="AS20" s="1149"/>
      <c r="AT20" s="1149"/>
      <c r="AU20" s="1149"/>
      <c r="AV20" s="1149"/>
      <c r="AW20" s="1149"/>
      <c r="AX20" s="1149"/>
      <c r="AY20" s="1149"/>
      <c r="AZ20" s="1149"/>
      <c r="BA20" s="1149"/>
      <c r="BB20" s="1149"/>
      <c r="BC20" s="1149"/>
      <c r="BD20" s="1149"/>
      <c r="BE20" s="1149"/>
      <c r="BF20" s="1149"/>
      <c r="BG20" s="1149"/>
      <c r="BH20" s="1149"/>
      <c r="BI20" s="1149"/>
      <c r="BJ20" s="1149"/>
      <c r="BK20" s="1149"/>
      <c r="BL20" s="1149"/>
      <c r="BM20" s="1149"/>
      <c r="BN20" s="1149"/>
      <c r="BO20" s="1149"/>
      <c r="BP20" s="1149"/>
      <c r="BQ20" s="1149"/>
      <c r="BR20" s="1149"/>
      <c r="BS20" s="1149"/>
      <c r="BT20" s="1149"/>
      <c r="BU20" s="1149"/>
      <c r="BV20" s="1149"/>
      <c r="BW20" s="1149"/>
      <c r="BX20" s="1149"/>
      <c r="BY20" s="1149"/>
      <c r="BZ20" s="1149"/>
      <c r="CA20" s="1149"/>
      <c r="CB20" s="1149"/>
      <c r="CC20" s="1149"/>
      <c r="CD20" s="1149"/>
      <c r="CE20" s="1149"/>
      <c r="CF20" s="1149"/>
      <c r="CG20" s="1149"/>
      <c r="CH20" s="106"/>
      <c r="CI20" s="188"/>
      <c r="CJ20" s="17"/>
      <c r="CK20" s="3" t="s">
        <v>116</v>
      </c>
      <c r="CU20" s="3">
        <v>20</v>
      </c>
      <c r="CV20" s="3" t="s">
        <v>487</v>
      </c>
      <c r="CX20" s="3">
        <v>20</v>
      </c>
      <c r="CY20" s="3" t="s">
        <v>488</v>
      </c>
      <c r="DA20" s="3">
        <v>20</v>
      </c>
      <c r="DB20" s="3" t="s">
        <v>489</v>
      </c>
    </row>
    <row r="21" spans="1:106" s="3" customFormat="1">
      <c r="A21" s="100"/>
      <c r="B21" s="314">
        <f>MAX(B23:C197)</f>
        <v>0</v>
      </c>
      <c r="C21" s="313"/>
      <c r="D21" s="1168" t="s">
        <v>140</v>
      </c>
      <c r="E21" s="1168"/>
      <c r="F21" s="1168"/>
      <c r="G21" s="1168"/>
      <c r="H21" s="1168"/>
      <c r="I21" s="1168"/>
      <c r="J21" s="1168"/>
      <c r="K21" s="1168"/>
      <c r="L21" s="1168"/>
      <c r="M21" s="1168"/>
      <c r="N21" s="1168"/>
      <c r="O21" s="1168"/>
      <c r="P21" s="1168"/>
      <c r="Q21" s="1168"/>
      <c r="R21" s="1168"/>
      <c r="S21" s="1168"/>
      <c r="T21" s="1168"/>
      <c r="U21" s="1168"/>
      <c r="V21" s="1168"/>
      <c r="W21" s="1168"/>
      <c r="X21" s="1168"/>
      <c r="Y21" s="1168"/>
      <c r="Z21" s="1152" t="s">
        <v>41</v>
      </c>
      <c r="AA21" s="1152"/>
      <c r="AB21" s="1152"/>
      <c r="AC21" s="1152"/>
      <c r="AD21" s="1152"/>
      <c r="AE21" s="1152"/>
      <c r="AF21" s="1152"/>
      <c r="AG21" s="1152"/>
      <c r="AH21" s="1152"/>
      <c r="AI21" s="1152"/>
      <c r="AJ21" s="1152"/>
      <c r="AK21" s="1152"/>
      <c r="AL21" s="1152"/>
      <c r="AM21" s="1152"/>
      <c r="AN21" s="1152"/>
      <c r="AO21" s="1152"/>
      <c r="AP21" s="1152"/>
      <c r="AQ21" s="1152"/>
      <c r="AR21" s="1152"/>
      <c r="AS21" s="1152"/>
      <c r="AT21" s="1152"/>
      <c r="AU21" s="1152"/>
      <c r="AV21" s="1152"/>
      <c r="AW21" s="1152"/>
      <c r="AX21" s="1152"/>
      <c r="AY21" s="1152"/>
      <c r="AZ21" s="1152"/>
      <c r="BA21" s="1152"/>
      <c r="BB21" s="1152"/>
      <c r="BC21" s="1152"/>
      <c r="BD21" s="1152" t="s">
        <v>42</v>
      </c>
      <c r="BE21" s="1152"/>
      <c r="BF21" s="1152"/>
      <c r="BG21" s="1152"/>
      <c r="BH21" s="1152"/>
      <c r="BI21" s="1152"/>
      <c r="BJ21" s="1152"/>
      <c r="BK21" s="1152"/>
      <c r="BL21" s="1152"/>
      <c r="BM21" s="1152"/>
      <c r="BN21" s="1152"/>
      <c r="BO21" s="1152"/>
      <c r="BP21" s="1152"/>
      <c r="BQ21" s="1152"/>
      <c r="BR21" s="1152"/>
      <c r="BS21" s="1152"/>
      <c r="BT21" s="1152"/>
      <c r="BU21" s="1152"/>
      <c r="BV21" s="1152"/>
      <c r="BW21" s="1152"/>
      <c r="BX21" s="1152"/>
      <c r="BY21" s="1152"/>
      <c r="BZ21" s="1152"/>
      <c r="CA21" s="1152"/>
      <c r="CB21" s="1152"/>
      <c r="CC21" s="1152"/>
      <c r="CD21" s="1152"/>
      <c r="CE21" s="1152"/>
      <c r="CF21" s="1152"/>
      <c r="CG21" s="1152"/>
      <c r="CH21" s="29"/>
      <c r="CI21" s="185"/>
      <c r="CJ21" s="17"/>
      <c r="CK21" s="372" t="str">
        <f>BASE!$D$5</f>
        <v>CAMPO LIMPO</v>
      </c>
      <c r="CU21" s="3">
        <v>21</v>
      </c>
      <c r="CV21" s="3" t="s">
        <v>490</v>
      </c>
      <c r="CX21" s="3">
        <v>21</v>
      </c>
      <c r="CY21" s="3" t="s">
        <v>491</v>
      </c>
      <c r="DA21" s="3">
        <v>21</v>
      </c>
      <c r="DB21" s="3" t="s">
        <v>492</v>
      </c>
    </row>
    <row r="22" spans="1:106" s="3" customFormat="1">
      <c r="A22" s="100"/>
      <c r="B22" s="313"/>
      <c r="C22" s="313"/>
      <c r="D22" s="1168"/>
      <c r="E22" s="1168"/>
      <c r="F22" s="1168"/>
      <c r="G22" s="1168"/>
      <c r="H22" s="1168"/>
      <c r="I22" s="1168"/>
      <c r="J22" s="1168"/>
      <c r="K22" s="1168"/>
      <c r="L22" s="1168"/>
      <c r="M22" s="1168"/>
      <c r="N22" s="1168"/>
      <c r="O22" s="1168"/>
      <c r="P22" s="1168"/>
      <c r="Q22" s="1168"/>
      <c r="R22" s="1168"/>
      <c r="S22" s="1168"/>
      <c r="T22" s="1168"/>
      <c r="U22" s="1168"/>
      <c r="V22" s="1168"/>
      <c r="W22" s="1168"/>
      <c r="X22" s="1168"/>
      <c r="Y22" s="1168"/>
      <c r="Z22" s="1152" t="s">
        <v>117</v>
      </c>
      <c r="AA22" s="1152"/>
      <c r="AB22" s="1152"/>
      <c r="AC22" s="1152"/>
      <c r="AD22" s="1152"/>
      <c r="AE22" s="1152"/>
      <c r="AF22" s="1152" t="s">
        <v>118</v>
      </c>
      <c r="AG22" s="1152"/>
      <c r="AH22" s="1152"/>
      <c r="AI22" s="1152"/>
      <c r="AJ22" s="1152"/>
      <c r="AK22" s="1152"/>
      <c r="AL22" s="1152" t="s">
        <v>119</v>
      </c>
      <c r="AM22" s="1152"/>
      <c r="AN22" s="1152"/>
      <c r="AO22" s="1152"/>
      <c r="AP22" s="1152"/>
      <c r="AQ22" s="1152"/>
      <c r="AR22" s="1152" t="s">
        <v>120</v>
      </c>
      <c r="AS22" s="1152"/>
      <c r="AT22" s="1152"/>
      <c r="AU22" s="1152"/>
      <c r="AV22" s="1152"/>
      <c r="AW22" s="1152"/>
      <c r="AX22" s="1152" t="s">
        <v>121</v>
      </c>
      <c r="AY22" s="1152"/>
      <c r="AZ22" s="1152"/>
      <c r="BA22" s="1152"/>
      <c r="BB22" s="1152"/>
      <c r="BC22" s="1152"/>
      <c r="BD22" s="1152" t="s">
        <v>117</v>
      </c>
      <c r="BE22" s="1152"/>
      <c r="BF22" s="1152"/>
      <c r="BG22" s="1152"/>
      <c r="BH22" s="1152"/>
      <c r="BI22" s="1152"/>
      <c r="BJ22" s="1152" t="s">
        <v>118</v>
      </c>
      <c r="BK22" s="1152"/>
      <c r="BL22" s="1152"/>
      <c r="BM22" s="1152"/>
      <c r="BN22" s="1152"/>
      <c r="BO22" s="1152"/>
      <c r="BP22" s="1152" t="s">
        <v>120</v>
      </c>
      <c r="BQ22" s="1152"/>
      <c r="BR22" s="1152"/>
      <c r="BS22" s="1152"/>
      <c r="BT22" s="1152"/>
      <c r="BU22" s="1152"/>
      <c r="BV22" s="1152" t="s">
        <v>121</v>
      </c>
      <c r="BW22" s="1152"/>
      <c r="BX22" s="1152"/>
      <c r="BY22" s="1152"/>
      <c r="BZ22" s="1152"/>
      <c r="CA22" s="1152"/>
      <c r="CB22" s="1152" t="s">
        <v>122</v>
      </c>
      <c r="CC22" s="1152"/>
      <c r="CD22" s="1152"/>
      <c r="CE22" s="1152"/>
      <c r="CF22" s="1152"/>
      <c r="CG22" s="1152"/>
      <c r="CH22" s="29"/>
      <c r="CI22" s="189" t="s">
        <v>144</v>
      </c>
      <c r="CJ22" s="183" t="s">
        <v>145</v>
      </c>
      <c r="CK22" s="99" t="s">
        <v>314</v>
      </c>
      <c r="CL22" s="3" t="str">
        <f>BASE!$G$5</f>
        <v>CL</v>
      </c>
      <c r="CM22" s="99" t="s">
        <v>315</v>
      </c>
      <c r="CU22" s="3">
        <v>22</v>
      </c>
      <c r="CV22" s="3" t="s">
        <v>493</v>
      </c>
      <c r="CX22" s="3">
        <v>22</v>
      </c>
      <c r="CY22" s="3" t="s">
        <v>494</v>
      </c>
      <c r="DA22" s="3">
        <v>22</v>
      </c>
      <c r="DB22" s="3" t="s">
        <v>495</v>
      </c>
    </row>
    <row r="23" spans="1:106" s="3" customFormat="1" ht="12.75" hidden="1" customHeight="1">
      <c r="A23" s="243" t="str">
        <f>IF(D23="","OK","")</f>
        <v>OK</v>
      </c>
      <c r="B23" s="1141" t="str">
        <f>IF(CONSOLIDA!CL4="","",CONSOLIDA!CL4)</f>
        <v/>
      </c>
      <c r="C23" s="1141"/>
      <c r="D23" s="1134" t="str">
        <f>IF(CONSOLIDA!CN4="","",CONSOLIDA!CN4)</f>
        <v/>
      </c>
      <c r="E23" s="1135"/>
      <c r="F23" s="1135"/>
      <c r="G23" s="1129" t="str">
        <f>IF(CONSOLIDA!CO4="","",CONSOLIDA!CO4)</f>
        <v/>
      </c>
      <c r="H23" s="1129"/>
      <c r="I23" s="1129"/>
      <c r="J23" s="1129"/>
      <c r="K23" s="1129"/>
      <c r="L23" s="1129"/>
      <c r="M23" s="1129"/>
      <c r="N23" s="1129"/>
      <c r="O23" s="1129"/>
      <c r="P23" s="1129"/>
      <c r="Q23" s="1129"/>
      <c r="R23" s="1129"/>
      <c r="S23" s="1129"/>
      <c r="T23" s="1129"/>
      <c r="U23" s="1129"/>
      <c r="V23" s="1129"/>
      <c r="W23" s="1129"/>
      <c r="X23" s="1129"/>
      <c r="Y23" s="1130"/>
      <c r="Z23" s="1139" t="str">
        <f>IF(CONSOLIDA!CP4="","",CONSOLIDA!CP4)</f>
        <v/>
      </c>
      <c r="AA23" s="1139"/>
      <c r="AB23" s="1139"/>
      <c r="AC23" s="1139"/>
      <c r="AD23" s="1139"/>
      <c r="AE23" s="1139"/>
      <c r="AF23" s="1139" t="str">
        <f>IF(CONSOLIDA!CQ4="","",CONSOLIDA!CQ4)</f>
        <v/>
      </c>
      <c r="AG23" s="1139"/>
      <c r="AH23" s="1139"/>
      <c r="AI23" s="1139"/>
      <c r="AJ23" s="1139"/>
      <c r="AK23" s="1139"/>
      <c r="AL23" s="1139" t="str">
        <f>IF(CONSOLIDA!CR4="","",CONSOLIDA!CR4)</f>
        <v/>
      </c>
      <c r="AM23" s="1139"/>
      <c r="AN23" s="1139"/>
      <c r="AO23" s="1139"/>
      <c r="AP23" s="1139"/>
      <c r="AQ23" s="1139"/>
      <c r="AR23" s="1139" t="str">
        <f>IF(CONSOLIDA!CS4="","",CONSOLIDA!CS4)</f>
        <v/>
      </c>
      <c r="AS23" s="1139"/>
      <c r="AT23" s="1139"/>
      <c r="AU23" s="1139"/>
      <c r="AV23" s="1139"/>
      <c r="AW23" s="1139"/>
      <c r="AX23" s="1140" t="str">
        <f>IF(CONSOLIDA!CT4="","",CONSOLIDA!CT4)</f>
        <v/>
      </c>
      <c r="AY23" s="1140"/>
      <c r="AZ23" s="1140"/>
      <c r="BA23" s="1140"/>
      <c r="BB23" s="1140"/>
      <c r="BC23" s="1140"/>
      <c r="BD23" s="1139" t="str">
        <f>IF(CONSOLIDA!CU4="","",CONSOLIDA!CU4)</f>
        <v/>
      </c>
      <c r="BE23" s="1139"/>
      <c r="BF23" s="1139"/>
      <c r="BG23" s="1139"/>
      <c r="BH23" s="1139"/>
      <c r="BI23" s="1139"/>
      <c r="BJ23" s="1139" t="str">
        <f>IF(CONSOLIDA!CV4="","",CONSOLIDA!CV4)</f>
        <v/>
      </c>
      <c r="BK23" s="1139"/>
      <c r="BL23" s="1139"/>
      <c r="BM23" s="1139"/>
      <c r="BN23" s="1139"/>
      <c r="BO23" s="1139"/>
      <c r="BP23" s="1139" t="str">
        <f>IF(CONSOLIDA!CW4="","",CONSOLIDA!CW4)</f>
        <v/>
      </c>
      <c r="BQ23" s="1139"/>
      <c r="BR23" s="1139"/>
      <c r="BS23" s="1139"/>
      <c r="BT23" s="1139"/>
      <c r="BU23" s="1139"/>
      <c r="BV23" s="1140" t="str">
        <f>IF(CONSOLIDA!CX4="","",CONSOLIDA!CX4)</f>
        <v/>
      </c>
      <c r="BW23" s="1140"/>
      <c r="BX23" s="1140"/>
      <c r="BY23" s="1140"/>
      <c r="BZ23" s="1140"/>
      <c r="CA23" s="1140"/>
      <c r="CB23" s="1139" t="str">
        <f>IF(CONSOLIDA!CY4="","",CONSOLIDA!CY4)</f>
        <v/>
      </c>
      <c r="CC23" s="1139"/>
      <c r="CD23" s="1139"/>
      <c r="CE23" s="1139"/>
      <c r="CF23" s="1139"/>
      <c r="CG23" s="1139"/>
      <c r="CH23" s="486"/>
      <c r="CI23" s="190" t="str">
        <f>IF(CONSOLIDA!CZ4="","",CONSOLIDA!CZ4)</f>
        <v/>
      </c>
      <c r="CJ23" s="190" t="str">
        <f>IF(CONSOLIDA!DA4="","",CONSOLIDA!DA4)</f>
        <v/>
      </c>
      <c r="CK23" s="3" t="s">
        <v>139</v>
      </c>
      <c r="CU23" s="3">
        <v>23</v>
      </c>
      <c r="CV23" s="3" t="s">
        <v>496</v>
      </c>
      <c r="CX23" s="3">
        <v>23</v>
      </c>
      <c r="CY23" s="3" t="s">
        <v>497</v>
      </c>
      <c r="DA23" s="3">
        <v>23</v>
      </c>
      <c r="DB23" s="3" t="s">
        <v>498</v>
      </c>
    </row>
    <row r="24" spans="1:106" s="3" customFormat="1" hidden="1">
      <c r="A24" s="243" t="str">
        <f t="shared" ref="A24:A87" si="0">IF(D24="","OK","")</f>
        <v>OK</v>
      </c>
      <c r="B24" s="1141" t="str">
        <f>IF(CONSOLIDA!CL5="","",CONSOLIDA!CL5)</f>
        <v/>
      </c>
      <c r="C24" s="1141"/>
      <c r="D24" s="1134" t="str">
        <f>IF(CONSOLIDA!CN5="","",CONSOLIDA!CN5)</f>
        <v/>
      </c>
      <c r="E24" s="1135"/>
      <c r="F24" s="1135"/>
      <c r="G24" s="1129" t="str">
        <f>IF(CONSOLIDA!CO5="","",CONSOLIDA!CO5)</f>
        <v/>
      </c>
      <c r="H24" s="1129"/>
      <c r="I24" s="1129"/>
      <c r="J24" s="1129"/>
      <c r="K24" s="1129"/>
      <c r="L24" s="1129"/>
      <c r="M24" s="1129"/>
      <c r="N24" s="1129"/>
      <c r="O24" s="1129"/>
      <c r="P24" s="1129"/>
      <c r="Q24" s="1129"/>
      <c r="R24" s="1129"/>
      <c r="S24" s="1129"/>
      <c r="T24" s="1129"/>
      <c r="U24" s="1129"/>
      <c r="V24" s="1129"/>
      <c r="W24" s="1129"/>
      <c r="X24" s="1129"/>
      <c r="Y24" s="1130"/>
      <c r="Z24" s="1139" t="str">
        <f>IF(CONSOLIDA!CP5="","",CONSOLIDA!CP5)</f>
        <v/>
      </c>
      <c r="AA24" s="1139"/>
      <c r="AB24" s="1139"/>
      <c r="AC24" s="1139"/>
      <c r="AD24" s="1139"/>
      <c r="AE24" s="1139"/>
      <c r="AF24" s="1139" t="str">
        <f>IF(CONSOLIDA!CQ5="","",CONSOLIDA!CQ5)</f>
        <v/>
      </c>
      <c r="AG24" s="1139"/>
      <c r="AH24" s="1139"/>
      <c r="AI24" s="1139"/>
      <c r="AJ24" s="1139"/>
      <c r="AK24" s="1139"/>
      <c r="AL24" s="1139" t="str">
        <f>IF(CONSOLIDA!CR5="","",CONSOLIDA!CR5)</f>
        <v/>
      </c>
      <c r="AM24" s="1139"/>
      <c r="AN24" s="1139"/>
      <c r="AO24" s="1139"/>
      <c r="AP24" s="1139"/>
      <c r="AQ24" s="1139"/>
      <c r="AR24" s="1139" t="str">
        <f>IF(CONSOLIDA!CS5="","",CONSOLIDA!CS5)</f>
        <v/>
      </c>
      <c r="AS24" s="1139"/>
      <c r="AT24" s="1139"/>
      <c r="AU24" s="1139"/>
      <c r="AV24" s="1139"/>
      <c r="AW24" s="1139"/>
      <c r="AX24" s="1140" t="str">
        <f>IF(CONSOLIDA!CT5="","",CONSOLIDA!CT5)</f>
        <v/>
      </c>
      <c r="AY24" s="1140"/>
      <c r="AZ24" s="1140"/>
      <c r="BA24" s="1140"/>
      <c r="BB24" s="1140"/>
      <c r="BC24" s="1140"/>
      <c r="BD24" s="1139" t="str">
        <f>IF(CONSOLIDA!CU5="","",CONSOLIDA!CU5)</f>
        <v/>
      </c>
      <c r="BE24" s="1139"/>
      <c r="BF24" s="1139"/>
      <c r="BG24" s="1139"/>
      <c r="BH24" s="1139"/>
      <c r="BI24" s="1139"/>
      <c r="BJ24" s="1139" t="str">
        <f>IF(CONSOLIDA!CV5="","",CONSOLIDA!CV5)</f>
        <v/>
      </c>
      <c r="BK24" s="1139"/>
      <c r="BL24" s="1139"/>
      <c r="BM24" s="1139"/>
      <c r="BN24" s="1139"/>
      <c r="BO24" s="1139"/>
      <c r="BP24" s="1139" t="str">
        <f>IF(CONSOLIDA!CW5="","",CONSOLIDA!CW5)</f>
        <v/>
      </c>
      <c r="BQ24" s="1139"/>
      <c r="BR24" s="1139"/>
      <c r="BS24" s="1139"/>
      <c r="BT24" s="1139"/>
      <c r="BU24" s="1139"/>
      <c r="BV24" s="1140" t="str">
        <f>IF(CONSOLIDA!CX5="","",CONSOLIDA!CX5)</f>
        <v/>
      </c>
      <c r="BW24" s="1140"/>
      <c r="BX24" s="1140"/>
      <c r="BY24" s="1140"/>
      <c r="BZ24" s="1140"/>
      <c r="CA24" s="1140"/>
      <c r="CB24" s="1139" t="str">
        <f>IF(CONSOLIDA!CY5="","",CONSOLIDA!CY5)</f>
        <v/>
      </c>
      <c r="CC24" s="1139"/>
      <c r="CD24" s="1139"/>
      <c r="CE24" s="1139"/>
      <c r="CF24" s="1139"/>
      <c r="CG24" s="1139"/>
      <c r="CH24" s="486"/>
      <c r="CI24" s="190" t="str">
        <f>IF(CONSOLIDA!CZ5="","",CONSOLIDA!CZ5)</f>
        <v/>
      </c>
      <c r="CJ24" s="190" t="str">
        <f>IF(CONSOLIDA!DA5="","",CONSOLIDA!DA5)</f>
        <v/>
      </c>
      <c r="CM24" s="104"/>
      <c r="CU24" s="3">
        <v>24</v>
      </c>
      <c r="CV24" s="3" t="s">
        <v>499</v>
      </c>
      <c r="CX24" s="3">
        <v>24</v>
      </c>
      <c r="CY24" s="3" t="s">
        <v>500</v>
      </c>
      <c r="DA24" s="3">
        <v>24</v>
      </c>
      <c r="DB24" s="3" t="s">
        <v>501</v>
      </c>
    </row>
    <row r="25" spans="1:106" s="3" customFormat="1" hidden="1">
      <c r="A25" s="243" t="str">
        <f t="shared" si="0"/>
        <v>OK</v>
      </c>
      <c r="B25" s="1141" t="str">
        <f>IF(CONSOLIDA!CL6="","",CONSOLIDA!CL6)</f>
        <v/>
      </c>
      <c r="C25" s="1141"/>
      <c r="D25" s="1134" t="str">
        <f>IF(CONSOLIDA!CN6="","",CONSOLIDA!CN6)</f>
        <v/>
      </c>
      <c r="E25" s="1135"/>
      <c r="F25" s="1135"/>
      <c r="G25" s="1129" t="str">
        <f>IF(CONSOLIDA!CO6="","",CONSOLIDA!CO6)</f>
        <v/>
      </c>
      <c r="H25" s="1129"/>
      <c r="I25" s="1129"/>
      <c r="J25" s="1129"/>
      <c r="K25" s="1129"/>
      <c r="L25" s="1129"/>
      <c r="M25" s="1129"/>
      <c r="N25" s="1129"/>
      <c r="O25" s="1129"/>
      <c r="P25" s="1129"/>
      <c r="Q25" s="1129"/>
      <c r="R25" s="1129"/>
      <c r="S25" s="1129"/>
      <c r="T25" s="1129"/>
      <c r="U25" s="1129"/>
      <c r="V25" s="1129"/>
      <c r="W25" s="1129"/>
      <c r="X25" s="1129"/>
      <c r="Y25" s="1130"/>
      <c r="Z25" s="1139" t="str">
        <f>IF(CONSOLIDA!CP6="","",CONSOLIDA!CP6)</f>
        <v/>
      </c>
      <c r="AA25" s="1139"/>
      <c r="AB25" s="1139"/>
      <c r="AC25" s="1139"/>
      <c r="AD25" s="1139"/>
      <c r="AE25" s="1139"/>
      <c r="AF25" s="1139" t="str">
        <f>IF(CONSOLIDA!CQ6="","",CONSOLIDA!CQ6)</f>
        <v/>
      </c>
      <c r="AG25" s="1139"/>
      <c r="AH25" s="1139"/>
      <c r="AI25" s="1139"/>
      <c r="AJ25" s="1139"/>
      <c r="AK25" s="1139"/>
      <c r="AL25" s="1139" t="str">
        <f>IF(CONSOLIDA!CR6="","",CONSOLIDA!CR6)</f>
        <v/>
      </c>
      <c r="AM25" s="1139"/>
      <c r="AN25" s="1139"/>
      <c r="AO25" s="1139"/>
      <c r="AP25" s="1139"/>
      <c r="AQ25" s="1139"/>
      <c r="AR25" s="1139" t="str">
        <f>IF(CONSOLIDA!CS6="","",CONSOLIDA!CS6)</f>
        <v/>
      </c>
      <c r="AS25" s="1139"/>
      <c r="AT25" s="1139"/>
      <c r="AU25" s="1139"/>
      <c r="AV25" s="1139"/>
      <c r="AW25" s="1139"/>
      <c r="AX25" s="1140" t="str">
        <f>IF(CONSOLIDA!CT6="","",CONSOLIDA!CT6)</f>
        <v/>
      </c>
      <c r="AY25" s="1140"/>
      <c r="AZ25" s="1140"/>
      <c r="BA25" s="1140"/>
      <c r="BB25" s="1140"/>
      <c r="BC25" s="1140"/>
      <c r="BD25" s="1139" t="str">
        <f>IF(CONSOLIDA!CU6="","",CONSOLIDA!CU6)</f>
        <v/>
      </c>
      <c r="BE25" s="1139"/>
      <c r="BF25" s="1139"/>
      <c r="BG25" s="1139"/>
      <c r="BH25" s="1139"/>
      <c r="BI25" s="1139"/>
      <c r="BJ25" s="1139" t="str">
        <f>IF(CONSOLIDA!CV6="","",CONSOLIDA!CV6)</f>
        <v/>
      </c>
      <c r="BK25" s="1139"/>
      <c r="BL25" s="1139"/>
      <c r="BM25" s="1139"/>
      <c r="BN25" s="1139"/>
      <c r="BO25" s="1139"/>
      <c r="BP25" s="1139" t="str">
        <f>IF(CONSOLIDA!CW6="","",CONSOLIDA!CW6)</f>
        <v/>
      </c>
      <c r="BQ25" s="1139"/>
      <c r="BR25" s="1139"/>
      <c r="BS25" s="1139"/>
      <c r="BT25" s="1139"/>
      <c r="BU25" s="1139"/>
      <c r="BV25" s="1140" t="str">
        <f>IF(CONSOLIDA!CX6="","",CONSOLIDA!CX6)</f>
        <v/>
      </c>
      <c r="BW25" s="1140"/>
      <c r="BX25" s="1140"/>
      <c r="BY25" s="1140"/>
      <c r="BZ25" s="1140"/>
      <c r="CA25" s="1140"/>
      <c r="CB25" s="1139" t="str">
        <f>IF(CONSOLIDA!CY6="","",CONSOLIDA!CY6)</f>
        <v/>
      </c>
      <c r="CC25" s="1139"/>
      <c r="CD25" s="1139"/>
      <c r="CE25" s="1139"/>
      <c r="CF25" s="1139"/>
      <c r="CG25" s="1139"/>
      <c r="CH25" s="486"/>
      <c r="CI25" s="190" t="str">
        <f>IF(CONSOLIDA!CZ6="","",CONSOLIDA!CZ6)</f>
        <v/>
      </c>
      <c r="CJ25" s="190" t="str">
        <f>IF(CONSOLIDA!DA6="","",CONSOLIDA!DA6)</f>
        <v/>
      </c>
      <c r="CM25" s="104"/>
      <c r="CU25" s="3">
        <v>25</v>
      </c>
      <c r="CV25" s="3" t="s">
        <v>502</v>
      </c>
      <c r="DA25" s="3">
        <v>25</v>
      </c>
      <c r="DB25" s="3" t="s">
        <v>503</v>
      </c>
    </row>
    <row r="26" spans="1:106" s="3" customFormat="1" hidden="1">
      <c r="A26" s="243" t="str">
        <f t="shared" si="0"/>
        <v>OK</v>
      </c>
      <c r="B26" s="1141" t="str">
        <f>IF(CONSOLIDA!CL7="","",CONSOLIDA!CL7)</f>
        <v/>
      </c>
      <c r="C26" s="1141"/>
      <c r="D26" s="1134" t="str">
        <f>IF(CONSOLIDA!CN7="","",CONSOLIDA!CN7)</f>
        <v/>
      </c>
      <c r="E26" s="1135"/>
      <c r="F26" s="1135"/>
      <c r="G26" s="1129" t="str">
        <f>IF(CONSOLIDA!CO7="","",CONSOLIDA!CO7)</f>
        <v/>
      </c>
      <c r="H26" s="1129"/>
      <c r="I26" s="1129"/>
      <c r="J26" s="1129"/>
      <c r="K26" s="1129"/>
      <c r="L26" s="1129"/>
      <c r="M26" s="1129"/>
      <c r="N26" s="1129"/>
      <c r="O26" s="1129"/>
      <c r="P26" s="1129"/>
      <c r="Q26" s="1129"/>
      <c r="R26" s="1129"/>
      <c r="S26" s="1129"/>
      <c r="T26" s="1129"/>
      <c r="U26" s="1129"/>
      <c r="V26" s="1129"/>
      <c r="W26" s="1129"/>
      <c r="X26" s="1129"/>
      <c r="Y26" s="1130"/>
      <c r="Z26" s="1139" t="str">
        <f>IF(CONSOLIDA!CP7="","",CONSOLIDA!CP7)</f>
        <v/>
      </c>
      <c r="AA26" s="1139"/>
      <c r="AB26" s="1139"/>
      <c r="AC26" s="1139"/>
      <c r="AD26" s="1139"/>
      <c r="AE26" s="1139"/>
      <c r="AF26" s="1139" t="str">
        <f>IF(CONSOLIDA!CQ7="","",CONSOLIDA!CQ7)</f>
        <v/>
      </c>
      <c r="AG26" s="1139"/>
      <c r="AH26" s="1139"/>
      <c r="AI26" s="1139"/>
      <c r="AJ26" s="1139"/>
      <c r="AK26" s="1139"/>
      <c r="AL26" s="1139" t="str">
        <f>IF(CONSOLIDA!CR7="","",CONSOLIDA!CR7)</f>
        <v/>
      </c>
      <c r="AM26" s="1139"/>
      <c r="AN26" s="1139"/>
      <c r="AO26" s="1139"/>
      <c r="AP26" s="1139"/>
      <c r="AQ26" s="1139"/>
      <c r="AR26" s="1139" t="str">
        <f>IF(CONSOLIDA!CS7="","",CONSOLIDA!CS7)</f>
        <v/>
      </c>
      <c r="AS26" s="1139"/>
      <c r="AT26" s="1139"/>
      <c r="AU26" s="1139"/>
      <c r="AV26" s="1139"/>
      <c r="AW26" s="1139"/>
      <c r="AX26" s="1140" t="str">
        <f>IF(CONSOLIDA!CT7="","",CONSOLIDA!CT7)</f>
        <v/>
      </c>
      <c r="AY26" s="1140"/>
      <c r="AZ26" s="1140"/>
      <c r="BA26" s="1140"/>
      <c r="BB26" s="1140"/>
      <c r="BC26" s="1140"/>
      <c r="BD26" s="1139" t="str">
        <f>IF(CONSOLIDA!CU7="","",CONSOLIDA!CU7)</f>
        <v/>
      </c>
      <c r="BE26" s="1139"/>
      <c r="BF26" s="1139"/>
      <c r="BG26" s="1139"/>
      <c r="BH26" s="1139"/>
      <c r="BI26" s="1139"/>
      <c r="BJ26" s="1139" t="str">
        <f>IF(CONSOLIDA!CV7="","",CONSOLIDA!CV7)</f>
        <v/>
      </c>
      <c r="BK26" s="1139"/>
      <c r="BL26" s="1139"/>
      <c r="BM26" s="1139"/>
      <c r="BN26" s="1139"/>
      <c r="BO26" s="1139"/>
      <c r="BP26" s="1139" t="str">
        <f>IF(CONSOLIDA!CW7="","",CONSOLIDA!CW7)</f>
        <v/>
      </c>
      <c r="BQ26" s="1139"/>
      <c r="BR26" s="1139"/>
      <c r="BS26" s="1139"/>
      <c r="BT26" s="1139"/>
      <c r="BU26" s="1139"/>
      <c r="BV26" s="1140" t="str">
        <f>IF(CONSOLIDA!CX7="","",CONSOLIDA!CX7)</f>
        <v/>
      </c>
      <c r="BW26" s="1140"/>
      <c r="BX26" s="1140"/>
      <c r="BY26" s="1140"/>
      <c r="BZ26" s="1140"/>
      <c r="CA26" s="1140"/>
      <c r="CB26" s="1139" t="str">
        <f>IF(CONSOLIDA!CY7="","",CONSOLIDA!CY7)</f>
        <v/>
      </c>
      <c r="CC26" s="1139"/>
      <c r="CD26" s="1139"/>
      <c r="CE26" s="1139"/>
      <c r="CF26" s="1139"/>
      <c r="CG26" s="1139"/>
      <c r="CH26" s="486"/>
      <c r="CI26" s="190" t="str">
        <f>IF(CONSOLIDA!CZ7="","",CONSOLIDA!CZ7)</f>
        <v/>
      </c>
      <c r="CJ26" s="190" t="str">
        <f>IF(CONSOLIDA!DA7="","",CONSOLIDA!DA7)</f>
        <v/>
      </c>
      <c r="CM26" s="104"/>
      <c r="CU26" s="3">
        <v>26</v>
      </c>
      <c r="CV26" s="3" t="s">
        <v>504</v>
      </c>
      <c r="DA26" s="3">
        <v>26</v>
      </c>
      <c r="DB26" s="3" t="s">
        <v>505</v>
      </c>
    </row>
    <row r="27" spans="1:106" s="3" customFormat="1" hidden="1">
      <c r="A27" s="243" t="str">
        <f t="shared" si="0"/>
        <v>OK</v>
      </c>
      <c r="B27" s="1141" t="str">
        <f>IF(CONSOLIDA!CL8="","",CONSOLIDA!CL8)</f>
        <v/>
      </c>
      <c r="C27" s="1141"/>
      <c r="D27" s="1134" t="str">
        <f>IF(CONSOLIDA!CN8="","",CONSOLIDA!CN8)</f>
        <v/>
      </c>
      <c r="E27" s="1135"/>
      <c r="F27" s="1135"/>
      <c r="G27" s="1129" t="str">
        <f>IF(CONSOLIDA!CO8="","",CONSOLIDA!CO8)</f>
        <v/>
      </c>
      <c r="H27" s="1129"/>
      <c r="I27" s="1129"/>
      <c r="J27" s="1129"/>
      <c r="K27" s="1129"/>
      <c r="L27" s="1129"/>
      <c r="M27" s="1129"/>
      <c r="N27" s="1129"/>
      <c r="O27" s="1129"/>
      <c r="P27" s="1129"/>
      <c r="Q27" s="1129"/>
      <c r="R27" s="1129"/>
      <c r="S27" s="1129"/>
      <c r="T27" s="1129"/>
      <c r="U27" s="1129"/>
      <c r="V27" s="1129"/>
      <c r="W27" s="1129"/>
      <c r="X27" s="1129"/>
      <c r="Y27" s="1130"/>
      <c r="Z27" s="1139" t="str">
        <f>IF(CONSOLIDA!CP8="","",CONSOLIDA!CP8)</f>
        <v/>
      </c>
      <c r="AA27" s="1139"/>
      <c r="AB27" s="1139"/>
      <c r="AC27" s="1139"/>
      <c r="AD27" s="1139"/>
      <c r="AE27" s="1139"/>
      <c r="AF27" s="1139" t="str">
        <f>IF(CONSOLIDA!CQ8="","",CONSOLIDA!CQ8)</f>
        <v/>
      </c>
      <c r="AG27" s="1139"/>
      <c r="AH27" s="1139"/>
      <c r="AI27" s="1139"/>
      <c r="AJ27" s="1139"/>
      <c r="AK27" s="1139"/>
      <c r="AL27" s="1139" t="str">
        <f>IF(CONSOLIDA!CR8="","",CONSOLIDA!CR8)</f>
        <v/>
      </c>
      <c r="AM27" s="1139"/>
      <c r="AN27" s="1139"/>
      <c r="AO27" s="1139"/>
      <c r="AP27" s="1139"/>
      <c r="AQ27" s="1139"/>
      <c r="AR27" s="1139" t="str">
        <f>IF(CONSOLIDA!CS8="","",CONSOLIDA!CS8)</f>
        <v/>
      </c>
      <c r="AS27" s="1139"/>
      <c r="AT27" s="1139"/>
      <c r="AU27" s="1139"/>
      <c r="AV27" s="1139"/>
      <c r="AW27" s="1139"/>
      <c r="AX27" s="1140" t="str">
        <f>IF(CONSOLIDA!CT8="","",CONSOLIDA!CT8)</f>
        <v/>
      </c>
      <c r="AY27" s="1140"/>
      <c r="AZ27" s="1140"/>
      <c r="BA27" s="1140"/>
      <c r="BB27" s="1140"/>
      <c r="BC27" s="1140"/>
      <c r="BD27" s="1139" t="str">
        <f>IF(CONSOLIDA!CU8="","",CONSOLIDA!CU8)</f>
        <v/>
      </c>
      <c r="BE27" s="1139"/>
      <c r="BF27" s="1139"/>
      <c r="BG27" s="1139"/>
      <c r="BH27" s="1139"/>
      <c r="BI27" s="1139"/>
      <c r="BJ27" s="1139" t="str">
        <f>IF(CONSOLIDA!CV8="","",CONSOLIDA!CV8)</f>
        <v/>
      </c>
      <c r="BK27" s="1139"/>
      <c r="BL27" s="1139"/>
      <c r="BM27" s="1139"/>
      <c r="BN27" s="1139"/>
      <c r="BO27" s="1139"/>
      <c r="BP27" s="1139" t="str">
        <f>IF(CONSOLIDA!CW8="","",CONSOLIDA!CW8)</f>
        <v/>
      </c>
      <c r="BQ27" s="1139"/>
      <c r="BR27" s="1139"/>
      <c r="BS27" s="1139"/>
      <c r="BT27" s="1139"/>
      <c r="BU27" s="1139"/>
      <c r="BV27" s="1140" t="str">
        <f>IF(CONSOLIDA!CX8="","",CONSOLIDA!CX8)</f>
        <v/>
      </c>
      <c r="BW27" s="1140"/>
      <c r="BX27" s="1140"/>
      <c r="BY27" s="1140"/>
      <c r="BZ27" s="1140"/>
      <c r="CA27" s="1140"/>
      <c r="CB27" s="1139" t="str">
        <f>IF(CONSOLIDA!CY8="","",CONSOLIDA!CY8)</f>
        <v/>
      </c>
      <c r="CC27" s="1139"/>
      <c r="CD27" s="1139"/>
      <c r="CE27" s="1139"/>
      <c r="CF27" s="1139"/>
      <c r="CG27" s="1139"/>
      <c r="CH27" s="486"/>
      <c r="CI27" s="190" t="str">
        <f>IF(CONSOLIDA!CZ8="","",CONSOLIDA!CZ8)</f>
        <v/>
      </c>
      <c r="CJ27" s="190" t="str">
        <f>IF(CONSOLIDA!DA8="","",CONSOLIDA!DA8)</f>
        <v/>
      </c>
      <c r="CU27" s="3">
        <v>27</v>
      </c>
      <c r="CV27" s="3" t="s">
        <v>506</v>
      </c>
      <c r="DA27" s="3">
        <v>27</v>
      </c>
      <c r="DB27" s="3" t="s">
        <v>507</v>
      </c>
    </row>
    <row r="28" spans="1:106" s="3" customFormat="1" hidden="1">
      <c r="A28" s="243" t="str">
        <f t="shared" si="0"/>
        <v>OK</v>
      </c>
      <c r="B28" s="1141" t="str">
        <f>IF(CONSOLIDA!CL9="","",CONSOLIDA!CL9)</f>
        <v/>
      </c>
      <c r="C28" s="1141"/>
      <c r="D28" s="1134" t="str">
        <f>IF(CONSOLIDA!CN9="","",CONSOLIDA!CN9)</f>
        <v/>
      </c>
      <c r="E28" s="1135"/>
      <c r="F28" s="1135"/>
      <c r="G28" s="1129" t="str">
        <f>IF(CONSOLIDA!CO9="","",CONSOLIDA!CO9)</f>
        <v/>
      </c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29"/>
      <c r="V28" s="1129"/>
      <c r="W28" s="1129"/>
      <c r="X28" s="1129"/>
      <c r="Y28" s="1130"/>
      <c r="Z28" s="1139" t="str">
        <f>IF(CONSOLIDA!CP9="","",CONSOLIDA!CP9)</f>
        <v/>
      </c>
      <c r="AA28" s="1139"/>
      <c r="AB28" s="1139"/>
      <c r="AC28" s="1139"/>
      <c r="AD28" s="1139"/>
      <c r="AE28" s="1139"/>
      <c r="AF28" s="1139" t="str">
        <f>IF(CONSOLIDA!CQ9="","",CONSOLIDA!CQ9)</f>
        <v/>
      </c>
      <c r="AG28" s="1139"/>
      <c r="AH28" s="1139"/>
      <c r="AI28" s="1139"/>
      <c r="AJ28" s="1139"/>
      <c r="AK28" s="1139"/>
      <c r="AL28" s="1139" t="str">
        <f>IF(CONSOLIDA!CR9="","",CONSOLIDA!CR9)</f>
        <v/>
      </c>
      <c r="AM28" s="1139"/>
      <c r="AN28" s="1139"/>
      <c r="AO28" s="1139"/>
      <c r="AP28" s="1139"/>
      <c r="AQ28" s="1139"/>
      <c r="AR28" s="1139" t="str">
        <f>IF(CONSOLIDA!CS9="","",CONSOLIDA!CS9)</f>
        <v/>
      </c>
      <c r="AS28" s="1139"/>
      <c r="AT28" s="1139"/>
      <c r="AU28" s="1139"/>
      <c r="AV28" s="1139"/>
      <c r="AW28" s="1139"/>
      <c r="AX28" s="1140" t="str">
        <f>IF(CONSOLIDA!CT9="","",CONSOLIDA!CT9)</f>
        <v/>
      </c>
      <c r="AY28" s="1140"/>
      <c r="AZ28" s="1140"/>
      <c r="BA28" s="1140"/>
      <c r="BB28" s="1140"/>
      <c r="BC28" s="1140"/>
      <c r="BD28" s="1139" t="str">
        <f>IF(CONSOLIDA!CU9="","",CONSOLIDA!CU9)</f>
        <v/>
      </c>
      <c r="BE28" s="1139"/>
      <c r="BF28" s="1139"/>
      <c r="BG28" s="1139"/>
      <c r="BH28" s="1139"/>
      <c r="BI28" s="1139"/>
      <c r="BJ28" s="1139" t="str">
        <f>IF(CONSOLIDA!CV9="","",CONSOLIDA!CV9)</f>
        <v/>
      </c>
      <c r="BK28" s="1139"/>
      <c r="BL28" s="1139"/>
      <c r="BM28" s="1139"/>
      <c r="BN28" s="1139"/>
      <c r="BO28" s="1139"/>
      <c r="BP28" s="1139" t="str">
        <f>IF(CONSOLIDA!CW9="","",CONSOLIDA!CW9)</f>
        <v/>
      </c>
      <c r="BQ28" s="1139"/>
      <c r="BR28" s="1139"/>
      <c r="BS28" s="1139"/>
      <c r="BT28" s="1139"/>
      <c r="BU28" s="1139"/>
      <c r="BV28" s="1140" t="str">
        <f>IF(CONSOLIDA!CX9="","",CONSOLIDA!CX9)</f>
        <v/>
      </c>
      <c r="BW28" s="1140"/>
      <c r="BX28" s="1140"/>
      <c r="BY28" s="1140"/>
      <c r="BZ28" s="1140"/>
      <c r="CA28" s="1140"/>
      <c r="CB28" s="1139" t="str">
        <f>IF(CONSOLIDA!CY9="","",CONSOLIDA!CY9)</f>
        <v/>
      </c>
      <c r="CC28" s="1139"/>
      <c r="CD28" s="1139"/>
      <c r="CE28" s="1139"/>
      <c r="CF28" s="1139"/>
      <c r="CG28" s="1139"/>
      <c r="CH28" s="486"/>
      <c r="CI28" s="190" t="str">
        <f>IF(CONSOLIDA!CZ9="","",CONSOLIDA!CZ9)</f>
        <v/>
      </c>
      <c r="CJ28" s="190" t="str">
        <f>IF(CONSOLIDA!DA9="","",CONSOLIDA!DA9)</f>
        <v/>
      </c>
      <c r="CU28" s="3">
        <v>28</v>
      </c>
      <c r="CV28" s="3" t="s">
        <v>508</v>
      </c>
      <c r="DA28" s="3">
        <v>28</v>
      </c>
      <c r="DB28" s="3" t="s">
        <v>509</v>
      </c>
    </row>
    <row r="29" spans="1:106" s="3" customFormat="1" hidden="1">
      <c r="A29" s="243" t="str">
        <f t="shared" si="0"/>
        <v>OK</v>
      </c>
      <c r="B29" s="1141" t="str">
        <f>IF(CONSOLIDA!CL10="","",CONSOLIDA!CL10)</f>
        <v/>
      </c>
      <c r="C29" s="1141"/>
      <c r="D29" s="1134" t="str">
        <f>IF(CONSOLIDA!CN10="","",CONSOLIDA!CN10)</f>
        <v/>
      </c>
      <c r="E29" s="1135"/>
      <c r="F29" s="1135"/>
      <c r="G29" s="1129" t="str">
        <f>IF(CONSOLIDA!CO10="","",CONSOLIDA!CO10)</f>
        <v/>
      </c>
      <c r="H29" s="1129"/>
      <c r="I29" s="1129"/>
      <c r="J29" s="1129"/>
      <c r="K29" s="1129"/>
      <c r="L29" s="1129"/>
      <c r="M29" s="1129"/>
      <c r="N29" s="1129"/>
      <c r="O29" s="1129"/>
      <c r="P29" s="1129"/>
      <c r="Q29" s="1129"/>
      <c r="R29" s="1129"/>
      <c r="S29" s="1129"/>
      <c r="T29" s="1129"/>
      <c r="U29" s="1129"/>
      <c r="V29" s="1129"/>
      <c r="W29" s="1129"/>
      <c r="X29" s="1129"/>
      <c r="Y29" s="1130"/>
      <c r="Z29" s="1139" t="str">
        <f>IF(CONSOLIDA!CP10="","",CONSOLIDA!CP10)</f>
        <v/>
      </c>
      <c r="AA29" s="1139"/>
      <c r="AB29" s="1139"/>
      <c r="AC29" s="1139"/>
      <c r="AD29" s="1139"/>
      <c r="AE29" s="1139"/>
      <c r="AF29" s="1139" t="str">
        <f>IF(CONSOLIDA!CQ10="","",CONSOLIDA!CQ10)</f>
        <v/>
      </c>
      <c r="AG29" s="1139"/>
      <c r="AH29" s="1139"/>
      <c r="AI29" s="1139"/>
      <c r="AJ29" s="1139"/>
      <c r="AK29" s="1139"/>
      <c r="AL29" s="1139" t="str">
        <f>IF(CONSOLIDA!CR10="","",CONSOLIDA!CR10)</f>
        <v/>
      </c>
      <c r="AM29" s="1139"/>
      <c r="AN29" s="1139"/>
      <c r="AO29" s="1139"/>
      <c r="AP29" s="1139"/>
      <c r="AQ29" s="1139"/>
      <c r="AR29" s="1139" t="str">
        <f>IF(CONSOLIDA!CS10="","",CONSOLIDA!CS10)</f>
        <v/>
      </c>
      <c r="AS29" s="1139"/>
      <c r="AT29" s="1139"/>
      <c r="AU29" s="1139"/>
      <c r="AV29" s="1139"/>
      <c r="AW29" s="1139"/>
      <c r="AX29" s="1140" t="str">
        <f>IF(CONSOLIDA!CT10="","",CONSOLIDA!CT10)</f>
        <v/>
      </c>
      <c r="AY29" s="1140"/>
      <c r="AZ29" s="1140"/>
      <c r="BA29" s="1140"/>
      <c r="BB29" s="1140"/>
      <c r="BC29" s="1140"/>
      <c r="BD29" s="1139" t="str">
        <f>IF(CONSOLIDA!CU10="","",CONSOLIDA!CU10)</f>
        <v/>
      </c>
      <c r="BE29" s="1139"/>
      <c r="BF29" s="1139"/>
      <c r="BG29" s="1139"/>
      <c r="BH29" s="1139"/>
      <c r="BI29" s="1139"/>
      <c r="BJ29" s="1139" t="str">
        <f>IF(CONSOLIDA!CV10="","",CONSOLIDA!CV10)</f>
        <v/>
      </c>
      <c r="BK29" s="1139"/>
      <c r="BL29" s="1139"/>
      <c r="BM29" s="1139"/>
      <c r="BN29" s="1139"/>
      <c r="BO29" s="1139"/>
      <c r="BP29" s="1139" t="str">
        <f>IF(CONSOLIDA!CW10="","",CONSOLIDA!CW10)</f>
        <v/>
      </c>
      <c r="BQ29" s="1139"/>
      <c r="BR29" s="1139"/>
      <c r="BS29" s="1139"/>
      <c r="BT29" s="1139"/>
      <c r="BU29" s="1139"/>
      <c r="BV29" s="1140" t="str">
        <f>IF(CONSOLIDA!CX10="","",CONSOLIDA!CX10)</f>
        <v/>
      </c>
      <c r="BW29" s="1140"/>
      <c r="BX29" s="1140"/>
      <c r="BY29" s="1140"/>
      <c r="BZ29" s="1140"/>
      <c r="CA29" s="1140"/>
      <c r="CB29" s="1139" t="str">
        <f>IF(CONSOLIDA!CY10="","",CONSOLIDA!CY10)</f>
        <v/>
      </c>
      <c r="CC29" s="1139"/>
      <c r="CD29" s="1139"/>
      <c r="CE29" s="1139"/>
      <c r="CF29" s="1139"/>
      <c r="CG29" s="1139"/>
      <c r="CH29" s="486"/>
      <c r="CI29" s="190" t="str">
        <f>IF(CONSOLIDA!CZ10="","",CONSOLIDA!CZ10)</f>
        <v/>
      </c>
      <c r="CJ29" s="190" t="str">
        <f>IF(CONSOLIDA!DA10="","",CONSOLIDA!DA10)</f>
        <v/>
      </c>
      <c r="CU29" s="3">
        <v>29</v>
      </c>
      <c r="CV29" s="3" t="s">
        <v>510</v>
      </c>
      <c r="DA29" s="3">
        <v>29</v>
      </c>
      <c r="DB29" s="3" t="s">
        <v>511</v>
      </c>
    </row>
    <row r="30" spans="1:106" s="3" customFormat="1" hidden="1">
      <c r="A30" s="243" t="str">
        <f t="shared" si="0"/>
        <v>OK</v>
      </c>
      <c r="B30" s="1141" t="str">
        <f>IF(CONSOLIDA!CL11="","",CONSOLIDA!CL11)</f>
        <v/>
      </c>
      <c r="C30" s="1141"/>
      <c r="D30" s="1134" t="str">
        <f>IF(CONSOLIDA!CN11="","",CONSOLIDA!CN11)</f>
        <v/>
      </c>
      <c r="E30" s="1135"/>
      <c r="F30" s="1135"/>
      <c r="G30" s="1129" t="str">
        <f>IF(CONSOLIDA!CO11="","",CONSOLIDA!CO11)</f>
        <v/>
      </c>
      <c r="H30" s="1129"/>
      <c r="I30" s="1129"/>
      <c r="J30" s="1129"/>
      <c r="K30" s="1129"/>
      <c r="L30" s="1129"/>
      <c r="M30" s="1129"/>
      <c r="N30" s="1129"/>
      <c r="O30" s="1129"/>
      <c r="P30" s="1129"/>
      <c r="Q30" s="1129"/>
      <c r="R30" s="1129"/>
      <c r="S30" s="1129"/>
      <c r="T30" s="1129"/>
      <c r="U30" s="1129"/>
      <c r="V30" s="1129"/>
      <c r="W30" s="1129"/>
      <c r="X30" s="1129"/>
      <c r="Y30" s="1130"/>
      <c r="Z30" s="1139" t="str">
        <f>IF(CONSOLIDA!CP11="","",CONSOLIDA!CP11)</f>
        <v/>
      </c>
      <c r="AA30" s="1139"/>
      <c r="AB30" s="1139"/>
      <c r="AC30" s="1139"/>
      <c r="AD30" s="1139"/>
      <c r="AE30" s="1139"/>
      <c r="AF30" s="1139" t="str">
        <f>IF(CONSOLIDA!CQ11="","",CONSOLIDA!CQ11)</f>
        <v/>
      </c>
      <c r="AG30" s="1139"/>
      <c r="AH30" s="1139"/>
      <c r="AI30" s="1139"/>
      <c r="AJ30" s="1139"/>
      <c r="AK30" s="1139"/>
      <c r="AL30" s="1139" t="str">
        <f>IF(CONSOLIDA!CR11="","",CONSOLIDA!CR11)</f>
        <v/>
      </c>
      <c r="AM30" s="1139"/>
      <c r="AN30" s="1139"/>
      <c r="AO30" s="1139"/>
      <c r="AP30" s="1139"/>
      <c r="AQ30" s="1139"/>
      <c r="AR30" s="1139" t="str">
        <f>IF(CONSOLIDA!CS11="","",CONSOLIDA!CS11)</f>
        <v/>
      </c>
      <c r="AS30" s="1139"/>
      <c r="AT30" s="1139"/>
      <c r="AU30" s="1139"/>
      <c r="AV30" s="1139"/>
      <c r="AW30" s="1139"/>
      <c r="AX30" s="1140" t="str">
        <f>IF(CONSOLIDA!CT11="","",CONSOLIDA!CT11)</f>
        <v/>
      </c>
      <c r="AY30" s="1140"/>
      <c r="AZ30" s="1140"/>
      <c r="BA30" s="1140"/>
      <c r="BB30" s="1140"/>
      <c r="BC30" s="1140"/>
      <c r="BD30" s="1139" t="str">
        <f>IF(CONSOLIDA!CU11="","",CONSOLIDA!CU11)</f>
        <v/>
      </c>
      <c r="BE30" s="1139"/>
      <c r="BF30" s="1139"/>
      <c r="BG30" s="1139"/>
      <c r="BH30" s="1139"/>
      <c r="BI30" s="1139"/>
      <c r="BJ30" s="1139" t="str">
        <f>IF(CONSOLIDA!CV11="","",CONSOLIDA!CV11)</f>
        <v/>
      </c>
      <c r="BK30" s="1139"/>
      <c r="BL30" s="1139"/>
      <c r="BM30" s="1139"/>
      <c r="BN30" s="1139"/>
      <c r="BO30" s="1139"/>
      <c r="BP30" s="1139" t="str">
        <f>IF(CONSOLIDA!CW11="","",CONSOLIDA!CW11)</f>
        <v/>
      </c>
      <c r="BQ30" s="1139"/>
      <c r="BR30" s="1139"/>
      <c r="BS30" s="1139"/>
      <c r="BT30" s="1139"/>
      <c r="BU30" s="1139"/>
      <c r="BV30" s="1140" t="str">
        <f>IF(CONSOLIDA!CX11="","",CONSOLIDA!CX11)</f>
        <v/>
      </c>
      <c r="BW30" s="1140"/>
      <c r="BX30" s="1140"/>
      <c r="BY30" s="1140"/>
      <c r="BZ30" s="1140"/>
      <c r="CA30" s="1140"/>
      <c r="CB30" s="1139" t="str">
        <f>IF(CONSOLIDA!CY11="","",CONSOLIDA!CY11)</f>
        <v/>
      </c>
      <c r="CC30" s="1139"/>
      <c r="CD30" s="1139"/>
      <c r="CE30" s="1139"/>
      <c r="CF30" s="1139"/>
      <c r="CG30" s="1139"/>
      <c r="CH30" s="486"/>
      <c r="CI30" s="190" t="str">
        <f>IF(CONSOLIDA!CZ11="","",CONSOLIDA!CZ11)</f>
        <v/>
      </c>
      <c r="CJ30" s="190" t="str">
        <f>IF(CONSOLIDA!DA11="","",CONSOLIDA!DA11)</f>
        <v/>
      </c>
      <c r="CU30" s="3">
        <v>30</v>
      </c>
      <c r="CV30" s="3" t="s">
        <v>512</v>
      </c>
      <c r="DA30" s="3">
        <v>30</v>
      </c>
      <c r="DB30" s="3" t="s">
        <v>513</v>
      </c>
    </row>
    <row r="31" spans="1:106" s="3" customFormat="1" hidden="1">
      <c r="A31" s="243" t="str">
        <f t="shared" si="0"/>
        <v>OK</v>
      </c>
      <c r="B31" s="1141" t="str">
        <f>IF(CONSOLIDA!CL12="","",CONSOLIDA!CL12)</f>
        <v/>
      </c>
      <c r="C31" s="1141"/>
      <c r="D31" s="1134" t="str">
        <f>IF(CONSOLIDA!CN12="","",CONSOLIDA!CN12)</f>
        <v/>
      </c>
      <c r="E31" s="1135"/>
      <c r="F31" s="1135"/>
      <c r="G31" s="1129" t="str">
        <f>IF(CONSOLIDA!CO12="","",CONSOLIDA!CO12)</f>
        <v/>
      </c>
      <c r="H31" s="1129"/>
      <c r="I31" s="1129"/>
      <c r="J31" s="1129"/>
      <c r="K31" s="1129"/>
      <c r="L31" s="1129"/>
      <c r="M31" s="1129"/>
      <c r="N31" s="1129"/>
      <c r="O31" s="1129"/>
      <c r="P31" s="1129"/>
      <c r="Q31" s="1129"/>
      <c r="R31" s="1129"/>
      <c r="S31" s="1129"/>
      <c r="T31" s="1129"/>
      <c r="U31" s="1129"/>
      <c r="V31" s="1129"/>
      <c r="W31" s="1129"/>
      <c r="X31" s="1129"/>
      <c r="Y31" s="1130"/>
      <c r="Z31" s="1139" t="str">
        <f>IF(CONSOLIDA!CP12="","",CONSOLIDA!CP12)</f>
        <v/>
      </c>
      <c r="AA31" s="1139"/>
      <c r="AB31" s="1139"/>
      <c r="AC31" s="1139"/>
      <c r="AD31" s="1139"/>
      <c r="AE31" s="1139"/>
      <c r="AF31" s="1139" t="str">
        <f>IF(CONSOLIDA!CQ12="","",CONSOLIDA!CQ12)</f>
        <v/>
      </c>
      <c r="AG31" s="1139"/>
      <c r="AH31" s="1139"/>
      <c r="AI31" s="1139"/>
      <c r="AJ31" s="1139"/>
      <c r="AK31" s="1139"/>
      <c r="AL31" s="1139" t="str">
        <f>IF(CONSOLIDA!CR12="","",CONSOLIDA!CR12)</f>
        <v/>
      </c>
      <c r="AM31" s="1139"/>
      <c r="AN31" s="1139"/>
      <c r="AO31" s="1139"/>
      <c r="AP31" s="1139"/>
      <c r="AQ31" s="1139"/>
      <c r="AR31" s="1139" t="str">
        <f>IF(CONSOLIDA!CS12="","",CONSOLIDA!CS12)</f>
        <v/>
      </c>
      <c r="AS31" s="1139"/>
      <c r="AT31" s="1139"/>
      <c r="AU31" s="1139"/>
      <c r="AV31" s="1139"/>
      <c r="AW31" s="1139"/>
      <c r="AX31" s="1140" t="str">
        <f>IF(CONSOLIDA!CT12="","",CONSOLIDA!CT12)</f>
        <v/>
      </c>
      <c r="AY31" s="1140"/>
      <c r="AZ31" s="1140"/>
      <c r="BA31" s="1140"/>
      <c r="BB31" s="1140"/>
      <c r="BC31" s="1140"/>
      <c r="BD31" s="1139" t="str">
        <f>IF(CONSOLIDA!CU12="","",CONSOLIDA!CU12)</f>
        <v/>
      </c>
      <c r="BE31" s="1139"/>
      <c r="BF31" s="1139"/>
      <c r="BG31" s="1139"/>
      <c r="BH31" s="1139"/>
      <c r="BI31" s="1139"/>
      <c r="BJ31" s="1139" t="str">
        <f>IF(CONSOLIDA!CV12="","",CONSOLIDA!CV12)</f>
        <v/>
      </c>
      <c r="BK31" s="1139"/>
      <c r="BL31" s="1139"/>
      <c r="BM31" s="1139"/>
      <c r="BN31" s="1139"/>
      <c r="BO31" s="1139"/>
      <c r="BP31" s="1139" t="str">
        <f>IF(CONSOLIDA!CW12="","",CONSOLIDA!CW12)</f>
        <v/>
      </c>
      <c r="BQ31" s="1139"/>
      <c r="BR31" s="1139"/>
      <c r="BS31" s="1139"/>
      <c r="BT31" s="1139"/>
      <c r="BU31" s="1139"/>
      <c r="BV31" s="1140" t="str">
        <f>IF(CONSOLIDA!CX12="","",CONSOLIDA!CX12)</f>
        <v/>
      </c>
      <c r="BW31" s="1140"/>
      <c r="BX31" s="1140"/>
      <c r="BY31" s="1140"/>
      <c r="BZ31" s="1140"/>
      <c r="CA31" s="1140"/>
      <c r="CB31" s="1139" t="str">
        <f>IF(CONSOLIDA!CY12="","",CONSOLIDA!CY12)</f>
        <v/>
      </c>
      <c r="CC31" s="1139"/>
      <c r="CD31" s="1139"/>
      <c r="CE31" s="1139"/>
      <c r="CF31" s="1139"/>
      <c r="CG31" s="1139"/>
      <c r="CH31" s="486"/>
      <c r="CI31" s="190" t="str">
        <f>IF(CONSOLIDA!CZ12="","",CONSOLIDA!CZ12)</f>
        <v/>
      </c>
      <c r="CJ31" s="190" t="str">
        <f>IF(CONSOLIDA!DA12="","",CONSOLIDA!DA12)</f>
        <v/>
      </c>
      <c r="CU31" s="3">
        <v>31</v>
      </c>
      <c r="CV31" s="3" t="s">
        <v>514</v>
      </c>
      <c r="DA31" s="3">
        <v>31</v>
      </c>
      <c r="DB31" s="3" t="s">
        <v>515</v>
      </c>
    </row>
    <row r="32" spans="1:106" s="3" customFormat="1" hidden="1">
      <c r="A32" s="243" t="str">
        <f t="shared" si="0"/>
        <v>OK</v>
      </c>
      <c r="B32" s="1141" t="str">
        <f>IF(CONSOLIDA!CL13="","",CONSOLIDA!CL13)</f>
        <v/>
      </c>
      <c r="C32" s="1141"/>
      <c r="D32" s="1134" t="str">
        <f>IF(CONSOLIDA!CN13="","",CONSOLIDA!CN13)</f>
        <v/>
      </c>
      <c r="E32" s="1135"/>
      <c r="F32" s="1135"/>
      <c r="G32" s="1129" t="str">
        <f>IF(CONSOLIDA!CO13="","",CONSOLIDA!CO13)</f>
        <v/>
      </c>
      <c r="H32" s="1129"/>
      <c r="I32" s="1129"/>
      <c r="J32" s="1129"/>
      <c r="K32" s="1129"/>
      <c r="L32" s="1129"/>
      <c r="M32" s="1129"/>
      <c r="N32" s="1129"/>
      <c r="O32" s="1129"/>
      <c r="P32" s="1129"/>
      <c r="Q32" s="1129"/>
      <c r="R32" s="1129"/>
      <c r="S32" s="1129"/>
      <c r="T32" s="1129"/>
      <c r="U32" s="1129"/>
      <c r="V32" s="1129"/>
      <c r="W32" s="1129"/>
      <c r="X32" s="1129"/>
      <c r="Y32" s="1130"/>
      <c r="Z32" s="1139" t="str">
        <f>IF(CONSOLIDA!CP13="","",CONSOLIDA!CP13)</f>
        <v/>
      </c>
      <c r="AA32" s="1139"/>
      <c r="AB32" s="1139"/>
      <c r="AC32" s="1139"/>
      <c r="AD32" s="1139"/>
      <c r="AE32" s="1139"/>
      <c r="AF32" s="1139" t="str">
        <f>IF(CONSOLIDA!CQ13="","",CONSOLIDA!CQ13)</f>
        <v/>
      </c>
      <c r="AG32" s="1139"/>
      <c r="AH32" s="1139"/>
      <c r="AI32" s="1139"/>
      <c r="AJ32" s="1139"/>
      <c r="AK32" s="1139"/>
      <c r="AL32" s="1139" t="str">
        <f>IF(CONSOLIDA!CR13="","",CONSOLIDA!CR13)</f>
        <v/>
      </c>
      <c r="AM32" s="1139"/>
      <c r="AN32" s="1139"/>
      <c r="AO32" s="1139"/>
      <c r="AP32" s="1139"/>
      <c r="AQ32" s="1139"/>
      <c r="AR32" s="1139" t="str">
        <f>IF(CONSOLIDA!CS13="","",CONSOLIDA!CS13)</f>
        <v/>
      </c>
      <c r="AS32" s="1139"/>
      <c r="AT32" s="1139"/>
      <c r="AU32" s="1139"/>
      <c r="AV32" s="1139"/>
      <c r="AW32" s="1139"/>
      <c r="AX32" s="1140" t="str">
        <f>IF(CONSOLIDA!CT13="","",CONSOLIDA!CT13)</f>
        <v/>
      </c>
      <c r="AY32" s="1140"/>
      <c r="AZ32" s="1140"/>
      <c r="BA32" s="1140"/>
      <c r="BB32" s="1140"/>
      <c r="BC32" s="1140"/>
      <c r="BD32" s="1139" t="str">
        <f>IF(CONSOLIDA!CU13="","",CONSOLIDA!CU13)</f>
        <v/>
      </c>
      <c r="BE32" s="1139"/>
      <c r="BF32" s="1139"/>
      <c r="BG32" s="1139"/>
      <c r="BH32" s="1139"/>
      <c r="BI32" s="1139"/>
      <c r="BJ32" s="1139" t="str">
        <f>IF(CONSOLIDA!CV13="","",CONSOLIDA!CV13)</f>
        <v/>
      </c>
      <c r="BK32" s="1139"/>
      <c r="BL32" s="1139"/>
      <c r="BM32" s="1139"/>
      <c r="BN32" s="1139"/>
      <c r="BO32" s="1139"/>
      <c r="BP32" s="1139" t="str">
        <f>IF(CONSOLIDA!CW13="","",CONSOLIDA!CW13)</f>
        <v/>
      </c>
      <c r="BQ32" s="1139"/>
      <c r="BR32" s="1139"/>
      <c r="BS32" s="1139"/>
      <c r="BT32" s="1139"/>
      <c r="BU32" s="1139"/>
      <c r="BV32" s="1140" t="str">
        <f>IF(CONSOLIDA!CX13="","",CONSOLIDA!CX13)</f>
        <v/>
      </c>
      <c r="BW32" s="1140"/>
      <c r="BX32" s="1140"/>
      <c r="BY32" s="1140"/>
      <c r="BZ32" s="1140"/>
      <c r="CA32" s="1140"/>
      <c r="CB32" s="1139" t="str">
        <f>IF(CONSOLIDA!CY13="","",CONSOLIDA!CY13)</f>
        <v/>
      </c>
      <c r="CC32" s="1139"/>
      <c r="CD32" s="1139"/>
      <c r="CE32" s="1139"/>
      <c r="CF32" s="1139"/>
      <c r="CG32" s="1139"/>
      <c r="CH32" s="486"/>
      <c r="CI32" s="190" t="str">
        <f>IF(CONSOLIDA!CZ13="","",CONSOLIDA!CZ13)</f>
        <v/>
      </c>
      <c r="CJ32" s="190" t="str">
        <f>IF(CONSOLIDA!DA13="","",CONSOLIDA!DA13)</f>
        <v/>
      </c>
      <c r="DA32" s="3">
        <v>32</v>
      </c>
      <c r="DB32" s="3" t="s">
        <v>516</v>
      </c>
    </row>
    <row r="33" spans="1:106" s="3" customFormat="1" hidden="1">
      <c r="A33" s="243" t="str">
        <f t="shared" si="0"/>
        <v>OK</v>
      </c>
      <c r="B33" s="1141" t="str">
        <f>IF(CONSOLIDA!CL14="","",CONSOLIDA!CL14)</f>
        <v/>
      </c>
      <c r="C33" s="1141"/>
      <c r="D33" s="1134" t="str">
        <f>IF(CONSOLIDA!CN14="","",CONSOLIDA!CN14)</f>
        <v/>
      </c>
      <c r="E33" s="1135"/>
      <c r="F33" s="1135"/>
      <c r="G33" s="1129" t="str">
        <f>IF(CONSOLIDA!CO14="","",CONSOLIDA!CO14)</f>
        <v/>
      </c>
      <c r="H33" s="1129"/>
      <c r="I33" s="1129"/>
      <c r="J33" s="1129"/>
      <c r="K33" s="1129"/>
      <c r="L33" s="1129"/>
      <c r="M33" s="1129"/>
      <c r="N33" s="1129"/>
      <c r="O33" s="1129"/>
      <c r="P33" s="1129"/>
      <c r="Q33" s="1129"/>
      <c r="R33" s="1129"/>
      <c r="S33" s="1129"/>
      <c r="T33" s="1129"/>
      <c r="U33" s="1129"/>
      <c r="V33" s="1129"/>
      <c r="W33" s="1129"/>
      <c r="X33" s="1129"/>
      <c r="Y33" s="1130"/>
      <c r="Z33" s="1139" t="str">
        <f>IF(CONSOLIDA!CP14="","",CONSOLIDA!CP14)</f>
        <v/>
      </c>
      <c r="AA33" s="1139"/>
      <c r="AB33" s="1139"/>
      <c r="AC33" s="1139"/>
      <c r="AD33" s="1139"/>
      <c r="AE33" s="1139"/>
      <c r="AF33" s="1139" t="str">
        <f>IF(CONSOLIDA!CQ14="","",CONSOLIDA!CQ14)</f>
        <v/>
      </c>
      <c r="AG33" s="1139"/>
      <c r="AH33" s="1139"/>
      <c r="AI33" s="1139"/>
      <c r="AJ33" s="1139"/>
      <c r="AK33" s="1139"/>
      <c r="AL33" s="1139" t="str">
        <f>IF(CONSOLIDA!CR14="","",CONSOLIDA!CR14)</f>
        <v/>
      </c>
      <c r="AM33" s="1139"/>
      <c r="AN33" s="1139"/>
      <c r="AO33" s="1139"/>
      <c r="AP33" s="1139"/>
      <c r="AQ33" s="1139"/>
      <c r="AR33" s="1139" t="str">
        <f>IF(CONSOLIDA!CS14="","",CONSOLIDA!CS14)</f>
        <v/>
      </c>
      <c r="AS33" s="1139"/>
      <c r="AT33" s="1139"/>
      <c r="AU33" s="1139"/>
      <c r="AV33" s="1139"/>
      <c r="AW33" s="1139"/>
      <c r="AX33" s="1140" t="str">
        <f>IF(CONSOLIDA!CT14="","",CONSOLIDA!CT14)</f>
        <v/>
      </c>
      <c r="AY33" s="1140"/>
      <c r="AZ33" s="1140"/>
      <c r="BA33" s="1140"/>
      <c r="BB33" s="1140"/>
      <c r="BC33" s="1140"/>
      <c r="BD33" s="1139" t="str">
        <f>IF(CONSOLIDA!CU14="","",CONSOLIDA!CU14)</f>
        <v/>
      </c>
      <c r="BE33" s="1139"/>
      <c r="BF33" s="1139"/>
      <c r="BG33" s="1139"/>
      <c r="BH33" s="1139"/>
      <c r="BI33" s="1139"/>
      <c r="BJ33" s="1139" t="str">
        <f>IF(CONSOLIDA!CV14="","",CONSOLIDA!CV14)</f>
        <v/>
      </c>
      <c r="BK33" s="1139"/>
      <c r="BL33" s="1139"/>
      <c r="BM33" s="1139"/>
      <c r="BN33" s="1139"/>
      <c r="BO33" s="1139"/>
      <c r="BP33" s="1139" t="str">
        <f>IF(CONSOLIDA!CW14="","",CONSOLIDA!CW14)</f>
        <v/>
      </c>
      <c r="BQ33" s="1139"/>
      <c r="BR33" s="1139"/>
      <c r="BS33" s="1139"/>
      <c r="BT33" s="1139"/>
      <c r="BU33" s="1139"/>
      <c r="BV33" s="1140" t="str">
        <f>IF(CONSOLIDA!CX14="","",CONSOLIDA!CX14)</f>
        <v/>
      </c>
      <c r="BW33" s="1140"/>
      <c r="BX33" s="1140"/>
      <c r="BY33" s="1140"/>
      <c r="BZ33" s="1140"/>
      <c r="CA33" s="1140"/>
      <c r="CB33" s="1139" t="str">
        <f>IF(CONSOLIDA!CY14="","",CONSOLIDA!CY14)</f>
        <v/>
      </c>
      <c r="CC33" s="1139"/>
      <c r="CD33" s="1139"/>
      <c r="CE33" s="1139"/>
      <c r="CF33" s="1139"/>
      <c r="CG33" s="1139"/>
      <c r="CH33" s="486"/>
      <c r="CI33" s="190" t="str">
        <f>IF(CONSOLIDA!CZ14="","",CONSOLIDA!CZ14)</f>
        <v/>
      </c>
      <c r="CJ33" s="190" t="str">
        <f>IF(CONSOLIDA!DA14="","",CONSOLIDA!DA14)</f>
        <v/>
      </c>
      <c r="DA33" s="3">
        <v>33</v>
      </c>
      <c r="DB33" s="3" t="s">
        <v>517</v>
      </c>
    </row>
    <row r="34" spans="1:106" s="3" customFormat="1" hidden="1">
      <c r="A34" s="243" t="str">
        <f t="shared" si="0"/>
        <v>OK</v>
      </c>
      <c r="B34" s="1141" t="str">
        <f>IF(CONSOLIDA!CL15="","",CONSOLIDA!CL15)</f>
        <v/>
      </c>
      <c r="C34" s="1141"/>
      <c r="D34" s="1134" t="str">
        <f>IF(CONSOLIDA!CN15="","",CONSOLIDA!CN15)</f>
        <v/>
      </c>
      <c r="E34" s="1135"/>
      <c r="F34" s="1135"/>
      <c r="G34" s="1129" t="str">
        <f>IF(CONSOLIDA!CO15="","",CONSOLIDA!CO15)</f>
        <v/>
      </c>
      <c r="H34" s="1129"/>
      <c r="I34" s="1129"/>
      <c r="J34" s="1129"/>
      <c r="K34" s="1129"/>
      <c r="L34" s="1129"/>
      <c r="M34" s="1129"/>
      <c r="N34" s="1129"/>
      <c r="O34" s="1129"/>
      <c r="P34" s="1129"/>
      <c r="Q34" s="1129"/>
      <c r="R34" s="1129"/>
      <c r="S34" s="1129"/>
      <c r="T34" s="1129"/>
      <c r="U34" s="1129"/>
      <c r="V34" s="1129"/>
      <c r="W34" s="1129"/>
      <c r="X34" s="1129"/>
      <c r="Y34" s="1130"/>
      <c r="Z34" s="1139" t="str">
        <f>IF(CONSOLIDA!CP15="","",CONSOLIDA!CP15)</f>
        <v/>
      </c>
      <c r="AA34" s="1139"/>
      <c r="AB34" s="1139"/>
      <c r="AC34" s="1139"/>
      <c r="AD34" s="1139"/>
      <c r="AE34" s="1139"/>
      <c r="AF34" s="1139" t="str">
        <f>IF(CONSOLIDA!CQ15="","",CONSOLIDA!CQ15)</f>
        <v/>
      </c>
      <c r="AG34" s="1139"/>
      <c r="AH34" s="1139"/>
      <c r="AI34" s="1139"/>
      <c r="AJ34" s="1139"/>
      <c r="AK34" s="1139"/>
      <c r="AL34" s="1139" t="str">
        <f>IF(CONSOLIDA!CR15="","",CONSOLIDA!CR15)</f>
        <v/>
      </c>
      <c r="AM34" s="1139"/>
      <c r="AN34" s="1139"/>
      <c r="AO34" s="1139"/>
      <c r="AP34" s="1139"/>
      <c r="AQ34" s="1139"/>
      <c r="AR34" s="1139" t="str">
        <f>IF(CONSOLIDA!CS15="","",CONSOLIDA!CS15)</f>
        <v/>
      </c>
      <c r="AS34" s="1139"/>
      <c r="AT34" s="1139"/>
      <c r="AU34" s="1139"/>
      <c r="AV34" s="1139"/>
      <c r="AW34" s="1139"/>
      <c r="AX34" s="1140" t="str">
        <f>IF(CONSOLIDA!CT15="","",CONSOLIDA!CT15)</f>
        <v/>
      </c>
      <c r="AY34" s="1140"/>
      <c r="AZ34" s="1140"/>
      <c r="BA34" s="1140"/>
      <c r="BB34" s="1140"/>
      <c r="BC34" s="1140"/>
      <c r="BD34" s="1139" t="str">
        <f>IF(CONSOLIDA!CU15="","",CONSOLIDA!CU15)</f>
        <v/>
      </c>
      <c r="BE34" s="1139"/>
      <c r="BF34" s="1139"/>
      <c r="BG34" s="1139"/>
      <c r="BH34" s="1139"/>
      <c r="BI34" s="1139"/>
      <c r="BJ34" s="1139" t="str">
        <f>IF(CONSOLIDA!CV15="","",CONSOLIDA!CV15)</f>
        <v/>
      </c>
      <c r="BK34" s="1139"/>
      <c r="BL34" s="1139"/>
      <c r="BM34" s="1139"/>
      <c r="BN34" s="1139"/>
      <c r="BO34" s="1139"/>
      <c r="BP34" s="1139" t="str">
        <f>IF(CONSOLIDA!CW15="","",CONSOLIDA!CW15)</f>
        <v/>
      </c>
      <c r="BQ34" s="1139"/>
      <c r="BR34" s="1139"/>
      <c r="BS34" s="1139"/>
      <c r="BT34" s="1139"/>
      <c r="BU34" s="1139"/>
      <c r="BV34" s="1140" t="str">
        <f>IF(CONSOLIDA!CX15="","",CONSOLIDA!CX15)</f>
        <v/>
      </c>
      <c r="BW34" s="1140"/>
      <c r="BX34" s="1140"/>
      <c r="BY34" s="1140"/>
      <c r="BZ34" s="1140"/>
      <c r="CA34" s="1140"/>
      <c r="CB34" s="1139" t="str">
        <f>IF(CONSOLIDA!CY15="","",CONSOLIDA!CY15)</f>
        <v/>
      </c>
      <c r="CC34" s="1139"/>
      <c r="CD34" s="1139"/>
      <c r="CE34" s="1139"/>
      <c r="CF34" s="1139"/>
      <c r="CG34" s="1139"/>
      <c r="CH34" s="486"/>
      <c r="CI34" s="190" t="str">
        <f>IF(CONSOLIDA!CZ15="","",CONSOLIDA!CZ15)</f>
        <v/>
      </c>
      <c r="CJ34" s="190" t="str">
        <f>IF(CONSOLIDA!DA15="","",CONSOLIDA!DA15)</f>
        <v/>
      </c>
      <c r="DA34" s="3">
        <v>34</v>
      </c>
      <c r="DB34" s="3" t="s">
        <v>518</v>
      </c>
    </row>
    <row r="35" spans="1:106" s="3" customFormat="1" hidden="1">
      <c r="A35" s="243" t="str">
        <f t="shared" si="0"/>
        <v>OK</v>
      </c>
      <c r="B35" s="1141" t="str">
        <f>IF(CONSOLIDA!CL16="","",CONSOLIDA!CL16)</f>
        <v/>
      </c>
      <c r="C35" s="1141"/>
      <c r="D35" s="1134" t="str">
        <f>IF(CONSOLIDA!CN16="","",CONSOLIDA!CN16)</f>
        <v/>
      </c>
      <c r="E35" s="1135"/>
      <c r="F35" s="1135"/>
      <c r="G35" s="1129" t="str">
        <f>IF(CONSOLIDA!CO16="","",CONSOLIDA!CO16)</f>
        <v/>
      </c>
      <c r="H35" s="1129"/>
      <c r="I35" s="1129"/>
      <c r="J35" s="1129"/>
      <c r="K35" s="1129"/>
      <c r="L35" s="1129"/>
      <c r="M35" s="1129"/>
      <c r="N35" s="1129"/>
      <c r="O35" s="1129"/>
      <c r="P35" s="1129"/>
      <c r="Q35" s="1129"/>
      <c r="R35" s="1129"/>
      <c r="S35" s="1129"/>
      <c r="T35" s="1129"/>
      <c r="U35" s="1129"/>
      <c r="V35" s="1129"/>
      <c r="W35" s="1129"/>
      <c r="X35" s="1129"/>
      <c r="Y35" s="1130"/>
      <c r="Z35" s="1139" t="str">
        <f>IF(CONSOLIDA!CP16="","",CONSOLIDA!CP16)</f>
        <v/>
      </c>
      <c r="AA35" s="1139"/>
      <c r="AB35" s="1139"/>
      <c r="AC35" s="1139"/>
      <c r="AD35" s="1139"/>
      <c r="AE35" s="1139"/>
      <c r="AF35" s="1139" t="str">
        <f>IF(CONSOLIDA!CQ16="","",CONSOLIDA!CQ16)</f>
        <v/>
      </c>
      <c r="AG35" s="1139"/>
      <c r="AH35" s="1139"/>
      <c r="AI35" s="1139"/>
      <c r="AJ35" s="1139"/>
      <c r="AK35" s="1139"/>
      <c r="AL35" s="1139" t="str">
        <f>IF(CONSOLIDA!CR16="","",CONSOLIDA!CR16)</f>
        <v/>
      </c>
      <c r="AM35" s="1139"/>
      <c r="AN35" s="1139"/>
      <c r="AO35" s="1139"/>
      <c r="AP35" s="1139"/>
      <c r="AQ35" s="1139"/>
      <c r="AR35" s="1139" t="str">
        <f>IF(CONSOLIDA!CS16="","",CONSOLIDA!CS16)</f>
        <v/>
      </c>
      <c r="AS35" s="1139"/>
      <c r="AT35" s="1139"/>
      <c r="AU35" s="1139"/>
      <c r="AV35" s="1139"/>
      <c r="AW35" s="1139"/>
      <c r="AX35" s="1140" t="str">
        <f>IF(CONSOLIDA!CT16="","",CONSOLIDA!CT16)</f>
        <v/>
      </c>
      <c r="AY35" s="1140"/>
      <c r="AZ35" s="1140"/>
      <c r="BA35" s="1140"/>
      <c r="BB35" s="1140"/>
      <c r="BC35" s="1140"/>
      <c r="BD35" s="1139" t="str">
        <f>IF(CONSOLIDA!CU16="","",CONSOLIDA!CU16)</f>
        <v/>
      </c>
      <c r="BE35" s="1139"/>
      <c r="BF35" s="1139"/>
      <c r="BG35" s="1139"/>
      <c r="BH35" s="1139"/>
      <c r="BI35" s="1139"/>
      <c r="BJ35" s="1139" t="str">
        <f>IF(CONSOLIDA!CV16="","",CONSOLIDA!CV16)</f>
        <v/>
      </c>
      <c r="BK35" s="1139"/>
      <c r="BL35" s="1139"/>
      <c r="BM35" s="1139"/>
      <c r="BN35" s="1139"/>
      <c r="BO35" s="1139"/>
      <c r="BP35" s="1139" t="str">
        <f>IF(CONSOLIDA!CW16="","",CONSOLIDA!CW16)</f>
        <v/>
      </c>
      <c r="BQ35" s="1139"/>
      <c r="BR35" s="1139"/>
      <c r="BS35" s="1139"/>
      <c r="BT35" s="1139"/>
      <c r="BU35" s="1139"/>
      <c r="BV35" s="1140" t="str">
        <f>IF(CONSOLIDA!CX16="","",CONSOLIDA!CX16)</f>
        <v/>
      </c>
      <c r="BW35" s="1140"/>
      <c r="BX35" s="1140"/>
      <c r="BY35" s="1140"/>
      <c r="BZ35" s="1140"/>
      <c r="CA35" s="1140"/>
      <c r="CB35" s="1139" t="str">
        <f>IF(CONSOLIDA!CY16="","",CONSOLIDA!CY16)</f>
        <v/>
      </c>
      <c r="CC35" s="1139"/>
      <c r="CD35" s="1139"/>
      <c r="CE35" s="1139"/>
      <c r="CF35" s="1139"/>
      <c r="CG35" s="1139"/>
      <c r="CH35" s="486"/>
      <c r="CI35" s="190" t="str">
        <f>IF(CONSOLIDA!CZ16="","",CONSOLIDA!CZ16)</f>
        <v/>
      </c>
      <c r="CJ35" s="190" t="str">
        <f>IF(CONSOLIDA!DA16="","",CONSOLIDA!DA16)</f>
        <v/>
      </c>
      <c r="DA35" s="3">
        <v>35</v>
      </c>
      <c r="DB35" s="3" t="s">
        <v>519</v>
      </c>
    </row>
    <row r="36" spans="1:106" s="3" customFormat="1" hidden="1">
      <c r="A36" s="243" t="str">
        <f t="shared" si="0"/>
        <v>OK</v>
      </c>
      <c r="B36" s="1141" t="str">
        <f>IF(CONSOLIDA!CL17="","",CONSOLIDA!CL17)</f>
        <v/>
      </c>
      <c r="C36" s="1141"/>
      <c r="D36" s="1134" t="str">
        <f>IF(CONSOLIDA!CN17="","",CONSOLIDA!CN17)</f>
        <v/>
      </c>
      <c r="E36" s="1135"/>
      <c r="F36" s="1135"/>
      <c r="G36" s="1129" t="str">
        <f>IF(CONSOLIDA!CO17="","",CONSOLIDA!CO17)</f>
        <v/>
      </c>
      <c r="H36" s="1129"/>
      <c r="I36" s="1129"/>
      <c r="J36" s="1129"/>
      <c r="K36" s="1129"/>
      <c r="L36" s="1129"/>
      <c r="M36" s="1129"/>
      <c r="N36" s="1129"/>
      <c r="O36" s="1129"/>
      <c r="P36" s="1129"/>
      <c r="Q36" s="1129"/>
      <c r="R36" s="1129"/>
      <c r="S36" s="1129"/>
      <c r="T36" s="1129"/>
      <c r="U36" s="1129"/>
      <c r="V36" s="1129"/>
      <c r="W36" s="1129"/>
      <c r="X36" s="1129"/>
      <c r="Y36" s="1130"/>
      <c r="Z36" s="1139" t="str">
        <f>IF(CONSOLIDA!CP17="","",CONSOLIDA!CP17)</f>
        <v/>
      </c>
      <c r="AA36" s="1139"/>
      <c r="AB36" s="1139"/>
      <c r="AC36" s="1139"/>
      <c r="AD36" s="1139"/>
      <c r="AE36" s="1139"/>
      <c r="AF36" s="1139" t="str">
        <f>IF(CONSOLIDA!CQ17="","",CONSOLIDA!CQ17)</f>
        <v/>
      </c>
      <c r="AG36" s="1139"/>
      <c r="AH36" s="1139"/>
      <c r="AI36" s="1139"/>
      <c r="AJ36" s="1139"/>
      <c r="AK36" s="1139"/>
      <c r="AL36" s="1139" t="str">
        <f>IF(CONSOLIDA!CR17="","",CONSOLIDA!CR17)</f>
        <v/>
      </c>
      <c r="AM36" s="1139"/>
      <c r="AN36" s="1139"/>
      <c r="AO36" s="1139"/>
      <c r="AP36" s="1139"/>
      <c r="AQ36" s="1139"/>
      <c r="AR36" s="1139" t="str">
        <f>IF(CONSOLIDA!CS17="","",CONSOLIDA!CS17)</f>
        <v/>
      </c>
      <c r="AS36" s="1139"/>
      <c r="AT36" s="1139"/>
      <c r="AU36" s="1139"/>
      <c r="AV36" s="1139"/>
      <c r="AW36" s="1139"/>
      <c r="AX36" s="1140" t="str">
        <f>IF(CONSOLIDA!CT17="","",CONSOLIDA!CT17)</f>
        <v/>
      </c>
      <c r="AY36" s="1140"/>
      <c r="AZ36" s="1140"/>
      <c r="BA36" s="1140"/>
      <c r="BB36" s="1140"/>
      <c r="BC36" s="1140"/>
      <c r="BD36" s="1139" t="str">
        <f>IF(CONSOLIDA!CU17="","",CONSOLIDA!CU17)</f>
        <v/>
      </c>
      <c r="BE36" s="1139"/>
      <c r="BF36" s="1139"/>
      <c r="BG36" s="1139"/>
      <c r="BH36" s="1139"/>
      <c r="BI36" s="1139"/>
      <c r="BJ36" s="1139" t="str">
        <f>IF(CONSOLIDA!CV17="","",CONSOLIDA!CV17)</f>
        <v/>
      </c>
      <c r="BK36" s="1139"/>
      <c r="BL36" s="1139"/>
      <c r="BM36" s="1139"/>
      <c r="BN36" s="1139"/>
      <c r="BO36" s="1139"/>
      <c r="BP36" s="1139" t="str">
        <f>IF(CONSOLIDA!CW17="","",CONSOLIDA!CW17)</f>
        <v/>
      </c>
      <c r="BQ36" s="1139"/>
      <c r="BR36" s="1139"/>
      <c r="BS36" s="1139"/>
      <c r="BT36" s="1139"/>
      <c r="BU36" s="1139"/>
      <c r="BV36" s="1140" t="str">
        <f>IF(CONSOLIDA!CX17="","",CONSOLIDA!CX17)</f>
        <v/>
      </c>
      <c r="BW36" s="1140"/>
      <c r="BX36" s="1140"/>
      <c r="BY36" s="1140"/>
      <c r="BZ36" s="1140"/>
      <c r="CA36" s="1140"/>
      <c r="CB36" s="1139" t="str">
        <f>IF(CONSOLIDA!CY17="","",CONSOLIDA!CY17)</f>
        <v/>
      </c>
      <c r="CC36" s="1139"/>
      <c r="CD36" s="1139"/>
      <c r="CE36" s="1139"/>
      <c r="CF36" s="1139"/>
      <c r="CG36" s="1139"/>
      <c r="CH36" s="486"/>
      <c r="CI36" s="190" t="str">
        <f>IF(CONSOLIDA!CZ17="","",CONSOLIDA!CZ17)</f>
        <v/>
      </c>
      <c r="CJ36" s="190" t="str">
        <f>IF(CONSOLIDA!DA17="","",CONSOLIDA!DA17)</f>
        <v/>
      </c>
      <c r="DA36" s="3">
        <v>36</v>
      </c>
      <c r="DB36" s="3" t="s">
        <v>520</v>
      </c>
    </row>
    <row r="37" spans="1:106" s="3" customFormat="1" hidden="1">
      <c r="A37" s="243" t="str">
        <f t="shared" si="0"/>
        <v>OK</v>
      </c>
      <c r="B37" s="1141" t="str">
        <f>IF(CONSOLIDA!CL18="","",CONSOLIDA!CL18)</f>
        <v/>
      </c>
      <c r="C37" s="1141"/>
      <c r="D37" s="1134" t="str">
        <f>IF(CONSOLIDA!CN18="","",CONSOLIDA!CN18)</f>
        <v/>
      </c>
      <c r="E37" s="1135"/>
      <c r="F37" s="1135"/>
      <c r="G37" s="1129" t="str">
        <f>IF(CONSOLIDA!CO18="","",CONSOLIDA!CO18)</f>
        <v/>
      </c>
      <c r="H37" s="1129"/>
      <c r="I37" s="1129"/>
      <c r="J37" s="1129"/>
      <c r="K37" s="1129"/>
      <c r="L37" s="1129"/>
      <c r="M37" s="1129"/>
      <c r="N37" s="1129"/>
      <c r="O37" s="1129"/>
      <c r="P37" s="1129"/>
      <c r="Q37" s="1129"/>
      <c r="R37" s="1129"/>
      <c r="S37" s="1129"/>
      <c r="T37" s="1129"/>
      <c r="U37" s="1129"/>
      <c r="V37" s="1129"/>
      <c r="W37" s="1129"/>
      <c r="X37" s="1129"/>
      <c r="Y37" s="1130"/>
      <c r="Z37" s="1139" t="str">
        <f>IF(CONSOLIDA!CP18="","",CONSOLIDA!CP18)</f>
        <v/>
      </c>
      <c r="AA37" s="1139"/>
      <c r="AB37" s="1139"/>
      <c r="AC37" s="1139"/>
      <c r="AD37" s="1139"/>
      <c r="AE37" s="1139"/>
      <c r="AF37" s="1139" t="str">
        <f>IF(CONSOLIDA!CQ18="","",CONSOLIDA!CQ18)</f>
        <v/>
      </c>
      <c r="AG37" s="1139"/>
      <c r="AH37" s="1139"/>
      <c r="AI37" s="1139"/>
      <c r="AJ37" s="1139"/>
      <c r="AK37" s="1139"/>
      <c r="AL37" s="1139" t="str">
        <f>IF(CONSOLIDA!CR18="","",CONSOLIDA!CR18)</f>
        <v/>
      </c>
      <c r="AM37" s="1139"/>
      <c r="AN37" s="1139"/>
      <c r="AO37" s="1139"/>
      <c r="AP37" s="1139"/>
      <c r="AQ37" s="1139"/>
      <c r="AR37" s="1139" t="str">
        <f>IF(CONSOLIDA!CS18="","",CONSOLIDA!CS18)</f>
        <v/>
      </c>
      <c r="AS37" s="1139"/>
      <c r="AT37" s="1139"/>
      <c r="AU37" s="1139"/>
      <c r="AV37" s="1139"/>
      <c r="AW37" s="1139"/>
      <c r="AX37" s="1140" t="str">
        <f>IF(CONSOLIDA!CT18="","",CONSOLIDA!CT18)</f>
        <v/>
      </c>
      <c r="AY37" s="1140"/>
      <c r="AZ37" s="1140"/>
      <c r="BA37" s="1140"/>
      <c r="BB37" s="1140"/>
      <c r="BC37" s="1140"/>
      <c r="BD37" s="1139" t="str">
        <f>IF(CONSOLIDA!CU18="","",CONSOLIDA!CU18)</f>
        <v/>
      </c>
      <c r="BE37" s="1139"/>
      <c r="BF37" s="1139"/>
      <c r="BG37" s="1139"/>
      <c r="BH37" s="1139"/>
      <c r="BI37" s="1139"/>
      <c r="BJ37" s="1139" t="str">
        <f>IF(CONSOLIDA!CV18="","",CONSOLIDA!CV18)</f>
        <v/>
      </c>
      <c r="BK37" s="1139"/>
      <c r="BL37" s="1139"/>
      <c r="BM37" s="1139"/>
      <c r="BN37" s="1139"/>
      <c r="BO37" s="1139"/>
      <c r="BP37" s="1139" t="str">
        <f>IF(CONSOLIDA!CW18="","",CONSOLIDA!CW18)</f>
        <v/>
      </c>
      <c r="BQ37" s="1139"/>
      <c r="BR37" s="1139"/>
      <c r="BS37" s="1139"/>
      <c r="BT37" s="1139"/>
      <c r="BU37" s="1139"/>
      <c r="BV37" s="1140" t="str">
        <f>IF(CONSOLIDA!CX18="","",CONSOLIDA!CX18)</f>
        <v/>
      </c>
      <c r="BW37" s="1140"/>
      <c r="BX37" s="1140"/>
      <c r="BY37" s="1140"/>
      <c r="BZ37" s="1140"/>
      <c r="CA37" s="1140"/>
      <c r="CB37" s="1139" t="str">
        <f>IF(CONSOLIDA!CY18="","",CONSOLIDA!CY18)</f>
        <v/>
      </c>
      <c r="CC37" s="1139"/>
      <c r="CD37" s="1139"/>
      <c r="CE37" s="1139"/>
      <c r="CF37" s="1139"/>
      <c r="CG37" s="1139"/>
      <c r="CH37" s="486"/>
      <c r="CI37" s="190" t="str">
        <f>IF(CONSOLIDA!CZ18="","",CONSOLIDA!CZ18)</f>
        <v/>
      </c>
      <c r="CJ37" s="190" t="str">
        <f>IF(CONSOLIDA!DA18="","",CONSOLIDA!DA18)</f>
        <v/>
      </c>
      <c r="DA37" s="3">
        <v>37</v>
      </c>
      <c r="DB37" s="3" t="s">
        <v>521</v>
      </c>
    </row>
    <row r="38" spans="1:106" s="3" customFormat="1" hidden="1">
      <c r="A38" s="243" t="str">
        <f t="shared" si="0"/>
        <v>OK</v>
      </c>
      <c r="B38" s="1141" t="str">
        <f>IF(CONSOLIDA!CL19="","",CONSOLIDA!CL19)</f>
        <v/>
      </c>
      <c r="C38" s="1141"/>
      <c r="D38" s="1134" t="str">
        <f>IF(CONSOLIDA!CN19="","",CONSOLIDA!CN19)</f>
        <v/>
      </c>
      <c r="E38" s="1135"/>
      <c r="F38" s="1135"/>
      <c r="G38" s="1129" t="str">
        <f>IF(CONSOLIDA!CO19="","",CONSOLIDA!CO19)</f>
        <v/>
      </c>
      <c r="H38" s="1129"/>
      <c r="I38" s="1129"/>
      <c r="J38" s="1129"/>
      <c r="K38" s="1129"/>
      <c r="L38" s="1129"/>
      <c r="M38" s="1129"/>
      <c r="N38" s="1129"/>
      <c r="O38" s="1129"/>
      <c r="P38" s="1129"/>
      <c r="Q38" s="1129"/>
      <c r="R38" s="1129"/>
      <c r="S38" s="1129"/>
      <c r="T38" s="1129"/>
      <c r="U38" s="1129"/>
      <c r="V38" s="1129"/>
      <c r="W38" s="1129"/>
      <c r="X38" s="1129"/>
      <c r="Y38" s="1130"/>
      <c r="Z38" s="1139" t="str">
        <f>IF(CONSOLIDA!CP19="","",CONSOLIDA!CP19)</f>
        <v/>
      </c>
      <c r="AA38" s="1139"/>
      <c r="AB38" s="1139"/>
      <c r="AC38" s="1139"/>
      <c r="AD38" s="1139"/>
      <c r="AE38" s="1139"/>
      <c r="AF38" s="1139" t="str">
        <f>IF(CONSOLIDA!CQ19="","",CONSOLIDA!CQ19)</f>
        <v/>
      </c>
      <c r="AG38" s="1139"/>
      <c r="AH38" s="1139"/>
      <c r="AI38" s="1139"/>
      <c r="AJ38" s="1139"/>
      <c r="AK38" s="1139"/>
      <c r="AL38" s="1139" t="str">
        <f>IF(CONSOLIDA!CR19="","",CONSOLIDA!CR19)</f>
        <v/>
      </c>
      <c r="AM38" s="1139"/>
      <c r="AN38" s="1139"/>
      <c r="AO38" s="1139"/>
      <c r="AP38" s="1139"/>
      <c r="AQ38" s="1139"/>
      <c r="AR38" s="1139" t="str">
        <f>IF(CONSOLIDA!CS19="","",CONSOLIDA!CS19)</f>
        <v/>
      </c>
      <c r="AS38" s="1139"/>
      <c r="AT38" s="1139"/>
      <c r="AU38" s="1139"/>
      <c r="AV38" s="1139"/>
      <c r="AW38" s="1139"/>
      <c r="AX38" s="1140" t="str">
        <f>IF(CONSOLIDA!CT19="","",CONSOLIDA!CT19)</f>
        <v/>
      </c>
      <c r="AY38" s="1140"/>
      <c r="AZ38" s="1140"/>
      <c r="BA38" s="1140"/>
      <c r="BB38" s="1140"/>
      <c r="BC38" s="1140"/>
      <c r="BD38" s="1139" t="str">
        <f>IF(CONSOLIDA!CU19="","",CONSOLIDA!CU19)</f>
        <v/>
      </c>
      <c r="BE38" s="1139"/>
      <c r="BF38" s="1139"/>
      <c r="BG38" s="1139"/>
      <c r="BH38" s="1139"/>
      <c r="BI38" s="1139"/>
      <c r="BJ38" s="1139" t="str">
        <f>IF(CONSOLIDA!CV19="","",CONSOLIDA!CV19)</f>
        <v/>
      </c>
      <c r="BK38" s="1139"/>
      <c r="BL38" s="1139"/>
      <c r="BM38" s="1139"/>
      <c r="BN38" s="1139"/>
      <c r="BO38" s="1139"/>
      <c r="BP38" s="1139" t="str">
        <f>IF(CONSOLIDA!CW19="","",CONSOLIDA!CW19)</f>
        <v/>
      </c>
      <c r="BQ38" s="1139"/>
      <c r="BR38" s="1139"/>
      <c r="BS38" s="1139"/>
      <c r="BT38" s="1139"/>
      <c r="BU38" s="1139"/>
      <c r="BV38" s="1140" t="str">
        <f>IF(CONSOLIDA!CX19="","",CONSOLIDA!CX19)</f>
        <v/>
      </c>
      <c r="BW38" s="1140"/>
      <c r="BX38" s="1140"/>
      <c r="BY38" s="1140"/>
      <c r="BZ38" s="1140"/>
      <c r="CA38" s="1140"/>
      <c r="CB38" s="1139" t="str">
        <f>IF(CONSOLIDA!CY19="","",CONSOLIDA!CY19)</f>
        <v/>
      </c>
      <c r="CC38" s="1139"/>
      <c r="CD38" s="1139"/>
      <c r="CE38" s="1139"/>
      <c r="CF38" s="1139"/>
      <c r="CG38" s="1139"/>
      <c r="CH38" s="486"/>
      <c r="CI38" s="190" t="str">
        <f>IF(CONSOLIDA!CZ19="","",CONSOLIDA!CZ19)</f>
        <v/>
      </c>
      <c r="CJ38" s="190" t="str">
        <f>IF(CONSOLIDA!DA19="","",CONSOLIDA!DA19)</f>
        <v/>
      </c>
      <c r="DA38" s="3">
        <v>38</v>
      </c>
      <c r="DB38" s="3" t="s">
        <v>522</v>
      </c>
    </row>
    <row r="39" spans="1:106" s="3" customFormat="1" hidden="1">
      <c r="A39" s="243" t="str">
        <f t="shared" si="0"/>
        <v>OK</v>
      </c>
      <c r="B39" s="1141" t="str">
        <f>IF(CONSOLIDA!CL20="","",CONSOLIDA!CL20)</f>
        <v/>
      </c>
      <c r="C39" s="1141"/>
      <c r="D39" s="1134" t="str">
        <f>IF(CONSOLIDA!CN20="","",CONSOLIDA!CN20)</f>
        <v/>
      </c>
      <c r="E39" s="1135"/>
      <c r="F39" s="1135"/>
      <c r="G39" s="1129" t="str">
        <f>IF(CONSOLIDA!CO20="","",CONSOLIDA!CO20)</f>
        <v/>
      </c>
      <c r="H39" s="1129"/>
      <c r="I39" s="1129"/>
      <c r="J39" s="1129"/>
      <c r="K39" s="1129"/>
      <c r="L39" s="1129"/>
      <c r="M39" s="1129"/>
      <c r="N39" s="1129"/>
      <c r="O39" s="1129"/>
      <c r="P39" s="1129"/>
      <c r="Q39" s="1129"/>
      <c r="R39" s="1129"/>
      <c r="S39" s="1129"/>
      <c r="T39" s="1129"/>
      <c r="U39" s="1129"/>
      <c r="V39" s="1129"/>
      <c r="W39" s="1129"/>
      <c r="X39" s="1129"/>
      <c r="Y39" s="1130"/>
      <c r="Z39" s="1139" t="str">
        <f>IF(CONSOLIDA!CP20="","",CONSOLIDA!CP20)</f>
        <v/>
      </c>
      <c r="AA39" s="1139"/>
      <c r="AB39" s="1139"/>
      <c r="AC39" s="1139"/>
      <c r="AD39" s="1139"/>
      <c r="AE39" s="1139"/>
      <c r="AF39" s="1139" t="str">
        <f>IF(CONSOLIDA!CQ20="","",CONSOLIDA!CQ20)</f>
        <v/>
      </c>
      <c r="AG39" s="1139"/>
      <c r="AH39" s="1139"/>
      <c r="AI39" s="1139"/>
      <c r="AJ39" s="1139"/>
      <c r="AK39" s="1139"/>
      <c r="AL39" s="1139" t="str">
        <f>IF(CONSOLIDA!CR20="","",CONSOLIDA!CR20)</f>
        <v/>
      </c>
      <c r="AM39" s="1139"/>
      <c r="AN39" s="1139"/>
      <c r="AO39" s="1139"/>
      <c r="AP39" s="1139"/>
      <c r="AQ39" s="1139"/>
      <c r="AR39" s="1139" t="str">
        <f>IF(CONSOLIDA!CS20="","",CONSOLIDA!CS20)</f>
        <v/>
      </c>
      <c r="AS39" s="1139"/>
      <c r="AT39" s="1139"/>
      <c r="AU39" s="1139"/>
      <c r="AV39" s="1139"/>
      <c r="AW39" s="1139"/>
      <c r="AX39" s="1140" t="str">
        <f>IF(CONSOLIDA!CT20="","",CONSOLIDA!CT20)</f>
        <v/>
      </c>
      <c r="AY39" s="1140"/>
      <c r="AZ39" s="1140"/>
      <c r="BA39" s="1140"/>
      <c r="BB39" s="1140"/>
      <c r="BC39" s="1140"/>
      <c r="BD39" s="1139" t="str">
        <f>IF(CONSOLIDA!CU20="","",CONSOLIDA!CU20)</f>
        <v/>
      </c>
      <c r="BE39" s="1139"/>
      <c r="BF39" s="1139"/>
      <c r="BG39" s="1139"/>
      <c r="BH39" s="1139"/>
      <c r="BI39" s="1139"/>
      <c r="BJ39" s="1139" t="str">
        <f>IF(CONSOLIDA!CV20="","",CONSOLIDA!CV20)</f>
        <v/>
      </c>
      <c r="BK39" s="1139"/>
      <c r="BL39" s="1139"/>
      <c r="BM39" s="1139"/>
      <c r="BN39" s="1139"/>
      <c r="BO39" s="1139"/>
      <c r="BP39" s="1139" t="str">
        <f>IF(CONSOLIDA!CW20="","",CONSOLIDA!CW20)</f>
        <v/>
      </c>
      <c r="BQ39" s="1139"/>
      <c r="BR39" s="1139"/>
      <c r="BS39" s="1139"/>
      <c r="BT39" s="1139"/>
      <c r="BU39" s="1139"/>
      <c r="BV39" s="1140" t="str">
        <f>IF(CONSOLIDA!CX20="","",CONSOLIDA!CX20)</f>
        <v/>
      </c>
      <c r="BW39" s="1140"/>
      <c r="BX39" s="1140"/>
      <c r="BY39" s="1140"/>
      <c r="BZ39" s="1140"/>
      <c r="CA39" s="1140"/>
      <c r="CB39" s="1139" t="str">
        <f>IF(CONSOLIDA!CY20="","",CONSOLIDA!CY20)</f>
        <v/>
      </c>
      <c r="CC39" s="1139"/>
      <c r="CD39" s="1139"/>
      <c r="CE39" s="1139"/>
      <c r="CF39" s="1139"/>
      <c r="CG39" s="1139"/>
      <c r="CH39" s="486"/>
      <c r="CI39" s="190" t="str">
        <f>IF(CONSOLIDA!CZ20="","",CONSOLIDA!CZ20)</f>
        <v/>
      </c>
      <c r="CJ39" s="190" t="str">
        <f>IF(CONSOLIDA!DA20="","",CONSOLIDA!DA20)</f>
        <v/>
      </c>
      <c r="DA39" s="3">
        <v>39</v>
      </c>
      <c r="DB39" s="3" t="s">
        <v>523</v>
      </c>
    </row>
    <row r="40" spans="1:106" s="3" customFormat="1" hidden="1">
      <c r="A40" s="243" t="str">
        <f t="shared" si="0"/>
        <v>OK</v>
      </c>
      <c r="B40" s="1141" t="str">
        <f>IF(CONSOLIDA!CL21="","",CONSOLIDA!CL21)</f>
        <v/>
      </c>
      <c r="C40" s="1141"/>
      <c r="D40" s="1134" t="str">
        <f>IF(CONSOLIDA!CN21="","",CONSOLIDA!CN21)</f>
        <v/>
      </c>
      <c r="E40" s="1135"/>
      <c r="F40" s="1135"/>
      <c r="G40" s="1129" t="str">
        <f>IF(CONSOLIDA!CO21="","",CONSOLIDA!CO21)</f>
        <v/>
      </c>
      <c r="H40" s="1129"/>
      <c r="I40" s="1129"/>
      <c r="J40" s="1129"/>
      <c r="K40" s="1129"/>
      <c r="L40" s="1129"/>
      <c r="M40" s="1129"/>
      <c r="N40" s="1129"/>
      <c r="O40" s="1129"/>
      <c r="P40" s="1129"/>
      <c r="Q40" s="1129"/>
      <c r="R40" s="1129"/>
      <c r="S40" s="1129"/>
      <c r="T40" s="1129"/>
      <c r="U40" s="1129"/>
      <c r="V40" s="1129"/>
      <c r="W40" s="1129"/>
      <c r="X40" s="1129"/>
      <c r="Y40" s="1130"/>
      <c r="Z40" s="1139" t="str">
        <f>IF(CONSOLIDA!CP21="","",CONSOLIDA!CP21)</f>
        <v/>
      </c>
      <c r="AA40" s="1139"/>
      <c r="AB40" s="1139"/>
      <c r="AC40" s="1139"/>
      <c r="AD40" s="1139"/>
      <c r="AE40" s="1139"/>
      <c r="AF40" s="1139" t="str">
        <f>IF(CONSOLIDA!CQ21="","",CONSOLIDA!CQ21)</f>
        <v/>
      </c>
      <c r="AG40" s="1139"/>
      <c r="AH40" s="1139"/>
      <c r="AI40" s="1139"/>
      <c r="AJ40" s="1139"/>
      <c r="AK40" s="1139"/>
      <c r="AL40" s="1139" t="str">
        <f>IF(CONSOLIDA!CR21="","",CONSOLIDA!CR21)</f>
        <v/>
      </c>
      <c r="AM40" s="1139"/>
      <c r="AN40" s="1139"/>
      <c r="AO40" s="1139"/>
      <c r="AP40" s="1139"/>
      <c r="AQ40" s="1139"/>
      <c r="AR40" s="1139" t="str">
        <f>IF(CONSOLIDA!CS21="","",CONSOLIDA!CS21)</f>
        <v/>
      </c>
      <c r="AS40" s="1139"/>
      <c r="AT40" s="1139"/>
      <c r="AU40" s="1139"/>
      <c r="AV40" s="1139"/>
      <c r="AW40" s="1139"/>
      <c r="AX40" s="1140" t="str">
        <f>IF(CONSOLIDA!CT21="","",CONSOLIDA!CT21)</f>
        <v/>
      </c>
      <c r="AY40" s="1140"/>
      <c r="AZ40" s="1140"/>
      <c r="BA40" s="1140"/>
      <c r="BB40" s="1140"/>
      <c r="BC40" s="1140"/>
      <c r="BD40" s="1139" t="str">
        <f>IF(CONSOLIDA!CU21="","",CONSOLIDA!CU21)</f>
        <v/>
      </c>
      <c r="BE40" s="1139"/>
      <c r="BF40" s="1139"/>
      <c r="BG40" s="1139"/>
      <c r="BH40" s="1139"/>
      <c r="BI40" s="1139"/>
      <c r="BJ40" s="1139" t="str">
        <f>IF(CONSOLIDA!CV21="","",CONSOLIDA!CV21)</f>
        <v/>
      </c>
      <c r="BK40" s="1139"/>
      <c r="BL40" s="1139"/>
      <c r="BM40" s="1139"/>
      <c r="BN40" s="1139"/>
      <c r="BO40" s="1139"/>
      <c r="BP40" s="1139" t="str">
        <f>IF(CONSOLIDA!CW21="","",CONSOLIDA!CW21)</f>
        <v/>
      </c>
      <c r="BQ40" s="1139"/>
      <c r="BR40" s="1139"/>
      <c r="BS40" s="1139"/>
      <c r="BT40" s="1139"/>
      <c r="BU40" s="1139"/>
      <c r="BV40" s="1140" t="str">
        <f>IF(CONSOLIDA!CX21="","",CONSOLIDA!CX21)</f>
        <v/>
      </c>
      <c r="BW40" s="1140"/>
      <c r="BX40" s="1140"/>
      <c r="BY40" s="1140"/>
      <c r="BZ40" s="1140"/>
      <c r="CA40" s="1140"/>
      <c r="CB40" s="1139" t="str">
        <f>IF(CONSOLIDA!CY21="","",CONSOLIDA!CY21)</f>
        <v/>
      </c>
      <c r="CC40" s="1139"/>
      <c r="CD40" s="1139"/>
      <c r="CE40" s="1139"/>
      <c r="CF40" s="1139"/>
      <c r="CG40" s="1139"/>
      <c r="CH40" s="486"/>
      <c r="CI40" s="190" t="str">
        <f>IF(CONSOLIDA!CZ21="","",CONSOLIDA!CZ21)</f>
        <v/>
      </c>
      <c r="CJ40" s="190" t="str">
        <f>IF(CONSOLIDA!DA21="","",CONSOLIDA!DA21)</f>
        <v/>
      </c>
      <c r="DA40" s="3">
        <v>40</v>
      </c>
      <c r="DB40" s="3" t="s">
        <v>524</v>
      </c>
    </row>
    <row r="41" spans="1:106" s="3" customFormat="1" hidden="1">
      <c r="A41" s="243" t="str">
        <f t="shared" si="0"/>
        <v>OK</v>
      </c>
      <c r="B41" s="1141" t="str">
        <f>IF(CONSOLIDA!CL22="","",CONSOLIDA!CL22)</f>
        <v/>
      </c>
      <c r="C41" s="1141"/>
      <c r="D41" s="1134" t="str">
        <f>IF(CONSOLIDA!CN22="","",CONSOLIDA!CN22)</f>
        <v/>
      </c>
      <c r="E41" s="1135"/>
      <c r="F41" s="1135"/>
      <c r="G41" s="1129" t="str">
        <f>IF(CONSOLIDA!CO22="","",CONSOLIDA!CO22)</f>
        <v/>
      </c>
      <c r="H41" s="1129"/>
      <c r="I41" s="1129"/>
      <c r="J41" s="1129"/>
      <c r="K41" s="1129"/>
      <c r="L41" s="1129"/>
      <c r="M41" s="1129"/>
      <c r="N41" s="1129"/>
      <c r="O41" s="1129"/>
      <c r="P41" s="1129"/>
      <c r="Q41" s="1129"/>
      <c r="R41" s="1129"/>
      <c r="S41" s="1129"/>
      <c r="T41" s="1129"/>
      <c r="U41" s="1129"/>
      <c r="V41" s="1129"/>
      <c r="W41" s="1129"/>
      <c r="X41" s="1129"/>
      <c r="Y41" s="1130"/>
      <c r="Z41" s="1139" t="str">
        <f>IF(CONSOLIDA!CP22="","",CONSOLIDA!CP22)</f>
        <v/>
      </c>
      <c r="AA41" s="1139"/>
      <c r="AB41" s="1139"/>
      <c r="AC41" s="1139"/>
      <c r="AD41" s="1139"/>
      <c r="AE41" s="1139"/>
      <c r="AF41" s="1139" t="str">
        <f>IF(CONSOLIDA!CQ22="","",CONSOLIDA!CQ22)</f>
        <v/>
      </c>
      <c r="AG41" s="1139"/>
      <c r="AH41" s="1139"/>
      <c r="AI41" s="1139"/>
      <c r="AJ41" s="1139"/>
      <c r="AK41" s="1139"/>
      <c r="AL41" s="1139" t="str">
        <f>IF(CONSOLIDA!CR22="","",CONSOLIDA!CR22)</f>
        <v/>
      </c>
      <c r="AM41" s="1139"/>
      <c r="AN41" s="1139"/>
      <c r="AO41" s="1139"/>
      <c r="AP41" s="1139"/>
      <c r="AQ41" s="1139"/>
      <c r="AR41" s="1139" t="str">
        <f>IF(CONSOLIDA!CS22="","",CONSOLIDA!CS22)</f>
        <v/>
      </c>
      <c r="AS41" s="1139"/>
      <c r="AT41" s="1139"/>
      <c r="AU41" s="1139"/>
      <c r="AV41" s="1139"/>
      <c r="AW41" s="1139"/>
      <c r="AX41" s="1140" t="str">
        <f>IF(CONSOLIDA!CT22="","",CONSOLIDA!CT22)</f>
        <v/>
      </c>
      <c r="AY41" s="1140"/>
      <c r="AZ41" s="1140"/>
      <c r="BA41" s="1140"/>
      <c r="BB41" s="1140"/>
      <c r="BC41" s="1140"/>
      <c r="BD41" s="1139" t="str">
        <f>IF(CONSOLIDA!CU22="","",CONSOLIDA!CU22)</f>
        <v/>
      </c>
      <c r="BE41" s="1139"/>
      <c r="BF41" s="1139"/>
      <c r="BG41" s="1139"/>
      <c r="BH41" s="1139"/>
      <c r="BI41" s="1139"/>
      <c r="BJ41" s="1139" t="str">
        <f>IF(CONSOLIDA!CV22="","",CONSOLIDA!CV22)</f>
        <v/>
      </c>
      <c r="BK41" s="1139"/>
      <c r="BL41" s="1139"/>
      <c r="BM41" s="1139"/>
      <c r="BN41" s="1139"/>
      <c r="BO41" s="1139"/>
      <c r="BP41" s="1139" t="str">
        <f>IF(CONSOLIDA!CW22="","",CONSOLIDA!CW22)</f>
        <v/>
      </c>
      <c r="BQ41" s="1139"/>
      <c r="BR41" s="1139"/>
      <c r="BS41" s="1139"/>
      <c r="BT41" s="1139"/>
      <c r="BU41" s="1139"/>
      <c r="BV41" s="1140" t="str">
        <f>IF(CONSOLIDA!CX22="","",CONSOLIDA!CX22)</f>
        <v/>
      </c>
      <c r="BW41" s="1140"/>
      <c r="BX41" s="1140"/>
      <c r="BY41" s="1140"/>
      <c r="BZ41" s="1140"/>
      <c r="CA41" s="1140"/>
      <c r="CB41" s="1139" t="str">
        <f>IF(CONSOLIDA!CY22="","",CONSOLIDA!CY22)</f>
        <v/>
      </c>
      <c r="CC41" s="1139"/>
      <c r="CD41" s="1139"/>
      <c r="CE41" s="1139"/>
      <c r="CF41" s="1139"/>
      <c r="CG41" s="1139"/>
      <c r="CH41" s="486"/>
      <c r="CI41" s="190" t="str">
        <f>IF(CONSOLIDA!CZ22="","",CONSOLIDA!CZ22)</f>
        <v/>
      </c>
      <c r="CJ41" s="190" t="str">
        <f>IF(CONSOLIDA!DA22="","",CONSOLIDA!DA22)</f>
        <v/>
      </c>
      <c r="DA41" s="3">
        <v>41</v>
      </c>
      <c r="DB41" s="3" t="s">
        <v>525</v>
      </c>
    </row>
    <row r="42" spans="1:106" s="3" customFormat="1" hidden="1">
      <c r="A42" s="243" t="str">
        <f t="shared" si="0"/>
        <v>OK</v>
      </c>
      <c r="B42" s="1141" t="str">
        <f>IF(CONSOLIDA!CL23="","",CONSOLIDA!CL23)</f>
        <v/>
      </c>
      <c r="C42" s="1141"/>
      <c r="D42" s="1134" t="str">
        <f>IF(CONSOLIDA!CN23="","",CONSOLIDA!CN23)</f>
        <v/>
      </c>
      <c r="E42" s="1135"/>
      <c r="F42" s="1135"/>
      <c r="G42" s="1129" t="str">
        <f>IF(CONSOLIDA!CO23="","",CONSOLIDA!CO23)</f>
        <v/>
      </c>
      <c r="H42" s="1129"/>
      <c r="I42" s="1129"/>
      <c r="J42" s="1129"/>
      <c r="K42" s="1129"/>
      <c r="L42" s="1129"/>
      <c r="M42" s="1129"/>
      <c r="N42" s="1129"/>
      <c r="O42" s="1129"/>
      <c r="P42" s="1129"/>
      <c r="Q42" s="1129"/>
      <c r="R42" s="1129"/>
      <c r="S42" s="1129"/>
      <c r="T42" s="1129"/>
      <c r="U42" s="1129"/>
      <c r="V42" s="1129"/>
      <c r="W42" s="1129"/>
      <c r="X42" s="1129"/>
      <c r="Y42" s="1130"/>
      <c r="Z42" s="1139" t="str">
        <f>IF(CONSOLIDA!CP23="","",CONSOLIDA!CP23)</f>
        <v/>
      </c>
      <c r="AA42" s="1139"/>
      <c r="AB42" s="1139"/>
      <c r="AC42" s="1139"/>
      <c r="AD42" s="1139"/>
      <c r="AE42" s="1139"/>
      <c r="AF42" s="1139" t="str">
        <f>IF(CONSOLIDA!CQ23="","",CONSOLIDA!CQ23)</f>
        <v/>
      </c>
      <c r="AG42" s="1139"/>
      <c r="AH42" s="1139"/>
      <c r="AI42" s="1139"/>
      <c r="AJ42" s="1139"/>
      <c r="AK42" s="1139"/>
      <c r="AL42" s="1139" t="str">
        <f>IF(CONSOLIDA!CR23="","",CONSOLIDA!CR23)</f>
        <v/>
      </c>
      <c r="AM42" s="1139"/>
      <c r="AN42" s="1139"/>
      <c r="AO42" s="1139"/>
      <c r="AP42" s="1139"/>
      <c r="AQ42" s="1139"/>
      <c r="AR42" s="1139" t="str">
        <f>IF(CONSOLIDA!CS23="","",CONSOLIDA!CS23)</f>
        <v/>
      </c>
      <c r="AS42" s="1139"/>
      <c r="AT42" s="1139"/>
      <c r="AU42" s="1139"/>
      <c r="AV42" s="1139"/>
      <c r="AW42" s="1139"/>
      <c r="AX42" s="1140" t="str">
        <f>IF(CONSOLIDA!CT23="","",CONSOLIDA!CT23)</f>
        <v/>
      </c>
      <c r="AY42" s="1140"/>
      <c r="AZ42" s="1140"/>
      <c r="BA42" s="1140"/>
      <c r="BB42" s="1140"/>
      <c r="BC42" s="1140"/>
      <c r="BD42" s="1139" t="str">
        <f>IF(CONSOLIDA!CU23="","",CONSOLIDA!CU23)</f>
        <v/>
      </c>
      <c r="BE42" s="1139"/>
      <c r="BF42" s="1139"/>
      <c r="BG42" s="1139"/>
      <c r="BH42" s="1139"/>
      <c r="BI42" s="1139"/>
      <c r="BJ42" s="1139" t="str">
        <f>IF(CONSOLIDA!CV23="","",CONSOLIDA!CV23)</f>
        <v/>
      </c>
      <c r="BK42" s="1139"/>
      <c r="BL42" s="1139"/>
      <c r="BM42" s="1139"/>
      <c r="BN42" s="1139"/>
      <c r="BO42" s="1139"/>
      <c r="BP42" s="1139" t="str">
        <f>IF(CONSOLIDA!CW23="","",CONSOLIDA!CW23)</f>
        <v/>
      </c>
      <c r="BQ42" s="1139"/>
      <c r="BR42" s="1139"/>
      <c r="BS42" s="1139"/>
      <c r="BT42" s="1139"/>
      <c r="BU42" s="1139"/>
      <c r="BV42" s="1140" t="str">
        <f>IF(CONSOLIDA!CX23="","",CONSOLIDA!CX23)</f>
        <v/>
      </c>
      <c r="BW42" s="1140"/>
      <c r="BX42" s="1140"/>
      <c r="BY42" s="1140"/>
      <c r="BZ42" s="1140"/>
      <c r="CA42" s="1140"/>
      <c r="CB42" s="1139" t="str">
        <f>IF(CONSOLIDA!CY23="","",CONSOLIDA!CY23)</f>
        <v/>
      </c>
      <c r="CC42" s="1139"/>
      <c r="CD42" s="1139"/>
      <c r="CE42" s="1139"/>
      <c r="CF42" s="1139"/>
      <c r="CG42" s="1139"/>
      <c r="CH42" s="486"/>
      <c r="CI42" s="190" t="str">
        <f>IF(CONSOLIDA!CZ23="","",CONSOLIDA!CZ23)</f>
        <v/>
      </c>
      <c r="CJ42" s="190" t="str">
        <f>IF(CONSOLIDA!DA23="","",CONSOLIDA!DA23)</f>
        <v/>
      </c>
      <c r="DA42" s="3">
        <v>42</v>
      </c>
      <c r="DB42" s="3" t="s">
        <v>526</v>
      </c>
    </row>
    <row r="43" spans="1:106" s="3" customFormat="1" hidden="1">
      <c r="A43" s="243" t="str">
        <f t="shared" si="0"/>
        <v>OK</v>
      </c>
      <c r="B43" s="1141" t="str">
        <f>IF(CONSOLIDA!CL24="","",CONSOLIDA!CL24)</f>
        <v/>
      </c>
      <c r="C43" s="1141"/>
      <c r="D43" s="1134" t="str">
        <f>IF(CONSOLIDA!CN24="","",CONSOLIDA!CN24)</f>
        <v/>
      </c>
      <c r="E43" s="1135"/>
      <c r="F43" s="1135"/>
      <c r="G43" s="1129" t="str">
        <f>IF(CONSOLIDA!CO24="","",CONSOLIDA!CO24)</f>
        <v/>
      </c>
      <c r="H43" s="1129"/>
      <c r="I43" s="1129"/>
      <c r="J43" s="1129"/>
      <c r="K43" s="1129"/>
      <c r="L43" s="1129"/>
      <c r="M43" s="1129"/>
      <c r="N43" s="1129"/>
      <c r="O43" s="1129"/>
      <c r="P43" s="1129"/>
      <c r="Q43" s="1129"/>
      <c r="R43" s="1129"/>
      <c r="S43" s="1129"/>
      <c r="T43" s="1129"/>
      <c r="U43" s="1129"/>
      <c r="V43" s="1129"/>
      <c r="W43" s="1129"/>
      <c r="X43" s="1129"/>
      <c r="Y43" s="1130"/>
      <c r="Z43" s="1139" t="str">
        <f>IF(CONSOLIDA!CP24="","",CONSOLIDA!CP24)</f>
        <v/>
      </c>
      <c r="AA43" s="1139"/>
      <c r="AB43" s="1139"/>
      <c r="AC43" s="1139"/>
      <c r="AD43" s="1139"/>
      <c r="AE43" s="1139"/>
      <c r="AF43" s="1139" t="str">
        <f>IF(CONSOLIDA!CQ24="","",CONSOLIDA!CQ24)</f>
        <v/>
      </c>
      <c r="AG43" s="1139"/>
      <c r="AH43" s="1139"/>
      <c r="AI43" s="1139"/>
      <c r="AJ43" s="1139"/>
      <c r="AK43" s="1139"/>
      <c r="AL43" s="1139" t="str">
        <f>IF(CONSOLIDA!CR24="","",CONSOLIDA!CR24)</f>
        <v/>
      </c>
      <c r="AM43" s="1139"/>
      <c r="AN43" s="1139"/>
      <c r="AO43" s="1139"/>
      <c r="AP43" s="1139"/>
      <c r="AQ43" s="1139"/>
      <c r="AR43" s="1139" t="str">
        <f>IF(CONSOLIDA!CS24="","",CONSOLIDA!CS24)</f>
        <v/>
      </c>
      <c r="AS43" s="1139"/>
      <c r="AT43" s="1139"/>
      <c r="AU43" s="1139"/>
      <c r="AV43" s="1139"/>
      <c r="AW43" s="1139"/>
      <c r="AX43" s="1140" t="str">
        <f>IF(CONSOLIDA!CT24="","",CONSOLIDA!CT24)</f>
        <v/>
      </c>
      <c r="AY43" s="1140"/>
      <c r="AZ43" s="1140"/>
      <c r="BA43" s="1140"/>
      <c r="BB43" s="1140"/>
      <c r="BC43" s="1140"/>
      <c r="BD43" s="1139" t="str">
        <f>IF(CONSOLIDA!CU24="","",CONSOLIDA!CU24)</f>
        <v/>
      </c>
      <c r="BE43" s="1139"/>
      <c r="BF43" s="1139"/>
      <c r="BG43" s="1139"/>
      <c r="BH43" s="1139"/>
      <c r="BI43" s="1139"/>
      <c r="BJ43" s="1139" t="str">
        <f>IF(CONSOLIDA!CV24="","",CONSOLIDA!CV24)</f>
        <v/>
      </c>
      <c r="BK43" s="1139"/>
      <c r="BL43" s="1139"/>
      <c r="BM43" s="1139"/>
      <c r="BN43" s="1139"/>
      <c r="BO43" s="1139"/>
      <c r="BP43" s="1139" t="str">
        <f>IF(CONSOLIDA!CW24="","",CONSOLIDA!CW24)</f>
        <v/>
      </c>
      <c r="BQ43" s="1139"/>
      <c r="BR43" s="1139"/>
      <c r="BS43" s="1139"/>
      <c r="BT43" s="1139"/>
      <c r="BU43" s="1139"/>
      <c r="BV43" s="1140" t="str">
        <f>IF(CONSOLIDA!CX24="","",CONSOLIDA!CX24)</f>
        <v/>
      </c>
      <c r="BW43" s="1140"/>
      <c r="BX43" s="1140"/>
      <c r="BY43" s="1140"/>
      <c r="BZ43" s="1140"/>
      <c r="CA43" s="1140"/>
      <c r="CB43" s="1139" t="str">
        <f>IF(CONSOLIDA!CY24="","",CONSOLIDA!CY24)</f>
        <v/>
      </c>
      <c r="CC43" s="1139"/>
      <c r="CD43" s="1139"/>
      <c r="CE43" s="1139"/>
      <c r="CF43" s="1139"/>
      <c r="CG43" s="1139"/>
      <c r="CH43" s="486"/>
      <c r="CI43" s="190" t="str">
        <f>IF(CONSOLIDA!CZ24="","",CONSOLIDA!CZ24)</f>
        <v/>
      </c>
      <c r="CJ43" s="190" t="str">
        <f>IF(CONSOLIDA!DA24="","",CONSOLIDA!DA24)</f>
        <v/>
      </c>
      <c r="DA43" s="3">
        <v>43</v>
      </c>
      <c r="DB43" s="3" t="s">
        <v>527</v>
      </c>
    </row>
    <row r="44" spans="1:106" s="3" customFormat="1" hidden="1">
      <c r="A44" s="243" t="str">
        <f t="shared" si="0"/>
        <v>OK</v>
      </c>
      <c r="B44" s="1141" t="str">
        <f>IF(CONSOLIDA!CL25="","",CONSOLIDA!CL25)</f>
        <v/>
      </c>
      <c r="C44" s="1141"/>
      <c r="D44" s="1134" t="str">
        <f>IF(CONSOLIDA!CN25="","",CONSOLIDA!CN25)</f>
        <v/>
      </c>
      <c r="E44" s="1135"/>
      <c r="F44" s="1135"/>
      <c r="G44" s="1129" t="str">
        <f>IF(CONSOLIDA!CO25="","",CONSOLIDA!CO25)</f>
        <v/>
      </c>
      <c r="H44" s="1129"/>
      <c r="I44" s="1129"/>
      <c r="J44" s="1129"/>
      <c r="K44" s="1129"/>
      <c r="L44" s="1129"/>
      <c r="M44" s="1129"/>
      <c r="N44" s="1129"/>
      <c r="O44" s="1129"/>
      <c r="P44" s="1129"/>
      <c r="Q44" s="1129"/>
      <c r="R44" s="1129"/>
      <c r="S44" s="1129"/>
      <c r="T44" s="1129"/>
      <c r="U44" s="1129"/>
      <c r="V44" s="1129"/>
      <c r="W44" s="1129"/>
      <c r="X44" s="1129"/>
      <c r="Y44" s="1130"/>
      <c r="Z44" s="1139" t="str">
        <f>IF(CONSOLIDA!CP25="","",CONSOLIDA!CP25)</f>
        <v/>
      </c>
      <c r="AA44" s="1139"/>
      <c r="AB44" s="1139"/>
      <c r="AC44" s="1139"/>
      <c r="AD44" s="1139"/>
      <c r="AE44" s="1139"/>
      <c r="AF44" s="1139" t="str">
        <f>IF(CONSOLIDA!CQ25="","",CONSOLIDA!CQ25)</f>
        <v/>
      </c>
      <c r="AG44" s="1139"/>
      <c r="AH44" s="1139"/>
      <c r="AI44" s="1139"/>
      <c r="AJ44" s="1139"/>
      <c r="AK44" s="1139"/>
      <c r="AL44" s="1139" t="str">
        <f>IF(CONSOLIDA!CR25="","",CONSOLIDA!CR25)</f>
        <v/>
      </c>
      <c r="AM44" s="1139"/>
      <c r="AN44" s="1139"/>
      <c r="AO44" s="1139"/>
      <c r="AP44" s="1139"/>
      <c r="AQ44" s="1139"/>
      <c r="AR44" s="1139" t="str">
        <f>IF(CONSOLIDA!CS25="","",CONSOLIDA!CS25)</f>
        <v/>
      </c>
      <c r="AS44" s="1139"/>
      <c r="AT44" s="1139"/>
      <c r="AU44" s="1139"/>
      <c r="AV44" s="1139"/>
      <c r="AW44" s="1139"/>
      <c r="AX44" s="1140" t="str">
        <f>IF(CONSOLIDA!CT25="","",CONSOLIDA!CT25)</f>
        <v/>
      </c>
      <c r="AY44" s="1140"/>
      <c r="AZ44" s="1140"/>
      <c r="BA44" s="1140"/>
      <c r="BB44" s="1140"/>
      <c r="BC44" s="1140"/>
      <c r="BD44" s="1139" t="str">
        <f>IF(CONSOLIDA!CU25="","",CONSOLIDA!CU25)</f>
        <v/>
      </c>
      <c r="BE44" s="1139"/>
      <c r="BF44" s="1139"/>
      <c r="BG44" s="1139"/>
      <c r="BH44" s="1139"/>
      <c r="BI44" s="1139"/>
      <c r="BJ44" s="1139" t="str">
        <f>IF(CONSOLIDA!CV25="","",CONSOLIDA!CV25)</f>
        <v/>
      </c>
      <c r="BK44" s="1139"/>
      <c r="BL44" s="1139"/>
      <c r="BM44" s="1139"/>
      <c r="BN44" s="1139"/>
      <c r="BO44" s="1139"/>
      <c r="BP44" s="1139" t="str">
        <f>IF(CONSOLIDA!CW25="","",CONSOLIDA!CW25)</f>
        <v/>
      </c>
      <c r="BQ44" s="1139"/>
      <c r="BR44" s="1139"/>
      <c r="BS44" s="1139"/>
      <c r="BT44" s="1139"/>
      <c r="BU44" s="1139"/>
      <c r="BV44" s="1140" t="str">
        <f>IF(CONSOLIDA!CX25="","",CONSOLIDA!CX25)</f>
        <v/>
      </c>
      <c r="BW44" s="1140"/>
      <c r="BX44" s="1140"/>
      <c r="BY44" s="1140"/>
      <c r="BZ44" s="1140"/>
      <c r="CA44" s="1140"/>
      <c r="CB44" s="1139" t="str">
        <f>IF(CONSOLIDA!CY25="","",CONSOLIDA!CY25)</f>
        <v/>
      </c>
      <c r="CC44" s="1139"/>
      <c r="CD44" s="1139"/>
      <c r="CE44" s="1139"/>
      <c r="CF44" s="1139"/>
      <c r="CG44" s="1139"/>
      <c r="CH44" s="486"/>
      <c r="CI44" s="190" t="str">
        <f>IF(CONSOLIDA!CZ25="","",CONSOLIDA!CZ25)</f>
        <v/>
      </c>
      <c r="CJ44" s="190" t="str">
        <f>IF(CONSOLIDA!DA25="","",CONSOLIDA!DA25)</f>
        <v/>
      </c>
      <c r="DA44" s="3">
        <v>44</v>
      </c>
      <c r="DB44" s="3" t="s">
        <v>528</v>
      </c>
    </row>
    <row r="45" spans="1:106" s="3" customFormat="1" hidden="1">
      <c r="A45" s="243" t="str">
        <f t="shared" si="0"/>
        <v>OK</v>
      </c>
      <c r="B45" s="1141" t="str">
        <f>IF(CONSOLIDA!CL26="","",CONSOLIDA!CL26)</f>
        <v/>
      </c>
      <c r="C45" s="1141"/>
      <c r="D45" s="1134" t="str">
        <f>IF(CONSOLIDA!CN26="","",CONSOLIDA!CN26)</f>
        <v/>
      </c>
      <c r="E45" s="1135"/>
      <c r="F45" s="1135"/>
      <c r="G45" s="1129" t="str">
        <f>IF(CONSOLIDA!CO26="","",CONSOLIDA!CO26)</f>
        <v/>
      </c>
      <c r="H45" s="1129"/>
      <c r="I45" s="1129"/>
      <c r="J45" s="1129"/>
      <c r="K45" s="1129"/>
      <c r="L45" s="1129"/>
      <c r="M45" s="1129"/>
      <c r="N45" s="1129"/>
      <c r="O45" s="1129"/>
      <c r="P45" s="1129"/>
      <c r="Q45" s="1129"/>
      <c r="R45" s="1129"/>
      <c r="S45" s="1129"/>
      <c r="T45" s="1129"/>
      <c r="U45" s="1129"/>
      <c r="V45" s="1129"/>
      <c r="W45" s="1129"/>
      <c r="X45" s="1129"/>
      <c r="Y45" s="1130"/>
      <c r="Z45" s="1139" t="str">
        <f>IF(CONSOLIDA!CP26="","",CONSOLIDA!CP26)</f>
        <v/>
      </c>
      <c r="AA45" s="1139"/>
      <c r="AB45" s="1139"/>
      <c r="AC45" s="1139"/>
      <c r="AD45" s="1139"/>
      <c r="AE45" s="1139"/>
      <c r="AF45" s="1139" t="str">
        <f>IF(CONSOLIDA!CQ26="","",CONSOLIDA!CQ26)</f>
        <v/>
      </c>
      <c r="AG45" s="1139"/>
      <c r="AH45" s="1139"/>
      <c r="AI45" s="1139"/>
      <c r="AJ45" s="1139"/>
      <c r="AK45" s="1139"/>
      <c r="AL45" s="1139" t="str">
        <f>IF(CONSOLIDA!CR26="","",CONSOLIDA!CR26)</f>
        <v/>
      </c>
      <c r="AM45" s="1139"/>
      <c r="AN45" s="1139"/>
      <c r="AO45" s="1139"/>
      <c r="AP45" s="1139"/>
      <c r="AQ45" s="1139"/>
      <c r="AR45" s="1139" t="str">
        <f>IF(CONSOLIDA!CS26="","",CONSOLIDA!CS26)</f>
        <v/>
      </c>
      <c r="AS45" s="1139"/>
      <c r="AT45" s="1139"/>
      <c r="AU45" s="1139"/>
      <c r="AV45" s="1139"/>
      <c r="AW45" s="1139"/>
      <c r="AX45" s="1140" t="str">
        <f>IF(CONSOLIDA!CT26="","",CONSOLIDA!CT26)</f>
        <v/>
      </c>
      <c r="AY45" s="1140"/>
      <c r="AZ45" s="1140"/>
      <c r="BA45" s="1140"/>
      <c r="BB45" s="1140"/>
      <c r="BC45" s="1140"/>
      <c r="BD45" s="1139" t="str">
        <f>IF(CONSOLIDA!CU26="","",CONSOLIDA!CU26)</f>
        <v/>
      </c>
      <c r="BE45" s="1139"/>
      <c r="BF45" s="1139"/>
      <c r="BG45" s="1139"/>
      <c r="BH45" s="1139"/>
      <c r="BI45" s="1139"/>
      <c r="BJ45" s="1139" t="str">
        <f>IF(CONSOLIDA!CV26="","",CONSOLIDA!CV26)</f>
        <v/>
      </c>
      <c r="BK45" s="1139"/>
      <c r="BL45" s="1139"/>
      <c r="BM45" s="1139"/>
      <c r="BN45" s="1139"/>
      <c r="BO45" s="1139"/>
      <c r="BP45" s="1139" t="str">
        <f>IF(CONSOLIDA!CW26="","",CONSOLIDA!CW26)</f>
        <v/>
      </c>
      <c r="BQ45" s="1139"/>
      <c r="BR45" s="1139"/>
      <c r="BS45" s="1139"/>
      <c r="BT45" s="1139"/>
      <c r="BU45" s="1139"/>
      <c r="BV45" s="1140" t="str">
        <f>IF(CONSOLIDA!CX26="","",CONSOLIDA!CX26)</f>
        <v/>
      </c>
      <c r="BW45" s="1140"/>
      <c r="BX45" s="1140"/>
      <c r="BY45" s="1140"/>
      <c r="BZ45" s="1140"/>
      <c r="CA45" s="1140"/>
      <c r="CB45" s="1139" t="str">
        <f>IF(CONSOLIDA!CY26="","",CONSOLIDA!CY26)</f>
        <v/>
      </c>
      <c r="CC45" s="1139"/>
      <c r="CD45" s="1139"/>
      <c r="CE45" s="1139"/>
      <c r="CF45" s="1139"/>
      <c r="CG45" s="1139"/>
      <c r="CH45" s="486"/>
      <c r="CI45" s="190" t="str">
        <f>IF(CONSOLIDA!CZ26="","",CONSOLIDA!CZ26)</f>
        <v/>
      </c>
      <c r="CJ45" s="190" t="str">
        <f>IF(CONSOLIDA!DA26="","",CONSOLIDA!DA26)</f>
        <v/>
      </c>
      <c r="DA45" s="3">
        <v>45</v>
      </c>
      <c r="DB45" s="3" t="s">
        <v>529</v>
      </c>
    </row>
    <row r="46" spans="1:106" s="3" customFormat="1" hidden="1">
      <c r="A46" s="243" t="str">
        <f t="shared" si="0"/>
        <v>OK</v>
      </c>
      <c r="B46" s="1141" t="str">
        <f>IF(CONSOLIDA!CL27="","",CONSOLIDA!CL27)</f>
        <v/>
      </c>
      <c r="C46" s="1141"/>
      <c r="D46" s="1134" t="str">
        <f>IF(CONSOLIDA!CN27="","",CONSOLIDA!CN27)</f>
        <v/>
      </c>
      <c r="E46" s="1135"/>
      <c r="F46" s="1135"/>
      <c r="G46" s="1129" t="str">
        <f>IF(CONSOLIDA!CO27="","",CONSOLIDA!CO27)</f>
        <v/>
      </c>
      <c r="H46" s="1129"/>
      <c r="I46" s="1129"/>
      <c r="J46" s="1129"/>
      <c r="K46" s="1129"/>
      <c r="L46" s="1129"/>
      <c r="M46" s="1129"/>
      <c r="N46" s="1129"/>
      <c r="O46" s="1129"/>
      <c r="P46" s="1129"/>
      <c r="Q46" s="1129"/>
      <c r="R46" s="1129"/>
      <c r="S46" s="1129"/>
      <c r="T46" s="1129"/>
      <c r="U46" s="1129"/>
      <c r="V46" s="1129"/>
      <c r="W46" s="1129"/>
      <c r="X46" s="1129"/>
      <c r="Y46" s="1130"/>
      <c r="Z46" s="1139" t="str">
        <f>IF(CONSOLIDA!CP27="","",CONSOLIDA!CP27)</f>
        <v/>
      </c>
      <c r="AA46" s="1139"/>
      <c r="AB46" s="1139"/>
      <c r="AC46" s="1139"/>
      <c r="AD46" s="1139"/>
      <c r="AE46" s="1139"/>
      <c r="AF46" s="1139" t="str">
        <f>IF(CONSOLIDA!CQ27="","",CONSOLIDA!CQ27)</f>
        <v/>
      </c>
      <c r="AG46" s="1139"/>
      <c r="AH46" s="1139"/>
      <c r="AI46" s="1139"/>
      <c r="AJ46" s="1139"/>
      <c r="AK46" s="1139"/>
      <c r="AL46" s="1139" t="str">
        <f>IF(CONSOLIDA!CR27="","",CONSOLIDA!CR27)</f>
        <v/>
      </c>
      <c r="AM46" s="1139"/>
      <c r="AN46" s="1139"/>
      <c r="AO46" s="1139"/>
      <c r="AP46" s="1139"/>
      <c r="AQ46" s="1139"/>
      <c r="AR46" s="1139" t="str">
        <f>IF(CONSOLIDA!CS27="","",CONSOLIDA!CS27)</f>
        <v/>
      </c>
      <c r="AS46" s="1139"/>
      <c r="AT46" s="1139"/>
      <c r="AU46" s="1139"/>
      <c r="AV46" s="1139"/>
      <c r="AW46" s="1139"/>
      <c r="AX46" s="1140" t="str">
        <f>IF(CONSOLIDA!CT27="","",CONSOLIDA!CT27)</f>
        <v/>
      </c>
      <c r="AY46" s="1140"/>
      <c r="AZ46" s="1140"/>
      <c r="BA46" s="1140"/>
      <c r="BB46" s="1140"/>
      <c r="BC46" s="1140"/>
      <c r="BD46" s="1139" t="str">
        <f>IF(CONSOLIDA!CU27="","",CONSOLIDA!CU27)</f>
        <v/>
      </c>
      <c r="BE46" s="1139"/>
      <c r="BF46" s="1139"/>
      <c r="BG46" s="1139"/>
      <c r="BH46" s="1139"/>
      <c r="BI46" s="1139"/>
      <c r="BJ46" s="1139" t="str">
        <f>IF(CONSOLIDA!CV27="","",CONSOLIDA!CV27)</f>
        <v/>
      </c>
      <c r="BK46" s="1139"/>
      <c r="BL46" s="1139"/>
      <c r="BM46" s="1139"/>
      <c r="BN46" s="1139"/>
      <c r="BO46" s="1139"/>
      <c r="BP46" s="1139" t="str">
        <f>IF(CONSOLIDA!CW27="","",CONSOLIDA!CW27)</f>
        <v/>
      </c>
      <c r="BQ46" s="1139"/>
      <c r="BR46" s="1139"/>
      <c r="BS46" s="1139"/>
      <c r="BT46" s="1139"/>
      <c r="BU46" s="1139"/>
      <c r="BV46" s="1140" t="str">
        <f>IF(CONSOLIDA!CX27="","",CONSOLIDA!CX27)</f>
        <v/>
      </c>
      <c r="BW46" s="1140"/>
      <c r="BX46" s="1140"/>
      <c r="BY46" s="1140"/>
      <c r="BZ46" s="1140"/>
      <c r="CA46" s="1140"/>
      <c r="CB46" s="1139" t="str">
        <f>IF(CONSOLIDA!CY27="","",CONSOLIDA!CY27)</f>
        <v/>
      </c>
      <c r="CC46" s="1139"/>
      <c r="CD46" s="1139"/>
      <c r="CE46" s="1139"/>
      <c r="CF46" s="1139"/>
      <c r="CG46" s="1139"/>
      <c r="CH46" s="486"/>
      <c r="CI46" s="190" t="str">
        <f>IF(CONSOLIDA!CZ27="","",CONSOLIDA!CZ27)</f>
        <v/>
      </c>
      <c r="CJ46" s="190" t="str">
        <f>IF(CONSOLIDA!DA27="","",CONSOLIDA!DA27)</f>
        <v/>
      </c>
      <c r="DA46" s="3">
        <v>46</v>
      </c>
      <c r="DB46" s="3" t="s">
        <v>530</v>
      </c>
    </row>
    <row r="47" spans="1:106" s="3" customFormat="1" hidden="1">
      <c r="A47" s="243" t="str">
        <f t="shared" si="0"/>
        <v>OK</v>
      </c>
      <c r="B47" s="1141" t="str">
        <f>IF(CONSOLIDA!CL28="","",CONSOLIDA!CL28)</f>
        <v/>
      </c>
      <c r="C47" s="1141"/>
      <c r="D47" s="1134" t="str">
        <f>IF(CONSOLIDA!CN28="","",CONSOLIDA!CN28)</f>
        <v/>
      </c>
      <c r="E47" s="1135"/>
      <c r="F47" s="1135"/>
      <c r="G47" s="1129" t="str">
        <f>IF(CONSOLIDA!CO28="","",CONSOLIDA!CO28)</f>
        <v/>
      </c>
      <c r="H47" s="1129"/>
      <c r="I47" s="1129"/>
      <c r="J47" s="1129"/>
      <c r="K47" s="1129"/>
      <c r="L47" s="1129"/>
      <c r="M47" s="1129"/>
      <c r="N47" s="1129"/>
      <c r="O47" s="1129"/>
      <c r="P47" s="1129"/>
      <c r="Q47" s="1129"/>
      <c r="R47" s="1129"/>
      <c r="S47" s="1129"/>
      <c r="T47" s="1129"/>
      <c r="U47" s="1129"/>
      <c r="V47" s="1129"/>
      <c r="W47" s="1129"/>
      <c r="X47" s="1129"/>
      <c r="Y47" s="1130"/>
      <c r="Z47" s="1139" t="str">
        <f>IF(CONSOLIDA!CP28="","",CONSOLIDA!CP28)</f>
        <v/>
      </c>
      <c r="AA47" s="1139"/>
      <c r="AB47" s="1139"/>
      <c r="AC47" s="1139"/>
      <c r="AD47" s="1139"/>
      <c r="AE47" s="1139"/>
      <c r="AF47" s="1139" t="str">
        <f>IF(CONSOLIDA!CQ28="","",CONSOLIDA!CQ28)</f>
        <v/>
      </c>
      <c r="AG47" s="1139"/>
      <c r="AH47" s="1139"/>
      <c r="AI47" s="1139"/>
      <c r="AJ47" s="1139"/>
      <c r="AK47" s="1139"/>
      <c r="AL47" s="1139" t="str">
        <f>IF(CONSOLIDA!CR28="","",CONSOLIDA!CR28)</f>
        <v/>
      </c>
      <c r="AM47" s="1139"/>
      <c r="AN47" s="1139"/>
      <c r="AO47" s="1139"/>
      <c r="AP47" s="1139"/>
      <c r="AQ47" s="1139"/>
      <c r="AR47" s="1139" t="str">
        <f>IF(CONSOLIDA!CS28="","",CONSOLIDA!CS28)</f>
        <v/>
      </c>
      <c r="AS47" s="1139"/>
      <c r="AT47" s="1139"/>
      <c r="AU47" s="1139"/>
      <c r="AV47" s="1139"/>
      <c r="AW47" s="1139"/>
      <c r="AX47" s="1140" t="str">
        <f>IF(CONSOLIDA!CT28="","",CONSOLIDA!CT28)</f>
        <v/>
      </c>
      <c r="AY47" s="1140"/>
      <c r="AZ47" s="1140"/>
      <c r="BA47" s="1140"/>
      <c r="BB47" s="1140"/>
      <c r="BC47" s="1140"/>
      <c r="BD47" s="1139" t="str">
        <f>IF(CONSOLIDA!CU28="","",CONSOLIDA!CU28)</f>
        <v/>
      </c>
      <c r="BE47" s="1139"/>
      <c r="BF47" s="1139"/>
      <c r="BG47" s="1139"/>
      <c r="BH47" s="1139"/>
      <c r="BI47" s="1139"/>
      <c r="BJ47" s="1139" t="str">
        <f>IF(CONSOLIDA!CV28="","",CONSOLIDA!CV28)</f>
        <v/>
      </c>
      <c r="BK47" s="1139"/>
      <c r="BL47" s="1139"/>
      <c r="BM47" s="1139"/>
      <c r="BN47" s="1139"/>
      <c r="BO47" s="1139"/>
      <c r="BP47" s="1139" t="str">
        <f>IF(CONSOLIDA!CW28="","",CONSOLIDA!CW28)</f>
        <v/>
      </c>
      <c r="BQ47" s="1139"/>
      <c r="BR47" s="1139"/>
      <c r="BS47" s="1139"/>
      <c r="BT47" s="1139"/>
      <c r="BU47" s="1139"/>
      <c r="BV47" s="1140" t="str">
        <f>IF(CONSOLIDA!CX28="","",CONSOLIDA!CX28)</f>
        <v/>
      </c>
      <c r="BW47" s="1140"/>
      <c r="BX47" s="1140"/>
      <c r="BY47" s="1140"/>
      <c r="BZ47" s="1140"/>
      <c r="CA47" s="1140"/>
      <c r="CB47" s="1139" t="str">
        <f>IF(CONSOLIDA!CY28="","",CONSOLIDA!CY28)</f>
        <v/>
      </c>
      <c r="CC47" s="1139"/>
      <c r="CD47" s="1139"/>
      <c r="CE47" s="1139"/>
      <c r="CF47" s="1139"/>
      <c r="CG47" s="1139"/>
      <c r="CH47" s="486"/>
      <c r="CI47" s="190" t="str">
        <f>IF(CONSOLIDA!CZ28="","",CONSOLIDA!CZ28)</f>
        <v/>
      </c>
      <c r="CJ47" s="190" t="str">
        <f>IF(CONSOLIDA!DA28="","",CONSOLIDA!DA28)</f>
        <v/>
      </c>
      <c r="DA47" s="3">
        <v>47</v>
      </c>
      <c r="DB47" s="3" t="s">
        <v>531</v>
      </c>
    </row>
    <row r="48" spans="1:106" s="3" customFormat="1" hidden="1">
      <c r="A48" s="243" t="str">
        <f t="shared" si="0"/>
        <v>OK</v>
      </c>
      <c r="B48" s="1141" t="str">
        <f>IF(CONSOLIDA!CL29="","",CONSOLIDA!CL29)</f>
        <v/>
      </c>
      <c r="C48" s="1141"/>
      <c r="D48" s="1134" t="str">
        <f>IF(CONSOLIDA!CN29="","",CONSOLIDA!CN29)</f>
        <v/>
      </c>
      <c r="E48" s="1135"/>
      <c r="F48" s="1135"/>
      <c r="G48" s="1129" t="str">
        <f>IF(CONSOLIDA!CO29="","",CONSOLIDA!CO29)</f>
        <v/>
      </c>
      <c r="H48" s="1129"/>
      <c r="I48" s="1129"/>
      <c r="J48" s="1129"/>
      <c r="K48" s="1129"/>
      <c r="L48" s="1129"/>
      <c r="M48" s="1129"/>
      <c r="N48" s="1129"/>
      <c r="O48" s="1129"/>
      <c r="P48" s="1129"/>
      <c r="Q48" s="1129"/>
      <c r="R48" s="1129"/>
      <c r="S48" s="1129"/>
      <c r="T48" s="1129"/>
      <c r="U48" s="1129"/>
      <c r="V48" s="1129"/>
      <c r="W48" s="1129"/>
      <c r="X48" s="1129"/>
      <c r="Y48" s="1130"/>
      <c r="Z48" s="1139" t="str">
        <f>IF(CONSOLIDA!CP29="","",CONSOLIDA!CP29)</f>
        <v/>
      </c>
      <c r="AA48" s="1139"/>
      <c r="AB48" s="1139"/>
      <c r="AC48" s="1139"/>
      <c r="AD48" s="1139"/>
      <c r="AE48" s="1139"/>
      <c r="AF48" s="1139" t="str">
        <f>IF(CONSOLIDA!CQ29="","",CONSOLIDA!CQ29)</f>
        <v/>
      </c>
      <c r="AG48" s="1139"/>
      <c r="AH48" s="1139"/>
      <c r="AI48" s="1139"/>
      <c r="AJ48" s="1139"/>
      <c r="AK48" s="1139"/>
      <c r="AL48" s="1139" t="str">
        <f>IF(CONSOLIDA!CR29="","",CONSOLIDA!CR29)</f>
        <v/>
      </c>
      <c r="AM48" s="1139"/>
      <c r="AN48" s="1139"/>
      <c r="AO48" s="1139"/>
      <c r="AP48" s="1139"/>
      <c r="AQ48" s="1139"/>
      <c r="AR48" s="1139" t="str">
        <f>IF(CONSOLIDA!CS29="","",CONSOLIDA!CS29)</f>
        <v/>
      </c>
      <c r="AS48" s="1139"/>
      <c r="AT48" s="1139"/>
      <c r="AU48" s="1139"/>
      <c r="AV48" s="1139"/>
      <c r="AW48" s="1139"/>
      <c r="AX48" s="1140" t="str">
        <f>IF(CONSOLIDA!CT29="","",CONSOLIDA!CT29)</f>
        <v/>
      </c>
      <c r="AY48" s="1140"/>
      <c r="AZ48" s="1140"/>
      <c r="BA48" s="1140"/>
      <c r="BB48" s="1140"/>
      <c r="BC48" s="1140"/>
      <c r="BD48" s="1139" t="str">
        <f>IF(CONSOLIDA!CU29="","",CONSOLIDA!CU29)</f>
        <v/>
      </c>
      <c r="BE48" s="1139"/>
      <c r="BF48" s="1139"/>
      <c r="BG48" s="1139"/>
      <c r="BH48" s="1139"/>
      <c r="BI48" s="1139"/>
      <c r="BJ48" s="1139" t="str">
        <f>IF(CONSOLIDA!CV29="","",CONSOLIDA!CV29)</f>
        <v/>
      </c>
      <c r="BK48" s="1139"/>
      <c r="BL48" s="1139"/>
      <c r="BM48" s="1139"/>
      <c r="BN48" s="1139"/>
      <c r="BO48" s="1139"/>
      <c r="BP48" s="1139" t="str">
        <f>IF(CONSOLIDA!CW29="","",CONSOLIDA!CW29)</f>
        <v/>
      </c>
      <c r="BQ48" s="1139"/>
      <c r="BR48" s="1139"/>
      <c r="BS48" s="1139"/>
      <c r="BT48" s="1139"/>
      <c r="BU48" s="1139"/>
      <c r="BV48" s="1140" t="str">
        <f>IF(CONSOLIDA!CX29="","",CONSOLIDA!CX29)</f>
        <v/>
      </c>
      <c r="BW48" s="1140"/>
      <c r="BX48" s="1140"/>
      <c r="BY48" s="1140"/>
      <c r="BZ48" s="1140"/>
      <c r="CA48" s="1140"/>
      <c r="CB48" s="1139" t="str">
        <f>IF(CONSOLIDA!CY29="","",CONSOLIDA!CY29)</f>
        <v/>
      </c>
      <c r="CC48" s="1139"/>
      <c r="CD48" s="1139"/>
      <c r="CE48" s="1139"/>
      <c r="CF48" s="1139"/>
      <c r="CG48" s="1139"/>
      <c r="CH48" s="486"/>
      <c r="CI48" s="190" t="str">
        <f>IF(CONSOLIDA!CZ29="","",CONSOLIDA!CZ29)</f>
        <v/>
      </c>
      <c r="CJ48" s="190" t="str">
        <f>IF(CONSOLIDA!DA29="","",CONSOLIDA!DA29)</f>
        <v/>
      </c>
      <c r="DA48" s="3">
        <v>48</v>
      </c>
      <c r="DB48" s="3" t="s">
        <v>532</v>
      </c>
    </row>
    <row r="49" spans="1:106" s="3" customFormat="1" hidden="1">
      <c r="A49" s="243" t="str">
        <f t="shared" si="0"/>
        <v>OK</v>
      </c>
      <c r="B49" s="1141" t="str">
        <f>IF(CONSOLIDA!CL30="","",CONSOLIDA!CL30)</f>
        <v/>
      </c>
      <c r="C49" s="1141"/>
      <c r="D49" s="1134" t="str">
        <f>IF(CONSOLIDA!CN30="","",CONSOLIDA!CN30)</f>
        <v/>
      </c>
      <c r="E49" s="1135"/>
      <c r="F49" s="1135"/>
      <c r="G49" s="1129" t="str">
        <f>IF(CONSOLIDA!CO30="","",CONSOLIDA!CO30)</f>
        <v/>
      </c>
      <c r="H49" s="1129"/>
      <c r="I49" s="1129"/>
      <c r="J49" s="1129"/>
      <c r="K49" s="1129"/>
      <c r="L49" s="1129"/>
      <c r="M49" s="1129"/>
      <c r="N49" s="1129"/>
      <c r="O49" s="1129"/>
      <c r="P49" s="1129"/>
      <c r="Q49" s="1129"/>
      <c r="R49" s="1129"/>
      <c r="S49" s="1129"/>
      <c r="T49" s="1129"/>
      <c r="U49" s="1129"/>
      <c r="V49" s="1129"/>
      <c r="W49" s="1129"/>
      <c r="X49" s="1129"/>
      <c r="Y49" s="1130"/>
      <c r="Z49" s="1139" t="str">
        <f>IF(CONSOLIDA!CP30="","",CONSOLIDA!CP30)</f>
        <v/>
      </c>
      <c r="AA49" s="1139"/>
      <c r="AB49" s="1139"/>
      <c r="AC49" s="1139"/>
      <c r="AD49" s="1139"/>
      <c r="AE49" s="1139"/>
      <c r="AF49" s="1139" t="str">
        <f>IF(CONSOLIDA!CQ30="","",CONSOLIDA!CQ30)</f>
        <v/>
      </c>
      <c r="AG49" s="1139"/>
      <c r="AH49" s="1139"/>
      <c r="AI49" s="1139"/>
      <c r="AJ49" s="1139"/>
      <c r="AK49" s="1139"/>
      <c r="AL49" s="1139" t="str">
        <f>IF(CONSOLIDA!CR30="","",CONSOLIDA!CR30)</f>
        <v/>
      </c>
      <c r="AM49" s="1139"/>
      <c r="AN49" s="1139"/>
      <c r="AO49" s="1139"/>
      <c r="AP49" s="1139"/>
      <c r="AQ49" s="1139"/>
      <c r="AR49" s="1139" t="str">
        <f>IF(CONSOLIDA!CS30="","",CONSOLIDA!CS30)</f>
        <v/>
      </c>
      <c r="AS49" s="1139"/>
      <c r="AT49" s="1139"/>
      <c r="AU49" s="1139"/>
      <c r="AV49" s="1139"/>
      <c r="AW49" s="1139"/>
      <c r="AX49" s="1140" t="str">
        <f>IF(CONSOLIDA!CT30="","",CONSOLIDA!CT30)</f>
        <v/>
      </c>
      <c r="AY49" s="1140"/>
      <c r="AZ49" s="1140"/>
      <c r="BA49" s="1140"/>
      <c r="BB49" s="1140"/>
      <c r="BC49" s="1140"/>
      <c r="BD49" s="1139" t="str">
        <f>IF(CONSOLIDA!CU30="","",CONSOLIDA!CU30)</f>
        <v/>
      </c>
      <c r="BE49" s="1139"/>
      <c r="BF49" s="1139"/>
      <c r="BG49" s="1139"/>
      <c r="BH49" s="1139"/>
      <c r="BI49" s="1139"/>
      <c r="BJ49" s="1139" t="str">
        <f>IF(CONSOLIDA!CV30="","",CONSOLIDA!CV30)</f>
        <v/>
      </c>
      <c r="BK49" s="1139"/>
      <c r="BL49" s="1139"/>
      <c r="BM49" s="1139"/>
      <c r="BN49" s="1139"/>
      <c r="BO49" s="1139"/>
      <c r="BP49" s="1139" t="str">
        <f>IF(CONSOLIDA!CW30="","",CONSOLIDA!CW30)</f>
        <v/>
      </c>
      <c r="BQ49" s="1139"/>
      <c r="BR49" s="1139"/>
      <c r="BS49" s="1139"/>
      <c r="BT49" s="1139"/>
      <c r="BU49" s="1139"/>
      <c r="BV49" s="1140" t="str">
        <f>IF(CONSOLIDA!CX30="","",CONSOLIDA!CX30)</f>
        <v/>
      </c>
      <c r="BW49" s="1140"/>
      <c r="BX49" s="1140"/>
      <c r="BY49" s="1140"/>
      <c r="BZ49" s="1140"/>
      <c r="CA49" s="1140"/>
      <c r="CB49" s="1139" t="str">
        <f>IF(CONSOLIDA!CY30="","",CONSOLIDA!CY30)</f>
        <v/>
      </c>
      <c r="CC49" s="1139"/>
      <c r="CD49" s="1139"/>
      <c r="CE49" s="1139"/>
      <c r="CF49" s="1139"/>
      <c r="CG49" s="1139"/>
      <c r="CH49" s="486"/>
      <c r="CI49" s="190" t="str">
        <f>IF(CONSOLIDA!CZ30="","",CONSOLIDA!CZ30)</f>
        <v/>
      </c>
      <c r="CJ49" s="190" t="str">
        <f>IF(CONSOLIDA!DA30="","",CONSOLIDA!DA30)</f>
        <v/>
      </c>
      <c r="DA49" s="3">
        <v>49</v>
      </c>
      <c r="DB49" s="3" t="s">
        <v>533</v>
      </c>
    </row>
    <row r="50" spans="1:106" s="3" customFormat="1" hidden="1">
      <c r="A50" s="243" t="str">
        <f t="shared" si="0"/>
        <v>OK</v>
      </c>
      <c r="B50" s="1141" t="str">
        <f>IF(CONSOLIDA!CL31="","",CONSOLIDA!CL31)</f>
        <v/>
      </c>
      <c r="C50" s="1141"/>
      <c r="D50" s="1134" t="str">
        <f>IF(CONSOLIDA!CN31="","",CONSOLIDA!CN31)</f>
        <v/>
      </c>
      <c r="E50" s="1135"/>
      <c r="F50" s="1135"/>
      <c r="G50" s="1129" t="str">
        <f>IF(CONSOLIDA!CO31="","",CONSOLIDA!CO31)</f>
        <v/>
      </c>
      <c r="H50" s="1129"/>
      <c r="I50" s="1129"/>
      <c r="J50" s="1129"/>
      <c r="K50" s="1129"/>
      <c r="L50" s="1129"/>
      <c r="M50" s="1129"/>
      <c r="N50" s="1129"/>
      <c r="O50" s="1129"/>
      <c r="P50" s="1129"/>
      <c r="Q50" s="1129"/>
      <c r="R50" s="1129"/>
      <c r="S50" s="1129"/>
      <c r="T50" s="1129"/>
      <c r="U50" s="1129"/>
      <c r="V50" s="1129"/>
      <c r="W50" s="1129"/>
      <c r="X50" s="1129"/>
      <c r="Y50" s="1130"/>
      <c r="Z50" s="1139" t="str">
        <f>IF(CONSOLIDA!CP31="","",CONSOLIDA!CP31)</f>
        <v/>
      </c>
      <c r="AA50" s="1139"/>
      <c r="AB50" s="1139"/>
      <c r="AC50" s="1139"/>
      <c r="AD50" s="1139"/>
      <c r="AE50" s="1139"/>
      <c r="AF50" s="1139" t="str">
        <f>IF(CONSOLIDA!CQ31="","",CONSOLIDA!CQ31)</f>
        <v/>
      </c>
      <c r="AG50" s="1139"/>
      <c r="AH50" s="1139"/>
      <c r="AI50" s="1139"/>
      <c r="AJ50" s="1139"/>
      <c r="AK50" s="1139"/>
      <c r="AL50" s="1139" t="str">
        <f>IF(CONSOLIDA!CR31="","",CONSOLIDA!CR31)</f>
        <v/>
      </c>
      <c r="AM50" s="1139"/>
      <c r="AN50" s="1139"/>
      <c r="AO50" s="1139"/>
      <c r="AP50" s="1139"/>
      <c r="AQ50" s="1139"/>
      <c r="AR50" s="1139" t="str">
        <f>IF(CONSOLIDA!CS31="","",CONSOLIDA!CS31)</f>
        <v/>
      </c>
      <c r="AS50" s="1139"/>
      <c r="AT50" s="1139"/>
      <c r="AU50" s="1139"/>
      <c r="AV50" s="1139"/>
      <c r="AW50" s="1139"/>
      <c r="AX50" s="1140" t="str">
        <f>IF(CONSOLIDA!CT31="","",CONSOLIDA!CT31)</f>
        <v/>
      </c>
      <c r="AY50" s="1140"/>
      <c r="AZ50" s="1140"/>
      <c r="BA50" s="1140"/>
      <c r="BB50" s="1140"/>
      <c r="BC50" s="1140"/>
      <c r="BD50" s="1139" t="str">
        <f>IF(CONSOLIDA!CU31="","",CONSOLIDA!CU31)</f>
        <v/>
      </c>
      <c r="BE50" s="1139"/>
      <c r="BF50" s="1139"/>
      <c r="BG50" s="1139"/>
      <c r="BH50" s="1139"/>
      <c r="BI50" s="1139"/>
      <c r="BJ50" s="1139" t="str">
        <f>IF(CONSOLIDA!CV31="","",CONSOLIDA!CV31)</f>
        <v/>
      </c>
      <c r="BK50" s="1139"/>
      <c r="BL50" s="1139"/>
      <c r="BM50" s="1139"/>
      <c r="BN50" s="1139"/>
      <c r="BO50" s="1139"/>
      <c r="BP50" s="1139" t="str">
        <f>IF(CONSOLIDA!CW31="","",CONSOLIDA!CW31)</f>
        <v/>
      </c>
      <c r="BQ50" s="1139"/>
      <c r="BR50" s="1139"/>
      <c r="BS50" s="1139"/>
      <c r="BT50" s="1139"/>
      <c r="BU50" s="1139"/>
      <c r="BV50" s="1140" t="str">
        <f>IF(CONSOLIDA!CX31="","",CONSOLIDA!CX31)</f>
        <v/>
      </c>
      <c r="BW50" s="1140"/>
      <c r="BX50" s="1140"/>
      <c r="BY50" s="1140"/>
      <c r="BZ50" s="1140"/>
      <c r="CA50" s="1140"/>
      <c r="CB50" s="1139" t="str">
        <f>IF(CONSOLIDA!CY31="","",CONSOLIDA!CY31)</f>
        <v/>
      </c>
      <c r="CC50" s="1139"/>
      <c r="CD50" s="1139"/>
      <c r="CE50" s="1139"/>
      <c r="CF50" s="1139"/>
      <c r="CG50" s="1139"/>
      <c r="CH50" s="486"/>
      <c r="CI50" s="190" t="str">
        <f>IF(CONSOLIDA!CZ31="","",CONSOLIDA!CZ31)</f>
        <v/>
      </c>
      <c r="CJ50" s="190" t="str">
        <f>IF(CONSOLIDA!DA31="","",CONSOLIDA!DA31)</f>
        <v/>
      </c>
      <c r="DA50" s="3">
        <v>50</v>
      </c>
      <c r="DB50" s="3" t="s">
        <v>534</v>
      </c>
    </row>
    <row r="51" spans="1:106" s="3" customFormat="1" hidden="1">
      <c r="A51" s="243" t="str">
        <f t="shared" si="0"/>
        <v>OK</v>
      </c>
      <c r="B51" s="1141" t="str">
        <f>IF(CONSOLIDA!CL32="","",CONSOLIDA!CL32)</f>
        <v/>
      </c>
      <c r="C51" s="1141"/>
      <c r="D51" s="1134" t="str">
        <f>IF(CONSOLIDA!CN32="","",CONSOLIDA!CN32)</f>
        <v/>
      </c>
      <c r="E51" s="1135"/>
      <c r="F51" s="1135"/>
      <c r="G51" s="1129" t="str">
        <f>IF(CONSOLIDA!CO32="","",CONSOLIDA!CO32)</f>
        <v/>
      </c>
      <c r="H51" s="1129"/>
      <c r="I51" s="1129"/>
      <c r="J51" s="1129"/>
      <c r="K51" s="1129"/>
      <c r="L51" s="1129"/>
      <c r="M51" s="1129"/>
      <c r="N51" s="1129"/>
      <c r="O51" s="1129"/>
      <c r="P51" s="1129"/>
      <c r="Q51" s="1129"/>
      <c r="R51" s="1129"/>
      <c r="S51" s="1129"/>
      <c r="T51" s="1129"/>
      <c r="U51" s="1129"/>
      <c r="V51" s="1129"/>
      <c r="W51" s="1129"/>
      <c r="X51" s="1129"/>
      <c r="Y51" s="1130"/>
      <c r="Z51" s="1139" t="str">
        <f>IF(CONSOLIDA!CP32="","",CONSOLIDA!CP32)</f>
        <v/>
      </c>
      <c r="AA51" s="1139"/>
      <c r="AB51" s="1139"/>
      <c r="AC51" s="1139"/>
      <c r="AD51" s="1139"/>
      <c r="AE51" s="1139"/>
      <c r="AF51" s="1139" t="str">
        <f>IF(CONSOLIDA!CQ32="","",CONSOLIDA!CQ32)</f>
        <v/>
      </c>
      <c r="AG51" s="1139"/>
      <c r="AH51" s="1139"/>
      <c r="AI51" s="1139"/>
      <c r="AJ51" s="1139"/>
      <c r="AK51" s="1139"/>
      <c r="AL51" s="1139" t="str">
        <f>IF(CONSOLIDA!CR32="","",CONSOLIDA!CR32)</f>
        <v/>
      </c>
      <c r="AM51" s="1139"/>
      <c r="AN51" s="1139"/>
      <c r="AO51" s="1139"/>
      <c r="AP51" s="1139"/>
      <c r="AQ51" s="1139"/>
      <c r="AR51" s="1139" t="str">
        <f>IF(CONSOLIDA!CS32="","",CONSOLIDA!CS32)</f>
        <v/>
      </c>
      <c r="AS51" s="1139"/>
      <c r="AT51" s="1139"/>
      <c r="AU51" s="1139"/>
      <c r="AV51" s="1139"/>
      <c r="AW51" s="1139"/>
      <c r="AX51" s="1140" t="str">
        <f>IF(CONSOLIDA!CT32="","",CONSOLIDA!CT32)</f>
        <v/>
      </c>
      <c r="AY51" s="1140"/>
      <c r="AZ51" s="1140"/>
      <c r="BA51" s="1140"/>
      <c r="BB51" s="1140"/>
      <c r="BC51" s="1140"/>
      <c r="BD51" s="1139" t="str">
        <f>IF(CONSOLIDA!CU32="","",CONSOLIDA!CU32)</f>
        <v/>
      </c>
      <c r="BE51" s="1139"/>
      <c r="BF51" s="1139"/>
      <c r="BG51" s="1139"/>
      <c r="BH51" s="1139"/>
      <c r="BI51" s="1139"/>
      <c r="BJ51" s="1139" t="str">
        <f>IF(CONSOLIDA!CV32="","",CONSOLIDA!CV32)</f>
        <v/>
      </c>
      <c r="BK51" s="1139"/>
      <c r="BL51" s="1139"/>
      <c r="BM51" s="1139"/>
      <c r="BN51" s="1139"/>
      <c r="BO51" s="1139"/>
      <c r="BP51" s="1139" t="str">
        <f>IF(CONSOLIDA!CW32="","",CONSOLIDA!CW32)</f>
        <v/>
      </c>
      <c r="BQ51" s="1139"/>
      <c r="BR51" s="1139"/>
      <c r="BS51" s="1139"/>
      <c r="BT51" s="1139"/>
      <c r="BU51" s="1139"/>
      <c r="BV51" s="1140" t="str">
        <f>IF(CONSOLIDA!CX32="","",CONSOLIDA!CX32)</f>
        <v/>
      </c>
      <c r="BW51" s="1140"/>
      <c r="BX51" s="1140"/>
      <c r="BY51" s="1140"/>
      <c r="BZ51" s="1140"/>
      <c r="CA51" s="1140"/>
      <c r="CB51" s="1139" t="str">
        <f>IF(CONSOLIDA!CY32="","",CONSOLIDA!CY32)</f>
        <v/>
      </c>
      <c r="CC51" s="1139"/>
      <c r="CD51" s="1139"/>
      <c r="CE51" s="1139"/>
      <c r="CF51" s="1139"/>
      <c r="CG51" s="1139"/>
      <c r="CH51" s="486"/>
      <c r="CI51" s="190" t="str">
        <f>IF(CONSOLIDA!CZ32="","",CONSOLIDA!CZ32)</f>
        <v/>
      </c>
      <c r="CJ51" s="190" t="str">
        <f>IF(CONSOLIDA!DA32="","",CONSOLIDA!DA32)</f>
        <v/>
      </c>
      <c r="DA51" s="3">
        <v>51</v>
      </c>
      <c r="DB51" s="3" t="s">
        <v>535</v>
      </c>
    </row>
    <row r="52" spans="1:106" s="3" customFormat="1" hidden="1">
      <c r="A52" s="243" t="str">
        <f t="shared" si="0"/>
        <v>OK</v>
      </c>
      <c r="B52" s="1141" t="str">
        <f>IF(CONSOLIDA!CL33="","",CONSOLIDA!CL33)</f>
        <v/>
      </c>
      <c r="C52" s="1141"/>
      <c r="D52" s="1134" t="str">
        <f>IF(CONSOLIDA!CN33="","",CONSOLIDA!CN33)</f>
        <v/>
      </c>
      <c r="E52" s="1135"/>
      <c r="F52" s="1135"/>
      <c r="G52" s="1129" t="str">
        <f>IF(CONSOLIDA!CO33="","",CONSOLIDA!CO33)</f>
        <v/>
      </c>
      <c r="H52" s="1129"/>
      <c r="I52" s="1129"/>
      <c r="J52" s="1129"/>
      <c r="K52" s="1129"/>
      <c r="L52" s="1129"/>
      <c r="M52" s="1129"/>
      <c r="N52" s="1129"/>
      <c r="O52" s="1129"/>
      <c r="P52" s="1129"/>
      <c r="Q52" s="1129"/>
      <c r="R52" s="1129"/>
      <c r="S52" s="1129"/>
      <c r="T52" s="1129"/>
      <c r="U52" s="1129"/>
      <c r="V52" s="1129"/>
      <c r="W52" s="1129"/>
      <c r="X52" s="1129"/>
      <c r="Y52" s="1130"/>
      <c r="Z52" s="1139" t="str">
        <f>IF(CONSOLIDA!CP33="","",CONSOLIDA!CP33)</f>
        <v/>
      </c>
      <c r="AA52" s="1139"/>
      <c r="AB52" s="1139"/>
      <c r="AC52" s="1139"/>
      <c r="AD52" s="1139"/>
      <c r="AE52" s="1139"/>
      <c r="AF52" s="1139" t="str">
        <f>IF(CONSOLIDA!CQ33="","",CONSOLIDA!CQ33)</f>
        <v/>
      </c>
      <c r="AG52" s="1139"/>
      <c r="AH52" s="1139"/>
      <c r="AI52" s="1139"/>
      <c r="AJ52" s="1139"/>
      <c r="AK52" s="1139"/>
      <c r="AL52" s="1139" t="str">
        <f>IF(CONSOLIDA!CR33="","",CONSOLIDA!CR33)</f>
        <v/>
      </c>
      <c r="AM52" s="1139"/>
      <c r="AN52" s="1139"/>
      <c r="AO52" s="1139"/>
      <c r="AP52" s="1139"/>
      <c r="AQ52" s="1139"/>
      <c r="AR52" s="1139" t="str">
        <f>IF(CONSOLIDA!CS33="","",CONSOLIDA!CS33)</f>
        <v/>
      </c>
      <c r="AS52" s="1139"/>
      <c r="AT52" s="1139"/>
      <c r="AU52" s="1139"/>
      <c r="AV52" s="1139"/>
      <c r="AW52" s="1139"/>
      <c r="AX52" s="1140" t="str">
        <f>IF(CONSOLIDA!CT33="","",CONSOLIDA!CT33)</f>
        <v/>
      </c>
      <c r="AY52" s="1140"/>
      <c r="AZ52" s="1140"/>
      <c r="BA52" s="1140"/>
      <c r="BB52" s="1140"/>
      <c r="BC52" s="1140"/>
      <c r="BD52" s="1139" t="str">
        <f>IF(CONSOLIDA!CU33="","",CONSOLIDA!CU33)</f>
        <v/>
      </c>
      <c r="BE52" s="1139"/>
      <c r="BF52" s="1139"/>
      <c r="BG52" s="1139"/>
      <c r="BH52" s="1139"/>
      <c r="BI52" s="1139"/>
      <c r="BJ52" s="1139" t="str">
        <f>IF(CONSOLIDA!CV33="","",CONSOLIDA!CV33)</f>
        <v/>
      </c>
      <c r="BK52" s="1139"/>
      <c r="BL52" s="1139"/>
      <c r="BM52" s="1139"/>
      <c r="BN52" s="1139"/>
      <c r="BO52" s="1139"/>
      <c r="BP52" s="1139" t="str">
        <f>IF(CONSOLIDA!CW33="","",CONSOLIDA!CW33)</f>
        <v/>
      </c>
      <c r="BQ52" s="1139"/>
      <c r="BR52" s="1139"/>
      <c r="BS52" s="1139"/>
      <c r="BT52" s="1139"/>
      <c r="BU52" s="1139"/>
      <c r="BV52" s="1140" t="str">
        <f>IF(CONSOLIDA!CX33="","",CONSOLIDA!CX33)</f>
        <v/>
      </c>
      <c r="BW52" s="1140"/>
      <c r="BX52" s="1140"/>
      <c r="BY52" s="1140"/>
      <c r="BZ52" s="1140"/>
      <c r="CA52" s="1140"/>
      <c r="CB52" s="1139" t="str">
        <f>IF(CONSOLIDA!CY33="","",CONSOLIDA!CY33)</f>
        <v/>
      </c>
      <c r="CC52" s="1139"/>
      <c r="CD52" s="1139"/>
      <c r="CE52" s="1139"/>
      <c r="CF52" s="1139"/>
      <c r="CG52" s="1139"/>
      <c r="CH52" s="486"/>
      <c r="CI52" s="190" t="str">
        <f>IF(CONSOLIDA!CZ33="","",CONSOLIDA!CZ33)</f>
        <v/>
      </c>
      <c r="CJ52" s="190" t="str">
        <f>IF(CONSOLIDA!DA33="","",CONSOLIDA!DA33)</f>
        <v/>
      </c>
      <c r="DA52" s="3">
        <v>52</v>
      </c>
      <c r="DB52" s="3" t="s">
        <v>536</v>
      </c>
    </row>
    <row r="53" spans="1:106" s="3" customFormat="1" hidden="1">
      <c r="A53" s="243" t="str">
        <f t="shared" si="0"/>
        <v>OK</v>
      </c>
      <c r="B53" s="1141" t="str">
        <f>IF(CONSOLIDA!CL34="","",CONSOLIDA!CL34)</f>
        <v/>
      </c>
      <c r="C53" s="1141"/>
      <c r="D53" s="1134" t="str">
        <f>IF(CONSOLIDA!CN34="","",CONSOLIDA!CN34)</f>
        <v/>
      </c>
      <c r="E53" s="1135"/>
      <c r="F53" s="1135"/>
      <c r="G53" s="1129" t="str">
        <f>IF(CONSOLIDA!CO34="","",CONSOLIDA!CO34)</f>
        <v/>
      </c>
      <c r="H53" s="1129"/>
      <c r="I53" s="1129"/>
      <c r="J53" s="1129"/>
      <c r="K53" s="1129"/>
      <c r="L53" s="1129"/>
      <c r="M53" s="1129"/>
      <c r="N53" s="1129"/>
      <c r="O53" s="1129"/>
      <c r="P53" s="1129"/>
      <c r="Q53" s="1129"/>
      <c r="R53" s="1129"/>
      <c r="S53" s="1129"/>
      <c r="T53" s="1129"/>
      <c r="U53" s="1129"/>
      <c r="V53" s="1129"/>
      <c r="W53" s="1129"/>
      <c r="X53" s="1129"/>
      <c r="Y53" s="1130"/>
      <c r="Z53" s="1139" t="str">
        <f>IF(CONSOLIDA!CP34="","",CONSOLIDA!CP34)</f>
        <v/>
      </c>
      <c r="AA53" s="1139"/>
      <c r="AB53" s="1139"/>
      <c r="AC53" s="1139"/>
      <c r="AD53" s="1139"/>
      <c r="AE53" s="1139"/>
      <c r="AF53" s="1139" t="str">
        <f>IF(CONSOLIDA!CQ34="","",CONSOLIDA!CQ34)</f>
        <v/>
      </c>
      <c r="AG53" s="1139"/>
      <c r="AH53" s="1139"/>
      <c r="AI53" s="1139"/>
      <c r="AJ53" s="1139"/>
      <c r="AK53" s="1139"/>
      <c r="AL53" s="1139" t="str">
        <f>IF(CONSOLIDA!CR34="","",CONSOLIDA!CR34)</f>
        <v/>
      </c>
      <c r="AM53" s="1139"/>
      <c r="AN53" s="1139"/>
      <c r="AO53" s="1139"/>
      <c r="AP53" s="1139"/>
      <c r="AQ53" s="1139"/>
      <c r="AR53" s="1139" t="str">
        <f>IF(CONSOLIDA!CS34="","",CONSOLIDA!CS34)</f>
        <v/>
      </c>
      <c r="AS53" s="1139"/>
      <c r="AT53" s="1139"/>
      <c r="AU53" s="1139"/>
      <c r="AV53" s="1139"/>
      <c r="AW53" s="1139"/>
      <c r="AX53" s="1140" t="str">
        <f>IF(CONSOLIDA!CT34="","",CONSOLIDA!CT34)</f>
        <v/>
      </c>
      <c r="AY53" s="1140"/>
      <c r="AZ53" s="1140"/>
      <c r="BA53" s="1140"/>
      <c r="BB53" s="1140"/>
      <c r="BC53" s="1140"/>
      <c r="BD53" s="1139" t="str">
        <f>IF(CONSOLIDA!CU34="","",CONSOLIDA!CU34)</f>
        <v/>
      </c>
      <c r="BE53" s="1139"/>
      <c r="BF53" s="1139"/>
      <c r="BG53" s="1139"/>
      <c r="BH53" s="1139"/>
      <c r="BI53" s="1139"/>
      <c r="BJ53" s="1139" t="str">
        <f>IF(CONSOLIDA!CV34="","",CONSOLIDA!CV34)</f>
        <v/>
      </c>
      <c r="BK53" s="1139"/>
      <c r="BL53" s="1139"/>
      <c r="BM53" s="1139"/>
      <c r="BN53" s="1139"/>
      <c r="BO53" s="1139"/>
      <c r="BP53" s="1139" t="str">
        <f>IF(CONSOLIDA!CW34="","",CONSOLIDA!CW34)</f>
        <v/>
      </c>
      <c r="BQ53" s="1139"/>
      <c r="BR53" s="1139"/>
      <c r="BS53" s="1139"/>
      <c r="BT53" s="1139"/>
      <c r="BU53" s="1139"/>
      <c r="BV53" s="1140" t="str">
        <f>IF(CONSOLIDA!CX34="","",CONSOLIDA!CX34)</f>
        <v/>
      </c>
      <c r="BW53" s="1140"/>
      <c r="BX53" s="1140"/>
      <c r="BY53" s="1140"/>
      <c r="BZ53" s="1140"/>
      <c r="CA53" s="1140"/>
      <c r="CB53" s="1139" t="str">
        <f>IF(CONSOLIDA!CY34="","",CONSOLIDA!CY34)</f>
        <v/>
      </c>
      <c r="CC53" s="1139"/>
      <c r="CD53" s="1139"/>
      <c r="CE53" s="1139"/>
      <c r="CF53" s="1139"/>
      <c r="CG53" s="1139"/>
      <c r="CH53" s="486"/>
      <c r="CI53" s="190" t="str">
        <f>IF(CONSOLIDA!CZ34="","",CONSOLIDA!CZ34)</f>
        <v/>
      </c>
      <c r="CJ53" s="190" t="str">
        <f>IF(CONSOLIDA!DA34="","",CONSOLIDA!DA34)</f>
        <v/>
      </c>
      <c r="DA53" s="3">
        <v>53</v>
      </c>
      <c r="DB53" s="3" t="s">
        <v>537</v>
      </c>
    </row>
    <row r="54" spans="1:106" s="3" customFormat="1" hidden="1">
      <c r="A54" s="243" t="str">
        <f t="shared" si="0"/>
        <v>OK</v>
      </c>
      <c r="B54" s="1141" t="str">
        <f>IF(CONSOLIDA!CL35="","",CONSOLIDA!CL35)</f>
        <v/>
      </c>
      <c r="C54" s="1141"/>
      <c r="D54" s="1134" t="str">
        <f>IF(CONSOLIDA!CN35="","",CONSOLIDA!CN35)</f>
        <v/>
      </c>
      <c r="E54" s="1135"/>
      <c r="F54" s="1135"/>
      <c r="G54" s="1129" t="str">
        <f>IF(CONSOLIDA!CO35="","",CONSOLIDA!CO35)</f>
        <v/>
      </c>
      <c r="H54" s="1129"/>
      <c r="I54" s="1129"/>
      <c r="J54" s="1129"/>
      <c r="K54" s="1129"/>
      <c r="L54" s="1129"/>
      <c r="M54" s="1129"/>
      <c r="N54" s="1129"/>
      <c r="O54" s="1129"/>
      <c r="P54" s="1129"/>
      <c r="Q54" s="1129"/>
      <c r="R54" s="1129"/>
      <c r="S54" s="1129"/>
      <c r="T54" s="1129"/>
      <c r="U54" s="1129"/>
      <c r="V54" s="1129"/>
      <c r="W54" s="1129"/>
      <c r="X54" s="1129"/>
      <c r="Y54" s="1130"/>
      <c r="Z54" s="1139" t="str">
        <f>IF(CONSOLIDA!CP35="","",CONSOLIDA!CP35)</f>
        <v/>
      </c>
      <c r="AA54" s="1139"/>
      <c r="AB54" s="1139"/>
      <c r="AC54" s="1139"/>
      <c r="AD54" s="1139"/>
      <c r="AE54" s="1139"/>
      <c r="AF54" s="1139" t="str">
        <f>IF(CONSOLIDA!CQ35="","",CONSOLIDA!CQ35)</f>
        <v/>
      </c>
      <c r="AG54" s="1139"/>
      <c r="AH54" s="1139"/>
      <c r="AI54" s="1139"/>
      <c r="AJ54" s="1139"/>
      <c r="AK54" s="1139"/>
      <c r="AL54" s="1139" t="str">
        <f>IF(CONSOLIDA!CR35="","",CONSOLIDA!CR35)</f>
        <v/>
      </c>
      <c r="AM54" s="1139"/>
      <c r="AN54" s="1139"/>
      <c r="AO54" s="1139"/>
      <c r="AP54" s="1139"/>
      <c r="AQ54" s="1139"/>
      <c r="AR54" s="1139" t="str">
        <f>IF(CONSOLIDA!CS35="","",CONSOLIDA!CS35)</f>
        <v/>
      </c>
      <c r="AS54" s="1139"/>
      <c r="AT54" s="1139"/>
      <c r="AU54" s="1139"/>
      <c r="AV54" s="1139"/>
      <c r="AW54" s="1139"/>
      <c r="AX54" s="1140" t="str">
        <f>IF(CONSOLIDA!CT35="","",CONSOLIDA!CT35)</f>
        <v/>
      </c>
      <c r="AY54" s="1140"/>
      <c r="AZ54" s="1140"/>
      <c r="BA54" s="1140"/>
      <c r="BB54" s="1140"/>
      <c r="BC54" s="1140"/>
      <c r="BD54" s="1139" t="str">
        <f>IF(CONSOLIDA!CU35="","",CONSOLIDA!CU35)</f>
        <v/>
      </c>
      <c r="BE54" s="1139"/>
      <c r="BF54" s="1139"/>
      <c r="BG54" s="1139"/>
      <c r="BH54" s="1139"/>
      <c r="BI54" s="1139"/>
      <c r="BJ54" s="1139" t="str">
        <f>IF(CONSOLIDA!CV35="","",CONSOLIDA!CV35)</f>
        <v/>
      </c>
      <c r="BK54" s="1139"/>
      <c r="BL54" s="1139"/>
      <c r="BM54" s="1139"/>
      <c r="BN54" s="1139"/>
      <c r="BO54" s="1139"/>
      <c r="BP54" s="1139" t="str">
        <f>IF(CONSOLIDA!CW35="","",CONSOLIDA!CW35)</f>
        <v/>
      </c>
      <c r="BQ54" s="1139"/>
      <c r="BR54" s="1139"/>
      <c r="BS54" s="1139"/>
      <c r="BT54" s="1139"/>
      <c r="BU54" s="1139"/>
      <c r="BV54" s="1140" t="str">
        <f>IF(CONSOLIDA!CX35="","",CONSOLIDA!CX35)</f>
        <v/>
      </c>
      <c r="BW54" s="1140"/>
      <c r="BX54" s="1140"/>
      <c r="BY54" s="1140"/>
      <c r="BZ54" s="1140"/>
      <c r="CA54" s="1140"/>
      <c r="CB54" s="1139" t="str">
        <f>IF(CONSOLIDA!CY35="","",CONSOLIDA!CY35)</f>
        <v/>
      </c>
      <c r="CC54" s="1139"/>
      <c r="CD54" s="1139"/>
      <c r="CE54" s="1139"/>
      <c r="CF54" s="1139"/>
      <c r="CG54" s="1139"/>
      <c r="CH54" s="486"/>
      <c r="CI54" s="190" t="str">
        <f>IF(CONSOLIDA!CZ35="","",CONSOLIDA!CZ35)</f>
        <v/>
      </c>
      <c r="CJ54" s="190" t="str">
        <f>IF(CONSOLIDA!DA35="","",CONSOLIDA!DA35)</f>
        <v/>
      </c>
      <c r="DA54" s="3">
        <v>54</v>
      </c>
      <c r="DB54" s="3" t="s">
        <v>538</v>
      </c>
    </row>
    <row r="55" spans="1:106" s="3" customFormat="1" hidden="1">
      <c r="A55" s="243" t="str">
        <f t="shared" si="0"/>
        <v>OK</v>
      </c>
      <c r="B55" s="1141" t="str">
        <f>IF(CONSOLIDA!CL36="","",CONSOLIDA!CL36)</f>
        <v/>
      </c>
      <c r="C55" s="1141"/>
      <c r="D55" s="1134" t="str">
        <f>IF(CONSOLIDA!CN36="","",CONSOLIDA!CN36)</f>
        <v/>
      </c>
      <c r="E55" s="1135"/>
      <c r="F55" s="1135"/>
      <c r="G55" s="1129" t="str">
        <f>IF(CONSOLIDA!CO36="","",CONSOLIDA!CO36)</f>
        <v/>
      </c>
      <c r="H55" s="1129"/>
      <c r="I55" s="1129"/>
      <c r="J55" s="1129"/>
      <c r="K55" s="1129"/>
      <c r="L55" s="1129"/>
      <c r="M55" s="1129"/>
      <c r="N55" s="1129"/>
      <c r="O55" s="1129"/>
      <c r="P55" s="1129"/>
      <c r="Q55" s="1129"/>
      <c r="R55" s="1129"/>
      <c r="S55" s="1129"/>
      <c r="T55" s="1129"/>
      <c r="U55" s="1129"/>
      <c r="V55" s="1129"/>
      <c r="W55" s="1129"/>
      <c r="X55" s="1129"/>
      <c r="Y55" s="1130"/>
      <c r="Z55" s="1139" t="str">
        <f>IF(CONSOLIDA!CP36="","",CONSOLIDA!CP36)</f>
        <v/>
      </c>
      <c r="AA55" s="1139"/>
      <c r="AB55" s="1139"/>
      <c r="AC55" s="1139"/>
      <c r="AD55" s="1139"/>
      <c r="AE55" s="1139"/>
      <c r="AF55" s="1139" t="str">
        <f>IF(CONSOLIDA!CQ36="","",CONSOLIDA!CQ36)</f>
        <v/>
      </c>
      <c r="AG55" s="1139"/>
      <c r="AH55" s="1139"/>
      <c r="AI55" s="1139"/>
      <c r="AJ55" s="1139"/>
      <c r="AK55" s="1139"/>
      <c r="AL55" s="1139" t="str">
        <f>IF(CONSOLIDA!CR36="","",CONSOLIDA!CR36)</f>
        <v/>
      </c>
      <c r="AM55" s="1139"/>
      <c r="AN55" s="1139"/>
      <c r="AO55" s="1139"/>
      <c r="AP55" s="1139"/>
      <c r="AQ55" s="1139"/>
      <c r="AR55" s="1139" t="str">
        <f>IF(CONSOLIDA!CS36="","",CONSOLIDA!CS36)</f>
        <v/>
      </c>
      <c r="AS55" s="1139"/>
      <c r="AT55" s="1139"/>
      <c r="AU55" s="1139"/>
      <c r="AV55" s="1139"/>
      <c r="AW55" s="1139"/>
      <c r="AX55" s="1140" t="str">
        <f>IF(CONSOLIDA!CT36="","",CONSOLIDA!CT36)</f>
        <v/>
      </c>
      <c r="AY55" s="1140"/>
      <c r="AZ55" s="1140"/>
      <c r="BA55" s="1140"/>
      <c r="BB55" s="1140"/>
      <c r="BC55" s="1140"/>
      <c r="BD55" s="1139" t="str">
        <f>IF(CONSOLIDA!CU36="","",CONSOLIDA!CU36)</f>
        <v/>
      </c>
      <c r="BE55" s="1139"/>
      <c r="BF55" s="1139"/>
      <c r="BG55" s="1139"/>
      <c r="BH55" s="1139"/>
      <c r="BI55" s="1139"/>
      <c r="BJ55" s="1139" t="str">
        <f>IF(CONSOLIDA!CV36="","",CONSOLIDA!CV36)</f>
        <v/>
      </c>
      <c r="BK55" s="1139"/>
      <c r="BL55" s="1139"/>
      <c r="BM55" s="1139"/>
      <c r="BN55" s="1139"/>
      <c r="BO55" s="1139"/>
      <c r="BP55" s="1139" t="str">
        <f>IF(CONSOLIDA!CW36="","",CONSOLIDA!CW36)</f>
        <v/>
      </c>
      <c r="BQ55" s="1139"/>
      <c r="BR55" s="1139"/>
      <c r="BS55" s="1139"/>
      <c r="BT55" s="1139"/>
      <c r="BU55" s="1139"/>
      <c r="BV55" s="1140" t="str">
        <f>IF(CONSOLIDA!CX36="","",CONSOLIDA!CX36)</f>
        <v/>
      </c>
      <c r="BW55" s="1140"/>
      <c r="BX55" s="1140"/>
      <c r="BY55" s="1140"/>
      <c r="BZ55" s="1140"/>
      <c r="CA55" s="1140"/>
      <c r="CB55" s="1139" t="str">
        <f>IF(CONSOLIDA!CY36="","",CONSOLIDA!CY36)</f>
        <v/>
      </c>
      <c r="CC55" s="1139"/>
      <c r="CD55" s="1139"/>
      <c r="CE55" s="1139"/>
      <c r="CF55" s="1139"/>
      <c r="CG55" s="1139"/>
      <c r="CH55" s="486"/>
      <c r="CI55" s="190" t="str">
        <f>IF(CONSOLIDA!CZ36="","",CONSOLIDA!CZ36)</f>
        <v/>
      </c>
      <c r="CJ55" s="190" t="str">
        <f>IF(CONSOLIDA!DA36="","",CONSOLIDA!DA36)</f>
        <v/>
      </c>
      <c r="DA55" s="3">
        <v>55</v>
      </c>
      <c r="DB55" s="3" t="s">
        <v>539</v>
      </c>
    </row>
    <row r="56" spans="1:106" s="3" customFormat="1" hidden="1">
      <c r="A56" s="243" t="str">
        <f t="shared" si="0"/>
        <v>OK</v>
      </c>
      <c r="B56" s="1141" t="str">
        <f>IF(CONSOLIDA!CL37="","",CONSOLIDA!CL37)</f>
        <v/>
      </c>
      <c r="C56" s="1141"/>
      <c r="D56" s="1134" t="str">
        <f>IF(CONSOLIDA!CN37="","",CONSOLIDA!CN37)</f>
        <v/>
      </c>
      <c r="E56" s="1135"/>
      <c r="F56" s="1135"/>
      <c r="G56" s="1129" t="str">
        <f>IF(CONSOLIDA!CO37="","",CONSOLIDA!CO37)</f>
        <v/>
      </c>
      <c r="H56" s="1129"/>
      <c r="I56" s="1129"/>
      <c r="J56" s="1129"/>
      <c r="K56" s="1129"/>
      <c r="L56" s="1129"/>
      <c r="M56" s="1129"/>
      <c r="N56" s="1129"/>
      <c r="O56" s="1129"/>
      <c r="P56" s="1129"/>
      <c r="Q56" s="1129"/>
      <c r="R56" s="1129"/>
      <c r="S56" s="1129"/>
      <c r="T56" s="1129"/>
      <c r="U56" s="1129"/>
      <c r="V56" s="1129"/>
      <c r="W56" s="1129"/>
      <c r="X56" s="1129"/>
      <c r="Y56" s="1130"/>
      <c r="Z56" s="1139" t="str">
        <f>IF(CONSOLIDA!CP37="","",CONSOLIDA!CP37)</f>
        <v/>
      </c>
      <c r="AA56" s="1139"/>
      <c r="AB56" s="1139"/>
      <c r="AC56" s="1139"/>
      <c r="AD56" s="1139"/>
      <c r="AE56" s="1139"/>
      <c r="AF56" s="1139" t="str">
        <f>IF(CONSOLIDA!CQ37="","",CONSOLIDA!CQ37)</f>
        <v/>
      </c>
      <c r="AG56" s="1139"/>
      <c r="AH56" s="1139"/>
      <c r="AI56" s="1139"/>
      <c r="AJ56" s="1139"/>
      <c r="AK56" s="1139"/>
      <c r="AL56" s="1139" t="str">
        <f>IF(CONSOLIDA!CR37="","",CONSOLIDA!CR37)</f>
        <v/>
      </c>
      <c r="AM56" s="1139"/>
      <c r="AN56" s="1139"/>
      <c r="AO56" s="1139"/>
      <c r="AP56" s="1139"/>
      <c r="AQ56" s="1139"/>
      <c r="AR56" s="1139" t="str">
        <f>IF(CONSOLIDA!CS37="","",CONSOLIDA!CS37)</f>
        <v/>
      </c>
      <c r="AS56" s="1139"/>
      <c r="AT56" s="1139"/>
      <c r="AU56" s="1139"/>
      <c r="AV56" s="1139"/>
      <c r="AW56" s="1139"/>
      <c r="AX56" s="1140" t="str">
        <f>IF(CONSOLIDA!CT37="","",CONSOLIDA!CT37)</f>
        <v/>
      </c>
      <c r="AY56" s="1140"/>
      <c r="AZ56" s="1140"/>
      <c r="BA56" s="1140"/>
      <c r="BB56" s="1140"/>
      <c r="BC56" s="1140"/>
      <c r="BD56" s="1139" t="str">
        <f>IF(CONSOLIDA!CU37="","",CONSOLIDA!CU37)</f>
        <v/>
      </c>
      <c r="BE56" s="1139"/>
      <c r="BF56" s="1139"/>
      <c r="BG56" s="1139"/>
      <c r="BH56" s="1139"/>
      <c r="BI56" s="1139"/>
      <c r="BJ56" s="1139" t="str">
        <f>IF(CONSOLIDA!CV37="","",CONSOLIDA!CV37)</f>
        <v/>
      </c>
      <c r="BK56" s="1139"/>
      <c r="BL56" s="1139"/>
      <c r="BM56" s="1139"/>
      <c r="BN56" s="1139"/>
      <c r="BO56" s="1139"/>
      <c r="BP56" s="1139" t="str">
        <f>IF(CONSOLIDA!CW37="","",CONSOLIDA!CW37)</f>
        <v/>
      </c>
      <c r="BQ56" s="1139"/>
      <c r="BR56" s="1139"/>
      <c r="BS56" s="1139"/>
      <c r="BT56" s="1139"/>
      <c r="BU56" s="1139"/>
      <c r="BV56" s="1140" t="str">
        <f>IF(CONSOLIDA!CX37="","",CONSOLIDA!CX37)</f>
        <v/>
      </c>
      <c r="BW56" s="1140"/>
      <c r="BX56" s="1140"/>
      <c r="BY56" s="1140"/>
      <c r="BZ56" s="1140"/>
      <c r="CA56" s="1140"/>
      <c r="CB56" s="1139" t="str">
        <f>IF(CONSOLIDA!CY37="","",CONSOLIDA!CY37)</f>
        <v/>
      </c>
      <c r="CC56" s="1139"/>
      <c r="CD56" s="1139"/>
      <c r="CE56" s="1139"/>
      <c r="CF56" s="1139"/>
      <c r="CG56" s="1139"/>
      <c r="CH56" s="486"/>
      <c r="CI56" s="190" t="str">
        <f>IF(CONSOLIDA!CZ37="","",CONSOLIDA!CZ37)</f>
        <v/>
      </c>
      <c r="CJ56" s="190" t="str">
        <f>IF(CONSOLIDA!DA37="","",CONSOLIDA!DA37)</f>
        <v/>
      </c>
      <c r="DA56" s="3">
        <v>56</v>
      </c>
      <c r="DB56" s="3" t="s">
        <v>540</v>
      </c>
    </row>
    <row r="57" spans="1:106" s="3" customFormat="1" hidden="1">
      <c r="A57" s="243" t="str">
        <f t="shared" si="0"/>
        <v>OK</v>
      </c>
      <c r="B57" s="1141" t="str">
        <f>IF(CONSOLIDA!CL38="","",CONSOLIDA!CL38)</f>
        <v/>
      </c>
      <c r="C57" s="1141"/>
      <c r="D57" s="1134" t="str">
        <f>IF(CONSOLIDA!CN38="","",CONSOLIDA!CN38)</f>
        <v/>
      </c>
      <c r="E57" s="1135"/>
      <c r="F57" s="1135"/>
      <c r="G57" s="1129" t="str">
        <f>IF(CONSOLIDA!CO38="","",CONSOLIDA!CO38)</f>
        <v/>
      </c>
      <c r="H57" s="1129"/>
      <c r="I57" s="1129"/>
      <c r="J57" s="1129"/>
      <c r="K57" s="1129"/>
      <c r="L57" s="1129"/>
      <c r="M57" s="1129"/>
      <c r="N57" s="1129"/>
      <c r="O57" s="1129"/>
      <c r="P57" s="1129"/>
      <c r="Q57" s="1129"/>
      <c r="R57" s="1129"/>
      <c r="S57" s="1129"/>
      <c r="T57" s="1129"/>
      <c r="U57" s="1129"/>
      <c r="V57" s="1129"/>
      <c r="W57" s="1129"/>
      <c r="X57" s="1129"/>
      <c r="Y57" s="1130"/>
      <c r="Z57" s="1139" t="str">
        <f>IF(CONSOLIDA!CP38="","",CONSOLIDA!CP38)</f>
        <v/>
      </c>
      <c r="AA57" s="1139"/>
      <c r="AB57" s="1139"/>
      <c r="AC57" s="1139"/>
      <c r="AD57" s="1139"/>
      <c r="AE57" s="1139"/>
      <c r="AF57" s="1139" t="str">
        <f>IF(CONSOLIDA!CQ38="","",CONSOLIDA!CQ38)</f>
        <v/>
      </c>
      <c r="AG57" s="1139"/>
      <c r="AH57" s="1139"/>
      <c r="AI57" s="1139"/>
      <c r="AJ57" s="1139"/>
      <c r="AK57" s="1139"/>
      <c r="AL57" s="1139" t="str">
        <f>IF(CONSOLIDA!CR38="","",CONSOLIDA!CR38)</f>
        <v/>
      </c>
      <c r="AM57" s="1139"/>
      <c r="AN57" s="1139"/>
      <c r="AO57" s="1139"/>
      <c r="AP57" s="1139"/>
      <c r="AQ57" s="1139"/>
      <c r="AR57" s="1139" t="str">
        <f>IF(CONSOLIDA!CS38="","",CONSOLIDA!CS38)</f>
        <v/>
      </c>
      <c r="AS57" s="1139"/>
      <c r="AT57" s="1139"/>
      <c r="AU57" s="1139"/>
      <c r="AV57" s="1139"/>
      <c r="AW57" s="1139"/>
      <c r="AX57" s="1140" t="str">
        <f>IF(CONSOLIDA!CT38="","",CONSOLIDA!CT38)</f>
        <v/>
      </c>
      <c r="AY57" s="1140"/>
      <c r="AZ57" s="1140"/>
      <c r="BA57" s="1140"/>
      <c r="BB57" s="1140"/>
      <c r="BC57" s="1140"/>
      <c r="BD57" s="1139" t="str">
        <f>IF(CONSOLIDA!CU38="","",CONSOLIDA!CU38)</f>
        <v/>
      </c>
      <c r="BE57" s="1139"/>
      <c r="BF57" s="1139"/>
      <c r="BG57" s="1139"/>
      <c r="BH57" s="1139"/>
      <c r="BI57" s="1139"/>
      <c r="BJ57" s="1139" t="str">
        <f>IF(CONSOLIDA!CV38="","",CONSOLIDA!CV38)</f>
        <v/>
      </c>
      <c r="BK57" s="1139"/>
      <c r="BL57" s="1139"/>
      <c r="BM57" s="1139"/>
      <c r="BN57" s="1139"/>
      <c r="BO57" s="1139"/>
      <c r="BP57" s="1139" t="str">
        <f>IF(CONSOLIDA!CW38="","",CONSOLIDA!CW38)</f>
        <v/>
      </c>
      <c r="BQ57" s="1139"/>
      <c r="BR57" s="1139"/>
      <c r="BS57" s="1139"/>
      <c r="BT57" s="1139"/>
      <c r="BU57" s="1139"/>
      <c r="BV57" s="1140" t="str">
        <f>IF(CONSOLIDA!CX38="","",CONSOLIDA!CX38)</f>
        <v/>
      </c>
      <c r="BW57" s="1140"/>
      <c r="BX57" s="1140"/>
      <c r="BY57" s="1140"/>
      <c r="BZ57" s="1140"/>
      <c r="CA57" s="1140"/>
      <c r="CB57" s="1139" t="str">
        <f>IF(CONSOLIDA!CY38="","",CONSOLIDA!CY38)</f>
        <v/>
      </c>
      <c r="CC57" s="1139"/>
      <c r="CD57" s="1139"/>
      <c r="CE57" s="1139"/>
      <c r="CF57" s="1139"/>
      <c r="CG57" s="1139"/>
      <c r="CH57" s="486"/>
      <c r="CI57" s="190" t="str">
        <f>IF(CONSOLIDA!CZ38="","",CONSOLIDA!CZ38)</f>
        <v/>
      </c>
      <c r="CJ57" s="190" t="str">
        <f>IF(CONSOLIDA!DA38="","",CONSOLIDA!DA38)</f>
        <v/>
      </c>
      <c r="DA57" s="3">
        <v>57</v>
      </c>
      <c r="DB57" s="3" t="s">
        <v>541</v>
      </c>
    </row>
    <row r="58" spans="1:106" s="3" customFormat="1" hidden="1">
      <c r="A58" s="243" t="str">
        <f t="shared" si="0"/>
        <v>OK</v>
      </c>
      <c r="B58" s="1141" t="str">
        <f>IF(CONSOLIDA!CL39="","",CONSOLIDA!CL39)</f>
        <v/>
      </c>
      <c r="C58" s="1141"/>
      <c r="D58" s="1134" t="str">
        <f>IF(CONSOLIDA!CN39="","",CONSOLIDA!CN39)</f>
        <v/>
      </c>
      <c r="E58" s="1135"/>
      <c r="F58" s="1135"/>
      <c r="G58" s="1129" t="str">
        <f>IF(CONSOLIDA!CO39="","",CONSOLIDA!CO39)</f>
        <v/>
      </c>
      <c r="H58" s="1129"/>
      <c r="I58" s="1129"/>
      <c r="J58" s="1129"/>
      <c r="K58" s="1129"/>
      <c r="L58" s="1129"/>
      <c r="M58" s="1129"/>
      <c r="N58" s="1129"/>
      <c r="O58" s="1129"/>
      <c r="P58" s="1129"/>
      <c r="Q58" s="1129"/>
      <c r="R58" s="1129"/>
      <c r="S58" s="1129"/>
      <c r="T58" s="1129"/>
      <c r="U58" s="1129"/>
      <c r="V58" s="1129"/>
      <c r="W58" s="1129"/>
      <c r="X58" s="1129"/>
      <c r="Y58" s="1130"/>
      <c r="Z58" s="1139" t="str">
        <f>IF(CONSOLIDA!CP39="","",CONSOLIDA!CP39)</f>
        <v/>
      </c>
      <c r="AA58" s="1139"/>
      <c r="AB58" s="1139"/>
      <c r="AC58" s="1139"/>
      <c r="AD58" s="1139"/>
      <c r="AE58" s="1139"/>
      <c r="AF58" s="1139" t="str">
        <f>IF(CONSOLIDA!CQ39="","",CONSOLIDA!CQ39)</f>
        <v/>
      </c>
      <c r="AG58" s="1139"/>
      <c r="AH58" s="1139"/>
      <c r="AI58" s="1139"/>
      <c r="AJ58" s="1139"/>
      <c r="AK58" s="1139"/>
      <c r="AL58" s="1139" t="str">
        <f>IF(CONSOLIDA!CR39="","",CONSOLIDA!CR39)</f>
        <v/>
      </c>
      <c r="AM58" s="1139"/>
      <c r="AN58" s="1139"/>
      <c r="AO58" s="1139"/>
      <c r="AP58" s="1139"/>
      <c r="AQ58" s="1139"/>
      <c r="AR58" s="1139" t="str">
        <f>IF(CONSOLIDA!CS39="","",CONSOLIDA!CS39)</f>
        <v/>
      </c>
      <c r="AS58" s="1139"/>
      <c r="AT58" s="1139"/>
      <c r="AU58" s="1139"/>
      <c r="AV58" s="1139"/>
      <c r="AW58" s="1139"/>
      <c r="AX58" s="1140" t="str">
        <f>IF(CONSOLIDA!CT39="","",CONSOLIDA!CT39)</f>
        <v/>
      </c>
      <c r="AY58" s="1140"/>
      <c r="AZ58" s="1140"/>
      <c r="BA58" s="1140"/>
      <c r="BB58" s="1140"/>
      <c r="BC58" s="1140"/>
      <c r="BD58" s="1139" t="str">
        <f>IF(CONSOLIDA!CU39="","",CONSOLIDA!CU39)</f>
        <v/>
      </c>
      <c r="BE58" s="1139"/>
      <c r="BF58" s="1139"/>
      <c r="BG58" s="1139"/>
      <c r="BH58" s="1139"/>
      <c r="BI58" s="1139"/>
      <c r="BJ58" s="1139" t="str">
        <f>IF(CONSOLIDA!CV39="","",CONSOLIDA!CV39)</f>
        <v/>
      </c>
      <c r="BK58" s="1139"/>
      <c r="BL58" s="1139"/>
      <c r="BM58" s="1139"/>
      <c r="BN58" s="1139"/>
      <c r="BO58" s="1139"/>
      <c r="BP58" s="1139" t="str">
        <f>IF(CONSOLIDA!CW39="","",CONSOLIDA!CW39)</f>
        <v/>
      </c>
      <c r="BQ58" s="1139"/>
      <c r="BR58" s="1139"/>
      <c r="BS58" s="1139"/>
      <c r="BT58" s="1139"/>
      <c r="BU58" s="1139"/>
      <c r="BV58" s="1140" t="str">
        <f>IF(CONSOLIDA!CX39="","",CONSOLIDA!CX39)</f>
        <v/>
      </c>
      <c r="BW58" s="1140"/>
      <c r="BX58" s="1140"/>
      <c r="BY58" s="1140"/>
      <c r="BZ58" s="1140"/>
      <c r="CA58" s="1140"/>
      <c r="CB58" s="1139" t="str">
        <f>IF(CONSOLIDA!CY39="","",CONSOLIDA!CY39)</f>
        <v/>
      </c>
      <c r="CC58" s="1139"/>
      <c r="CD58" s="1139"/>
      <c r="CE58" s="1139"/>
      <c r="CF58" s="1139"/>
      <c r="CG58" s="1139"/>
      <c r="CH58" s="486"/>
      <c r="CI58" s="190" t="str">
        <f>IF(CONSOLIDA!CZ39="","",CONSOLIDA!CZ39)</f>
        <v/>
      </c>
      <c r="CJ58" s="190" t="str">
        <f>IF(CONSOLIDA!DA39="","",CONSOLIDA!DA39)</f>
        <v/>
      </c>
      <c r="DA58" s="3">
        <v>58</v>
      </c>
      <c r="DB58" s="3" t="s">
        <v>542</v>
      </c>
    </row>
    <row r="59" spans="1:106" s="3" customFormat="1" hidden="1">
      <c r="A59" s="243" t="str">
        <f t="shared" si="0"/>
        <v>OK</v>
      </c>
      <c r="B59" s="1141" t="str">
        <f>IF(CONSOLIDA!CL40="","",CONSOLIDA!CL40)</f>
        <v/>
      </c>
      <c r="C59" s="1141"/>
      <c r="D59" s="1134" t="str">
        <f>IF(CONSOLIDA!CN40="","",CONSOLIDA!CN40)</f>
        <v/>
      </c>
      <c r="E59" s="1135"/>
      <c r="F59" s="1135"/>
      <c r="G59" s="1129" t="str">
        <f>IF(CONSOLIDA!CO40="","",CONSOLIDA!CO40)</f>
        <v/>
      </c>
      <c r="H59" s="1129"/>
      <c r="I59" s="1129"/>
      <c r="J59" s="1129"/>
      <c r="K59" s="1129"/>
      <c r="L59" s="1129"/>
      <c r="M59" s="1129"/>
      <c r="N59" s="1129"/>
      <c r="O59" s="1129"/>
      <c r="P59" s="1129"/>
      <c r="Q59" s="1129"/>
      <c r="R59" s="1129"/>
      <c r="S59" s="1129"/>
      <c r="T59" s="1129"/>
      <c r="U59" s="1129"/>
      <c r="V59" s="1129"/>
      <c r="W59" s="1129"/>
      <c r="X59" s="1129"/>
      <c r="Y59" s="1130"/>
      <c r="Z59" s="1139" t="str">
        <f>IF(CONSOLIDA!CP40="","",CONSOLIDA!CP40)</f>
        <v/>
      </c>
      <c r="AA59" s="1139"/>
      <c r="AB59" s="1139"/>
      <c r="AC59" s="1139"/>
      <c r="AD59" s="1139"/>
      <c r="AE59" s="1139"/>
      <c r="AF59" s="1139" t="str">
        <f>IF(CONSOLIDA!CQ40="","",CONSOLIDA!CQ40)</f>
        <v/>
      </c>
      <c r="AG59" s="1139"/>
      <c r="AH59" s="1139"/>
      <c r="AI59" s="1139"/>
      <c r="AJ59" s="1139"/>
      <c r="AK59" s="1139"/>
      <c r="AL59" s="1139" t="str">
        <f>IF(CONSOLIDA!CR40="","",CONSOLIDA!CR40)</f>
        <v/>
      </c>
      <c r="AM59" s="1139"/>
      <c r="AN59" s="1139"/>
      <c r="AO59" s="1139"/>
      <c r="AP59" s="1139"/>
      <c r="AQ59" s="1139"/>
      <c r="AR59" s="1139" t="str">
        <f>IF(CONSOLIDA!CS40="","",CONSOLIDA!CS40)</f>
        <v/>
      </c>
      <c r="AS59" s="1139"/>
      <c r="AT59" s="1139"/>
      <c r="AU59" s="1139"/>
      <c r="AV59" s="1139"/>
      <c r="AW59" s="1139"/>
      <c r="AX59" s="1140" t="str">
        <f>IF(CONSOLIDA!CT40="","",CONSOLIDA!CT40)</f>
        <v/>
      </c>
      <c r="AY59" s="1140"/>
      <c r="AZ59" s="1140"/>
      <c r="BA59" s="1140"/>
      <c r="BB59" s="1140"/>
      <c r="BC59" s="1140"/>
      <c r="BD59" s="1139" t="str">
        <f>IF(CONSOLIDA!CU40="","",CONSOLIDA!CU40)</f>
        <v/>
      </c>
      <c r="BE59" s="1139"/>
      <c r="BF59" s="1139"/>
      <c r="BG59" s="1139"/>
      <c r="BH59" s="1139"/>
      <c r="BI59" s="1139"/>
      <c r="BJ59" s="1139" t="str">
        <f>IF(CONSOLIDA!CV40="","",CONSOLIDA!CV40)</f>
        <v/>
      </c>
      <c r="BK59" s="1139"/>
      <c r="BL59" s="1139"/>
      <c r="BM59" s="1139"/>
      <c r="BN59" s="1139"/>
      <c r="BO59" s="1139"/>
      <c r="BP59" s="1139" t="str">
        <f>IF(CONSOLIDA!CW40="","",CONSOLIDA!CW40)</f>
        <v/>
      </c>
      <c r="BQ59" s="1139"/>
      <c r="BR59" s="1139"/>
      <c r="BS59" s="1139"/>
      <c r="BT59" s="1139"/>
      <c r="BU59" s="1139"/>
      <c r="BV59" s="1140" t="str">
        <f>IF(CONSOLIDA!CX40="","",CONSOLIDA!CX40)</f>
        <v/>
      </c>
      <c r="BW59" s="1140"/>
      <c r="BX59" s="1140"/>
      <c r="BY59" s="1140"/>
      <c r="BZ59" s="1140"/>
      <c r="CA59" s="1140"/>
      <c r="CB59" s="1139" t="str">
        <f>IF(CONSOLIDA!CY40="","",CONSOLIDA!CY40)</f>
        <v/>
      </c>
      <c r="CC59" s="1139"/>
      <c r="CD59" s="1139"/>
      <c r="CE59" s="1139"/>
      <c r="CF59" s="1139"/>
      <c r="CG59" s="1139"/>
      <c r="CH59" s="486"/>
      <c r="CI59" s="190" t="str">
        <f>IF(CONSOLIDA!CZ40="","",CONSOLIDA!CZ40)</f>
        <v/>
      </c>
      <c r="CJ59" s="190" t="str">
        <f>IF(CONSOLIDA!DA40="","",CONSOLIDA!DA40)</f>
        <v/>
      </c>
      <c r="DA59" s="3">
        <v>59</v>
      </c>
      <c r="DB59" s="3" t="s">
        <v>543</v>
      </c>
    </row>
    <row r="60" spans="1:106" s="3" customFormat="1" hidden="1">
      <c r="A60" s="243" t="str">
        <f t="shared" si="0"/>
        <v>OK</v>
      </c>
      <c r="B60" s="1141" t="str">
        <f>IF(CONSOLIDA!CL41="","",CONSOLIDA!CL41)</f>
        <v/>
      </c>
      <c r="C60" s="1141"/>
      <c r="D60" s="1134" t="str">
        <f>IF(CONSOLIDA!CN41="","",CONSOLIDA!CN41)</f>
        <v/>
      </c>
      <c r="E60" s="1135"/>
      <c r="F60" s="1135"/>
      <c r="G60" s="1129" t="str">
        <f>IF(CONSOLIDA!CO41="","",CONSOLIDA!CO41)</f>
        <v/>
      </c>
      <c r="H60" s="1129"/>
      <c r="I60" s="1129"/>
      <c r="J60" s="1129"/>
      <c r="K60" s="1129"/>
      <c r="L60" s="1129"/>
      <c r="M60" s="1129"/>
      <c r="N60" s="1129"/>
      <c r="O60" s="1129"/>
      <c r="P60" s="1129"/>
      <c r="Q60" s="1129"/>
      <c r="R60" s="1129"/>
      <c r="S60" s="1129"/>
      <c r="T60" s="1129"/>
      <c r="U60" s="1129"/>
      <c r="V60" s="1129"/>
      <c r="W60" s="1129"/>
      <c r="X60" s="1129"/>
      <c r="Y60" s="1130"/>
      <c r="Z60" s="1139" t="str">
        <f>IF(CONSOLIDA!CP41="","",CONSOLIDA!CP41)</f>
        <v/>
      </c>
      <c r="AA60" s="1139"/>
      <c r="AB60" s="1139"/>
      <c r="AC60" s="1139"/>
      <c r="AD60" s="1139"/>
      <c r="AE60" s="1139"/>
      <c r="AF60" s="1139" t="str">
        <f>IF(CONSOLIDA!CQ41="","",CONSOLIDA!CQ41)</f>
        <v/>
      </c>
      <c r="AG60" s="1139"/>
      <c r="AH60" s="1139"/>
      <c r="AI60" s="1139"/>
      <c r="AJ60" s="1139"/>
      <c r="AK60" s="1139"/>
      <c r="AL60" s="1139" t="str">
        <f>IF(CONSOLIDA!CR41="","",CONSOLIDA!CR41)</f>
        <v/>
      </c>
      <c r="AM60" s="1139"/>
      <c r="AN60" s="1139"/>
      <c r="AO60" s="1139"/>
      <c r="AP60" s="1139"/>
      <c r="AQ60" s="1139"/>
      <c r="AR60" s="1139" t="str">
        <f>IF(CONSOLIDA!CS41="","",CONSOLIDA!CS41)</f>
        <v/>
      </c>
      <c r="AS60" s="1139"/>
      <c r="AT60" s="1139"/>
      <c r="AU60" s="1139"/>
      <c r="AV60" s="1139"/>
      <c r="AW60" s="1139"/>
      <c r="AX60" s="1140" t="str">
        <f>IF(CONSOLIDA!CT41="","",CONSOLIDA!CT41)</f>
        <v/>
      </c>
      <c r="AY60" s="1140"/>
      <c r="AZ60" s="1140"/>
      <c r="BA60" s="1140"/>
      <c r="BB60" s="1140"/>
      <c r="BC60" s="1140"/>
      <c r="BD60" s="1139" t="str">
        <f>IF(CONSOLIDA!CU41="","",CONSOLIDA!CU41)</f>
        <v/>
      </c>
      <c r="BE60" s="1139"/>
      <c r="BF60" s="1139"/>
      <c r="BG60" s="1139"/>
      <c r="BH60" s="1139"/>
      <c r="BI60" s="1139"/>
      <c r="BJ60" s="1139" t="str">
        <f>IF(CONSOLIDA!CV41="","",CONSOLIDA!CV41)</f>
        <v/>
      </c>
      <c r="BK60" s="1139"/>
      <c r="BL60" s="1139"/>
      <c r="BM60" s="1139"/>
      <c r="BN60" s="1139"/>
      <c r="BO60" s="1139"/>
      <c r="BP60" s="1139" t="str">
        <f>IF(CONSOLIDA!CW41="","",CONSOLIDA!CW41)</f>
        <v/>
      </c>
      <c r="BQ60" s="1139"/>
      <c r="BR60" s="1139"/>
      <c r="BS60" s="1139"/>
      <c r="BT60" s="1139"/>
      <c r="BU60" s="1139"/>
      <c r="BV60" s="1140" t="str">
        <f>IF(CONSOLIDA!CX41="","",CONSOLIDA!CX41)</f>
        <v/>
      </c>
      <c r="BW60" s="1140"/>
      <c r="BX60" s="1140"/>
      <c r="BY60" s="1140"/>
      <c r="BZ60" s="1140"/>
      <c r="CA60" s="1140"/>
      <c r="CB60" s="1139" t="str">
        <f>IF(CONSOLIDA!CY41="","",CONSOLIDA!CY41)</f>
        <v/>
      </c>
      <c r="CC60" s="1139"/>
      <c r="CD60" s="1139"/>
      <c r="CE60" s="1139"/>
      <c r="CF60" s="1139"/>
      <c r="CG60" s="1139"/>
      <c r="CH60" s="486"/>
      <c r="CI60" s="190" t="str">
        <f>IF(CONSOLIDA!CZ41="","",CONSOLIDA!CZ41)</f>
        <v/>
      </c>
      <c r="CJ60" s="190" t="str">
        <f>IF(CONSOLIDA!DA41="","",CONSOLIDA!DA41)</f>
        <v/>
      </c>
      <c r="DA60" s="3">
        <v>0</v>
      </c>
      <c r="DB60" s="3" t="s">
        <v>544</v>
      </c>
    </row>
    <row r="61" spans="1:106" s="3" customFormat="1" hidden="1">
      <c r="A61" s="243" t="str">
        <f t="shared" si="0"/>
        <v>OK</v>
      </c>
      <c r="B61" s="1141" t="str">
        <f>IF(CONSOLIDA!CL42="","",CONSOLIDA!CL42)</f>
        <v/>
      </c>
      <c r="C61" s="1141"/>
      <c r="D61" s="1134" t="str">
        <f>IF(CONSOLIDA!CN42="","",CONSOLIDA!CN42)</f>
        <v/>
      </c>
      <c r="E61" s="1135"/>
      <c r="F61" s="1135"/>
      <c r="G61" s="1129" t="str">
        <f>IF(CONSOLIDA!CO42="","",CONSOLIDA!CO42)</f>
        <v/>
      </c>
      <c r="H61" s="1129"/>
      <c r="I61" s="1129"/>
      <c r="J61" s="1129"/>
      <c r="K61" s="1129"/>
      <c r="L61" s="1129"/>
      <c r="M61" s="1129"/>
      <c r="N61" s="1129"/>
      <c r="O61" s="1129"/>
      <c r="P61" s="1129"/>
      <c r="Q61" s="1129"/>
      <c r="R61" s="1129"/>
      <c r="S61" s="1129"/>
      <c r="T61" s="1129"/>
      <c r="U61" s="1129"/>
      <c r="V61" s="1129"/>
      <c r="W61" s="1129"/>
      <c r="X61" s="1129"/>
      <c r="Y61" s="1130"/>
      <c r="Z61" s="1139" t="str">
        <f>IF(CONSOLIDA!CP42="","",CONSOLIDA!CP42)</f>
        <v/>
      </c>
      <c r="AA61" s="1139"/>
      <c r="AB61" s="1139"/>
      <c r="AC61" s="1139"/>
      <c r="AD61" s="1139"/>
      <c r="AE61" s="1139"/>
      <c r="AF61" s="1139" t="str">
        <f>IF(CONSOLIDA!CQ42="","",CONSOLIDA!CQ42)</f>
        <v/>
      </c>
      <c r="AG61" s="1139"/>
      <c r="AH61" s="1139"/>
      <c r="AI61" s="1139"/>
      <c r="AJ61" s="1139"/>
      <c r="AK61" s="1139"/>
      <c r="AL61" s="1139" t="str">
        <f>IF(CONSOLIDA!CR42="","",CONSOLIDA!CR42)</f>
        <v/>
      </c>
      <c r="AM61" s="1139"/>
      <c r="AN61" s="1139"/>
      <c r="AO61" s="1139"/>
      <c r="AP61" s="1139"/>
      <c r="AQ61" s="1139"/>
      <c r="AR61" s="1139" t="str">
        <f>IF(CONSOLIDA!CS42="","",CONSOLIDA!CS42)</f>
        <v/>
      </c>
      <c r="AS61" s="1139"/>
      <c r="AT61" s="1139"/>
      <c r="AU61" s="1139"/>
      <c r="AV61" s="1139"/>
      <c r="AW61" s="1139"/>
      <c r="AX61" s="1140" t="str">
        <f>IF(CONSOLIDA!CT42="","",CONSOLIDA!CT42)</f>
        <v/>
      </c>
      <c r="AY61" s="1140"/>
      <c r="AZ61" s="1140"/>
      <c r="BA61" s="1140"/>
      <c r="BB61" s="1140"/>
      <c r="BC61" s="1140"/>
      <c r="BD61" s="1139" t="str">
        <f>IF(CONSOLIDA!CU42="","",CONSOLIDA!CU42)</f>
        <v/>
      </c>
      <c r="BE61" s="1139"/>
      <c r="BF61" s="1139"/>
      <c r="BG61" s="1139"/>
      <c r="BH61" s="1139"/>
      <c r="BI61" s="1139"/>
      <c r="BJ61" s="1139" t="str">
        <f>IF(CONSOLIDA!CV42="","",CONSOLIDA!CV42)</f>
        <v/>
      </c>
      <c r="BK61" s="1139"/>
      <c r="BL61" s="1139"/>
      <c r="BM61" s="1139"/>
      <c r="BN61" s="1139"/>
      <c r="BO61" s="1139"/>
      <c r="BP61" s="1139" t="str">
        <f>IF(CONSOLIDA!CW42="","",CONSOLIDA!CW42)</f>
        <v/>
      </c>
      <c r="BQ61" s="1139"/>
      <c r="BR61" s="1139"/>
      <c r="BS61" s="1139"/>
      <c r="BT61" s="1139"/>
      <c r="BU61" s="1139"/>
      <c r="BV61" s="1140" t="str">
        <f>IF(CONSOLIDA!CX42="","",CONSOLIDA!CX42)</f>
        <v/>
      </c>
      <c r="BW61" s="1140"/>
      <c r="BX61" s="1140"/>
      <c r="BY61" s="1140"/>
      <c r="BZ61" s="1140"/>
      <c r="CA61" s="1140"/>
      <c r="CB61" s="1139" t="str">
        <f>IF(CONSOLIDA!CY42="","",CONSOLIDA!CY42)</f>
        <v/>
      </c>
      <c r="CC61" s="1139"/>
      <c r="CD61" s="1139"/>
      <c r="CE61" s="1139"/>
      <c r="CF61" s="1139"/>
      <c r="CG61" s="1139"/>
      <c r="CH61" s="486"/>
      <c r="CI61" s="190" t="str">
        <f>IF(CONSOLIDA!CZ42="","",CONSOLIDA!CZ42)</f>
        <v/>
      </c>
      <c r="CJ61" s="190" t="str">
        <f>IF(CONSOLIDA!DA42="","",CONSOLIDA!DA42)</f>
        <v/>
      </c>
    </row>
    <row r="62" spans="1:106" s="3" customFormat="1" hidden="1">
      <c r="A62" s="243" t="str">
        <f t="shared" si="0"/>
        <v>OK</v>
      </c>
      <c r="B62" s="1141" t="str">
        <f>IF(CONSOLIDA!CL43="","",CONSOLIDA!CL43)</f>
        <v/>
      </c>
      <c r="C62" s="1141"/>
      <c r="D62" s="1134" t="str">
        <f>IF(CONSOLIDA!CN43="","",CONSOLIDA!CN43)</f>
        <v/>
      </c>
      <c r="E62" s="1135"/>
      <c r="F62" s="1135"/>
      <c r="G62" s="1129" t="str">
        <f>IF(CONSOLIDA!CO43="","",CONSOLIDA!CO43)</f>
        <v/>
      </c>
      <c r="H62" s="1129"/>
      <c r="I62" s="1129"/>
      <c r="J62" s="1129"/>
      <c r="K62" s="1129"/>
      <c r="L62" s="1129"/>
      <c r="M62" s="1129"/>
      <c r="N62" s="1129"/>
      <c r="O62" s="1129"/>
      <c r="P62" s="1129"/>
      <c r="Q62" s="1129"/>
      <c r="R62" s="1129"/>
      <c r="S62" s="1129"/>
      <c r="T62" s="1129"/>
      <c r="U62" s="1129"/>
      <c r="V62" s="1129"/>
      <c r="W62" s="1129"/>
      <c r="X62" s="1129"/>
      <c r="Y62" s="1130"/>
      <c r="Z62" s="1139" t="str">
        <f>IF(CONSOLIDA!CP43="","",CONSOLIDA!CP43)</f>
        <v/>
      </c>
      <c r="AA62" s="1139"/>
      <c r="AB62" s="1139"/>
      <c r="AC62" s="1139"/>
      <c r="AD62" s="1139"/>
      <c r="AE62" s="1139"/>
      <c r="AF62" s="1139" t="str">
        <f>IF(CONSOLIDA!CQ43="","",CONSOLIDA!CQ43)</f>
        <v/>
      </c>
      <c r="AG62" s="1139"/>
      <c r="AH62" s="1139"/>
      <c r="AI62" s="1139"/>
      <c r="AJ62" s="1139"/>
      <c r="AK62" s="1139"/>
      <c r="AL62" s="1139" t="str">
        <f>IF(CONSOLIDA!CR43="","",CONSOLIDA!CR43)</f>
        <v/>
      </c>
      <c r="AM62" s="1139"/>
      <c r="AN62" s="1139"/>
      <c r="AO62" s="1139"/>
      <c r="AP62" s="1139"/>
      <c r="AQ62" s="1139"/>
      <c r="AR62" s="1139" t="str">
        <f>IF(CONSOLIDA!CS43="","",CONSOLIDA!CS43)</f>
        <v/>
      </c>
      <c r="AS62" s="1139"/>
      <c r="AT62" s="1139"/>
      <c r="AU62" s="1139"/>
      <c r="AV62" s="1139"/>
      <c r="AW62" s="1139"/>
      <c r="AX62" s="1140" t="str">
        <f>IF(CONSOLIDA!CT43="","",CONSOLIDA!CT43)</f>
        <v/>
      </c>
      <c r="AY62" s="1140"/>
      <c r="AZ62" s="1140"/>
      <c r="BA62" s="1140"/>
      <c r="BB62" s="1140"/>
      <c r="BC62" s="1140"/>
      <c r="BD62" s="1139" t="str">
        <f>IF(CONSOLIDA!CU43="","",CONSOLIDA!CU43)</f>
        <v/>
      </c>
      <c r="BE62" s="1139"/>
      <c r="BF62" s="1139"/>
      <c r="BG62" s="1139"/>
      <c r="BH62" s="1139"/>
      <c r="BI62" s="1139"/>
      <c r="BJ62" s="1139" t="str">
        <f>IF(CONSOLIDA!CV43="","",CONSOLIDA!CV43)</f>
        <v/>
      </c>
      <c r="BK62" s="1139"/>
      <c r="BL62" s="1139"/>
      <c r="BM62" s="1139"/>
      <c r="BN62" s="1139"/>
      <c r="BO62" s="1139"/>
      <c r="BP62" s="1139" t="str">
        <f>IF(CONSOLIDA!CW43="","",CONSOLIDA!CW43)</f>
        <v/>
      </c>
      <c r="BQ62" s="1139"/>
      <c r="BR62" s="1139"/>
      <c r="BS62" s="1139"/>
      <c r="BT62" s="1139"/>
      <c r="BU62" s="1139"/>
      <c r="BV62" s="1140" t="str">
        <f>IF(CONSOLIDA!CX43="","",CONSOLIDA!CX43)</f>
        <v/>
      </c>
      <c r="BW62" s="1140"/>
      <c r="BX62" s="1140"/>
      <c r="BY62" s="1140"/>
      <c r="BZ62" s="1140"/>
      <c r="CA62" s="1140"/>
      <c r="CB62" s="1139" t="str">
        <f>IF(CONSOLIDA!CY43="","",CONSOLIDA!CY43)</f>
        <v/>
      </c>
      <c r="CC62" s="1139"/>
      <c r="CD62" s="1139"/>
      <c r="CE62" s="1139"/>
      <c r="CF62" s="1139"/>
      <c r="CG62" s="1139"/>
      <c r="CH62" s="486"/>
      <c r="CI62" s="190" t="str">
        <f>IF(CONSOLIDA!CZ43="","",CONSOLIDA!CZ43)</f>
        <v/>
      </c>
      <c r="CJ62" s="190" t="str">
        <f>IF(CONSOLIDA!DA43="","",CONSOLIDA!DA43)</f>
        <v/>
      </c>
    </row>
    <row r="63" spans="1:106" s="3" customFormat="1" hidden="1">
      <c r="A63" s="243" t="str">
        <f t="shared" si="0"/>
        <v>OK</v>
      </c>
      <c r="B63" s="1141" t="str">
        <f>IF(CONSOLIDA!CL44="","",CONSOLIDA!CL44)</f>
        <v/>
      </c>
      <c r="C63" s="1141"/>
      <c r="D63" s="1134" t="str">
        <f>IF(CONSOLIDA!CN44="","",CONSOLIDA!CN44)</f>
        <v/>
      </c>
      <c r="E63" s="1135"/>
      <c r="F63" s="1135"/>
      <c r="G63" s="1129" t="str">
        <f>IF(CONSOLIDA!CO44="","",CONSOLIDA!CO44)</f>
        <v/>
      </c>
      <c r="H63" s="1129"/>
      <c r="I63" s="1129"/>
      <c r="J63" s="1129"/>
      <c r="K63" s="1129"/>
      <c r="L63" s="1129"/>
      <c r="M63" s="1129"/>
      <c r="N63" s="1129"/>
      <c r="O63" s="1129"/>
      <c r="P63" s="1129"/>
      <c r="Q63" s="1129"/>
      <c r="R63" s="1129"/>
      <c r="S63" s="1129"/>
      <c r="T63" s="1129"/>
      <c r="U63" s="1129"/>
      <c r="V63" s="1129"/>
      <c r="W63" s="1129"/>
      <c r="X63" s="1129"/>
      <c r="Y63" s="1130"/>
      <c r="Z63" s="1139" t="str">
        <f>IF(CONSOLIDA!CP44="","",CONSOLIDA!CP44)</f>
        <v/>
      </c>
      <c r="AA63" s="1139"/>
      <c r="AB63" s="1139"/>
      <c r="AC63" s="1139"/>
      <c r="AD63" s="1139"/>
      <c r="AE63" s="1139"/>
      <c r="AF63" s="1139" t="str">
        <f>IF(CONSOLIDA!CQ44="","",CONSOLIDA!CQ44)</f>
        <v/>
      </c>
      <c r="AG63" s="1139"/>
      <c r="AH63" s="1139"/>
      <c r="AI63" s="1139"/>
      <c r="AJ63" s="1139"/>
      <c r="AK63" s="1139"/>
      <c r="AL63" s="1139" t="str">
        <f>IF(CONSOLIDA!CR44="","",CONSOLIDA!CR44)</f>
        <v/>
      </c>
      <c r="AM63" s="1139"/>
      <c r="AN63" s="1139"/>
      <c r="AO63" s="1139"/>
      <c r="AP63" s="1139"/>
      <c r="AQ63" s="1139"/>
      <c r="AR63" s="1139" t="str">
        <f>IF(CONSOLIDA!CS44="","",CONSOLIDA!CS44)</f>
        <v/>
      </c>
      <c r="AS63" s="1139"/>
      <c r="AT63" s="1139"/>
      <c r="AU63" s="1139"/>
      <c r="AV63" s="1139"/>
      <c r="AW63" s="1139"/>
      <c r="AX63" s="1140" t="str">
        <f>IF(CONSOLIDA!CT44="","",CONSOLIDA!CT44)</f>
        <v/>
      </c>
      <c r="AY63" s="1140"/>
      <c r="AZ63" s="1140"/>
      <c r="BA63" s="1140"/>
      <c r="BB63" s="1140"/>
      <c r="BC63" s="1140"/>
      <c r="BD63" s="1139" t="str">
        <f>IF(CONSOLIDA!CU44="","",CONSOLIDA!CU44)</f>
        <v/>
      </c>
      <c r="BE63" s="1139"/>
      <c r="BF63" s="1139"/>
      <c r="BG63" s="1139"/>
      <c r="BH63" s="1139"/>
      <c r="BI63" s="1139"/>
      <c r="BJ63" s="1139" t="str">
        <f>IF(CONSOLIDA!CV44="","",CONSOLIDA!CV44)</f>
        <v/>
      </c>
      <c r="BK63" s="1139"/>
      <c r="BL63" s="1139"/>
      <c r="BM63" s="1139"/>
      <c r="BN63" s="1139"/>
      <c r="BO63" s="1139"/>
      <c r="BP63" s="1139" t="str">
        <f>IF(CONSOLIDA!CW44="","",CONSOLIDA!CW44)</f>
        <v/>
      </c>
      <c r="BQ63" s="1139"/>
      <c r="BR63" s="1139"/>
      <c r="BS63" s="1139"/>
      <c r="BT63" s="1139"/>
      <c r="BU63" s="1139"/>
      <c r="BV63" s="1140" t="str">
        <f>IF(CONSOLIDA!CX44="","",CONSOLIDA!CX44)</f>
        <v/>
      </c>
      <c r="BW63" s="1140"/>
      <c r="BX63" s="1140"/>
      <c r="BY63" s="1140"/>
      <c r="BZ63" s="1140"/>
      <c r="CA63" s="1140"/>
      <c r="CB63" s="1139" t="str">
        <f>IF(CONSOLIDA!CY44="","",CONSOLIDA!CY44)</f>
        <v/>
      </c>
      <c r="CC63" s="1139"/>
      <c r="CD63" s="1139"/>
      <c r="CE63" s="1139"/>
      <c r="CF63" s="1139"/>
      <c r="CG63" s="1139"/>
      <c r="CH63" s="486"/>
      <c r="CI63" s="190" t="str">
        <f>IF(CONSOLIDA!CZ44="","",CONSOLIDA!CZ44)</f>
        <v/>
      </c>
      <c r="CJ63" s="190" t="str">
        <f>IF(CONSOLIDA!DA44="","",CONSOLIDA!DA44)</f>
        <v/>
      </c>
    </row>
    <row r="64" spans="1:106" s="3" customFormat="1" hidden="1">
      <c r="A64" s="243" t="str">
        <f t="shared" si="0"/>
        <v>OK</v>
      </c>
      <c r="B64" s="1141" t="str">
        <f>IF(CONSOLIDA!CL45="","",CONSOLIDA!CL45)</f>
        <v/>
      </c>
      <c r="C64" s="1141"/>
      <c r="D64" s="1134" t="str">
        <f>IF(CONSOLIDA!CN45="","",CONSOLIDA!CN45)</f>
        <v/>
      </c>
      <c r="E64" s="1135"/>
      <c r="F64" s="1135"/>
      <c r="G64" s="1129" t="str">
        <f>IF(CONSOLIDA!CO45="","",CONSOLIDA!CO45)</f>
        <v/>
      </c>
      <c r="H64" s="1129"/>
      <c r="I64" s="1129"/>
      <c r="J64" s="1129"/>
      <c r="K64" s="1129"/>
      <c r="L64" s="1129"/>
      <c r="M64" s="1129"/>
      <c r="N64" s="1129"/>
      <c r="O64" s="1129"/>
      <c r="P64" s="1129"/>
      <c r="Q64" s="1129"/>
      <c r="R64" s="1129"/>
      <c r="S64" s="1129"/>
      <c r="T64" s="1129"/>
      <c r="U64" s="1129"/>
      <c r="V64" s="1129"/>
      <c r="W64" s="1129"/>
      <c r="X64" s="1129"/>
      <c r="Y64" s="1130"/>
      <c r="Z64" s="1139" t="str">
        <f>IF(CONSOLIDA!CP45="","",CONSOLIDA!CP45)</f>
        <v/>
      </c>
      <c r="AA64" s="1139"/>
      <c r="AB64" s="1139"/>
      <c r="AC64" s="1139"/>
      <c r="AD64" s="1139"/>
      <c r="AE64" s="1139"/>
      <c r="AF64" s="1139" t="str">
        <f>IF(CONSOLIDA!CQ45="","",CONSOLIDA!CQ45)</f>
        <v/>
      </c>
      <c r="AG64" s="1139"/>
      <c r="AH64" s="1139"/>
      <c r="AI64" s="1139"/>
      <c r="AJ64" s="1139"/>
      <c r="AK64" s="1139"/>
      <c r="AL64" s="1139" t="str">
        <f>IF(CONSOLIDA!CR45="","",CONSOLIDA!CR45)</f>
        <v/>
      </c>
      <c r="AM64" s="1139"/>
      <c r="AN64" s="1139"/>
      <c r="AO64" s="1139"/>
      <c r="AP64" s="1139"/>
      <c r="AQ64" s="1139"/>
      <c r="AR64" s="1139" t="str">
        <f>IF(CONSOLIDA!CS45="","",CONSOLIDA!CS45)</f>
        <v/>
      </c>
      <c r="AS64" s="1139"/>
      <c r="AT64" s="1139"/>
      <c r="AU64" s="1139"/>
      <c r="AV64" s="1139"/>
      <c r="AW64" s="1139"/>
      <c r="AX64" s="1140" t="str">
        <f>IF(CONSOLIDA!CT45="","",CONSOLIDA!CT45)</f>
        <v/>
      </c>
      <c r="AY64" s="1140"/>
      <c r="AZ64" s="1140"/>
      <c r="BA64" s="1140"/>
      <c r="BB64" s="1140"/>
      <c r="BC64" s="1140"/>
      <c r="BD64" s="1139" t="str">
        <f>IF(CONSOLIDA!CU45="","",CONSOLIDA!CU45)</f>
        <v/>
      </c>
      <c r="BE64" s="1139"/>
      <c r="BF64" s="1139"/>
      <c r="BG64" s="1139"/>
      <c r="BH64" s="1139"/>
      <c r="BI64" s="1139"/>
      <c r="BJ64" s="1139" t="str">
        <f>IF(CONSOLIDA!CV45="","",CONSOLIDA!CV45)</f>
        <v/>
      </c>
      <c r="BK64" s="1139"/>
      <c r="BL64" s="1139"/>
      <c r="BM64" s="1139"/>
      <c r="BN64" s="1139"/>
      <c r="BO64" s="1139"/>
      <c r="BP64" s="1139" t="str">
        <f>IF(CONSOLIDA!CW45="","",CONSOLIDA!CW45)</f>
        <v/>
      </c>
      <c r="BQ64" s="1139"/>
      <c r="BR64" s="1139"/>
      <c r="BS64" s="1139"/>
      <c r="BT64" s="1139"/>
      <c r="BU64" s="1139"/>
      <c r="BV64" s="1140" t="str">
        <f>IF(CONSOLIDA!CX45="","",CONSOLIDA!CX45)</f>
        <v/>
      </c>
      <c r="BW64" s="1140"/>
      <c r="BX64" s="1140"/>
      <c r="BY64" s="1140"/>
      <c r="BZ64" s="1140"/>
      <c r="CA64" s="1140"/>
      <c r="CB64" s="1139" t="str">
        <f>IF(CONSOLIDA!CY45="","",CONSOLIDA!CY45)</f>
        <v/>
      </c>
      <c r="CC64" s="1139"/>
      <c r="CD64" s="1139"/>
      <c r="CE64" s="1139"/>
      <c r="CF64" s="1139"/>
      <c r="CG64" s="1139"/>
      <c r="CH64" s="486"/>
      <c r="CI64" s="190" t="str">
        <f>IF(CONSOLIDA!CZ45="","",CONSOLIDA!CZ45)</f>
        <v/>
      </c>
      <c r="CJ64" s="190" t="str">
        <f>IF(CONSOLIDA!DA45="","",CONSOLIDA!DA45)</f>
        <v/>
      </c>
    </row>
    <row r="65" spans="1:88" s="3" customFormat="1" hidden="1">
      <c r="A65" s="243" t="str">
        <f t="shared" si="0"/>
        <v>OK</v>
      </c>
      <c r="B65" s="1141" t="str">
        <f>IF(CONSOLIDA!CL46="","",CONSOLIDA!CL46)</f>
        <v/>
      </c>
      <c r="C65" s="1141"/>
      <c r="D65" s="1134" t="str">
        <f>IF(CONSOLIDA!CN46="","",CONSOLIDA!CN46)</f>
        <v/>
      </c>
      <c r="E65" s="1135"/>
      <c r="F65" s="1135"/>
      <c r="G65" s="1129" t="str">
        <f>IF(CONSOLIDA!CO46="","",CONSOLIDA!CO46)</f>
        <v/>
      </c>
      <c r="H65" s="1129"/>
      <c r="I65" s="1129"/>
      <c r="J65" s="1129"/>
      <c r="K65" s="1129"/>
      <c r="L65" s="1129"/>
      <c r="M65" s="1129"/>
      <c r="N65" s="1129"/>
      <c r="O65" s="1129"/>
      <c r="P65" s="1129"/>
      <c r="Q65" s="1129"/>
      <c r="R65" s="1129"/>
      <c r="S65" s="1129"/>
      <c r="T65" s="1129"/>
      <c r="U65" s="1129"/>
      <c r="V65" s="1129"/>
      <c r="W65" s="1129"/>
      <c r="X65" s="1129"/>
      <c r="Y65" s="1130"/>
      <c r="Z65" s="1139" t="str">
        <f>IF(CONSOLIDA!CP46="","",CONSOLIDA!CP46)</f>
        <v/>
      </c>
      <c r="AA65" s="1139"/>
      <c r="AB65" s="1139"/>
      <c r="AC65" s="1139"/>
      <c r="AD65" s="1139"/>
      <c r="AE65" s="1139"/>
      <c r="AF65" s="1139" t="str">
        <f>IF(CONSOLIDA!CQ46="","",CONSOLIDA!CQ46)</f>
        <v/>
      </c>
      <c r="AG65" s="1139"/>
      <c r="AH65" s="1139"/>
      <c r="AI65" s="1139"/>
      <c r="AJ65" s="1139"/>
      <c r="AK65" s="1139"/>
      <c r="AL65" s="1139" t="str">
        <f>IF(CONSOLIDA!CR46="","",CONSOLIDA!CR46)</f>
        <v/>
      </c>
      <c r="AM65" s="1139"/>
      <c r="AN65" s="1139"/>
      <c r="AO65" s="1139"/>
      <c r="AP65" s="1139"/>
      <c r="AQ65" s="1139"/>
      <c r="AR65" s="1139" t="str">
        <f>IF(CONSOLIDA!CS46="","",CONSOLIDA!CS46)</f>
        <v/>
      </c>
      <c r="AS65" s="1139"/>
      <c r="AT65" s="1139"/>
      <c r="AU65" s="1139"/>
      <c r="AV65" s="1139"/>
      <c r="AW65" s="1139"/>
      <c r="AX65" s="1140" t="str">
        <f>IF(CONSOLIDA!CT46="","",CONSOLIDA!CT46)</f>
        <v/>
      </c>
      <c r="AY65" s="1140"/>
      <c r="AZ65" s="1140"/>
      <c r="BA65" s="1140"/>
      <c r="BB65" s="1140"/>
      <c r="BC65" s="1140"/>
      <c r="BD65" s="1139" t="str">
        <f>IF(CONSOLIDA!CU46="","",CONSOLIDA!CU46)</f>
        <v/>
      </c>
      <c r="BE65" s="1139"/>
      <c r="BF65" s="1139"/>
      <c r="BG65" s="1139"/>
      <c r="BH65" s="1139"/>
      <c r="BI65" s="1139"/>
      <c r="BJ65" s="1139" t="str">
        <f>IF(CONSOLIDA!CV46="","",CONSOLIDA!CV46)</f>
        <v/>
      </c>
      <c r="BK65" s="1139"/>
      <c r="BL65" s="1139"/>
      <c r="BM65" s="1139"/>
      <c r="BN65" s="1139"/>
      <c r="BO65" s="1139"/>
      <c r="BP65" s="1139" t="str">
        <f>IF(CONSOLIDA!CW46="","",CONSOLIDA!CW46)</f>
        <v/>
      </c>
      <c r="BQ65" s="1139"/>
      <c r="BR65" s="1139"/>
      <c r="BS65" s="1139"/>
      <c r="BT65" s="1139"/>
      <c r="BU65" s="1139"/>
      <c r="BV65" s="1140" t="str">
        <f>IF(CONSOLIDA!CX46="","",CONSOLIDA!CX46)</f>
        <v/>
      </c>
      <c r="BW65" s="1140"/>
      <c r="BX65" s="1140"/>
      <c r="BY65" s="1140"/>
      <c r="BZ65" s="1140"/>
      <c r="CA65" s="1140"/>
      <c r="CB65" s="1139" t="str">
        <f>IF(CONSOLIDA!CY46="","",CONSOLIDA!CY46)</f>
        <v/>
      </c>
      <c r="CC65" s="1139"/>
      <c r="CD65" s="1139"/>
      <c r="CE65" s="1139"/>
      <c r="CF65" s="1139"/>
      <c r="CG65" s="1139"/>
      <c r="CH65" s="486"/>
      <c r="CI65" s="190" t="str">
        <f>IF(CONSOLIDA!CZ46="","",CONSOLIDA!CZ46)</f>
        <v/>
      </c>
      <c r="CJ65" s="190" t="str">
        <f>IF(CONSOLIDA!DA46="","",CONSOLIDA!DA46)</f>
        <v/>
      </c>
    </row>
    <row r="66" spans="1:88" s="3" customFormat="1" hidden="1">
      <c r="A66" s="243" t="str">
        <f t="shared" si="0"/>
        <v>OK</v>
      </c>
      <c r="B66" s="1141" t="str">
        <f>IF(CONSOLIDA!CL47="","",CONSOLIDA!CL47)</f>
        <v/>
      </c>
      <c r="C66" s="1141"/>
      <c r="D66" s="1134" t="str">
        <f>IF(CONSOLIDA!CN47="","",CONSOLIDA!CN47)</f>
        <v/>
      </c>
      <c r="E66" s="1135"/>
      <c r="F66" s="1135"/>
      <c r="G66" s="1129" t="str">
        <f>IF(CONSOLIDA!CO47="","",CONSOLIDA!CO47)</f>
        <v/>
      </c>
      <c r="H66" s="1129"/>
      <c r="I66" s="1129"/>
      <c r="J66" s="1129"/>
      <c r="K66" s="1129"/>
      <c r="L66" s="1129"/>
      <c r="M66" s="1129"/>
      <c r="N66" s="1129"/>
      <c r="O66" s="1129"/>
      <c r="P66" s="1129"/>
      <c r="Q66" s="1129"/>
      <c r="R66" s="1129"/>
      <c r="S66" s="1129"/>
      <c r="T66" s="1129"/>
      <c r="U66" s="1129"/>
      <c r="V66" s="1129"/>
      <c r="W66" s="1129"/>
      <c r="X66" s="1129"/>
      <c r="Y66" s="1130"/>
      <c r="Z66" s="1139" t="str">
        <f>IF(CONSOLIDA!CP47="","",CONSOLIDA!CP47)</f>
        <v/>
      </c>
      <c r="AA66" s="1139"/>
      <c r="AB66" s="1139"/>
      <c r="AC66" s="1139"/>
      <c r="AD66" s="1139"/>
      <c r="AE66" s="1139"/>
      <c r="AF66" s="1139" t="str">
        <f>IF(CONSOLIDA!CQ47="","",CONSOLIDA!CQ47)</f>
        <v/>
      </c>
      <c r="AG66" s="1139"/>
      <c r="AH66" s="1139"/>
      <c r="AI66" s="1139"/>
      <c r="AJ66" s="1139"/>
      <c r="AK66" s="1139"/>
      <c r="AL66" s="1139" t="str">
        <f>IF(CONSOLIDA!CR47="","",CONSOLIDA!CR47)</f>
        <v/>
      </c>
      <c r="AM66" s="1139"/>
      <c r="AN66" s="1139"/>
      <c r="AO66" s="1139"/>
      <c r="AP66" s="1139"/>
      <c r="AQ66" s="1139"/>
      <c r="AR66" s="1139" t="str">
        <f>IF(CONSOLIDA!CS47="","",CONSOLIDA!CS47)</f>
        <v/>
      </c>
      <c r="AS66" s="1139"/>
      <c r="AT66" s="1139"/>
      <c r="AU66" s="1139"/>
      <c r="AV66" s="1139"/>
      <c r="AW66" s="1139"/>
      <c r="AX66" s="1140" t="str">
        <f>IF(CONSOLIDA!CT47="","",CONSOLIDA!CT47)</f>
        <v/>
      </c>
      <c r="AY66" s="1140"/>
      <c r="AZ66" s="1140"/>
      <c r="BA66" s="1140"/>
      <c r="BB66" s="1140"/>
      <c r="BC66" s="1140"/>
      <c r="BD66" s="1139" t="str">
        <f>IF(CONSOLIDA!CU47="","",CONSOLIDA!CU47)</f>
        <v/>
      </c>
      <c r="BE66" s="1139"/>
      <c r="BF66" s="1139"/>
      <c r="BG66" s="1139"/>
      <c r="BH66" s="1139"/>
      <c r="BI66" s="1139"/>
      <c r="BJ66" s="1139" t="str">
        <f>IF(CONSOLIDA!CV47="","",CONSOLIDA!CV47)</f>
        <v/>
      </c>
      <c r="BK66" s="1139"/>
      <c r="BL66" s="1139"/>
      <c r="BM66" s="1139"/>
      <c r="BN66" s="1139"/>
      <c r="BO66" s="1139"/>
      <c r="BP66" s="1139" t="str">
        <f>IF(CONSOLIDA!CW47="","",CONSOLIDA!CW47)</f>
        <v/>
      </c>
      <c r="BQ66" s="1139"/>
      <c r="BR66" s="1139"/>
      <c r="BS66" s="1139"/>
      <c r="BT66" s="1139"/>
      <c r="BU66" s="1139"/>
      <c r="BV66" s="1140" t="str">
        <f>IF(CONSOLIDA!CX47="","",CONSOLIDA!CX47)</f>
        <v/>
      </c>
      <c r="BW66" s="1140"/>
      <c r="BX66" s="1140"/>
      <c r="BY66" s="1140"/>
      <c r="BZ66" s="1140"/>
      <c r="CA66" s="1140"/>
      <c r="CB66" s="1139" t="str">
        <f>IF(CONSOLIDA!CY47="","",CONSOLIDA!CY47)</f>
        <v/>
      </c>
      <c r="CC66" s="1139"/>
      <c r="CD66" s="1139"/>
      <c r="CE66" s="1139"/>
      <c r="CF66" s="1139"/>
      <c r="CG66" s="1139"/>
      <c r="CH66" s="486"/>
      <c r="CI66" s="190" t="str">
        <f>IF(CONSOLIDA!CZ47="","",CONSOLIDA!CZ47)</f>
        <v/>
      </c>
      <c r="CJ66" s="190" t="str">
        <f>IF(CONSOLIDA!DA47="","",CONSOLIDA!DA47)</f>
        <v/>
      </c>
    </row>
    <row r="67" spans="1:88" s="3" customFormat="1" hidden="1">
      <c r="A67" s="243" t="str">
        <f t="shared" si="0"/>
        <v>OK</v>
      </c>
      <c r="B67" s="1141" t="str">
        <f>IF(CONSOLIDA!CL48="","",CONSOLIDA!CL48)</f>
        <v/>
      </c>
      <c r="C67" s="1141"/>
      <c r="D67" s="1134" t="str">
        <f>IF(CONSOLIDA!CN48="","",CONSOLIDA!CN48)</f>
        <v/>
      </c>
      <c r="E67" s="1135"/>
      <c r="F67" s="1135"/>
      <c r="G67" s="1129" t="str">
        <f>IF(CONSOLIDA!CO48="","",CONSOLIDA!CO48)</f>
        <v/>
      </c>
      <c r="H67" s="1129"/>
      <c r="I67" s="1129"/>
      <c r="J67" s="1129"/>
      <c r="K67" s="1129"/>
      <c r="L67" s="1129"/>
      <c r="M67" s="1129"/>
      <c r="N67" s="1129"/>
      <c r="O67" s="1129"/>
      <c r="P67" s="1129"/>
      <c r="Q67" s="1129"/>
      <c r="R67" s="1129"/>
      <c r="S67" s="1129"/>
      <c r="T67" s="1129"/>
      <c r="U67" s="1129"/>
      <c r="V67" s="1129"/>
      <c r="W67" s="1129"/>
      <c r="X67" s="1129"/>
      <c r="Y67" s="1130"/>
      <c r="Z67" s="1139" t="str">
        <f>IF(CONSOLIDA!CP48="","",CONSOLIDA!CP48)</f>
        <v/>
      </c>
      <c r="AA67" s="1139"/>
      <c r="AB67" s="1139"/>
      <c r="AC67" s="1139"/>
      <c r="AD67" s="1139"/>
      <c r="AE67" s="1139"/>
      <c r="AF67" s="1139" t="str">
        <f>IF(CONSOLIDA!CQ48="","",CONSOLIDA!CQ48)</f>
        <v/>
      </c>
      <c r="AG67" s="1139"/>
      <c r="AH67" s="1139"/>
      <c r="AI67" s="1139"/>
      <c r="AJ67" s="1139"/>
      <c r="AK67" s="1139"/>
      <c r="AL67" s="1139" t="str">
        <f>IF(CONSOLIDA!CR48="","",CONSOLIDA!CR48)</f>
        <v/>
      </c>
      <c r="AM67" s="1139"/>
      <c r="AN67" s="1139"/>
      <c r="AO67" s="1139"/>
      <c r="AP67" s="1139"/>
      <c r="AQ67" s="1139"/>
      <c r="AR67" s="1139" t="str">
        <f>IF(CONSOLIDA!CS48="","",CONSOLIDA!CS48)</f>
        <v/>
      </c>
      <c r="AS67" s="1139"/>
      <c r="AT67" s="1139"/>
      <c r="AU67" s="1139"/>
      <c r="AV67" s="1139"/>
      <c r="AW67" s="1139"/>
      <c r="AX67" s="1140" t="str">
        <f>IF(CONSOLIDA!CT48="","",CONSOLIDA!CT48)</f>
        <v/>
      </c>
      <c r="AY67" s="1140"/>
      <c r="AZ67" s="1140"/>
      <c r="BA67" s="1140"/>
      <c r="BB67" s="1140"/>
      <c r="BC67" s="1140"/>
      <c r="BD67" s="1139" t="str">
        <f>IF(CONSOLIDA!CU48="","",CONSOLIDA!CU48)</f>
        <v/>
      </c>
      <c r="BE67" s="1139"/>
      <c r="BF67" s="1139"/>
      <c r="BG67" s="1139"/>
      <c r="BH67" s="1139"/>
      <c r="BI67" s="1139"/>
      <c r="BJ67" s="1139" t="str">
        <f>IF(CONSOLIDA!CV48="","",CONSOLIDA!CV48)</f>
        <v/>
      </c>
      <c r="BK67" s="1139"/>
      <c r="BL67" s="1139"/>
      <c r="BM67" s="1139"/>
      <c r="BN67" s="1139"/>
      <c r="BO67" s="1139"/>
      <c r="BP67" s="1139" t="str">
        <f>IF(CONSOLIDA!CW48="","",CONSOLIDA!CW48)</f>
        <v/>
      </c>
      <c r="BQ67" s="1139"/>
      <c r="BR67" s="1139"/>
      <c r="BS67" s="1139"/>
      <c r="BT67" s="1139"/>
      <c r="BU67" s="1139"/>
      <c r="BV67" s="1140" t="str">
        <f>IF(CONSOLIDA!CX48="","",CONSOLIDA!CX48)</f>
        <v/>
      </c>
      <c r="BW67" s="1140"/>
      <c r="BX67" s="1140"/>
      <c r="BY67" s="1140"/>
      <c r="BZ67" s="1140"/>
      <c r="CA67" s="1140"/>
      <c r="CB67" s="1139" t="str">
        <f>IF(CONSOLIDA!CY48="","",CONSOLIDA!CY48)</f>
        <v/>
      </c>
      <c r="CC67" s="1139"/>
      <c r="CD67" s="1139"/>
      <c r="CE67" s="1139"/>
      <c r="CF67" s="1139"/>
      <c r="CG67" s="1139"/>
      <c r="CH67" s="486"/>
      <c r="CI67" s="190" t="str">
        <f>IF(CONSOLIDA!CZ48="","",CONSOLIDA!CZ48)</f>
        <v/>
      </c>
      <c r="CJ67" s="190" t="str">
        <f>IF(CONSOLIDA!DA48="","",CONSOLIDA!DA48)</f>
        <v/>
      </c>
    </row>
    <row r="68" spans="1:88" s="3" customFormat="1" hidden="1">
      <c r="A68" s="243" t="str">
        <f t="shared" si="0"/>
        <v>OK</v>
      </c>
      <c r="B68" s="1141" t="str">
        <f>IF(CONSOLIDA!CL49="","",CONSOLIDA!CL49)</f>
        <v/>
      </c>
      <c r="C68" s="1141"/>
      <c r="D68" s="1134" t="str">
        <f>IF(CONSOLIDA!CN49="","",CONSOLIDA!CN49)</f>
        <v/>
      </c>
      <c r="E68" s="1135"/>
      <c r="F68" s="1135"/>
      <c r="G68" s="1129" t="str">
        <f>IF(CONSOLIDA!CO49="","",CONSOLIDA!CO49)</f>
        <v/>
      </c>
      <c r="H68" s="1129"/>
      <c r="I68" s="1129"/>
      <c r="J68" s="1129"/>
      <c r="K68" s="1129"/>
      <c r="L68" s="1129"/>
      <c r="M68" s="1129"/>
      <c r="N68" s="1129"/>
      <c r="O68" s="1129"/>
      <c r="P68" s="1129"/>
      <c r="Q68" s="1129"/>
      <c r="R68" s="1129"/>
      <c r="S68" s="1129"/>
      <c r="T68" s="1129"/>
      <c r="U68" s="1129"/>
      <c r="V68" s="1129"/>
      <c r="W68" s="1129"/>
      <c r="X68" s="1129"/>
      <c r="Y68" s="1130"/>
      <c r="Z68" s="1139" t="str">
        <f>IF(CONSOLIDA!CP49="","",CONSOLIDA!CP49)</f>
        <v/>
      </c>
      <c r="AA68" s="1139"/>
      <c r="AB68" s="1139"/>
      <c r="AC68" s="1139"/>
      <c r="AD68" s="1139"/>
      <c r="AE68" s="1139"/>
      <c r="AF68" s="1139" t="str">
        <f>IF(CONSOLIDA!CQ49="","",CONSOLIDA!CQ49)</f>
        <v/>
      </c>
      <c r="AG68" s="1139"/>
      <c r="AH68" s="1139"/>
      <c r="AI68" s="1139"/>
      <c r="AJ68" s="1139"/>
      <c r="AK68" s="1139"/>
      <c r="AL68" s="1139" t="str">
        <f>IF(CONSOLIDA!CR49="","",CONSOLIDA!CR49)</f>
        <v/>
      </c>
      <c r="AM68" s="1139"/>
      <c r="AN68" s="1139"/>
      <c r="AO68" s="1139"/>
      <c r="AP68" s="1139"/>
      <c r="AQ68" s="1139"/>
      <c r="AR68" s="1139" t="str">
        <f>IF(CONSOLIDA!CS49="","",CONSOLIDA!CS49)</f>
        <v/>
      </c>
      <c r="AS68" s="1139"/>
      <c r="AT68" s="1139"/>
      <c r="AU68" s="1139"/>
      <c r="AV68" s="1139"/>
      <c r="AW68" s="1139"/>
      <c r="AX68" s="1140" t="str">
        <f>IF(CONSOLIDA!CT49="","",CONSOLIDA!CT49)</f>
        <v/>
      </c>
      <c r="AY68" s="1140"/>
      <c r="AZ68" s="1140"/>
      <c r="BA68" s="1140"/>
      <c r="BB68" s="1140"/>
      <c r="BC68" s="1140"/>
      <c r="BD68" s="1139" t="str">
        <f>IF(CONSOLIDA!CU49="","",CONSOLIDA!CU49)</f>
        <v/>
      </c>
      <c r="BE68" s="1139"/>
      <c r="BF68" s="1139"/>
      <c r="BG68" s="1139"/>
      <c r="BH68" s="1139"/>
      <c r="BI68" s="1139"/>
      <c r="BJ68" s="1139" t="str">
        <f>IF(CONSOLIDA!CV49="","",CONSOLIDA!CV49)</f>
        <v/>
      </c>
      <c r="BK68" s="1139"/>
      <c r="BL68" s="1139"/>
      <c r="BM68" s="1139"/>
      <c r="BN68" s="1139"/>
      <c r="BO68" s="1139"/>
      <c r="BP68" s="1139" t="str">
        <f>IF(CONSOLIDA!CW49="","",CONSOLIDA!CW49)</f>
        <v/>
      </c>
      <c r="BQ68" s="1139"/>
      <c r="BR68" s="1139"/>
      <c r="BS68" s="1139"/>
      <c r="BT68" s="1139"/>
      <c r="BU68" s="1139"/>
      <c r="BV68" s="1140" t="str">
        <f>IF(CONSOLIDA!CX49="","",CONSOLIDA!CX49)</f>
        <v/>
      </c>
      <c r="BW68" s="1140"/>
      <c r="BX68" s="1140"/>
      <c r="BY68" s="1140"/>
      <c r="BZ68" s="1140"/>
      <c r="CA68" s="1140"/>
      <c r="CB68" s="1139" t="str">
        <f>IF(CONSOLIDA!CY49="","",CONSOLIDA!CY49)</f>
        <v/>
      </c>
      <c r="CC68" s="1139"/>
      <c r="CD68" s="1139"/>
      <c r="CE68" s="1139"/>
      <c r="CF68" s="1139"/>
      <c r="CG68" s="1139"/>
      <c r="CH68" s="486"/>
      <c r="CI68" s="190" t="str">
        <f>IF(CONSOLIDA!CZ49="","",CONSOLIDA!CZ49)</f>
        <v/>
      </c>
      <c r="CJ68" s="190" t="str">
        <f>IF(CONSOLIDA!DA49="","",CONSOLIDA!DA49)</f>
        <v/>
      </c>
    </row>
    <row r="69" spans="1:88" s="3" customFormat="1" hidden="1">
      <c r="A69" s="243" t="str">
        <f t="shared" si="0"/>
        <v>OK</v>
      </c>
      <c r="B69" s="1141" t="str">
        <f>IF(CONSOLIDA!CL50="","",CONSOLIDA!CL50)</f>
        <v/>
      </c>
      <c r="C69" s="1141"/>
      <c r="D69" s="1134" t="str">
        <f>IF(CONSOLIDA!CN50="","",CONSOLIDA!CN50)</f>
        <v/>
      </c>
      <c r="E69" s="1135"/>
      <c r="F69" s="1135"/>
      <c r="G69" s="1129" t="str">
        <f>IF(CONSOLIDA!CO50="","",CONSOLIDA!CO50)</f>
        <v/>
      </c>
      <c r="H69" s="1129"/>
      <c r="I69" s="1129"/>
      <c r="J69" s="1129"/>
      <c r="K69" s="1129"/>
      <c r="L69" s="1129"/>
      <c r="M69" s="1129"/>
      <c r="N69" s="1129"/>
      <c r="O69" s="1129"/>
      <c r="P69" s="1129"/>
      <c r="Q69" s="1129"/>
      <c r="R69" s="1129"/>
      <c r="S69" s="1129"/>
      <c r="T69" s="1129"/>
      <c r="U69" s="1129"/>
      <c r="V69" s="1129"/>
      <c r="W69" s="1129"/>
      <c r="X69" s="1129"/>
      <c r="Y69" s="1130"/>
      <c r="Z69" s="1139" t="str">
        <f>IF(CONSOLIDA!CP50="","",CONSOLIDA!CP50)</f>
        <v/>
      </c>
      <c r="AA69" s="1139"/>
      <c r="AB69" s="1139"/>
      <c r="AC69" s="1139"/>
      <c r="AD69" s="1139"/>
      <c r="AE69" s="1139"/>
      <c r="AF69" s="1139" t="str">
        <f>IF(CONSOLIDA!CQ50="","",CONSOLIDA!CQ50)</f>
        <v/>
      </c>
      <c r="AG69" s="1139"/>
      <c r="AH69" s="1139"/>
      <c r="AI69" s="1139"/>
      <c r="AJ69" s="1139"/>
      <c r="AK69" s="1139"/>
      <c r="AL69" s="1139" t="str">
        <f>IF(CONSOLIDA!CR50="","",CONSOLIDA!CR50)</f>
        <v/>
      </c>
      <c r="AM69" s="1139"/>
      <c r="AN69" s="1139"/>
      <c r="AO69" s="1139"/>
      <c r="AP69" s="1139"/>
      <c r="AQ69" s="1139"/>
      <c r="AR69" s="1139" t="str">
        <f>IF(CONSOLIDA!CS50="","",CONSOLIDA!CS50)</f>
        <v/>
      </c>
      <c r="AS69" s="1139"/>
      <c r="AT69" s="1139"/>
      <c r="AU69" s="1139"/>
      <c r="AV69" s="1139"/>
      <c r="AW69" s="1139"/>
      <c r="AX69" s="1140" t="str">
        <f>IF(CONSOLIDA!CT50="","",CONSOLIDA!CT50)</f>
        <v/>
      </c>
      <c r="AY69" s="1140"/>
      <c r="AZ69" s="1140"/>
      <c r="BA69" s="1140"/>
      <c r="BB69" s="1140"/>
      <c r="BC69" s="1140"/>
      <c r="BD69" s="1139" t="str">
        <f>IF(CONSOLIDA!CU50="","",CONSOLIDA!CU50)</f>
        <v/>
      </c>
      <c r="BE69" s="1139"/>
      <c r="BF69" s="1139"/>
      <c r="BG69" s="1139"/>
      <c r="BH69" s="1139"/>
      <c r="BI69" s="1139"/>
      <c r="BJ69" s="1139" t="str">
        <f>IF(CONSOLIDA!CV50="","",CONSOLIDA!CV50)</f>
        <v/>
      </c>
      <c r="BK69" s="1139"/>
      <c r="BL69" s="1139"/>
      <c r="BM69" s="1139"/>
      <c r="BN69" s="1139"/>
      <c r="BO69" s="1139"/>
      <c r="BP69" s="1139" t="str">
        <f>IF(CONSOLIDA!CW50="","",CONSOLIDA!CW50)</f>
        <v/>
      </c>
      <c r="BQ69" s="1139"/>
      <c r="BR69" s="1139"/>
      <c r="BS69" s="1139"/>
      <c r="BT69" s="1139"/>
      <c r="BU69" s="1139"/>
      <c r="BV69" s="1140" t="str">
        <f>IF(CONSOLIDA!CX50="","",CONSOLIDA!CX50)</f>
        <v/>
      </c>
      <c r="BW69" s="1140"/>
      <c r="BX69" s="1140"/>
      <c r="BY69" s="1140"/>
      <c r="BZ69" s="1140"/>
      <c r="CA69" s="1140"/>
      <c r="CB69" s="1139" t="str">
        <f>IF(CONSOLIDA!CY50="","",CONSOLIDA!CY50)</f>
        <v/>
      </c>
      <c r="CC69" s="1139"/>
      <c r="CD69" s="1139"/>
      <c r="CE69" s="1139"/>
      <c r="CF69" s="1139"/>
      <c r="CG69" s="1139"/>
      <c r="CH69" s="486"/>
      <c r="CI69" s="190" t="str">
        <f>IF(CONSOLIDA!CZ50="","",CONSOLIDA!CZ50)</f>
        <v/>
      </c>
      <c r="CJ69" s="190" t="str">
        <f>IF(CONSOLIDA!DA50="","",CONSOLIDA!DA50)</f>
        <v/>
      </c>
    </row>
    <row r="70" spans="1:88" s="3" customFormat="1" hidden="1">
      <c r="A70" s="243" t="str">
        <f t="shared" si="0"/>
        <v>OK</v>
      </c>
      <c r="B70" s="1141" t="str">
        <f>IF(CONSOLIDA!CL51="","",CONSOLIDA!CL51)</f>
        <v/>
      </c>
      <c r="C70" s="1141"/>
      <c r="D70" s="1134" t="str">
        <f>IF(CONSOLIDA!CN51="","",CONSOLIDA!CN51)</f>
        <v/>
      </c>
      <c r="E70" s="1135"/>
      <c r="F70" s="1135"/>
      <c r="G70" s="1129" t="str">
        <f>IF(CONSOLIDA!CO51="","",CONSOLIDA!CO51)</f>
        <v/>
      </c>
      <c r="H70" s="1129"/>
      <c r="I70" s="1129"/>
      <c r="J70" s="1129"/>
      <c r="K70" s="1129"/>
      <c r="L70" s="1129"/>
      <c r="M70" s="1129"/>
      <c r="N70" s="1129"/>
      <c r="O70" s="1129"/>
      <c r="P70" s="1129"/>
      <c r="Q70" s="1129"/>
      <c r="R70" s="1129"/>
      <c r="S70" s="1129"/>
      <c r="T70" s="1129"/>
      <c r="U70" s="1129"/>
      <c r="V70" s="1129"/>
      <c r="W70" s="1129"/>
      <c r="X70" s="1129"/>
      <c r="Y70" s="1130"/>
      <c r="Z70" s="1139" t="str">
        <f>IF(CONSOLIDA!CP51="","",CONSOLIDA!CP51)</f>
        <v/>
      </c>
      <c r="AA70" s="1139"/>
      <c r="AB70" s="1139"/>
      <c r="AC70" s="1139"/>
      <c r="AD70" s="1139"/>
      <c r="AE70" s="1139"/>
      <c r="AF70" s="1139" t="str">
        <f>IF(CONSOLIDA!CQ51="","",CONSOLIDA!CQ51)</f>
        <v/>
      </c>
      <c r="AG70" s="1139"/>
      <c r="AH70" s="1139"/>
      <c r="AI70" s="1139"/>
      <c r="AJ70" s="1139"/>
      <c r="AK70" s="1139"/>
      <c r="AL70" s="1139" t="str">
        <f>IF(CONSOLIDA!CR51="","",CONSOLIDA!CR51)</f>
        <v/>
      </c>
      <c r="AM70" s="1139"/>
      <c r="AN70" s="1139"/>
      <c r="AO70" s="1139"/>
      <c r="AP70" s="1139"/>
      <c r="AQ70" s="1139"/>
      <c r="AR70" s="1139" t="str">
        <f>IF(CONSOLIDA!CS51="","",CONSOLIDA!CS51)</f>
        <v/>
      </c>
      <c r="AS70" s="1139"/>
      <c r="AT70" s="1139"/>
      <c r="AU70" s="1139"/>
      <c r="AV70" s="1139"/>
      <c r="AW70" s="1139"/>
      <c r="AX70" s="1140" t="str">
        <f>IF(CONSOLIDA!CT51="","",CONSOLIDA!CT51)</f>
        <v/>
      </c>
      <c r="AY70" s="1140"/>
      <c r="AZ70" s="1140"/>
      <c r="BA70" s="1140"/>
      <c r="BB70" s="1140"/>
      <c r="BC70" s="1140"/>
      <c r="BD70" s="1139" t="str">
        <f>IF(CONSOLIDA!CU51="","",CONSOLIDA!CU51)</f>
        <v/>
      </c>
      <c r="BE70" s="1139"/>
      <c r="BF70" s="1139"/>
      <c r="BG70" s="1139"/>
      <c r="BH70" s="1139"/>
      <c r="BI70" s="1139"/>
      <c r="BJ70" s="1139" t="str">
        <f>IF(CONSOLIDA!CV51="","",CONSOLIDA!CV51)</f>
        <v/>
      </c>
      <c r="BK70" s="1139"/>
      <c r="BL70" s="1139"/>
      <c r="BM70" s="1139"/>
      <c r="BN70" s="1139"/>
      <c r="BO70" s="1139"/>
      <c r="BP70" s="1139" t="str">
        <f>IF(CONSOLIDA!CW51="","",CONSOLIDA!CW51)</f>
        <v/>
      </c>
      <c r="BQ70" s="1139"/>
      <c r="BR70" s="1139"/>
      <c r="BS70" s="1139"/>
      <c r="BT70" s="1139"/>
      <c r="BU70" s="1139"/>
      <c r="BV70" s="1140" t="str">
        <f>IF(CONSOLIDA!CX51="","",CONSOLIDA!CX51)</f>
        <v/>
      </c>
      <c r="BW70" s="1140"/>
      <c r="BX70" s="1140"/>
      <c r="BY70" s="1140"/>
      <c r="BZ70" s="1140"/>
      <c r="CA70" s="1140"/>
      <c r="CB70" s="1139" t="str">
        <f>IF(CONSOLIDA!CY51="","",CONSOLIDA!CY51)</f>
        <v/>
      </c>
      <c r="CC70" s="1139"/>
      <c r="CD70" s="1139"/>
      <c r="CE70" s="1139"/>
      <c r="CF70" s="1139"/>
      <c r="CG70" s="1139"/>
      <c r="CH70" s="486"/>
      <c r="CI70" s="190" t="str">
        <f>IF(CONSOLIDA!CZ51="","",CONSOLIDA!CZ51)</f>
        <v/>
      </c>
      <c r="CJ70" s="190" t="str">
        <f>IF(CONSOLIDA!DA51="","",CONSOLIDA!DA51)</f>
        <v/>
      </c>
    </row>
    <row r="71" spans="1:88" s="3" customFormat="1" hidden="1">
      <c r="A71" s="243" t="str">
        <f t="shared" si="0"/>
        <v>OK</v>
      </c>
      <c r="B71" s="1141" t="str">
        <f>IF(CONSOLIDA!CL52="","",CONSOLIDA!CL52)</f>
        <v/>
      </c>
      <c r="C71" s="1141"/>
      <c r="D71" s="1134" t="str">
        <f>IF(CONSOLIDA!CN52="","",CONSOLIDA!CN52)</f>
        <v/>
      </c>
      <c r="E71" s="1135"/>
      <c r="F71" s="1135"/>
      <c r="G71" s="1129" t="str">
        <f>IF(CONSOLIDA!CO52="","",CONSOLIDA!CO52)</f>
        <v/>
      </c>
      <c r="H71" s="1129"/>
      <c r="I71" s="1129"/>
      <c r="J71" s="1129"/>
      <c r="K71" s="1129"/>
      <c r="L71" s="1129"/>
      <c r="M71" s="1129"/>
      <c r="N71" s="1129"/>
      <c r="O71" s="1129"/>
      <c r="P71" s="1129"/>
      <c r="Q71" s="1129"/>
      <c r="R71" s="1129"/>
      <c r="S71" s="1129"/>
      <c r="T71" s="1129"/>
      <c r="U71" s="1129"/>
      <c r="V71" s="1129"/>
      <c r="W71" s="1129"/>
      <c r="X71" s="1129"/>
      <c r="Y71" s="1130"/>
      <c r="Z71" s="1139" t="str">
        <f>IF(CONSOLIDA!CP52="","",CONSOLIDA!CP52)</f>
        <v/>
      </c>
      <c r="AA71" s="1139"/>
      <c r="AB71" s="1139"/>
      <c r="AC71" s="1139"/>
      <c r="AD71" s="1139"/>
      <c r="AE71" s="1139"/>
      <c r="AF71" s="1139" t="str">
        <f>IF(CONSOLIDA!CQ52="","",CONSOLIDA!CQ52)</f>
        <v/>
      </c>
      <c r="AG71" s="1139"/>
      <c r="AH71" s="1139"/>
      <c r="AI71" s="1139"/>
      <c r="AJ71" s="1139"/>
      <c r="AK71" s="1139"/>
      <c r="AL71" s="1139" t="str">
        <f>IF(CONSOLIDA!CR52="","",CONSOLIDA!CR52)</f>
        <v/>
      </c>
      <c r="AM71" s="1139"/>
      <c r="AN71" s="1139"/>
      <c r="AO71" s="1139"/>
      <c r="AP71" s="1139"/>
      <c r="AQ71" s="1139"/>
      <c r="AR71" s="1139" t="str">
        <f>IF(CONSOLIDA!CS52="","",CONSOLIDA!CS52)</f>
        <v/>
      </c>
      <c r="AS71" s="1139"/>
      <c r="AT71" s="1139"/>
      <c r="AU71" s="1139"/>
      <c r="AV71" s="1139"/>
      <c r="AW71" s="1139"/>
      <c r="AX71" s="1140" t="str">
        <f>IF(CONSOLIDA!CT52="","",CONSOLIDA!CT52)</f>
        <v/>
      </c>
      <c r="AY71" s="1140"/>
      <c r="AZ71" s="1140"/>
      <c r="BA71" s="1140"/>
      <c r="BB71" s="1140"/>
      <c r="BC71" s="1140"/>
      <c r="BD71" s="1139" t="str">
        <f>IF(CONSOLIDA!CU52="","",CONSOLIDA!CU52)</f>
        <v/>
      </c>
      <c r="BE71" s="1139"/>
      <c r="BF71" s="1139"/>
      <c r="BG71" s="1139"/>
      <c r="BH71" s="1139"/>
      <c r="BI71" s="1139"/>
      <c r="BJ71" s="1139" t="str">
        <f>IF(CONSOLIDA!CV52="","",CONSOLIDA!CV52)</f>
        <v/>
      </c>
      <c r="BK71" s="1139"/>
      <c r="BL71" s="1139"/>
      <c r="BM71" s="1139"/>
      <c r="BN71" s="1139"/>
      <c r="BO71" s="1139"/>
      <c r="BP71" s="1139" t="str">
        <f>IF(CONSOLIDA!CW52="","",CONSOLIDA!CW52)</f>
        <v/>
      </c>
      <c r="BQ71" s="1139"/>
      <c r="BR71" s="1139"/>
      <c r="BS71" s="1139"/>
      <c r="BT71" s="1139"/>
      <c r="BU71" s="1139"/>
      <c r="BV71" s="1140" t="str">
        <f>IF(CONSOLIDA!CX52="","",CONSOLIDA!CX52)</f>
        <v/>
      </c>
      <c r="BW71" s="1140"/>
      <c r="BX71" s="1140"/>
      <c r="BY71" s="1140"/>
      <c r="BZ71" s="1140"/>
      <c r="CA71" s="1140"/>
      <c r="CB71" s="1139" t="str">
        <f>IF(CONSOLIDA!CY52="","",CONSOLIDA!CY52)</f>
        <v/>
      </c>
      <c r="CC71" s="1139"/>
      <c r="CD71" s="1139"/>
      <c r="CE71" s="1139"/>
      <c r="CF71" s="1139"/>
      <c r="CG71" s="1139"/>
      <c r="CH71" s="486"/>
      <c r="CI71" s="190" t="str">
        <f>IF(CONSOLIDA!CZ52="","",CONSOLIDA!CZ52)</f>
        <v/>
      </c>
      <c r="CJ71" s="190" t="str">
        <f>IF(CONSOLIDA!DA52="","",CONSOLIDA!DA52)</f>
        <v/>
      </c>
    </row>
    <row r="72" spans="1:88" s="3" customFormat="1" hidden="1">
      <c r="A72" s="243" t="str">
        <f t="shared" si="0"/>
        <v>OK</v>
      </c>
      <c r="B72" s="1141" t="str">
        <f>IF(CONSOLIDA!CL53="","",CONSOLIDA!CL53)</f>
        <v/>
      </c>
      <c r="C72" s="1141"/>
      <c r="D72" s="1134" t="str">
        <f>IF(CONSOLIDA!CN53="","",CONSOLIDA!CN53)</f>
        <v/>
      </c>
      <c r="E72" s="1135"/>
      <c r="F72" s="1135"/>
      <c r="G72" s="1129" t="str">
        <f>IF(CONSOLIDA!CO53="","",CONSOLIDA!CO53)</f>
        <v/>
      </c>
      <c r="H72" s="1129"/>
      <c r="I72" s="1129"/>
      <c r="J72" s="1129"/>
      <c r="K72" s="1129"/>
      <c r="L72" s="1129"/>
      <c r="M72" s="1129"/>
      <c r="N72" s="1129"/>
      <c r="O72" s="1129"/>
      <c r="P72" s="1129"/>
      <c r="Q72" s="1129"/>
      <c r="R72" s="1129"/>
      <c r="S72" s="1129"/>
      <c r="T72" s="1129"/>
      <c r="U72" s="1129"/>
      <c r="V72" s="1129"/>
      <c r="W72" s="1129"/>
      <c r="X72" s="1129"/>
      <c r="Y72" s="1130"/>
      <c r="Z72" s="1139" t="str">
        <f>IF(CONSOLIDA!CP53="","",CONSOLIDA!CP53)</f>
        <v/>
      </c>
      <c r="AA72" s="1139"/>
      <c r="AB72" s="1139"/>
      <c r="AC72" s="1139"/>
      <c r="AD72" s="1139"/>
      <c r="AE72" s="1139"/>
      <c r="AF72" s="1139" t="str">
        <f>IF(CONSOLIDA!CQ53="","",CONSOLIDA!CQ53)</f>
        <v/>
      </c>
      <c r="AG72" s="1139"/>
      <c r="AH72" s="1139"/>
      <c r="AI72" s="1139"/>
      <c r="AJ72" s="1139"/>
      <c r="AK72" s="1139"/>
      <c r="AL72" s="1139" t="str">
        <f>IF(CONSOLIDA!CR53="","",CONSOLIDA!CR53)</f>
        <v/>
      </c>
      <c r="AM72" s="1139"/>
      <c r="AN72" s="1139"/>
      <c r="AO72" s="1139"/>
      <c r="AP72" s="1139"/>
      <c r="AQ72" s="1139"/>
      <c r="AR72" s="1139" t="str">
        <f>IF(CONSOLIDA!CS53="","",CONSOLIDA!CS53)</f>
        <v/>
      </c>
      <c r="AS72" s="1139"/>
      <c r="AT72" s="1139"/>
      <c r="AU72" s="1139"/>
      <c r="AV72" s="1139"/>
      <c r="AW72" s="1139"/>
      <c r="AX72" s="1140" t="str">
        <f>IF(CONSOLIDA!CT53="","",CONSOLIDA!CT53)</f>
        <v/>
      </c>
      <c r="AY72" s="1140"/>
      <c r="AZ72" s="1140"/>
      <c r="BA72" s="1140"/>
      <c r="BB72" s="1140"/>
      <c r="BC72" s="1140"/>
      <c r="BD72" s="1139" t="str">
        <f>IF(CONSOLIDA!CU53="","",CONSOLIDA!CU53)</f>
        <v/>
      </c>
      <c r="BE72" s="1139"/>
      <c r="BF72" s="1139"/>
      <c r="BG72" s="1139"/>
      <c r="BH72" s="1139"/>
      <c r="BI72" s="1139"/>
      <c r="BJ72" s="1139" t="str">
        <f>IF(CONSOLIDA!CV53="","",CONSOLIDA!CV53)</f>
        <v/>
      </c>
      <c r="BK72" s="1139"/>
      <c r="BL72" s="1139"/>
      <c r="BM72" s="1139"/>
      <c r="BN72" s="1139"/>
      <c r="BO72" s="1139"/>
      <c r="BP72" s="1139" t="str">
        <f>IF(CONSOLIDA!CW53="","",CONSOLIDA!CW53)</f>
        <v/>
      </c>
      <c r="BQ72" s="1139"/>
      <c r="BR72" s="1139"/>
      <c r="BS72" s="1139"/>
      <c r="BT72" s="1139"/>
      <c r="BU72" s="1139"/>
      <c r="BV72" s="1140" t="str">
        <f>IF(CONSOLIDA!CX53="","",CONSOLIDA!CX53)</f>
        <v/>
      </c>
      <c r="BW72" s="1140"/>
      <c r="BX72" s="1140"/>
      <c r="BY72" s="1140"/>
      <c r="BZ72" s="1140"/>
      <c r="CA72" s="1140"/>
      <c r="CB72" s="1139" t="str">
        <f>IF(CONSOLIDA!CY53="","",CONSOLIDA!CY53)</f>
        <v/>
      </c>
      <c r="CC72" s="1139"/>
      <c r="CD72" s="1139"/>
      <c r="CE72" s="1139"/>
      <c r="CF72" s="1139"/>
      <c r="CG72" s="1139"/>
      <c r="CH72" s="486"/>
      <c r="CI72" s="190" t="str">
        <f>IF(CONSOLIDA!CZ53="","",CONSOLIDA!CZ53)</f>
        <v/>
      </c>
      <c r="CJ72" s="190" t="str">
        <f>IF(CONSOLIDA!DA53="","",CONSOLIDA!DA53)</f>
        <v/>
      </c>
    </row>
    <row r="73" spans="1:88" s="3" customFormat="1" hidden="1">
      <c r="A73" s="243" t="str">
        <f t="shared" si="0"/>
        <v>OK</v>
      </c>
      <c r="B73" s="1141" t="str">
        <f>IF(CONSOLIDA!CL54="","",CONSOLIDA!CL54)</f>
        <v/>
      </c>
      <c r="C73" s="1141"/>
      <c r="D73" s="1134" t="str">
        <f>IF(CONSOLIDA!CN54="","",CONSOLIDA!CN54)</f>
        <v/>
      </c>
      <c r="E73" s="1135"/>
      <c r="F73" s="1135"/>
      <c r="G73" s="1129" t="str">
        <f>IF(CONSOLIDA!CO54="","",CONSOLIDA!CO54)</f>
        <v/>
      </c>
      <c r="H73" s="1129"/>
      <c r="I73" s="1129"/>
      <c r="J73" s="1129"/>
      <c r="K73" s="1129"/>
      <c r="L73" s="1129"/>
      <c r="M73" s="1129"/>
      <c r="N73" s="1129"/>
      <c r="O73" s="1129"/>
      <c r="P73" s="1129"/>
      <c r="Q73" s="1129"/>
      <c r="R73" s="1129"/>
      <c r="S73" s="1129"/>
      <c r="T73" s="1129"/>
      <c r="U73" s="1129"/>
      <c r="V73" s="1129"/>
      <c r="W73" s="1129"/>
      <c r="X73" s="1129"/>
      <c r="Y73" s="1130"/>
      <c r="Z73" s="1139" t="str">
        <f>IF(CONSOLIDA!CP54="","",CONSOLIDA!CP54)</f>
        <v/>
      </c>
      <c r="AA73" s="1139"/>
      <c r="AB73" s="1139"/>
      <c r="AC73" s="1139"/>
      <c r="AD73" s="1139"/>
      <c r="AE73" s="1139"/>
      <c r="AF73" s="1139" t="str">
        <f>IF(CONSOLIDA!CQ54="","",CONSOLIDA!CQ54)</f>
        <v/>
      </c>
      <c r="AG73" s="1139"/>
      <c r="AH73" s="1139"/>
      <c r="AI73" s="1139"/>
      <c r="AJ73" s="1139"/>
      <c r="AK73" s="1139"/>
      <c r="AL73" s="1139" t="str">
        <f>IF(CONSOLIDA!CR54="","",CONSOLIDA!CR54)</f>
        <v/>
      </c>
      <c r="AM73" s="1139"/>
      <c r="AN73" s="1139"/>
      <c r="AO73" s="1139"/>
      <c r="AP73" s="1139"/>
      <c r="AQ73" s="1139"/>
      <c r="AR73" s="1139" t="str">
        <f>IF(CONSOLIDA!CS54="","",CONSOLIDA!CS54)</f>
        <v/>
      </c>
      <c r="AS73" s="1139"/>
      <c r="AT73" s="1139"/>
      <c r="AU73" s="1139"/>
      <c r="AV73" s="1139"/>
      <c r="AW73" s="1139"/>
      <c r="AX73" s="1140" t="str">
        <f>IF(CONSOLIDA!CT54="","",CONSOLIDA!CT54)</f>
        <v/>
      </c>
      <c r="AY73" s="1140"/>
      <c r="AZ73" s="1140"/>
      <c r="BA73" s="1140"/>
      <c r="BB73" s="1140"/>
      <c r="BC73" s="1140"/>
      <c r="BD73" s="1139" t="str">
        <f>IF(CONSOLIDA!CU54="","",CONSOLIDA!CU54)</f>
        <v/>
      </c>
      <c r="BE73" s="1139"/>
      <c r="BF73" s="1139"/>
      <c r="BG73" s="1139"/>
      <c r="BH73" s="1139"/>
      <c r="BI73" s="1139"/>
      <c r="BJ73" s="1139" t="str">
        <f>IF(CONSOLIDA!CV54="","",CONSOLIDA!CV54)</f>
        <v/>
      </c>
      <c r="BK73" s="1139"/>
      <c r="BL73" s="1139"/>
      <c r="BM73" s="1139"/>
      <c r="BN73" s="1139"/>
      <c r="BO73" s="1139"/>
      <c r="BP73" s="1139" t="str">
        <f>IF(CONSOLIDA!CW54="","",CONSOLIDA!CW54)</f>
        <v/>
      </c>
      <c r="BQ73" s="1139"/>
      <c r="BR73" s="1139"/>
      <c r="BS73" s="1139"/>
      <c r="BT73" s="1139"/>
      <c r="BU73" s="1139"/>
      <c r="BV73" s="1140" t="str">
        <f>IF(CONSOLIDA!CX54="","",CONSOLIDA!CX54)</f>
        <v/>
      </c>
      <c r="BW73" s="1140"/>
      <c r="BX73" s="1140"/>
      <c r="BY73" s="1140"/>
      <c r="BZ73" s="1140"/>
      <c r="CA73" s="1140"/>
      <c r="CB73" s="1139" t="str">
        <f>IF(CONSOLIDA!CY54="","",CONSOLIDA!CY54)</f>
        <v/>
      </c>
      <c r="CC73" s="1139"/>
      <c r="CD73" s="1139"/>
      <c r="CE73" s="1139"/>
      <c r="CF73" s="1139"/>
      <c r="CG73" s="1139"/>
      <c r="CH73" s="486"/>
      <c r="CI73" s="190" t="str">
        <f>IF(CONSOLIDA!CZ54="","",CONSOLIDA!CZ54)</f>
        <v/>
      </c>
      <c r="CJ73" s="190" t="str">
        <f>IF(CONSOLIDA!DA54="","",CONSOLIDA!DA54)</f>
        <v/>
      </c>
    </row>
    <row r="74" spans="1:88" s="3" customFormat="1" hidden="1">
      <c r="A74" s="243" t="str">
        <f t="shared" si="0"/>
        <v>OK</v>
      </c>
      <c r="B74" s="1141" t="str">
        <f>IF(CONSOLIDA!CL55="","",CONSOLIDA!CL55)</f>
        <v/>
      </c>
      <c r="C74" s="1141"/>
      <c r="D74" s="1134" t="str">
        <f>IF(CONSOLIDA!CN55="","",CONSOLIDA!CN55)</f>
        <v/>
      </c>
      <c r="E74" s="1135"/>
      <c r="F74" s="1135"/>
      <c r="G74" s="1129" t="str">
        <f>IF(CONSOLIDA!CO55="","",CONSOLIDA!CO55)</f>
        <v/>
      </c>
      <c r="H74" s="1129"/>
      <c r="I74" s="1129"/>
      <c r="J74" s="1129"/>
      <c r="K74" s="1129"/>
      <c r="L74" s="1129"/>
      <c r="M74" s="1129"/>
      <c r="N74" s="1129"/>
      <c r="O74" s="1129"/>
      <c r="P74" s="1129"/>
      <c r="Q74" s="1129"/>
      <c r="R74" s="1129"/>
      <c r="S74" s="1129"/>
      <c r="T74" s="1129"/>
      <c r="U74" s="1129"/>
      <c r="V74" s="1129"/>
      <c r="W74" s="1129"/>
      <c r="X74" s="1129"/>
      <c r="Y74" s="1130"/>
      <c r="Z74" s="1139" t="str">
        <f>IF(CONSOLIDA!CP55="","",CONSOLIDA!CP55)</f>
        <v/>
      </c>
      <c r="AA74" s="1139"/>
      <c r="AB74" s="1139"/>
      <c r="AC74" s="1139"/>
      <c r="AD74" s="1139"/>
      <c r="AE74" s="1139"/>
      <c r="AF74" s="1139" t="str">
        <f>IF(CONSOLIDA!CQ55="","",CONSOLIDA!CQ55)</f>
        <v/>
      </c>
      <c r="AG74" s="1139"/>
      <c r="AH74" s="1139"/>
      <c r="AI74" s="1139"/>
      <c r="AJ74" s="1139"/>
      <c r="AK74" s="1139"/>
      <c r="AL74" s="1139" t="str">
        <f>IF(CONSOLIDA!CR55="","",CONSOLIDA!CR55)</f>
        <v/>
      </c>
      <c r="AM74" s="1139"/>
      <c r="AN74" s="1139"/>
      <c r="AO74" s="1139"/>
      <c r="AP74" s="1139"/>
      <c r="AQ74" s="1139"/>
      <c r="AR74" s="1139" t="str">
        <f>IF(CONSOLIDA!CS55="","",CONSOLIDA!CS55)</f>
        <v/>
      </c>
      <c r="AS74" s="1139"/>
      <c r="AT74" s="1139"/>
      <c r="AU74" s="1139"/>
      <c r="AV74" s="1139"/>
      <c r="AW74" s="1139"/>
      <c r="AX74" s="1140" t="str">
        <f>IF(CONSOLIDA!CT55="","",CONSOLIDA!CT55)</f>
        <v/>
      </c>
      <c r="AY74" s="1140"/>
      <c r="AZ74" s="1140"/>
      <c r="BA74" s="1140"/>
      <c r="BB74" s="1140"/>
      <c r="BC74" s="1140"/>
      <c r="BD74" s="1139" t="str">
        <f>IF(CONSOLIDA!CU55="","",CONSOLIDA!CU55)</f>
        <v/>
      </c>
      <c r="BE74" s="1139"/>
      <c r="BF74" s="1139"/>
      <c r="BG74" s="1139"/>
      <c r="BH74" s="1139"/>
      <c r="BI74" s="1139"/>
      <c r="BJ74" s="1139" t="str">
        <f>IF(CONSOLIDA!CV55="","",CONSOLIDA!CV55)</f>
        <v/>
      </c>
      <c r="BK74" s="1139"/>
      <c r="BL74" s="1139"/>
      <c r="BM74" s="1139"/>
      <c r="BN74" s="1139"/>
      <c r="BO74" s="1139"/>
      <c r="BP74" s="1139" t="str">
        <f>IF(CONSOLIDA!CW55="","",CONSOLIDA!CW55)</f>
        <v/>
      </c>
      <c r="BQ74" s="1139"/>
      <c r="BR74" s="1139"/>
      <c r="BS74" s="1139"/>
      <c r="BT74" s="1139"/>
      <c r="BU74" s="1139"/>
      <c r="BV74" s="1140" t="str">
        <f>IF(CONSOLIDA!CX55="","",CONSOLIDA!CX55)</f>
        <v/>
      </c>
      <c r="BW74" s="1140"/>
      <c r="BX74" s="1140"/>
      <c r="BY74" s="1140"/>
      <c r="BZ74" s="1140"/>
      <c r="CA74" s="1140"/>
      <c r="CB74" s="1139" t="str">
        <f>IF(CONSOLIDA!CY55="","",CONSOLIDA!CY55)</f>
        <v/>
      </c>
      <c r="CC74" s="1139"/>
      <c r="CD74" s="1139"/>
      <c r="CE74" s="1139"/>
      <c r="CF74" s="1139"/>
      <c r="CG74" s="1139"/>
      <c r="CH74" s="486"/>
      <c r="CI74" s="190" t="str">
        <f>IF(CONSOLIDA!CZ55="","",CONSOLIDA!CZ55)</f>
        <v/>
      </c>
      <c r="CJ74" s="190" t="str">
        <f>IF(CONSOLIDA!DA55="","",CONSOLIDA!DA55)</f>
        <v/>
      </c>
    </row>
    <row r="75" spans="1:88" s="3" customFormat="1" hidden="1">
      <c r="A75" s="243" t="str">
        <f t="shared" si="0"/>
        <v>OK</v>
      </c>
      <c r="B75" s="1141" t="str">
        <f>IF(CONSOLIDA!CL56="","",CONSOLIDA!CL56)</f>
        <v/>
      </c>
      <c r="C75" s="1141"/>
      <c r="D75" s="1134" t="str">
        <f>IF(CONSOLIDA!CN56="","",CONSOLIDA!CN56)</f>
        <v/>
      </c>
      <c r="E75" s="1135"/>
      <c r="F75" s="1135"/>
      <c r="G75" s="1129" t="str">
        <f>IF(CONSOLIDA!CO56="","",CONSOLIDA!CO56)</f>
        <v/>
      </c>
      <c r="H75" s="1129"/>
      <c r="I75" s="1129"/>
      <c r="J75" s="1129"/>
      <c r="K75" s="1129"/>
      <c r="L75" s="1129"/>
      <c r="M75" s="1129"/>
      <c r="N75" s="1129"/>
      <c r="O75" s="1129"/>
      <c r="P75" s="1129"/>
      <c r="Q75" s="1129"/>
      <c r="R75" s="1129"/>
      <c r="S75" s="1129"/>
      <c r="T75" s="1129"/>
      <c r="U75" s="1129"/>
      <c r="V75" s="1129"/>
      <c r="W75" s="1129"/>
      <c r="X75" s="1129"/>
      <c r="Y75" s="1130"/>
      <c r="Z75" s="1139" t="str">
        <f>IF(CONSOLIDA!CP56="","",CONSOLIDA!CP56)</f>
        <v/>
      </c>
      <c r="AA75" s="1139"/>
      <c r="AB75" s="1139"/>
      <c r="AC75" s="1139"/>
      <c r="AD75" s="1139"/>
      <c r="AE75" s="1139"/>
      <c r="AF75" s="1139" t="str">
        <f>IF(CONSOLIDA!CQ56="","",CONSOLIDA!CQ56)</f>
        <v/>
      </c>
      <c r="AG75" s="1139"/>
      <c r="AH75" s="1139"/>
      <c r="AI75" s="1139"/>
      <c r="AJ75" s="1139"/>
      <c r="AK75" s="1139"/>
      <c r="AL75" s="1139" t="str">
        <f>IF(CONSOLIDA!CR56="","",CONSOLIDA!CR56)</f>
        <v/>
      </c>
      <c r="AM75" s="1139"/>
      <c r="AN75" s="1139"/>
      <c r="AO75" s="1139"/>
      <c r="AP75" s="1139"/>
      <c r="AQ75" s="1139"/>
      <c r="AR75" s="1139" t="str">
        <f>IF(CONSOLIDA!CS56="","",CONSOLIDA!CS56)</f>
        <v/>
      </c>
      <c r="AS75" s="1139"/>
      <c r="AT75" s="1139"/>
      <c r="AU75" s="1139"/>
      <c r="AV75" s="1139"/>
      <c r="AW75" s="1139"/>
      <c r="AX75" s="1140" t="str">
        <f>IF(CONSOLIDA!CT56="","",CONSOLIDA!CT56)</f>
        <v/>
      </c>
      <c r="AY75" s="1140"/>
      <c r="AZ75" s="1140"/>
      <c r="BA75" s="1140"/>
      <c r="BB75" s="1140"/>
      <c r="BC75" s="1140"/>
      <c r="BD75" s="1139" t="str">
        <f>IF(CONSOLIDA!CU56="","",CONSOLIDA!CU56)</f>
        <v/>
      </c>
      <c r="BE75" s="1139"/>
      <c r="BF75" s="1139"/>
      <c r="BG75" s="1139"/>
      <c r="BH75" s="1139"/>
      <c r="BI75" s="1139"/>
      <c r="BJ75" s="1139" t="str">
        <f>IF(CONSOLIDA!CV56="","",CONSOLIDA!CV56)</f>
        <v/>
      </c>
      <c r="BK75" s="1139"/>
      <c r="BL75" s="1139"/>
      <c r="BM75" s="1139"/>
      <c r="BN75" s="1139"/>
      <c r="BO75" s="1139"/>
      <c r="BP75" s="1139" t="str">
        <f>IF(CONSOLIDA!CW56="","",CONSOLIDA!CW56)</f>
        <v/>
      </c>
      <c r="BQ75" s="1139"/>
      <c r="BR75" s="1139"/>
      <c r="BS75" s="1139"/>
      <c r="BT75" s="1139"/>
      <c r="BU75" s="1139"/>
      <c r="BV75" s="1140" t="str">
        <f>IF(CONSOLIDA!CX56="","",CONSOLIDA!CX56)</f>
        <v/>
      </c>
      <c r="BW75" s="1140"/>
      <c r="BX75" s="1140"/>
      <c r="BY75" s="1140"/>
      <c r="BZ75" s="1140"/>
      <c r="CA75" s="1140"/>
      <c r="CB75" s="1139" t="str">
        <f>IF(CONSOLIDA!CY56="","",CONSOLIDA!CY56)</f>
        <v/>
      </c>
      <c r="CC75" s="1139"/>
      <c r="CD75" s="1139"/>
      <c r="CE75" s="1139"/>
      <c r="CF75" s="1139"/>
      <c r="CG75" s="1139"/>
      <c r="CH75" s="486"/>
      <c r="CI75" s="190" t="str">
        <f>IF(CONSOLIDA!CZ56="","",CONSOLIDA!CZ56)</f>
        <v/>
      </c>
      <c r="CJ75" s="190" t="str">
        <f>IF(CONSOLIDA!DA56="","",CONSOLIDA!DA56)</f>
        <v/>
      </c>
    </row>
    <row r="76" spans="1:88" s="3" customFormat="1" hidden="1">
      <c r="A76" s="243" t="str">
        <f t="shared" si="0"/>
        <v>OK</v>
      </c>
      <c r="B76" s="1141" t="str">
        <f>IF(CONSOLIDA!CL57="","",CONSOLIDA!CL57)</f>
        <v/>
      </c>
      <c r="C76" s="1141"/>
      <c r="D76" s="1134" t="str">
        <f>IF(CONSOLIDA!CN57="","",CONSOLIDA!CN57)</f>
        <v/>
      </c>
      <c r="E76" s="1135"/>
      <c r="F76" s="1135"/>
      <c r="G76" s="1129" t="str">
        <f>IF(CONSOLIDA!CO57="","",CONSOLIDA!CO57)</f>
        <v/>
      </c>
      <c r="H76" s="1129"/>
      <c r="I76" s="1129"/>
      <c r="J76" s="1129"/>
      <c r="K76" s="1129"/>
      <c r="L76" s="1129"/>
      <c r="M76" s="1129"/>
      <c r="N76" s="1129"/>
      <c r="O76" s="1129"/>
      <c r="P76" s="1129"/>
      <c r="Q76" s="1129"/>
      <c r="R76" s="1129"/>
      <c r="S76" s="1129"/>
      <c r="T76" s="1129"/>
      <c r="U76" s="1129"/>
      <c r="V76" s="1129"/>
      <c r="W76" s="1129"/>
      <c r="X76" s="1129"/>
      <c r="Y76" s="1130"/>
      <c r="Z76" s="1139" t="str">
        <f>IF(CONSOLIDA!CP57="","",CONSOLIDA!CP57)</f>
        <v/>
      </c>
      <c r="AA76" s="1139"/>
      <c r="AB76" s="1139"/>
      <c r="AC76" s="1139"/>
      <c r="AD76" s="1139"/>
      <c r="AE76" s="1139"/>
      <c r="AF76" s="1139" t="str">
        <f>IF(CONSOLIDA!CQ57="","",CONSOLIDA!CQ57)</f>
        <v/>
      </c>
      <c r="AG76" s="1139"/>
      <c r="AH76" s="1139"/>
      <c r="AI76" s="1139"/>
      <c r="AJ76" s="1139"/>
      <c r="AK76" s="1139"/>
      <c r="AL76" s="1139" t="str">
        <f>IF(CONSOLIDA!CR57="","",CONSOLIDA!CR57)</f>
        <v/>
      </c>
      <c r="AM76" s="1139"/>
      <c r="AN76" s="1139"/>
      <c r="AO76" s="1139"/>
      <c r="AP76" s="1139"/>
      <c r="AQ76" s="1139"/>
      <c r="AR76" s="1139" t="str">
        <f>IF(CONSOLIDA!CS57="","",CONSOLIDA!CS57)</f>
        <v/>
      </c>
      <c r="AS76" s="1139"/>
      <c r="AT76" s="1139"/>
      <c r="AU76" s="1139"/>
      <c r="AV76" s="1139"/>
      <c r="AW76" s="1139"/>
      <c r="AX76" s="1140" t="str">
        <f>IF(CONSOLIDA!CT57="","",CONSOLIDA!CT57)</f>
        <v/>
      </c>
      <c r="AY76" s="1140"/>
      <c r="AZ76" s="1140"/>
      <c r="BA76" s="1140"/>
      <c r="BB76" s="1140"/>
      <c r="BC76" s="1140"/>
      <c r="BD76" s="1139" t="str">
        <f>IF(CONSOLIDA!CU57="","",CONSOLIDA!CU57)</f>
        <v/>
      </c>
      <c r="BE76" s="1139"/>
      <c r="BF76" s="1139"/>
      <c r="BG76" s="1139"/>
      <c r="BH76" s="1139"/>
      <c r="BI76" s="1139"/>
      <c r="BJ76" s="1139" t="str">
        <f>IF(CONSOLIDA!CV57="","",CONSOLIDA!CV57)</f>
        <v/>
      </c>
      <c r="BK76" s="1139"/>
      <c r="BL76" s="1139"/>
      <c r="BM76" s="1139"/>
      <c r="BN76" s="1139"/>
      <c r="BO76" s="1139"/>
      <c r="BP76" s="1139" t="str">
        <f>IF(CONSOLIDA!CW57="","",CONSOLIDA!CW57)</f>
        <v/>
      </c>
      <c r="BQ76" s="1139"/>
      <c r="BR76" s="1139"/>
      <c r="BS76" s="1139"/>
      <c r="BT76" s="1139"/>
      <c r="BU76" s="1139"/>
      <c r="BV76" s="1140" t="str">
        <f>IF(CONSOLIDA!CX57="","",CONSOLIDA!CX57)</f>
        <v/>
      </c>
      <c r="BW76" s="1140"/>
      <c r="BX76" s="1140"/>
      <c r="BY76" s="1140"/>
      <c r="BZ76" s="1140"/>
      <c r="CA76" s="1140"/>
      <c r="CB76" s="1139" t="str">
        <f>IF(CONSOLIDA!CY57="","",CONSOLIDA!CY57)</f>
        <v/>
      </c>
      <c r="CC76" s="1139"/>
      <c r="CD76" s="1139"/>
      <c r="CE76" s="1139"/>
      <c r="CF76" s="1139"/>
      <c r="CG76" s="1139"/>
      <c r="CH76" s="486"/>
      <c r="CI76" s="190" t="str">
        <f>IF(CONSOLIDA!CZ57="","",CONSOLIDA!CZ57)</f>
        <v/>
      </c>
      <c r="CJ76" s="190" t="str">
        <f>IF(CONSOLIDA!DA57="","",CONSOLIDA!DA57)</f>
        <v/>
      </c>
    </row>
    <row r="77" spans="1:88" s="3" customFormat="1" hidden="1">
      <c r="A77" s="243" t="str">
        <f t="shared" si="0"/>
        <v>OK</v>
      </c>
      <c r="B77" s="1141" t="str">
        <f>IF(CONSOLIDA!CL58="","",CONSOLIDA!CL58)</f>
        <v/>
      </c>
      <c r="C77" s="1141"/>
      <c r="D77" s="1134" t="str">
        <f>IF(CONSOLIDA!CN58="","",CONSOLIDA!CN58)</f>
        <v/>
      </c>
      <c r="E77" s="1135"/>
      <c r="F77" s="1135"/>
      <c r="G77" s="1129" t="str">
        <f>IF(CONSOLIDA!CO58="","",CONSOLIDA!CO58)</f>
        <v/>
      </c>
      <c r="H77" s="1129"/>
      <c r="I77" s="1129"/>
      <c r="J77" s="1129"/>
      <c r="K77" s="1129"/>
      <c r="L77" s="1129"/>
      <c r="M77" s="1129"/>
      <c r="N77" s="1129"/>
      <c r="O77" s="1129"/>
      <c r="P77" s="1129"/>
      <c r="Q77" s="1129"/>
      <c r="R77" s="1129"/>
      <c r="S77" s="1129"/>
      <c r="T77" s="1129"/>
      <c r="U77" s="1129"/>
      <c r="V77" s="1129"/>
      <c r="W77" s="1129"/>
      <c r="X77" s="1129"/>
      <c r="Y77" s="1130"/>
      <c r="Z77" s="1139" t="str">
        <f>IF(CONSOLIDA!CP58="","",CONSOLIDA!CP58)</f>
        <v/>
      </c>
      <c r="AA77" s="1139"/>
      <c r="AB77" s="1139"/>
      <c r="AC77" s="1139"/>
      <c r="AD77" s="1139"/>
      <c r="AE77" s="1139"/>
      <c r="AF77" s="1139" t="str">
        <f>IF(CONSOLIDA!CQ58="","",CONSOLIDA!CQ58)</f>
        <v/>
      </c>
      <c r="AG77" s="1139"/>
      <c r="AH77" s="1139"/>
      <c r="AI77" s="1139"/>
      <c r="AJ77" s="1139"/>
      <c r="AK77" s="1139"/>
      <c r="AL77" s="1139" t="str">
        <f>IF(CONSOLIDA!CR58="","",CONSOLIDA!CR58)</f>
        <v/>
      </c>
      <c r="AM77" s="1139"/>
      <c r="AN77" s="1139"/>
      <c r="AO77" s="1139"/>
      <c r="AP77" s="1139"/>
      <c r="AQ77" s="1139"/>
      <c r="AR77" s="1139" t="str">
        <f>IF(CONSOLIDA!CS58="","",CONSOLIDA!CS58)</f>
        <v/>
      </c>
      <c r="AS77" s="1139"/>
      <c r="AT77" s="1139"/>
      <c r="AU77" s="1139"/>
      <c r="AV77" s="1139"/>
      <c r="AW77" s="1139"/>
      <c r="AX77" s="1140" t="str">
        <f>IF(CONSOLIDA!CT58="","",CONSOLIDA!CT58)</f>
        <v/>
      </c>
      <c r="AY77" s="1140"/>
      <c r="AZ77" s="1140"/>
      <c r="BA77" s="1140"/>
      <c r="BB77" s="1140"/>
      <c r="BC77" s="1140"/>
      <c r="BD77" s="1139" t="str">
        <f>IF(CONSOLIDA!CU58="","",CONSOLIDA!CU58)</f>
        <v/>
      </c>
      <c r="BE77" s="1139"/>
      <c r="BF77" s="1139"/>
      <c r="BG77" s="1139"/>
      <c r="BH77" s="1139"/>
      <c r="BI77" s="1139"/>
      <c r="BJ77" s="1139" t="str">
        <f>IF(CONSOLIDA!CV58="","",CONSOLIDA!CV58)</f>
        <v/>
      </c>
      <c r="BK77" s="1139"/>
      <c r="BL77" s="1139"/>
      <c r="BM77" s="1139"/>
      <c r="BN77" s="1139"/>
      <c r="BO77" s="1139"/>
      <c r="BP77" s="1139" t="str">
        <f>IF(CONSOLIDA!CW58="","",CONSOLIDA!CW58)</f>
        <v/>
      </c>
      <c r="BQ77" s="1139"/>
      <c r="BR77" s="1139"/>
      <c r="BS77" s="1139"/>
      <c r="BT77" s="1139"/>
      <c r="BU77" s="1139"/>
      <c r="BV77" s="1140" t="str">
        <f>IF(CONSOLIDA!CX58="","",CONSOLIDA!CX58)</f>
        <v/>
      </c>
      <c r="BW77" s="1140"/>
      <c r="BX77" s="1140"/>
      <c r="BY77" s="1140"/>
      <c r="BZ77" s="1140"/>
      <c r="CA77" s="1140"/>
      <c r="CB77" s="1139" t="str">
        <f>IF(CONSOLIDA!CY58="","",CONSOLIDA!CY58)</f>
        <v/>
      </c>
      <c r="CC77" s="1139"/>
      <c r="CD77" s="1139"/>
      <c r="CE77" s="1139"/>
      <c r="CF77" s="1139"/>
      <c r="CG77" s="1139"/>
      <c r="CH77" s="486"/>
      <c r="CI77" s="190" t="str">
        <f>IF(CONSOLIDA!CZ58="","",CONSOLIDA!CZ58)</f>
        <v/>
      </c>
      <c r="CJ77" s="190" t="str">
        <f>IF(CONSOLIDA!DA58="","",CONSOLIDA!DA58)</f>
        <v/>
      </c>
    </row>
    <row r="78" spans="1:88" s="3" customFormat="1" hidden="1">
      <c r="A78" s="243" t="str">
        <f t="shared" si="0"/>
        <v>OK</v>
      </c>
      <c r="B78" s="1141" t="str">
        <f>IF(CONSOLIDA!CL59="","",CONSOLIDA!CL59)</f>
        <v/>
      </c>
      <c r="C78" s="1141"/>
      <c r="D78" s="1134" t="str">
        <f>IF(CONSOLIDA!CN59="","",CONSOLIDA!CN59)</f>
        <v/>
      </c>
      <c r="E78" s="1135"/>
      <c r="F78" s="1135"/>
      <c r="G78" s="1129" t="str">
        <f>IF(CONSOLIDA!CO59="","",CONSOLIDA!CO59)</f>
        <v/>
      </c>
      <c r="H78" s="1129"/>
      <c r="I78" s="1129"/>
      <c r="J78" s="1129"/>
      <c r="K78" s="1129"/>
      <c r="L78" s="1129"/>
      <c r="M78" s="1129"/>
      <c r="N78" s="1129"/>
      <c r="O78" s="1129"/>
      <c r="P78" s="1129"/>
      <c r="Q78" s="1129"/>
      <c r="R78" s="1129"/>
      <c r="S78" s="1129"/>
      <c r="T78" s="1129"/>
      <c r="U78" s="1129"/>
      <c r="V78" s="1129"/>
      <c r="W78" s="1129"/>
      <c r="X78" s="1129"/>
      <c r="Y78" s="1130"/>
      <c r="Z78" s="1139" t="str">
        <f>IF(CONSOLIDA!CP59="","",CONSOLIDA!CP59)</f>
        <v/>
      </c>
      <c r="AA78" s="1139"/>
      <c r="AB78" s="1139"/>
      <c r="AC78" s="1139"/>
      <c r="AD78" s="1139"/>
      <c r="AE78" s="1139"/>
      <c r="AF78" s="1139" t="str">
        <f>IF(CONSOLIDA!CQ59="","",CONSOLIDA!CQ59)</f>
        <v/>
      </c>
      <c r="AG78" s="1139"/>
      <c r="AH78" s="1139"/>
      <c r="AI78" s="1139"/>
      <c r="AJ78" s="1139"/>
      <c r="AK78" s="1139"/>
      <c r="AL78" s="1139" t="str">
        <f>IF(CONSOLIDA!CR59="","",CONSOLIDA!CR59)</f>
        <v/>
      </c>
      <c r="AM78" s="1139"/>
      <c r="AN78" s="1139"/>
      <c r="AO78" s="1139"/>
      <c r="AP78" s="1139"/>
      <c r="AQ78" s="1139"/>
      <c r="AR78" s="1139" t="str">
        <f>IF(CONSOLIDA!CS59="","",CONSOLIDA!CS59)</f>
        <v/>
      </c>
      <c r="AS78" s="1139"/>
      <c r="AT78" s="1139"/>
      <c r="AU78" s="1139"/>
      <c r="AV78" s="1139"/>
      <c r="AW78" s="1139"/>
      <c r="AX78" s="1140" t="str">
        <f>IF(CONSOLIDA!CT59="","",CONSOLIDA!CT59)</f>
        <v/>
      </c>
      <c r="AY78" s="1140"/>
      <c r="AZ78" s="1140"/>
      <c r="BA78" s="1140"/>
      <c r="BB78" s="1140"/>
      <c r="BC78" s="1140"/>
      <c r="BD78" s="1139" t="str">
        <f>IF(CONSOLIDA!CU59="","",CONSOLIDA!CU59)</f>
        <v/>
      </c>
      <c r="BE78" s="1139"/>
      <c r="BF78" s="1139"/>
      <c r="BG78" s="1139"/>
      <c r="BH78" s="1139"/>
      <c r="BI78" s="1139"/>
      <c r="BJ78" s="1139" t="str">
        <f>IF(CONSOLIDA!CV59="","",CONSOLIDA!CV59)</f>
        <v/>
      </c>
      <c r="BK78" s="1139"/>
      <c r="BL78" s="1139"/>
      <c r="BM78" s="1139"/>
      <c r="BN78" s="1139"/>
      <c r="BO78" s="1139"/>
      <c r="BP78" s="1139" t="str">
        <f>IF(CONSOLIDA!CW59="","",CONSOLIDA!CW59)</f>
        <v/>
      </c>
      <c r="BQ78" s="1139"/>
      <c r="BR78" s="1139"/>
      <c r="BS78" s="1139"/>
      <c r="BT78" s="1139"/>
      <c r="BU78" s="1139"/>
      <c r="BV78" s="1140" t="str">
        <f>IF(CONSOLIDA!CX59="","",CONSOLIDA!CX59)</f>
        <v/>
      </c>
      <c r="BW78" s="1140"/>
      <c r="BX78" s="1140"/>
      <c r="BY78" s="1140"/>
      <c r="BZ78" s="1140"/>
      <c r="CA78" s="1140"/>
      <c r="CB78" s="1139" t="str">
        <f>IF(CONSOLIDA!CY59="","",CONSOLIDA!CY59)</f>
        <v/>
      </c>
      <c r="CC78" s="1139"/>
      <c r="CD78" s="1139"/>
      <c r="CE78" s="1139"/>
      <c r="CF78" s="1139"/>
      <c r="CG78" s="1139"/>
      <c r="CH78" s="486"/>
      <c r="CI78" s="190" t="str">
        <f>IF(CONSOLIDA!CZ59="","",CONSOLIDA!CZ59)</f>
        <v/>
      </c>
      <c r="CJ78" s="190" t="str">
        <f>IF(CONSOLIDA!DA59="","",CONSOLIDA!DA59)</f>
        <v/>
      </c>
    </row>
    <row r="79" spans="1:88" s="3" customFormat="1" hidden="1">
      <c r="A79" s="243" t="str">
        <f t="shared" si="0"/>
        <v>OK</v>
      </c>
      <c r="B79" s="1141" t="str">
        <f>IF(CONSOLIDA!CL60="","",CONSOLIDA!CL60)</f>
        <v/>
      </c>
      <c r="C79" s="1141"/>
      <c r="D79" s="1134" t="str">
        <f>IF(CONSOLIDA!CN60="","",CONSOLIDA!CN60)</f>
        <v/>
      </c>
      <c r="E79" s="1135"/>
      <c r="F79" s="1135"/>
      <c r="G79" s="1129" t="str">
        <f>IF(CONSOLIDA!CO60="","",CONSOLIDA!CO60)</f>
        <v/>
      </c>
      <c r="H79" s="1129"/>
      <c r="I79" s="1129"/>
      <c r="J79" s="1129"/>
      <c r="K79" s="1129"/>
      <c r="L79" s="1129"/>
      <c r="M79" s="1129"/>
      <c r="N79" s="1129"/>
      <c r="O79" s="1129"/>
      <c r="P79" s="1129"/>
      <c r="Q79" s="1129"/>
      <c r="R79" s="1129"/>
      <c r="S79" s="1129"/>
      <c r="T79" s="1129"/>
      <c r="U79" s="1129"/>
      <c r="V79" s="1129"/>
      <c r="W79" s="1129"/>
      <c r="X79" s="1129"/>
      <c r="Y79" s="1130"/>
      <c r="Z79" s="1139" t="str">
        <f>IF(CONSOLIDA!CP60="","",CONSOLIDA!CP60)</f>
        <v/>
      </c>
      <c r="AA79" s="1139"/>
      <c r="AB79" s="1139"/>
      <c r="AC79" s="1139"/>
      <c r="AD79" s="1139"/>
      <c r="AE79" s="1139"/>
      <c r="AF79" s="1139" t="str">
        <f>IF(CONSOLIDA!CQ60="","",CONSOLIDA!CQ60)</f>
        <v/>
      </c>
      <c r="AG79" s="1139"/>
      <c r="AH79" s="1139"/>
      <c r="AI79" s="1139"/>
      <c r="AJ79" s="1139"/>
      <c r="AK79" s="1139"/>
      <c r="AL79" s="1139" t="str">
        <f>IF(CONSOLIDA!CR60="","",CONSOLIDA!CR60)</f>
        <v/>
      </c>
      <c r="AM79" s="1139"/>
      <c r="AN79" s="1139"/>
      <c r="AO79" s="1139"/>
      <c r="AP79" s="1139"/>
      <c r="AQ79" s="1139"/>
      <c r="AR79" s="1139" t="str">
        <f>IF(CONSOLIDA!CS60="","",CONSOLIDA!CS60)</f>
        <v/>
      </c>
      <c r="AS79" s="1139"/>
      <c r="AT79" s="1139"/>
      <c r="AU79" s="1139"/>
      <c r="AV79" s="1139"/>
      <c r="AW79" s="1139"/>
      <c r="AX79" s="1140" t="str">
        <f>IF(CONSOLIDA!CT60="","",CONSOLIDA!CT60)</f>
        <v/>
      </c>
      <c r="AY79" s="1140"/>
      <c r="AZ79" s="1140"/>
      <c r="BA79" s="1140"/>
      <c r="BB79" s="1140"/>
      <c r="BC79" s="1140"/>
      <c r="BD79" s="1139" t="str">
        <f>IF(CONSOLIDA!CU60="","",CONSOLIDA!CU60)</f>
        <v/>
      </c>
      <c r="BE79" s="1139"/>
      <c r="BF79" s="1139"/>
      <c r="BG79" s="1139"/>
      <c r="BH79" s="1139"/>
      <c r="BI79" s="1139"/>
      <c r="BJ79" s="1139" t="str">
        <f>IF(CONSOLIDA!CV60="","",CONSOLIDA!CV60)</f>
        <v/>
      </c>
      <c r="BK79" s="1139"/>
      <c r="BL79" s="1139"/>
      <c r="BM79" s="1139"/>
      <c r="BN79" s="1139"/>
      <c r="BO79" s="1139"/>
      <c r="BP79" s="1139" t="str">
        <f>IF(CONSOLIDA!CW60="","",CONSOLIDA!CW60)</f>
        <v/>
      </c>
      <c r="BQ79" s="1139"/>
      <c r="BR79" s="1139"/>
      <c r="BS79" s="1139"/>
      <c r="BT79" s="1139"/>
      <c r="BU79" s="1139"/>
      <c r="BV79" s="1140" t="str">
        <f>IF(CONSOLIDA!CX60="","",CONSOLIDA!CX60)</f>
        <v/>
      </c>
      <c r="BW79" s="1140"/>
      <c r="BX79" s="1140"/>
      <c r="BY79" s="1140"/>
      <c r="BZ79" s="1140"/>
      <c r="CA79" s="1140"/>
      <c r="CB79" s="1139" t="str">
        <f>IF(CONSOLIDA!CY60="","",CONSOLIDA!CY60)</f>
        <v/>
      </c>
      <c r="CC79" s="1139"/>
      <c r="CD79" s="1139"/>
      <c r="CE79" s="1139"/>
      <c r="CF79" s="1139"/>
      <c r="CG79" s="1139"/>
      <c r="CH79" s="486"/>
      <c r="CI79" s="190" t="str">
        <f>IF(CONSOLIDA!CZ60="","",CONSOLIDA!CZ60)</f>
        <v/>
      </c>
      <c r="CJ79" s="190" t="str">
        <f>IF(CONSOLIDA!DA60="","",CONSOLIDA!DA60)</f>
        <v/>
      </c>
    </row>
    <row r="80" spans="1:88" s="3" customFormat="1" hidden="1">
      <c r="A80" s="243" t="str">
        <f t="shared" si="0"/>
        <v>OK</v>
      </c>
      <c r="B80" s="1141" t="str">
        <f>IF(CONSOLIDA!CL61="","",CONSOLIDA!CL61)</f>
        <v/>
      </c>
      <c r="C80" s="1141"/>
      <c r="D80" s="1134" t="str">
        <f>IF(CONSOLIDA!CN61="","",CONSOLIDA!CN61)</f>
        <v/>
      </c>
      <c r="E80" s="1135"/>
      <c r="F80" s="1135"/>
      <c r="G80" s="1129" t="str">
        <f>IF(CONSOLIDA!CO61="","",CONSOLIDA!CO61)</f>
        <v/>
      </c>
      <c r="H80" s="1129"/>
      <c r="I80" s="1129"/>
      <c r="J80" s="1129"/>
      <c r="K80" s="1129"/>
      <c r="L80" s="1129"/>
      <c r="M80" s="1129"/>
      <c r="N80" s="1129"/>
      <c r="O80" s="1129"/>
      <c r="P80" s="1129"/>
      <c r="Q80" s="1129"/>
      <c r="R80" s="1129"/>
      <c r="S80" s="1129"/>
      <c r="T80" s="1129"/>
      <c r="U80" s="1129"/>
      <c r="V80" s="1129"/>
      <c r="W80" s="1129"/>
      <c r="X80" s="1129"/>
      <c r="Y80" s="1130"/>
      <c r="Z80" s="1139" t="str">
        <f>IF(CONSOLIDA!CP61="","",CONSOLIDA!CP61)</f>
        <v/>
      </c>
      <c r="AA80" s="1139"/>
      <c r="AB80" s="1139"/>
      <c r="AC80" s="1139"/>
      <c r="AD80" s="1139"/>
      <c r="AE80" s="1139"/>
      <c r="AF80" s="1139" t="str">
        <f>IF(CONSOLIDA!CQ61="","",CONSOLIDA!CQ61)</f>
        <v/>
      </c>
      <c r="AG80" s="1139"/>
      <c r="AH80" s="1139"/>
      <c r="AI80" s="1139"/>
      <c r="AJ80" s="1139"/>
      <c r="AK80" s="1139"/>
      <c r="AL80" s="1139" t="str">
        <f>IF(CONSOLIDA!CR61="","",CONSOLIDA!CR61)</f>
        <v/>
      </c>
      <c r="AM80" s="1139"/>
      <c r="AN80" s="1139"/>
      <c r="AO80" s="1139"/>
      <c r="AP80" s="1139"/>
      <c r="AQ80" s="1139"/>
      <c r="AR80" s="1139" t="str">
        <f>IF(CONSOLIDA!CS61="","",CONSOLIDA!CS61)</f>
        <v/>
      </c>
      <c r="AS80" s="1139"/>
      <c r="AT80" s="1139"/>
      <c r="AU80" s="1139"/>
      <c r="AV80" s="1139"/>
      <c r="AW80" s="1139"/>
      <c r="AX80" s="1140" t="str">
        <f>IF(CONSOLIDA!CT61="","",CONSOLIDA!CT61)</f>
        <v/>
      </c>
      <c r="AY80" s="1140"/>
      <c r="AZ80" s="1140"/>
      <c r="BA80" s="1140"/>
      <c r="BB80" s="1140"/>
      <c r="BC80" s="1140"/>
      <c r="BD80" s="1139" t="str">
        <f>IF(CONSOLIDA!CU61="","",CONSOLIDA!CU61)</f>
        <v/>
      </c>
      <c r="BE80" s="1139"/>
      <c r="BF80" s="1139"/>
      <c r="BG80" s="1139"/>
      <c r="BH80" s="1139"/>
      <c r="BI80" s="1139"/>
      <c r="BJ80" s="1139" t="str">
        <f>IF(CONSOLIDA!CV61="","",CONSOLIDA!CV61)</f>
        <v/>
      </c>
      <c r="BK80" s="1139"/>
      <c r="BL80" s="1139"/>
      <c r="BM80" s="1139"/>
      <c r="BN80" s="1139"/>
      <c r="BO80" s="1139"/>
      <c r="BP80" s="1139" t="str">
        <f>IF(CONSOLIDA!CW61="","",CONSOLIDA!CW61)</f>
        <v/>
      </c>
      <c r="BQ80" s="1139"/>
      <c r="BR80" s="1139"/>
      <c r="BS80" s="1139"/>
      <c r="BT80" s="1139"/>
      <c r="BU80" s="1139"/>
      <c r="BV80" s="1140" t="str">
        <f>IF(CONSOLIDA!CX61="","",CONSOLIDA!CX61)</f>
        <v/>
      </c>
      <c r="BW80" s="1140"/>
      <c r="BX80" s="1140"/>
      <c r="BY80" s="1140"/>
      <c r="BZ80" s="1140"/>
      <c r="CA80" s="1140"/>
      <c r="CB80" s="1139" t="str">
        <f>IF(CONSOLIDA!CY61="","",CONSOLIDA!CY61)</f>
        <v/>
      </c>
      <c r="CC80" s="1139"/>
      <c r="CD80" s="1139"/>
      <c r="CE80" s="1139"/>
      <c r="CF80" s="1139"/>
      <c r="CG80" s="1139"/>
      <c r="CH80" s="486"/>
      <c r="CI80" s="190" t="str">
        <f>IF(CONSOLIDA!CZ61="","",CONSOLIDA!CZ61)</f>
        <v/>
      </c>
      <c r="CJ80" s="190" t="str">
        <f>IF(CONSOLIDA!DA61="","",CONSOLIDA!DA61)</f>
        <v/>
      </c>
    </row>
    <row r="81" spans="1:88" s="3" customFormat="1" hidden="1">
      <c r="A81" s="243" t="str">
        <f t="shared" si="0"/>
        <v>OK</v>
      </c>
      <c r="B81" s="1141" t="str">
        <f>IF(CONSOLIDA!CL62="","",CONSOLIDA!CL62)</f>
        <v/>
      </c>
      <c r="C81" s="1141"/>
      <c r="D81" s="1134" t="str">
        <f>IF(CONSOLIDA!CN62="","",CONSOLIDA!CN62)</f>
        <v/>
      </c>
      <c r="E81" s="1135"/>
      <c r="F81" s="1135"/>
      <c r="G81" s="1129" t="str">
        <f>IF(CONSOLIDA!CO62="","",CONSOLIDA!CO62)</f>
        <v/>
      </c>
      <c r="H81" s="1129"/>
      <c r="I81" s="1129"/>
      <c r="J81" s="1129"/>
      <c r="K81" s="1129"/>
      <c r="L81" s="1129"/>
      <c r="M81" s="1129"/>
      <c r="N81" s="1129"/>
      <c r="O81" s="1129"/>
      <c r="P81" s="1129"/>
      <c r="Q81" s="1129"/>
      <c r="R81" s="1129"/>
      <c r="S81" s="1129"/>
      <c r="T81" s="1129"/>
      <c r="U81" s="1129"/>
      <c r="V81" s="1129"/>
      <c r="W81" s="1129"/>
      <c r="X81" s="1129"/>
      <c r="Y81" s="1130"/>
      <c r="Z81" s="1139" t="str">
        <f>IF(CONSOLIDA!CP62="","",CONSOLIDA!CP62)</f>
        <v/>
      </c>
      <c r="AA81" s="1139"/>
      <c r="AB81" s="1139"/>
      <c r="AC81" s="1139"/>
      <c r="AD81" s="1139"/>
      <c r="AE81" s="1139"/>
      <c r="AF81" s="1139" t="str">
        <f>IF(CONSOLIDA!CQ62="","",CONSOLIDA!CQ62)</f>
        <v/>
      </c>
      <c r="AG81" s="1139"/>
      <c r="AH81" s="1139"/>
      <c r="AI81" s="1139"/>
      <c r="AJ81" s="1139"/>
      <c r="AK81" s="1139"/>
      <c r="AL81" s="1139" t="str">
        <f>IF(CONSOLIDA!CR62="","",CONSOLIDA!CR62)</f>
        <v/>
      </c>
      <c r="AM81" s="1139"/>
      <c r="AN81" s="1139"/>
      <c r="AO81" s="1139"/>
      <c r="AP81" s="1139"/>
      <c r="AQ81" s="1139"/>
      <c r="AR81" s="1139" t="str">
        <f>IF(CONSOLIDA!CS62="","",CONSOLIDA!CS62)</f>
        <v/>
      </c>
      <c r="AS81" s="1139"/>
      <c r="AT81" s="1139"/>
      <c r="AU81" s="1139"/>
      <c r="AV81" s="1139"/>
      <c r="AW81" s="1139"/>
      <c r="AX81" s="1140" t="str">
        <f>IF(CONSOLIDA!CT62="","",CONSOLIDA!CT62)</f>
        <v/>
      </c>
      <c r="AY81" s="1140"/>
      <c r="AZ81" s="1140"/>
      <c r="BA81" s="1140"/>
      <c r="BB81" s="1140"/>
      <c r="BC81" s="1140"/>
      <c r="BD81" s="1139" t="str">
        <f>IF(CONSOLIDA!CU62="","",CONSOLIDA!CU62)</f>
        <v/>
      </c>
      <c r="BE81" s="1139"/>
      <c r="BF81" s="1139"/>
      <c r="BG81" s="1139"/>
      <c r="BH81" s="1139"/>
      <c r="BI81" s="1139"/>
      <c r="BJ81" s="1139" t="str">
        <f>IF(CONSOLIDA!CV62="","",CONSOLIDA!CV62)</f>
        <v/>
      </c>
      <c r="BK81" s="1139"/>
      <c r="BL81" s="1139"/>
      <c r="BM81" s="1139"/>
      <c r="BN81" s="1139"/>
      <c r="BO81" s="1139"/>
      <c r="BP81" s="1139" t="str">
        <f>IF(CONSOLIDA!CW62="","",CONSOLIDA!CW62)</f>
        <v/>
      </c>
      <c r="BQ81" s="1139"/>
      <c r="BR81" s="1139"/>
      <c r="BS81" s="1139"/>
      <c r="BT81" s="1139"/>
      <c r="BU81" s="1139"/>
      <c r="BV81" s="1140" t="str">
        <f>IF(CONSOLIDA!CX62="","",CONSOLIDA!CX62)</f>
        <v/>
      </c>
      <c r="BW81" s="1140"/>
      <c r="BX81" s="1140"/>
      <c r="BY81" s="1140"/>
      <c r="BZ81" s="1140"/>
      <c r="CA81" s="1140"/>
      <c r="CB81" s="1139" t="str">
        <f>IF(CONSOLIDA!CY62="","",CONSOLIDA!CY62)</f>
        <v/>
      </c>
      <c r="CC81" s="1139"/>
      <c r="CD81" s="1139"/>
      <c r="CE81" s="1139"/>
      <c r="CF81" s="1139"/>
      <c r="CG81" s="1139"/>
      <c r="CH81" s="486"/>
      <c r="CI81" s="190" t="str">
        <f>IF(CONSOLIDA!CZ62="","",CONSOLIDA!CZ62)</f>
        <v/>
      </c>
      <c r="CJ81" s="190" t="str">
        <f>IF(CONSOLIDA!DA62="","",CONSOLIDA!DA62)</f>
        <v/>
      </c>
    </row>
    <row r="82" spans="1:88" s="3" customFormat="1" hidden="1">
      <c r="A82" s="243" t="str">
        <f t="shared" si="0"/>
        <v>OK</v>
      </c>
      <c r="B82" s="1141" t="str">
        <f>IF(CONSOLIDA!CL63="","",CONSOLIDA!CL63)</f>
        <v/>
      </c>
      <c r="C82" s="1141"/>
      <c r="D82" s="1134" t="str">
        <f>IF(CONSOLIDA!CN63="","",CONSOLIDA!CN63)</f>
        <v/>
      </c>
      <c r="E82" s="1135"/>
      <c r="F82" s="1135"/>
      <c r="G82" s="1129" t="str">
        <f>IF(CONSOLIDA!CO63="","",CONSOLIDA!CO63)</f>
        <v/>
      </c>
      <c r="H82" s="1129"/>
      <c r="I82" s="1129"/>
      <c r="J82" s="1129"/>
      <c r="K82" s="1129"/>
      <c r="L82" s="1129"/>
      <c r="M82" s="1129"/>
      <c r="N82" s="1129"/>
      <c r="O82" s="1129"/>
      <c r="P82" s="1129"/>
      <c r="Q82" s="1129"/>
      <c r="R82" s="1129"/>
      <c r="S82" s="1129"/>
      <c r="T82" s="1129"/>
      <c r="U82" s="1129"/>
      <c r="V82" s="1129"/>
      <c r="W82" s="1129"/>
      <c r="X82" s="1129"/>
      <c r="Y82" s="1130"/>
      <c r="Z82" s="1139" t="str">
        <f>IF(CONSOLIDA!CP63="","",CONSOLIDA!CP63)</f>
        <v/>
      </c>
      <c r="AA82" s="1139"/>
      <c r="AB82" s="1139"/>
      <c r="AC82" s="1139"/>
      <c r="AD82" s="1139"/>
      <c r="AE82" s="1139"/>
      <c r="AF82" s="1139" t="str">
        <f>IF(CONSOLIDA!CQ63="","",CONSOLIDA!CQ63)</f>
        <v/>
      </c>
      <c r="AG82" s="1139"/>
      <c r="AH82" s="1139"/>
      <c r="AI82" s="1139"/>
      <c r="AJ82" s="1139"/>
      <c r="AK82" s="1139"/>
      <c r="AL82" s="1139" t="str">
        <f>IF(CONSOLIDA!CR63="","",CONSOLIDA!CR63)</f>
        <v/>
      </c>
      <c r="AM82" s="1139"/>
      <c r="AN82" s="1139"/>
      <c r="AO82" s="1139"/>
      <c r="AP82" s="1139"/>
      <c r="AQ82" s="1139"/>
      <c r="AR82" s="1139" t="str">
        <f>IF(CONSOLIDA!CS63="","",CONSOLIDA!CS63)</f>
        <v/>
      </c>
      <c r="AS82" s="1139"/>
      <c r="AT82" s="1139"/>
      <c r="AU82" s="1139"/>
      <c r="AV82" s="1139"/>
      <c r="AW82" s="1139"/>
      <c r="AX82" s="1140" t="str">
        <f>IF(CONSOLIDA!CT63="","",CONSOLIDA!CT63)</f>
        <v/>
      </c>
      <c r="AY82" s="1140"/>
      <c r="AZ82" s="1140"/>
      <c r="BA82" s="1140"/>
      <c r="BB82" s="1140"/>
      <c r="BC82" s="1140"/>
      <c r="BD82" s="1139" t="str">
        <f>IF(CONSOLIDA!CU63="","",CONSOLIDA!CU63)</f>
        <v/>
      </c>
      <c r="BE82" s="1139"/>
      <c r="BF82" s="1139"/>
      <c r="BG82" s="1139"/>
      <c r="BH82" s="1139"/>
      <c r="BI82" s="1139"/>
      <c r="BJ82" s="1139" t="str">
        <f>IF(CONSOLIDA!CV63="","",CONSOLIDA!CV63)</f>
        <v/>
      </c>
      <c r="BK82" s="1139"/>
      <c r="BL82" s="1139"/>
      <c r="BM82" s="1139"/>
      <c r="BN82" s="1139"/>
      <c r="BO82" s="1139"/>
      <c r="BP82" s="1139" t="str">
        <f>IF(CONSOLIDA!CW63="","",CONSOLIDA!CW63)</f>
        <v/>
      </c>
      <c r="BQ82" s="1139"/>
      <c r="BR82" s="1139"/>
      <c r="BS82" s="1139"/>
      <c r="BT82" s="1139"/>
      <c r="BU82" s="1139"/>
      <c r="BV82" s="1140" t="str">
        <f>IF(CONSOLIDA!CX63="","",CONSOLIDA!CX63)</f>
        <v/>
      </c>
      <c r="BW82" s="1140"/>
      <c r="BX82" s="1140"/>
      <c r="BY82" s="1140"/>
      <c r="BZ82" s="1140"/>
      <c r="CA82" s="1140"/>
      <c r="CB82" s="1139" t="str">
        <f>IF(CONSOLIDA!CY63="","",CONSOLIDA!CY63)</f>
        <v/>
      </c>
      <c r="CC82" s="1139"/>
      <c r="CD82" s="1139"/>
      <c r="CE82" s="1139"/>
      <c r="CF82" s="1139"/>
      <c r="CG82" s="1139"/>
      <c r="CH82" s="486"/>
      <c r="CI82" s="190" t="str">
        <f>IF(CONSOLIDA!CZ63="","",CONSOLIDA!CZ63)</f>
        <v/>
      </c>
      <c r="CJ82" s="190" t="str">
        <f>IF(CONSOLIDA!DA63="","",CONSOLIDA!DA63)</f>
        <v/>
      </c>
    </row>
    <row r="83" spans="1:88" s="3" customFormat="1" hidden="1">
      <c r="A83" s="243" t="str">
        <f t="shared" si="0"/>
        <v>OK</v>
      </c>
      <c r="B83" s="1141" t="str">
        <f>IF(CONSOLIDA!CL64="","",CONSOLIDA!CL64)</f>
        <v/>
      </c>
      <c r="C83" s="1141"/>
      <c r="D83" s="1134" t="str">
        <f>IF(CONSOLIDA!CN64="","",CONSOLIDA!CN64)</f>
        <v/>
      </c>
      <c r="E83" s="1135"/>
      <c r="F83" s="1135"/>
      <c r="G83" s="1129" t="str">
        <f>IF(CONSOLIDA!CO64="","",CONSOLIDA!CO64)</f>
        <v/>
      </c>
      <c r="H83" s="1129"/>
      <c r="I83" s="1129"/>
      <c r="J83" s="1129"/>
      <c r="K83" s="1129"/>
      <c r="L83" s="1129"/>
      <c r="M83" s="1129"/>
      <c r="N83" s="1129"/>
      <c r="O83" s="1129"/>
      <c r="P83" s="1129"/>
      <c r="Q83" s="1129"/>
      <c r="R83" s="1129"/>
      <c r="S83" s="1129"/>
      <c r="T83" s="1129"/>
      <c r="U83" s="1129"/>
      <c r="V83" s="1129"/>
      <c r="W83" s="1129"/>
      <c r="X83" s="1129"/>
      <c r="Y83" s="1130"/>
      <c r="Z83" s="1139" t="str">
        <f>IF(CONSOLIDA!CP64="","",CONSOLIDA!CP64)</f>
        <v/>
      </c>
      <c r="AA83" s="1139"/>
      <c r="AB83" s="1139"/>
      <c r="AC83" s="1139"/>
      <c r="AD83" s="1139"/>
      <c r="AE83" s="1139"/>
      <c r="AF83" s="1139" t="str">
        <f>IF(CONSOLIDA!CQ64="","",CONSOLIDA!CQ64)</f>
        <v/>
      </c>
      <c r="AG83" s="1139"/>
      <c r="AH83" s="1139"/>
      <c r="AI83" s="1139"/>
      <c r="AJ83" s="1139"/>
      <c r="AK83" s="1139"/>
      <c r="AL83" s="1139" t="str">
        <f>IF(CONSOLIDA!CR64="","",CONSOLIDA!CR64)</f>
        <v/>
      </c>
      <c r="AM83" s="1139"/>
      <c r="AN83" s="1139"/>
      <c r="AO83" s="1139"/>
      <c r="AP83" s="1139"/>
      <c r="AQ83" s="1139"/>
      <c r="AR83" s="1139" t="str">
        <f>IF(CONSOLIDA!CS64="","",CONSOLIDA!CS64)</f>
        <v/>
      </c>
      <c r="AS83" s="1139"/>
      <c r="AT83" s="1139"/>
      <c r="AU83" s="1139"/>
      <c r="AV83" s="1139"/>
      <c r="AW83" s="1139"/>
      <c r="AX83" s="1140" t="str">
        <f>IF(CONSOLIDA!CT64="","",CONSOLIDA!CT64)</f>
        <v/>
      </c>
      <c r="AY83" s="1140"/>
      <c r="AZ83" s="1140"/>
      <c r="BA83" s="1140"/>
      <c r="BB83" s="1140"/>
      <c r="BC83" s="1140"/>
      <c r="BD83" s="1139" t="str">
        <f>IF(CONSOLIDA!CU64="","",CONSOLIDA!CU64)</f>
        <v/>
      </c>
      <c r="BE83" s="1139"/>
      <c r="BF83" s="1139"/>
      <c r="BG83" s="1139"/>
      <c r="BH83" s="1139"/>
      <c r="BI83" s="1139"/>
      <c r="BJ83" s="1139" t="str">
        <f>IF(CONSOLIDA!CV64="","",CONSOLIDA!CV64)</f>
        <v/>
      </c>
      <c r="BK83" s="1139"/>
      <c r="BL83" s="1139"/>
      <c r="BM83" s="1139"/>
      <c r="BN83" s="1139"/>
      <c r="BO83" s="1139"/>
      <c r="BP83" s="1139" t="str">
        <f>IF(CONSOLIDA!CW64="","",CONSOLIDA!CW64)</f>
        <v/>
      </c>
      <c r="BQ83" s="1139"/>
      <c r="BR83" s="1139"/>
      <c r="BS83" s="1139"/>
      <c r="BT83" s="1139"/>
      <c r="BU83" s="1139"/>
      <c r="BV83" s="1140" t="str">
        <f>IF(CONSOLIDA!CX64="","",CONSOLIDA!CX64)</f>
        <v/>
      </c>
      <c r="BW83" s="1140"/>
      <c r="BX83" s="1140"/>
      <c r="BY83" s="1140"/>
      <c r="BZ83" s="1140"/>
      <c r="CA83" s="1140"/>
      <c r="CB83" s="1139" t="str">
        <f>IF(CONSOLIDA!CY64="","",CONSOLIDA!CY64)</f>
        <v/>
      </c>
      <c r="CC83" s="1139"/>
      <c r="CD83" s="1139"/>
      <c r="CE83" s="1139"/>
      <c r="CF83" s="1139"/>
      <c r="CG83" s="1139"/>
      <c r="CH83" s="486"/>
      <c r="CI83" s="190" t="str">
        <f>IF(CONSOLIDA!CZ64="","",CONSOLIDA!CZ64)</f>
        <v/>
      </c>
      <c r="CJ83" s="190" t="str">
        <f>IF(CONSOLIDA!DA64="","",CONSOLIDA!DA64)</f>
        <v/>
      </c>
    </row>
    <row r="84" spans="1:88" s="3" customFormat="1" hidden="1">
      <c r="A84" s="243" t="str">
        <f t="shared" si="0"/>
        <v>OK</v>
      </c>
      <c r="B84" s="1141" t="str">
        <f>IF(CONSOLIDA!CL65="","",CONSOLIDA!CL65)</f>
        <v/>
      </c>
      <c r="C84" s="1141"/>
      <c r="D84" s="1134" t="str">
        <f>IF(CONSOLIDA!CN65="","",CONSOLIDA!CN65)</f>
        <v/>
      </c>
      <c r="E84" s="1135"/>
      <c r="F84" s="1135"/>
      <c r="G84" s="1129" t="str">
        <f>IF(CONSOLIDA!CO65="","",CONSOLIDA!CO65)</f>
        <v/>
      </c>
      <c r="H84" s="1129"/>
      <c r="I84" s="1129"/>
      <c r="J84" s="1129"/>
      <c r="K84" s="1129"/>
      <c r="L84" s="1129"/>
      <c r="M84" s="1129"/>
      <c r="N84" s="1129"/>
      <c r="O84" s="1129"/>
      <c r="P84" s="1129"/>
      <c r="Q84" s="1129"/>
      <c r="R84" s="1129"/>
      <c r="S84" s="1129"/>
      <c r="T84" s="1129"/>
      <c r="U84" s="1129"/>
      <c r="V84" s="1129"/>
      <c r="W84" s="1129"/>
      <c r="X84" s="1129"/>
      <c r="Y84" s="1130"/>
      <c r="Z84" s="1139" t="str">
        <f>IF(CONSOLIDA!CP65="","",CONSOLIDA!CP65)</f>
        <v/>
      </c>
      <c r="AA84" s="1139"/>
      <c r="AB84" s="1139"/>
      <c r="AC84" s="1139"/>
      <c r="AD84" s="1139"/>
      <c r="AE84" s="1139"/>
      <c r="AF84" s="1139" t="str">
        <f>IF(CONSOLIDA!CQ65="","",CONSOLIDA!CQ65)</f>
        <v/>
      </c>
      <c r="AG84" s="1139"/>
      <c r="AH84" s="1139"/>
      <c r="AI84" s="1139"/>
      <c r="AJ84" s="1139"/>
      <c r="AK84" s="1139"/>
      <c r="AL84" s="1139" t="str">
        <f>IF(CONSOLIDA!CR65="","",CONSOLIDA!CR65)</f>
        <v/>
      </c>
      <c r="AM84" s="1139"/>
      <c r="AN84" s="1139"/>
      <c r="AO84" s="1139"/>
      <c r="AP84" s="1139"/>
      <c r="AQ84" s="1139"/>
      <c r="AR84" s="1139" t="str">
        <f>IF(CONSOLIDA!CS65="","",CONSOLIDA!CS65)</f>
        <v/>
      </c>
      <c r="AS84" s="1139"/>
      <c r="AT84" s="1139"/>
      <c r="AU84" s="1139"/>
      <c r="AV84" s="1139"/>
      <c r="AW84" s="1139"/>
      <c r="AX84" s="1140" t="str">
        <f>IF(CONSOLIDA!CT65="","",CONSOLIDA!CT65)</f>
        <v/>
      </c>
      <c r="AY84" s="1140"/>
      <c r="AZ84" s="1140"/>
      <c r="BA84" s="1140"/>
      <c r="BB84" s="1140"/>
      <c r="BC84" s="1140"/>
      <c r="BD84" s="1139" t="str">
        <f>IF(CONSOLIDA!CU65="","",CONSOLIDA!CU65)</f>
        <v/>
      </c>
      <c r="BE84" s="1139"/>
      <c r="BF84" s="1139"/>
      <c r="BG84" s="1139"/>
      <c r="BH84" s="1139"/>
      <c r="BI84" s="1139"/>
      <c r="BJ84" s="1139" t="str">
        <f>IF(CONSOLIDA!CV65="","",CONSOLIDA!CV65)</f>
        <v/>
      </c>
      <c r="BK84" s="1139"/>
      <c r="BL84" s="1139"/>
      <c r="BM84" s="1139"/>
      <c r="BN84" s="1139"/>
      <c r="BO84" s="1139"/>
      <c r="BP84" s="1139" t="str">
        <f>IF(CONSOLIDA!CW65="","",CONSOLIDA!CW65)</f>
        <v/>
      </c>
      <c r="BQ84" s="1139"/>
      <c r="BR84" s="1139"/>
      <c r="BS84" s="1139"/>
      <c r="BT84" s="1139"/>
      <c r="BU84" s="1139"/>
      <c r="BV84" s="1140" t="str">
        <f>IF(CONSOLIDA!CX65="","",CONSOLIDA!CX65)</f>
        <v/>
      </c>
      <c r="BW84" s="1140"/>
      <c r="BX84" s="1140"/>
      <c r="BY84" s="1140"/>
      <c r="BZ84" s="1140"/>
      <c r="CA84" s="1140"/>
      <c r="CB84" s="1139" t="str">
        <f>IF(CONSOLIDA!CY65="","",CONSOLIDA!CY65)</f>
        <v/>
      </c>
      <c r="CC84" s="1139"/>
      <c r="CD84" s="1139"/>
      <c r="CE84" s="1139"/>
      <c r="CF84" s="1139"/>
      <c r="CG84" s="1139"/>
      <c r="CH84" s="486"/>
      <c r="CI84" s="190" t="str">
        <f>IF(CONSOLIDA!CZ65="","",CONSOLIDA!CZ65)</f>
        <v/>
      </c>
      <c r="CJ84" s="190" t="str">
        <f>IF(CONSOLIDA!DA65="","",CONSOLIDA!DA65)</f>
        <v/>
      </c>
    </row>
    <row r="85" spans="1:88" s="3" customFormat="1" hidden="1">
      <c r="A85" s="243" t="str">
        <f t="shared" si="0"/>
        <v>OK</v>
      </c>
      <c r="B85" s="1141" t="str">
        <f>IF(CONSOLIDA!CL66="","",CONSOLIDA!CL66)</f>
        <v/>
      </c>
      <c r="C85" s="1141"/>
      <c r="D85" s="1134" t="str">
        <f>IF(CONSOLIDA!CN66="","",CONSOLIDA!CN66)</f>
        <v/>
      </c>
      <c r="E85" s="1135"/>
      <c r="F85" s="1135"/>
      <c r="G85" s="1129" t="str">
        <f>IF(CONSOLIDA!CO66="","",CONSOLIDA!CO66)</f>
        <v/>
      </c>
      <c r="H85" s="1129"/>
      <c r="I85" s="1129"/>
      <c r="J85" s="1129"/>
      <c r="K85" s="1129"/>
      <c r="L85" s="1129"/>
      <c r="M85" s="1129"/>
      <c r="N85" s="1129"/>
      <c r="O85" s="1129"/>
      <c r="P85" s="1129"/>
      <c r="Q85" s="1129"/>
      <c r="R85" s="1129"/>
      <c r="S85" s="1129"/>
      <c r="T85" s="1129"/>
      <c r="U85" s="1129"/>
      <c r="V85" s="1129"/>
      <c r="W85" s="1129"/>
      <c r="X85" s="1129"/>
      <c r="Y85" s="1130"/>
      <c r="Z85" s="1139" t="str">
        <f>IF(CONSOLIDA!CP66="","",CONSOLIDA!CP66)</f>
        <v/>
      </c>
      <c r="AA85" s="1139"/>
      <c r="AB85" s="1139"/>
      <c r="AC85" s="1139"/>
      <c r="AD85" s="1139"/>
      <c r="AE85" s="1139"/>
      <c r="AF85" s="1139" t="str">
        <f>IF(CONSOLIDA!CQ66="","",CONSOLIDA!CQ66)</f>
        <v/>
      </c>
      <c r="AG85" s="1139"/>
      <c r="AH85" s="1139"/>
      <c r="AI85" s="1139"/>
      <c r="AJ85" s="1139"/>
      <c r="AK85" s="1139"/>
      <c r="AL85" s="1139" t="str">
        <f>IF(CONSOLIDA!CR66="","",CONSOLIDA!CR66)</f>
        <v/>
      </c>
      <c r="AM85" s="1139"/>
      <c r="AN85" s="1139"/>
      <c r="AO85" s="1139"/>
      <c r="AP85" s="1139"/>
      <c r="AQ85" s="1139"/>
      <c r="AR85" s="1139" t="str">
        <f>IF(CONSOLIDA!CS66="","",CONSOLIDA!CS66)</f>
        <v/>
      </c>
      <c r="AS85" s="1139"/>
      <c r="AT85" s="1139"/>
      <c r="AU85" s="1139"/>
      <c r="AV85" s="1139"/>
      <c r="AW85" s="1139"/>
      <c r="AX85" s="1140" t="str">
        <f>IF(CONSOLIDA!CT66="","",CONSOLIDA!CT66)</f>
        <v/>
      </c>
      <c r="AY85" s="1140"/>
      <c r="AZ85" s="1140"/>
      <c r="BA85" s="1140"/>
      <c r="BB85" s="1140"/>
      <c r="BC85" s="1140"/>
      <c r="BD85" s="1139" t="str">
        <f>IF(CONSOLIDA!CU66="","",CONSOLIDA!CU66)</f>
        <v/>
      </c>
      <c r="BE85" s="1139"/>
      <c r="BF85" s="1139"/>
      <c r="BG85" s="1139"/>
      <c r="BH85" s="1139"/>
      <c r="BI85" s="1139"/>
      <c r="BJ85" s="1139" t="str">
        <f>IF(CONSOLIDA!CV66="","",CONSOLIDA!CV66)</f>
        <v/>
      </c>
      <c r="BK85" s="1139"/>
      <c r="BL85" s="1139"/>
      <c r="BM85" s="1139"/>
      <c r="BN85" s="1139"/>
      <c r="BO85" s="1139"/>
      <c r="BP85" s="1139" t="str">
        <f>IF(CONSOLIDA!CW66="","",CONSOLIDA!CW66)</f>
        <v/>
      </c>
      <c r="BQ85" s="1139"/>
      <c r="BR85" s="1139"/>
      <c r="BS85" s="1139"/>
      <c r="BT85" s="1139"/>
      <c r="BU85" s="1139"/>
      <c r="BV85" s="1140" t="str">
        <f>IF(CONSOLIDA!CX66="","",CONSOLIDA!CX66)</f>
        <v/>
      </c>
      <c r="BW85" s="1140"/>
      <c r="BX85" s="1140"/>
      <c r="BY85" s="1140"/>
      <c r="BZ85" s="1140"/>
      <c r="CA85" s="1140"/>
      <c r="CB85" s="1139" t="str">
        <f>IF(CONSOLIDA!CY66="","",CONSOLIDA!CY66)</f>
        <v/>
      </c>
      <c r="CC85" s="1139"/>
      <c r="CD85" s="1139"/>
      <c r="CE85" s="1139"/>
      <c r="CF85" s="1139"/>
      <c r="CG85" s="1139"/>
      <c r="CH85" s="486"/>
      <c r="CI85" s="190" t="str">
        <f>IF(CONSOLIDA!CZ66="","",CONSOLIDA!CZ66)</f>
        <v/>
      </c>
      <c r="CJ85" s="190" t="str">
        <f>IF(CONSOLIDA!DA66="","",CONSOLIDA!DA66)</f>
        <v/>
      </c>
    </row>
    <row r="86" spans="1:88" s="3" customFormat="1" hidden="1">
      <c r="A86" s="243" t="str">
        <f t="shared" si="0"/>
        <v>OK</v>
      </c>
      <c r="B86" s="1141" t="str">
        <f>IF(CONSOLIDA!CL67="","",CONSOLIDA!CL67)</f>
        <v/>
      </c>
      <c r="C86" s="1141"/>
      <c r="D86" s="1134" t="str">
        <f>IF(CONSOLIDA!CN67="","",CONSOLIDA!CN67)</f>
        <v/>
      </c>
      <c r="E86" s="1135"/>
      <c r="F86" s="1135"/>
      <c r="G86" s="1129" t="str">
        <f>IF(CONSOLIDA!CO67="","",CONSOLIDA!CO67)</f>
        <v/>
      </c>
      <c r="H86" s="1129"/>
      <c r="I86" s="1129"/>
      <c r="J86" s="1129"/>
      <c r="K86" s="1129"/>
      <c r="L86" s="1129"/>
      <c r="M86" s="1129"/>
      <c r="N86" s="1129"/>
      <c r="O86" s="1129"/>
      <c r="P86" s="1129"/>
      <c r="Q86" s="1129"/>
      <c r="R86" s="1129"/>
      <c r="S86" s="1129"/>
      <c r="T86" s="1129"/>
      <c r="U86" s="1129"/>
      <c r="V86" s="1129"/>
      <c r="W86" s="1129"/>
      <c r="X86" s="1129"/>
      <c r="Y86" s="1130"/>
      <c r="Z86" s="1139" t="str">
        <f>IF(CONSOLIDA!CP67="","",CONSOLIDA!CP67)</f>
        <v/>
      </c>
      <c r="AA86" s="1139"/>
      <c r="AB86" s="1139"/>
      <c r="AC86" s="1139"/>
      <c r="AD86" s="1139"/>
      <c r="AE86" s="1139"/>
      <c r="AF86" s="1139" t="str">
        <f>IF(CONSOLIDA!CQ67="","",CONSOLIDA!CQ67)</f>
        <v/>
      </c>
      <c r="AG86" s="1139"/>
      <c r="AH86" s="1139"/>
      <c r="AI86" s="1139"/>
      <c r="AJ86" s="1139"/>
      <c r="AK86" s="1139"/>
      <c r="AL86" s="1139" t="str">
        <f>IF(CONSOLIDA!CR67="","",CONSOLIDA!CR67)</f>
        <v/>
      </c>
      <c r="AM86" s="1139"/>
      <c r="AN86" s="1139"/>
      <c r="AO86" s="1139"/>
      <c r="AP86" s="1139"/>
      <c r="AQ86" s="1139"/>
      <c r="AR86" s="1139" t="str">
        <f>IF(CONSOLIDA!CS67="","",CONSOLIDA!CS67)</f>
        <v/>
      </c>
      <c r="AS86" s="1139"/>
      <c r="AT86" s="1139"/>
      <c r="AU86" s="1139"/>
      <c r="AV86" s="1139"/>
      <c r="AW86" s="1139"/>
      <c r="AX86" s="1140" t="str">
        <f>IF(CONSOLIDA!CT67="","",CONSOLIDA!CT67)</f>
        <v/>
      </c>
      <c r="AY86" s="1140"/>
      <c r="AZ86" s="1140"/>
      <c r="BA86" s="1140"/>
      <c r="BB86" s="1140"/>
      <c r="BC86" s="1140"/>
      <c r="BD86" s="1139" t="str">
        <f>IF(CONSOLIDA!CU67="","",CONSOLIDA!CU67)</f>
        <v/>
      </c>
      <c r="BE86" s="1139"/>
      <c r="BF86" s="1139"/>
      <c r="BG86" s="1139"/>
      <c r="BH86" s="1139"/>
      <c r="BI86" s="1139"/>
      <c r="BJ86" s="1139" t="str">
        <f>IF(CONSOLIDA!CV67="","",CONSOLIDA!CV67)</f>
        <v/>
      </c>
      <c r="BK86" s="1139"/>
      <c r="BL86" s="1139"/>
      <c r="BM86" s="1139"/>
      <c r="BN86" s="1139"/>
      <c r="BO86" s="1139"/>
      <c r="BP86" s="1139" t="str">
        <f>IF(CONSOLIDA!CW67="","",CONSOLIDA!CW67)</f>
        <v/>
      </c>
      <c r="BQ86" s="1139"/>
      <c r="BR86" s="1139"/>
      <c r="BS86" s="1139"/>
      <c r="BT86" s="1139"/>
      <c r="BU86" s="1139"/>
      <c r="BV86" s="1140" t="str">
        <f>IF(CONSOLIDA!CX67="","",CONSOLIDA!CX67)</f>
        <v/>
      </c>
      <c r="BW86" s="1140"/>
      <c r="BX86" s="1140"/>
      <c r="BY86" s="1140"/>
      <c r="BZ86" s="1140"/>
      <c r="CA86" s="1140"/>
      <c r="CB86" s="1139" t="str">
        <f>IF(CONSOLIDA!CY67="","",CONSOLIDA!CY67)</f>
        <v/>
      </c>
      <c r="CC86" s="1139"/>
      <c r="CD86" s="1139"/>
      <c r="CE86" s="1139"/>
      <c r="CF86" s="1139"/>
      <c r="CG86" s="1139"/>
      <c r="CH86" s="486"/>
      <c r="CI86" s="190" t="str">
        <f>IF(CONSOLIDA!CZ67="","",CONSOLIDA!CZ67)</f>
        <v/>
      </c>
      <c r="CJ86" s="190" t="str">
        <f>IF(CONSOLIDA!DA67="","",CONSOLIDA!DA67)</f>
        <v/>
      </c>
    </row>
    <row r="87" spans="1:88" s="3" customFormat="1" hidden="1">
      <c r="A87" s="243" t="str">
        <f t="shared" si="0"/>
        <v>OK</v>
      </c>
      <c r="B87" s="1141" t="str">
        <f>IF(CONSOLIDA!CL68="","",CONSOLIDA!CL68)</f>
        <v/>
      </c>
      <c r="C87" s="1141"/>
      <c r="D87" s="1134" t="str">
        <f>IF(CONSOLIDA!CN68="","",CONSOLIDA!CN68)</f>
        <v/>
      </c>
      <c r="E87" s="1135"/>
      <c r="F87" s="1135"/>
      <c r="G87" s="1129" t="str">
        <f>IF(CONSOLIDA!CO68="","",CONSOLIDA!CO68)</f>
        <v/>
      </c>
      <c r="H87" s="1129"/>
      <c r="I87" s="1129"/>
      <c r="J87" s="1129"/>
      <c r="K87" s="1129"/>
      <c r="L87" s="1129"/>
      <c r="M87" s="1129"/>
      <c r="N87" s="1129"/>
      <c r="O87" s="1129"/>
      <c r="P87" s="1129"/>
      <c r="Q87" s="1129"/>
      <c r="R87" s="1129"/>
      <c r="S87" s="1129"/>
      <c r="T87" s="1129"/>
      <c r="U87" s="1129"/>
      <c r="V87" s="1129"/>
      <c r="W87" s="1129"/>
      <c r="X87" s="1129"/>
      <c r="Y87" s="1130"/>
      <c r="Z87" s="1139" t="str">
        <f>IF(CONSOLIDA!CP68="","",CONSOLIDA!CP68)</f>
        <v/>
      </c>
      <c r="AA87" s="1139"/>
      <c r="AB87" s="1139"/>
      <c r="AC87" s="1139"/>
      <c r="AD87" s="1139"/>
      <c r="AE87" s="1139"/>
      <c r="AF87" s="1139" t="str">
        <f>IF(CONSOLIDA!CQ68="","",CONSOLIDA!CQ68)</f>
        <v/>
      </c>
      <c r="AG87" s="1139"/>
      <c r="AH87" s="1139"/>
      <c r="AI87" s="1139"/>
      <c r="AJ87" s="1139"/>
      <c r="AK87" s="1139"/>
      <c r="AL87" s="1139" t="str">
        <f>IF(CONSOLIDA!CR68="","",CONSOLIDA!CR68)</f>
        <v/>
      </c>
      <c r="AM87" s="1139"/>
      <c r="AN87" s="1139"/>
      <c r="AO87" s="1139"/>
      <c r="AP87" s="1139"/>
      <c r="AQ87" s="1139"/>
      <c r="AR87" s="1139" t="str">
        <f>IF(CONSOLIDA!CS68="","",CONSOLIDA!CS68)</f>
        <v/>
      </c>
      <c r="AS87" s="1139"/>
      <c r="AT87" s="1139"/>
      <c r="AU87" s="1139"/>
      <c r="AV87" s="1139"/>
      <c r="AW87" s="1139"/>
      <c r="AX87" s="1140" t="str">
        <f>IF(CONSOLIDA!CT68="","",CONSOLIDA!CT68)</f>
        <v/>
      </c>
      <c r="AY87" s="1140"/>
      <c r="AZ87" s="1140"/>
      <c r="BA87" s="1140"/>
      <c r="BB87" s="1140"/>
      <c r="BC87" s="1140"/>
      <c r="BD87" s="1139" t="str">
        <f>IF(CONSOLIDA!CU68="","",CONSOLIDA!CU68)</f>
        <v/>
      </c>
      <c r="BE87" s="1139"/>
      <c r="BF87" s="1139"/>
      <c r="BG87" s="1139"/>
      <c r="BH87" s="1139"/>
      <c r="BI87" s="1139"/>
      <c r="BJ87" s="1139" t="str">
        <f>IF(CONSOLIDA!CV68="","",CONSOLIDA!CV68)</f>
        <v/>
      </c>
      <c r="BK87" s="1139"/>
      <c r="BL87" s="1139"/>
      <c r="BM87" s="1139"/>
      <c r="BN87" s="1139"/>
      <c r="BO87" s="1139"/>
      <c r="BP87" s="1139" t="str">
        <f>IF(CONSOLIDA!CW68="","",CONSOLIDA!CW68)</f>
        <v/>
      </c>
      <c r="BQ87" s="1139"/>
      <c r="BR87" s="1139"/>
      <c r="BS87" s="1139"/>
      <c r="BT87" s="1139"/>
      <c r="BU87" s="1139"/>
      <c r="BV87" s="1140" t="str">
        <f>IF(CONSOLIDA!CX68="","",CONSOLIDA!CX68)</f>
        <v/>
      </c>
      <c r="BW87" s="1140"/>
      <c r="BX87" s="1140"/>
      <c r="BY87" s="1140"/>
      <c r="BZ87" s="1140"/>
      <c r="CA87" s="1140"/>
      <c r="CB87" s="1139" t="str">
        <f>IF(CONSOLIDA!CY68="","",CONSOLIDA!CY68)</f>
        <v/>
      </c>
      <c r="CC87" s="1139"/>
      <c r="CD87" s="1139"/>
      <c r="CE87" s="1139"/>
      <c r="CF87" s="1139"/>
      <c r="CG87" s="1139"/>
      <c r="CH87" s="486"/>
      <c r="CI87" s="190" t="str">
        <f>IF(CONSOLIDA!CZ68="","",CONSOLIDA!CZ68)</f>
        <v/>
      </c>
      <c r="CJ87" s="190" t="str">
        <f>IF(CONSOLIDA!DA68="","",CONSOLIDA!DA68)</f>
        <v/>
      </c>
    </row>
    <row r="88" spans="1:88" s="3" customFormat="1" hidden="1">
      <c r="A88" s="243" t="str">
        <f t="shared" ref="A88:A151" si="1">IF(D88="","OK","")</f>
        <v>OK</v>
      </c>
      <c r="B88" s="1141" t="str">
        <f>IF(CONSOLIDA!CL69="","",CONSOLIDA!CL69)</f>
        <v/>
      </c>
      <c r="C88" s="1141"/>
      <c r="D88" s="1134" t="str">
        <f>IF(CONSOLIDA!CN69="","",CONSOLIDA!CN69)</f>
        <v/>
      </c>
      <c r="E88" s="1135"/>
      <c r="F88" s="1135"/>
      <c r="G88" s="1129" t="str">
        <f>IF(CONSOLIDA!CO69="","",CONSOLIDA!CO69)</f>
        <v/>
      </c>
      <c r="H88" s="1129"/>
      <c r="I88" s="1129"/>
      <c r="J88" s="1129"/>
      <c r="K88" s="1129"/>
      <c r="L88" s="1129"/>
      <c r="M88" s="1129"/>
      <c r="N88" s="1129"/>
      <c r="O88" s="1129"/>
      <c r="P88" s="1129"/>
      <c r="Q88" s="1129"/>
      <c r="R88" s="1129"/>
      <c r="S88" s="1129"/>
      <c r="T88" s="1129"/>
      <c r="U88" s="1129"/>
      <c r="V88" s="1129"/>
      <c r="W88" s="1129"/>
      <c r="X88" s="1129"/>
      <c r="Y88" s="1130"/>
      <c r="Z88" s="1139" t="str">
        <f>IF(CONSOLIDA!CP69="","",CONSOLIDA!CP69)</f>
        <v/>
      </c>
      <c r="AA88" s="1139"/>
      <c r="AB88" s="1139"/>
      <c r="AC88" s="1139"/>
      <c r="AD88" s="1139"/>
      <c r="AE88" s="1139"/>
      <c r="AF88" s="1139" t="str">
        <f>IF(CONSOLIDA!CQ69="","",CONSOLIDA!CQ69)</f>
        <v/>
      </c>
      <c r="AG88" s="1139"/>
      <c r="AH88" s="1139"/>
      <c r="AI88" s="1139"/>
      <c r="AJ88" s="1139"/>
      <c r="AK88" s="1139"/>
      <c r="AL88" s="1139" t="str">
        <f>IF(CONSOLIDA!CR69="","",CONSOLIDA!CR69)</f>
        <v/>
      </c>
      <c r="AM88" s="1139"/>
      <c r="AN88" s="1139"/>
      <c r="AO88" s="1139"/>
      <c r="AP88" s="1139"/>
      <c r="AQ88" s="1139"/>
      <c r="AR88" s="1139" t="str">
        <f>IF(CONSOLIDA!CS69="","",CONSOLIDA!CS69)</f>
        <v/>
      </c>
      <c r="AS88" s="1139"/>
      <c r="AT88" s="1139"/>
      <c r="AU88" s="1139"/>
      <c r="AV88" s="1139"/>
      <c r="AW88" s="1139"/>
      <c r="AX88" s="1140" t="str">
        <f>IF(CONSOLIDA!CT69="","",CONSOLIDA!CT69)</f>
        <v/>
      </c>
      <c r="AY88" s="1140"/>
      <c r="AZ88" s="1140"/>
      <c r="BA88" s="1140"/>
      <c r="BB88" s="1140"/>
      <c r="BC88" s="1140"/>
      <c r="BD88" s="1139" t="str">
        <f>IF(CONSOLIDA!CU69="","",CONSOLIDA!CU69)</f>
        <v/>
      </c>
      <c r="BE88" s="1139"/>
      <c r="BF88" s="1139"/>
      <c r="BG88" s="1139"/>
      <c r="BH88" s="1139"/>
      <c r="BI88" s="1139"/>
      <c r="BJ88" s="1139" t="str">
        <f>IF(CONSOLIDA!CV69="","",CONSOLIDA!CV69)</f>
        <v/>
      </c>
      <c r="BK88" s="1139"/>
      <c r="BL88" s="1139"/>
      <c r="BM88" s="1139"/>
      <c r="BN88" s="1139"/>
      <c r="BO88" s="1139"/>
      <c r="BP88" s="1139" t="str">
        <f>IF(CONSOLIDA!CW69="","",CONSOLIDA!CW69)</f>
        <v/>
      </c>
      <c r="BQ88" s="1139"/>
      <c r="BR88" s="1139"/>
      <c r="BS88" s="1139"/>
      <c r="BT88" s="1139"/>
      <c r="BU88" s="1139"/>
      <c r="BV88" s="1140" t="str">
        <f>IF(CONSOLIDA!CX69="","",CONSOLIDA!CX69)</f>
        <v/>
      </c>
      <c r="BW88" s="1140"/>
      <c r="BX88" s="1140"/>
      <c r="BY88" s="1140"/>
      <c r="BZ88" s="1140"/>
      <c r="CA88" s="1140"/>
      <c r="CB88" s="1139" t="str">
        <f>IF(CONSOLIDA!CY69="","",CONSOLIDA!CY69)</f>
        <v/>
      </c>
      <c r="CC88" s="1139"/>
      <c r="CD88" s="1139"/>
      <c r="CE88" s="1139"/>
      <c r="CF88" s="1139"/>
      <c r="CG88" s="1139"/>
      <c r="CH88" s="486"/>
      <c r="CI88" s="190" t="str">
        <f>IF(CONSOLIDA!CZ69="","",CONSOLIDA!CZ69)</f>
        <v/>
      </c>
      <c r="CJ88" s="190" t="str">
        <f>IF(CONSOLIDA!DA69="","",CONSOLIDA!DA69)</f>
        <v/>
      </c>
    </row>
    <row r="89" spans="1:88" s="3" customFormat="1" hidden="1">
      <c r="A89" s="243" t="str">
        <f t="shared" si="1"/>
        <v>OK</v>
      </c>
      <c r="B89" s="1141" t="str">
        <f>IF(CONSOLIDA!CL70="","",CONSOLIDA!CL70)</f>
        <v/>
      </c>
      <c r="C89" s="1141"/>
      <c r="D89" s="1134" t="str">
        <f>IF(CONSOLIDA!CN70="","",CONSOLIDA!CN70)</f>
        <v/>
      </c>
      <c r="E89" s="1135"/>
      <c r="F89" s="1135"/>
      <c r="G89" s="1129" t="str">
        <f>IF(CONSOLIDA!CO70="","",CONSOLIDA!CO70)</f>
        <v/>
      </c>
      <c r="H89" s="1129"/>
      <c r="I89" s="1129"/>
      <c r="J89" s="1129"/>
      <c r="K89" s="1129"/>
      <c r="L89" s="1129"/>
      <c r="M89" s="1129"/>
      <c r="N89" s="1129"/>
      <c r="O89" s="1129"/>
      <c r="P89" s="1129"/>
      <c r="Q89" s="1129"/>
      <c r="R89" s="1129"/>
      <c r="S89" s="1129"/>
      <c r="T89" s="1129"/>
      <c r="U89" s="1129"/>
      <c r="V89" s="1129"/>
      <c r="W89" s="1129"/>
      <c r="X89" s="1129"/>
      <c r="Y89" s="1130"/>
      <c r="Z89" s="1139" t="str">
        <f>IF(CONSOLIDA!CP70="","",CONSOLIDA!CP70)</f>
        <v/>
      </c>
      <c r="AA89" s="1139"/>
      <c r="AB89" s="1139"/>
      <c r="AC89" s="1139"/>
      <c r="AD89" s="1139"/>
      <c r="AE89" s="1139"/>
      <c r="AF89" s="1139" t="str">
        <f>IF(CONSOLIDA!CQ70="","",CONSOLIDA!CQ70)</f>
        <v/>
      </c>
      <c r="AG89" s="1139"/>
      <c r="AH89" s="1139"/>
      <c r="AI89" s="1139"/>
      <c r="AJ89" s="1139"/>
      <c r="AK89" s="1139"/>
      <c r="AL89" s="1139" t="str">
        <f>IF(CONSOLIDA!CR70="","",CONSOLIDA!CR70)</f>
        <v/>
      </c>
      <c r="AM89" s="1139"/>
      <c r="AN89" s="1139"/>
      <c r="AO89" s="1139"/>
      <c r="AP89" s="1139"/>
      <c r="AQ89" s="1139"/>
      <c r="AR89" s="1139" t="str">
        <f>IF(CONSOLIDA!CS70="","",CONSOLIDA!CS70)</f>
        <v/>
      </c>
      <c r="AS89" s="1139"/>
      <c r="AT89" s="1139"/>
      <c r="AU89" s="1139"/>
      <c r="AV89" s="1139"/>
      <c r="AW89" s="1139"/>
      <c r="AX89" s="1140" t="str">
        <f>IF(CONSOLIDA!CT70="","",CONSOLIDA!CT70)</f>
        <v/>
      </c>
      <c r="AY89" s="1140"/>
      <c r="AZ89" s="1140"/>
      <c r="BA89" s="1140"/>
      <c r="BB89" s="1140"/>
      <c r="BC89" s="1140"/>
      <c r="BD89" s="1139" t="str">
        <f>IF(CONSOLIDA!CU70="","",CONSOLIDA!CU70)</f>
        <v/>
      </c>
      <c r="BE89" s="1139"/>
      <c r="BF89" s="1139"/>
      <c r="BG89" s="1139"/>
      <c r="BH89" s="1139"/>
      <c r="BI89" s="1139"/>
      <c r="BJ89" s="1139" t="str">
        <f>IF(CONSOLIDA!CV70="","",CONSOLIDA!CV70)</f>
        <v/>
      </c>
      <c r="BK89" s="1139"/>
      <c r="BL89" s="1139"/>
      <c r="BM89" s="1139"/>
      <c r="BN89" s="1139"/>
      <c r="BO89" s="1139"/>
      <c r="BP89" s="1139" t="str">
        <f>IF(CONSOLIDA!CW70="","",CONSOLIDA!CW70)</f>
        <v/>
      </c>
      <c r="BQ89" s="1139"/>
      <c r="BR89" s="1139"/>
      <c r="BS89" s="1139"/>
      <c r="BT89" s="1139"/>
      <c r="BU89" s="1139"/>
      <c r="BV89" s="1140" t="str">
        <f>IF(CONSOLIDA!CX70="","",CONSOLIDA!CX70)</f>
        <v/>
      </c>
      <c r="BW89" s="1140"/>
      <c r="BX89" s="1140"/>
      <c r="BY89" s="1140"/>
      <c r="BZ89" s="1140"/>
      <c r="CA89" s="1140"/>
      <c r="CB89" s="1139" t="str">
        <f>IF(CONSOLIDA!CY70="","",CONSOLIDA!CY70)</f>
        <v/>
      </c>
      <c r="CC89" s="1139"/>
      <c r="CD89" s="1139"/>
      <c r="CE89" s="1139"/>
      <c r="CF89" s="1139"/>
      <c r="CG89" s="1139"/>
      <c r="CH89" s="486"/>
      <c r="CI89" s="190" t="str">
        <f>IF(CONSOLIDA!CZ70="","",CONSOLIDA!CZ70)</f>
        <v/>
      </c>
      <c r="CJ89" s="190" t="str">
        <f>IF(CONSOLIDA!DA70="","",CONSOLIDA!DA70)</f>
        <v/>
      </c>
    </row>
    <row r="90" spans="1:88" s="3" customFormat="1" hidden="1">
      <c r="A90" s="243" t="str">
        <f t="shared" si="1"/>
        <v>OK</v>
      </c>
      <c r="B90" s="1141" t="str">
        <f>IF(CONSOLIDA!CL71="","",CONSOLIDA!CL71)</f>
        <v/>
      </c>
      <c r="C90" s="1141"/>
      <c r="D90" s="1134" t="str">
        <f>IF(CONSOLIDA!CN71="","",CONSOLIDA!CN71)</f>
        <v/>
      </c>
      <c r="E90" s="1135"/>
      <c r="F90" s="1135"/>
      <c r="G90" s="1129" t="str">
        <f>IF(CONSOLIDA!CO71="","",CONSOLIDA!CO71)</f>
        <v/>
      </c>
      <c r="H90" s="1129"/>
      <c r="I90" s="1129"/>
      <c r="J90" s="1129"/>
      <c r="K90" s="1129"/>
      <c r="L90" s="1129"/>
      <c r="M90" s="1129"/>
      <c r="N90" s="1129"/>
      <c r="O90" s="1129"/>
      <c r="P90" s="1129"/>
      <c r="Q90" s="1129"/>
      <c r="R90" s="1129"/>
      <c r="S90" s="1129"/>
      <c r="T90" s="1129"/>
      <c r="U90" s="1129"/>
      <c r="V90" s="1129"/>
      <c r="W90" s="1129"/>
      <c r="X90" s="1129"/>
      <c r="Y90" s="1130"/>
      <c r="Z90" s="1139" t="str">
        <f>IF(CONSOLIDA!CP71="","",CONSOLIDA!CP71)</f>
        <v/>
      </c>
      <c r="AA90" s="1139"/>
      <c r="AB90" s="1139"/>
      <c r="AC90" s="1139"/>
      <c r="AD90" s="1139"/>
      <c r="AE90" s="1139"/>
      <c r="AF90" s="1139" t="str">
        <f>IF(CONSOLIDA!CQ71="","",CONSOLIDA!CQ71)</f>
        <v/>
      </c>
      <c r="AG90" s="1139"/>
      <c r="AH90" s="1139"/>
      <c r="AI90" s="1139"/>
      <c r="AJ90" s="1139"/>
      <c r="AK90" s="1139"/>
      <c r="AL90" s="1139" t="str">
        <f>IF(CONSOLIDA!CR71="","",CONSOLIDA!CR71)</f>
        <v/>
      </c>
      <c r="AM90" s="1139"/>
      <c r="AN90" s="1139"/>
      <c r="AO90" s="1139"/>
      <c r="AP90" s="1139"/>
      <c r="AQ90" s="1139"/>
      <c r="AR90" s="1139" t="str">
        <f>IF(CONSOLIDA!CS71="","",CONSOLIDA!CS71)</f>
        <v/>
      </c>
      <c r="AS90" s="1139"/>
      <c r="AT90" s="1139"/>
      <c r="AU90" s="1139"/>
      <c r="AV90" s="1139"/>
      <c r="AW90" s="1139"/>
      <c r="AX90" s="1140" t="str">
        <f>IF(CONSOLIDA!CT71="","",CONSOLIDA!CT71)</f>
        <v/>
      </c>
      <c r="AY90" s="1140"/>
      <c r="AZ90" s="1140"/>
      <c r="BA90" s="1140"/>
      <c r="BB90" s="1140"/>
      <c r="BC90" s="1140"/>
      <c r="BD90" s="1139" t="str">
        <f>IF(CONSOLIDA!CU71="","",CONSOLIDA!CU71)</f>
        <v/>
      </c>
      <c r="BE90" s="1139"/>
      <c r="BF90" s="1139"/>
      <c r="BG90" s="1139"/>
      <c r="BH90" s="1139"/>
      <c r="BI90" s="1139"/>
      <c r="BJ90" s="1139" t="str">
        <f>IF(CONSOLIDA!CV71="","",CONSOLIDA!CV71)</f>
        <v/>
      </c>
      <c r="BK90" s="1139"/>
      <c r="BL90" s="1139"/>
      <c r="BM90" s="1139"/>
      <c r="BN90" s="1139"/>
      <c r="BO90" s="1139"/>
      <c r="BP90" s="1139" t="str">
        <f>IF(CONSOLIDA!CW71="","",CONSOLIDA!CW71)</f>
        <v/>
      </c>
      <c r="BQ90" s="1139"/>
      <c r="BR90" s="1139"/>
      <c r="BS90" s="1139"/>
      <c r="BT90" s="1139"/>
      <c r="BU90" s="1139"/>
      <c r="BV90" s="1140" t="str">
        <f>IF(CONSOLIDA!CX71="","",CONSOLIDA!CX71)</f>
        <v/>
      </c>
      <c r="BW90" s="1140"/>
      <c r="BX90" s="1140"/>
      <c r="BY90" s="1140"/>
      <c r="BZ90" s="1140"/>
      <c r="CA90" s="1140"/>
      <c r="CB90" s="1139" t="str">
        <f>IF(CONSOLIDA!CY71="","",CONSOLIDA!CY71)</f>
        <v/>
      </c>
      <c r="CC90" s="1139"/>
      <c r="CD90" s="1139"/>
      <c r="CE90" s="1139"/>
      <c r="CF90" s="1139"/>
      <c r="CG90" s="1139"/>
      <c r="CH90" s="486"/>
      <c r="CI90" s="190" t="str">
        <f>IF(CONSOLIDA!CZ71="","",CONSOLIDA!CZ71)</f>
        <v/>
      </c>
      <c r="CJ90" s="190" t="str">
        <f>IF(CONSOLIDA!DA71="","",CONSOLIDA!DA71)</f>
        <v/>
      </c>
    </row>
    <row r="91" spans="1:88" s="3" customFormat="1" hidden="1">
      <c r="A91" s="243" t="str">
        <f t="shared" si="1"/>
        <v>OK</v>
      </c>
      <c r="B91" s="1141" t="str">
        <f>IF(CONSOLIDA!CL72="","",CONSOLIDA!CL72)</f>
        <v/>
      </c>
      <c r="C91" s="1141"/>
      <c r="D91" s="1134" t="str">
        <f>IF(CONSOLIDA!CN72="","",CONSOLIDA!CN72)</f>
        <v/>
      </c>
      <c r="E91" s="1135"/>
      <c r="F91" s="1135"/>
      <c r="G91" s="1129" t="str">
        <f>IF(CONSOLIDA!CO72="","",CONSOLIDA!CO72)</f>
        <v/>
      </c>
      <c r="H91" s="1129"/>
      <c r="I91" s="1129"/>
      <c r="J91" s="1129"/>
      <c r="K91" s="1129"/>
      <c r="L91" s="1129"/>
      <c r="M91" s="1129"/>
      <c r="N91" s="1129"/>
      <c r="O91" s="1129"/>
      <c r="P91" s="1129"/>
      <c r="Q91" s="1129"/>
      <c r="R91" s="1129"/>
      <c r="S91" s="1129"/>
      <c r="T91" s="1129"/>
      <c r="U91" s="1129"/>
      <c r="V91" s="1129"/>
      <c r="W91" s="1129"/>
      <c r="X91" s="1129"/>
      <c r="Y91" s="1130"/>
      <c r="Z91" s="1139" t="str">
        <f>IF(CONSOLIDA!CP72="","",CONSOLIDA!CP72)</f>
        <v/>
      </c>
      <c r="AA91" s="1139"/>
      <c r="AB91" s="1139"/>
      <c r="AC91" s="1139"/>
      <c r="AD91" s="1139"/>
      <c r="AE91" s="1139"/>
      <c r="AF91" s="1139" t="str">
        <f>IF(CONSOLIDA!CQ72="","",CONSOLIDA!CQ72)</f>
        <v/>
      </c>
      <c r="AG91" s="1139"/>
      <c r="AH91" s="1139"/>
      <c r="AI91" s="1139"/>
      <c r="AJ91" s="1139"/>
      <c r="AK91" s="1139"/>
      <c r="AL91" s="1139" t="str">
        <f>IF(CONSOLIDA!CR72="","",CONSOLIDA!CR72)</f>
        <v/>
      </c>
      <c r="AM91" s="1139"/>
      <c r="AN91" s="1139"/>
      <c r="AO91" s="1139"/>
      <c r="AP91" s="1139"/>
      <c r="AQ91" s="1139"/>
      <c r="AR91" s="1139" t="str">
        <f>IF(CONSOLIDA!CS72="","",CONSOLIDA!CS72)</f>
        <v/>
      </c>
      <c r="AS91" s="1139"/>
      <c r="AT91" s="1139"/>
      <c r="AU91" s="1139"/>
      <c r="AV91" s="1139"/>
      <c r="AW91" s="1139"/>
      <c r="AX91" s="1140" t="str">
        <f>IF(CONSOLIDA!CT72="","",CONSOLIDA!CT72)</f>
        <v/>
      </c>
      <c r="AY91" s="1140"/>
      <c r="AZ91" s="1140"/>
      <c r="BA91" s="1140"/>
      <c r="BB91" s="1140"/>
      <c r="BC91" s="1140"/>
      <c r="BD91" s="1139" t="str">
        <f>IF(CONSOLIDA!CU72="","",CONSOLIDA!CU72)</f>
        <v/>
      </c>
      <c r="BE91" s="1139"/>
      <c r="BF91" s="1139"/>
      <c r="BG91" s="1139"/>
      <c r="BH91" s="1139"/>
      <c r="BI91" s="1139"/>
      <c r="BJ91" s="1139" t="str">
        <f>IF(CONSOLIDA!CV72="","",CONSOLIDA!CV72)</f>
        <v/>
      </c>
      <c r="BK91" s="1139"/>
      <c r="BL91" s="1139"/>
      <c r="BM91" s="1139"/>
      <c r="BN91" s="1139"/>
      <c r="BO91" s="1139"/>
      <c r="BP91" s="1139" t="str">
        <f>IF(CONSOLIDA!CW72="","",CONSOLIDA!CW72)</f>
        <v/>
      </c>
      <c r="BQ91" s="1139"/>
      <c r="BR91" s="1139"/>
      <c r="BS91" s="1139"/>
      <c r="BT91" s="1139"/>
      <c r="BU91" s="1139"/>
      <c r="BV91" s="1140" t="str">
        <f>IF(CONSOLIDA!CX72="","",CONSOLIDA!CX72)</f>
        <v/>
      </c>
      <c r="BW91" s="1140"/>
      <c r="BX91" s="1140"/>
      <c r="BY91" s="1140"/>
      <c r="BZ91" s="1140"/>
      <c r="CA91" s="1140"/>
      <c r="CB91" s="1139" t="str">
        <f>IF(CONSOLIDA!CY72="","",CONSOLIDA!CY72)</f>
        <v/>
      </c>
      <c r="CC91" s="1139"/>
      <c r="CD91" s="1139"/>
      <c r="CE91" s="1139"/>
      <c r="CF91" s="1139"/>
      <c r="CG91" s="1139"/>
      <c r="CH91" s="486"/>
      <c r="CI91" s="190" t="str">
        <f>IF(CONSOLIDA!CZ72="","",CONSOLIDA!CZ72)</f>
        <v/>
      </c>
      <c r="CJ91" s="190" t="str">
        <f>IF(CONSOLIDA!DA72="","",CONSOLIDA!DA72)</f>
        <v/>
      </c>
    </row>
    <row r="92" spans="1:88" s="3" customFormat="1" hidden="1">
      <c r="A92" s="243" t="str">
        <f t="shared" si="1"/>
        <v>OK</v>
      </c>
      <c r="B92" s="1141" t="str">
        <f>IF(CONSOLIDA!CL73="","",CONSOLIDA!CL73)</f>
        <v/>
      </c>
      <c r="C92" s="1141"/>
      <c r="D92" s="1134" t="str">
        <f>IF(CONSOLIDA!CN73="","",CONSOLIDA!CN73)</f>
        <v/>
      </c>
      <c r="E92" s="1135"/>
      <c r="F92" s="1135"/>
      <c r="G92" s="1129" t="str">
        <f>IF(CONSOLIDA!CO73="","",CONSOLIDA!CO73)</f>
        <v/>
      </c>
      <c r="H92" s="1129"/>
      <c r="I92" s="1129"/>
      <c r="J92" s="1129"/>
      <c r="K92" s="1129"/>
      <c r="L92" s="1129"/>
      <c r="M92" s="1129"/>
      <c r="N92" s="1129"/>
      <c r="O92" s="1129"/>
      <c r="P92" s="1129"/>
      <c r="Q92" s="1129"/>
      <c r="R92" s="1129"/>
      <c r="S92" s="1129"/>
      <c r="T92" s="1129"/>
      <c r="U92" s="1129"/>
      <c r="V92" s="1129"/>
      <c r="W92" s="1129"/>
      <c r="X92" s="1129"/>
      <c r="Y92" s="1130"/>
      <c r="Z92" s="1139" t="str">
        <f>IF(CONSOLIDA!CP73="","",CONSOLIDA!CP73)</f>
        <v/>
      </c>
      <c r="AA92" s="1139"/>
      <c r="AB92" s="1139"/>
      <c r="AC92" s="1139"/>
      <c r="AD92" s="1139"/>
      <c r="AE92" s="1139"/>
      <c r="AF92" s="1139" t="str">
        <f>IF(CONSOLIDA!CQ73="","",CONSOLIDA!CQ73)</f>
        <v/>
      </c>
      <c r="AG92" s="1139"/>
      <c r="AH92" s="1139"/>
      <c r="AI92" s="1139"/>
      <c r="AJ92" s="1139"/>
      <c r="AK92" s="1139"/>
      <c r="AL92" s="1139" t="str">
        <f>IF(CONSOLIDA!CR73="","",CONSOLIDA!CR73)</f>
        <v/>
      </c>
      <c r="AM92" s="1139"/>
      <c r="AN92" s="1139"/>
      <c r="AO92" s="1139"/>
      <c r="AP92" s="1139"/>
      <c r="AQ92" s="1139"/>
      <c r="AR92" s="1139" t="str">
        <f>IF(CONSOLIDA!CS73="","",CONSOLIDA!CS73)</f>
        <v/>
      </c>
      <c r="AS92" s="1139"/>
      <c r="AT92" s="1139"/>
      <c r="AU92" s="1139"/>
      <c r="AV92" s="1139"/>
      <c r="AW92" s="1139"/>
      <c r="AX92" s="1140" t="str">
        <f>IF(CONSOLIDA!CT73="","",CONSOLIDA!CT73)</f>
        <v/>
      </c>
      <c r="AY92" s="1140"/>
      <c r="AZ92" s="1140"/>
      <c r="BA92" s="1140"/>
      <c r="BB92" s="1140"/>
      <c r="BC92" s="1140"/>
      <c r="BD92" s="1139" t="str">
        <f>IF(CONSOLIDA!CU73="","",CONSOLIDA!CU73)</f>
        <v/>
      </c>
      <c r="BE92" s="1139"/>
      <c r="BF92" s="1139"/>
      <c r="BG92" s="1139"/>
      <c r="BH92" s="1139"/>
      <c r="BI92" s="1139"/>
      <c r="BJ92" s="1139" t="str">
        <f>IF(CONSOLIDA!CV73="","",CONSOLIDA!CV73)</f>
        <v/>
      </c>
      <c r="BK92" s="1139"/>
      <c r="BL92" s="1139"/>
      <c r="BM92" s="1139"/>
      <c r="BN92" s="1139"/>
      <c r="BO92" s="1139"/>
      <c r="BP92" s="1139" t="str">
        <f>IF(CONSOLIDA!CW73="","",CONSOLIDA!CW73)</f>
        <v/>
      </c>
      <c r="BQ92" s="1139"/>
      <c r="BR92" s="1139"/>
      <c r="BS92" s="1139"/>
      <c r="BT92" s="1139"/>
      <c r="BU92" s="1139"/>
      <c r="BV92" s="1140" t="str">
        <f>IF(CONSOLIDA!CX73="","",CONSOLIDA!CX73)</f>
        <v/>
      </c>
      <c r="BW92" s="1140"/>
      <c r="BX92" s="1140"/>
      <c r="BY92" s="1140"/>
      <c r="BZ92" s="1140"/>
      <c r="CA92" s="1140"/>
      <c r="CB92" s="1139" t="str">
        <f>IF(CONSOLIDA!CY73="","",CONSOLIDA!CY73)</f>
        <v/>
      </c>
      <c r="CC92" s="1139"/>
      <c r="CD92" s="1139"/>
      <c r="CE92" s="1139"/>
      <c r="CF92" s="1139"/>
      <c r="CG92" s="1139"/>
      <c r="CH92" s="486"/>
      <c r="CI92" s="190" t="str">
        <f>IF(CONSOLIDA!CZ73="","",CONSOLIDA!CZ73)</f>
        <v/>
      </c>
      <c r="CJ92" s="190" t="str">
        <f>IF(CONSOLIDA!DA73="","",CONSOLIDA!DA73)</f>
        <v/>
      </c>
    </row>
    <row r="93" spans="1:88" s="3" customFormat="1" hidden="1">
      <c r="A93" s="243" t="str">
        <f t="shared" si="1"/>
        <v>OK</v>
      </c>
      <c r="B93" s="1141" t="str">
        <f>IF(CONSOLIDA!CL74="","",CONSOLIDA!CL74)</f>
        <v/>
      </c>
      <c r="C93" s="1141"/>
      <c r="D93" s="1134" t="str">
        <f>IF(CONSOLIDA!CN74="","",CONSOLIDA!CN74)</f>
        <v/>
      </c>
      <c r="E93" s="1135"/>
      <c r="F93" s="1135"/>
      <c r="G93" s="1129" t="str">
        <f>IF(CONSOLIDA!CO74="","",CONSOLIDA!CO74)</f>
        <v/>
      </c>
      <c r="H93" s="1129"/>
      <c r="I93" s="1129"/>
      <c r="J93" s="1129"/>
      <c r="K93" s="1129"/>
      <c r="L93" s="1129"/>
      <c r="M93" s="1129"/>
      <c r="N93" s="1129"/>
      <c r="O93" s="1129"/>
      <c r="P93" s="1129"/>
      <c r="Q93" s="1129"/>
      <c r="R93" s="1129"/>
      <c r="S93" s="1129"/>
      <c r="T93" s="1129"/>
      <c r="U93" s="1129"/>
      <c r="V93" s="1129"/>
      <c r="W93" s="1129"/>
      <c r="X93" s="1129"/>
      <c r="Y93" s="1130"/>
      <c r="Z93" s="1139" t="str">
        <f>IF(CONSOLIDA!CP74="","",CONSOLIDA!CP74)</f>
        <v/>
      </c>
      <c r="AA93" s="1139"/>
      <c r="AB93" s="1139"/>
      <c r="AC93" s="1139"/>
      <c r="AD93" s="1139"/>
      <c r="AE93" s="1139"/>
      <c r="AF93" s="1139" t="str">
        <f>IF(CONSOLIDA!CQ74="","",CONSOLIDA!CQ74)</f>
        <v/>
      </c>
      <c r="AG93" s="1139"/>
      <c r="AH93" s="1139"/>
      <c r="AI93" s="1139"/>
      <c r="AJ93" s="1139"/>
      <c r="AK93" s="1139"/>
      <c r="AL93" s="1139" t="str">
        <f>IF(CONSOLIDA!CR74="","",CONSOLIDA!CR74)</f>
        <v/>
      </c>
      <c r="AM93" s="1139"/>
      <c r="AN93" s="1139"/>
      <c r="AO93" s="1139"/>
      <c r="AP93" s="1139"/>
      <c r="AQ93" s="1139"/>
      <c r="AR93" s="1139" t="str">
        <f>IF(CONSOLIDA!CS74="","",CONSOLIDA!CS74)</f>
        <v/>
      </c>
      <c r="AS93" s="1139"/>
      <c r="AT93" s="1139"/>
      <c r="AU93" s="1139"/>
      <c r="AV93" s="1139"/>
      <c r="AW93" s="1139"/>
      <c r="AX93" s="1140" t="str">
        <f>IF(CONSOLIDA!CT74="","",CONSOLIDA!CT74)</f>
        <v/>
      </c>
      <c r="AY93" s="1140"/>
      <c r="AZ93" s="1140"/>
      <c r="BA93" s="1140"/>
      <c r="BB93" s="1140"/>
      <c r="BC93" s="1140"/>
      <c r="BD93" s="1139" t="str">
        <f>IF(CONSOLIDA!CU74="","",CONSOLIDA!CU74)</f>
        <v/>
      </c>
      <c r="BE93" s="1139"/>
      <c r="BF93" s="1139"/>
      <c r="BG93" s="1139"/>
      <c r="BH93" s="1139"/>
      <c r="BI93" s="1139"/>
      <c r="BJ93" s="1139" t="str">
        <f>IF(CONSOLIDA!CV74="","",CONSOLIDA!CV74)</f>
        <v/>
      </c>
      <c r="BK93" s="1139"/>
      <c r="BL93" s="1139"/>
      <c r="BM93" s="1139"/>
      <c r="BN93" s="1139"/>
      <c r="BO93" s="1139"/>
      <c r="BP93" s="1139" t="str">
        <f>IF(CONSOLIDA!CW74="","",CONSOLIDA!CW74)</f>
        <v/>
      </c>
      <c r="BQ93" s="1139"/>
      <c r="BR93" s="1139"/>
      <c r="BS93" s="1139"/>
      <c r="BT93" s="1139"/>
      <c r="BU93" s="1139"/>
      <c r="BV93" s="1140" t="str">
        <f>IF(CONSOLIDA!CX74="","",CONSOLIDA!CX74)</f>
        <v/>
      </c>
      <c r="BW93" s="1140"/>
      <c r="BX93" s="1140"/>
      <c r="BY93" s="1140"/>
      <c r="BZ93" s="1140"/>
      <c r="CA93" s="1140"/>
      <c r="CB93" s="1139" t="str">
        <f>IF(CONSOLIDA!CY74="","",CONSOLIDA!CY74)</f>
        <v/>
      </c>
      <c r="CC93" s="1139"/>
      <c r="CD93" s="1139"/>
      <c r="CE93" s="1139"/>
      <c r="CF93" s="1139"/>
      <c r="CG93" s="1139"/>
      <c r="CH93" s="486"/>
      <c r="CI93" s="190" t="str">
        <f>IF(CONSOLIDA!CZ74="","",CONSOLIDA!CZ74)</f>
        <v/>
      </c>
      <c r="CJ93" s="190" t="str">
        <f>IF(CONSOLIDA!DA74="","",CONSOLIDA!DA74)</f>
        <v/>
      </c>
    </row>
    <row r="94" spans="1:88" s="3" customFormat="1" hidden="1">
      <c r="A94" s="243" t="str">
        <f t="shared" si="1"/>
        <v>OK</v>
      </c>
      <c r="B94" s="1141" t="str">
        <f>IF(CONSOLIDA!CL75="","",CONSOLIDA!CL75)</f>
        <v/>
      </c>
      <c r="C94" s="1141"/>
      <c r="D94" s="1134" t="str">
        <f>IF(CONSOLIDA!CN75="","",CONSOLIDA!CN75)</f>
        <v/>
      </c>
      <c r="E94" s="1135"/>
      <c r="F94" s="1135"/>
      <c r="G94" s="1129" t="str">
        <f>IF(CONSOLIDA!CO75="","",CONSOLIDA!CO75)</f>
        <v/>
      </c>
      <c r="H94" s="1129"/>
      <c r="I94" s="1129"/>
      <c r="J94" s="1129"/>
      <c r="K94" s="1129"/>
      <c r="L94" s="1129"/>
      <c r="M94" s="1129"/>
      <c r="N94" s="1129"/>
      <c r="O94" s="1129"/>
      <c r="P94" s="1129"/>
      <c r="Q94" s="1129"/>
      <c r="R94" s="1129"/>
      <c r="S94" s="1129"/>
      <c r="T94" s="1129"/>
      <c r="U94" s="1129"/>
      <c r="V94" s="1129"/>
      <c r="W94" s="1129"/>
      <c r="X94" s="1129"/>
      <c r="Y94" s="1130"/>
      <c r="Z94" s="1139" t="str">
        <f>IF(CONSOLIDA!CP75="","",CONSOLIDA!CP75)</f>
        <v/>
      </c>
      <c r="AA94" s="1139"/>
      <c r="AB94" s="1139"/>
      <c r="AC94" s="1139"/>
      <c r="AD94" s="1139"/>
      <c r="AE94" s="1139"/>
      <c r="AF94" s="1139" t="str">
        <f>IF(CONSOLIDA!CQ75="","",CONSOLIDA!CQ75)</f>
        <v/>
      </c>
      <c r="AG94" s="1139"/>
      <c r="AH94" s="1139"/>
      <c r="AI94" s="1139"/>
      <c r="AJ94" s="1139"/>
      <c r="AK94" s="1139"/>
      <c r="AL94" s="1139" t="str">
        <f>IF(CONSOLIDA!CR75="","",CONSOLIDA!CR75)</f>
        <v/>
      </c>
      <c r="AM94" s="1139"/>
      <c r="AN94" s="1139"/>
      <c r="AO94" s="1139"/>
      <c r="AP94" s="1139"/>
      <c r="AQ94" s="1139"/>
      <c r="AR94" s="1139" t="str">
        <f>IF(CONSOLIDA!CS75="","",CONSOLIDA!CS75)</f>
        <v/>
      </c>
      <c r="AS94" s="1139"/>
      <c r="AT94" s="1139"/>
      <c r="AU94" s="1139"/>
      <c r="AV94" s="1139"/>
      <c r="AW94" s="1139"/>
      <c r="AX94" s="1140" t="str">
        <f>IF(CONSOLIDA!CT75="","",CONSOLIDA!CT75)</f>
        <v/>
      </c>
      <c r="AY94" s="1140"/>
      <c r="AZ94" s="1140"/>
      <c r="BA94" s="1140"/>
      <c r="BB94" s="1140"/>
      <c r="BC94" s="1140"/>
      <c r="BD94" s="1139" t="str">
        <f>IF(CONSOLIDA!CU75="","",CONSOLIDA!CU75)</f>
        <v/>
      </c>
      <c r="BE94" s="1139"/>
      <c r="BF94" s="1139"/>
      <c r="BG94" s="1139"/>
      <c r="BH94" s="1139"/>
      <c r="BI94" s="1139"/>
      <c r="BJ94" s="1139" t="str">
        <f>IF(CONSOLIDA!CV75="","",CONSOLIDA!CV75)</f>
        <v/>
      </c>
      <c r="BK94" s="1139"/>
      <c r="BL94" s="1139"/>
      <c r="BM94" s="1139"/>
      <c r="BN94" s="1139"/>
      <c r="BO94" s="1139"/>
      <c r="BP94" s="1139" t="str">
        <f>IF(CONSOLIDA!CW75="","",CONSOLIDA!CW75)</f>
        <v/>
      </c>
      <c r="BQ94" s="1139"/>
      <c r="BR94" s="1139"/>
      <c r="BS94" s="1139"/>
      <c r="BT94" s="1139"/>
      <c r="BU94" s="1139"/>
      <c r="BV94" s="1140" t="str">
        <f>IF(CONSOLIDA!CX75="","",CONSOLIDA!CX75)</f>
        <v/>
      </c>
      <c r="BW94" s="1140"/>
      <c r="BX94" s="1140"/>
      <c r="BY94" s="1140"/>
      <c r="BZ94" s="1140"/>
      <c r="CA94" s="1140"/>
      <c r="CB94" s="1139" t="str">
        <f>IF(CONSOLIDA!CY75="","",CONSOLIDA!CY75)</f>
        <v/>
      </c>
      <c r="CC94" s="1139"/>
      <c r="CD94" s="1139"/>
      <c r="CE94" s="1139"/>
      <c r="CF94" s="1139"/>
      <c r="CG94" s="1139"/>
      <c r="CH94" s="486"/>
      <c r="CI94" s="190" t="str">
        <f>IF(CONSOLIDA!CZ75="","",CONSOLIDA!CZ75)</f>
        <v/>
      </c>
      <c r="CJ94" s="190" t="str">
        <f>IF(CONSOLIDA!DA75="","",CONSOLIDA!DA75)</f>
        <v/>
      </c>
    </row>
    <row r="95" spans="1:88" s="3" customFormat="1" hidden="1">
      <c r="A95" s="243" t="str">
        <f t="shared" si="1"/>
        <v>OK</v>
      </c>
      <c r="B95" s="1141" t="str">
        <f>IF(CONSOLIDA!CL76="","",CONSOLIDA!CL76)</f>
        <v/>
      </c>
      <c r="C95" s="1141"/>
      <c r="D95" s="1134" t="str">
        <f>IF(CONSOLIDA!CN76="","",CONSOLIDA!CN76)</f>
        <v/>
      </c>
      <c r="E95" s="1135"/>
      <c r="F95" s="1135"/>
      <c r="G95" s="1129" t="str">
        <f>IF(CONSOLIDA!CO76="","",CONSOLIDA!CO76)</f>
        <v/>
      </c>
      <c r="H95" s="1129"/>
      <c r="I95" s="1129"/>
      <c r="J95" s="1129"/>
      <c r="K95" s="1129"/>
      <c r="L95" s="1129"/>
      <c r="M95" s="1129"/>
      <c r="N95" s="1129"/>
      <c r="O95" s="1129"/>
      <c r="P95" s="1129"/>
      <c r="Q95" s="1129"/>
      <c r="R95" s="1129"/>
      <c r="S95" s="1129"/>
      <c r="T95" s="1129"/>
      <c r="U95" s="1129"/>
      <c r="V95" s="1129"/>
      <c r="W95" s="1129"/>
      <c r="X95" s="1129"/>
      <c r="Y95" s="1130"/>
      <c r="Z95" s="1139" t="str">
        <f>IF(CONSOLIDA!CP76="","",CONSOLIDA!CP76)</f>
        <v/>
      </c>
      <c r="AA95" s="1139"/>
      <c r="AB95" s="1139"/>
      <c r="AC95" s="1139"/>
      <c r="AD95" s="1139"/>
      <c r="AE95" s="1139"/>
      <c r="AF95" s="1139" t="str">
        <f>IF(CONSOLIDA!CQ76="","",CONSOLIDA!CQ76)</f>
        <v/>
      </c>
      <c r="AG95" s="1139"/>
      <c r="AH95" s="1139"/>
      <c r="AI95" s="1139"/>
      <c r="AJ95" s="1139"/>
      <c r="AK95" s="1139"/>
      <c r="AL95" s="1139" t="str">
        <f>IF(CONSOLIDA!CR76="","",CONSOLIDA!CR76)</f>
        <v/>
      </c>
      <c r="AM95" s="1139"/>
      <c r="AN95" s="1139"/>
      <c r="AO95" s="1139"/>
      <c r="AP95" s="1139"/>
      <c r="AQ95" s="1139"/>
      <c r="AR95" s="1139" t="str">
        <f>IF(CONSOLIDA!CS76="","",CONSOLIDA!CS76)</f>
        <v/>
      </c>
      <c r="AS95" s="1139"/>
      <c r="AT95" s="1139"/>
      <c r="AU95" s="1139"/>
      <c r="AV95" s="1139"/>
      <c r="AW95" s="1139"/>
      <c r="AX95" s="1140" t="str">
        <f>IF(CONSOLIDA!CT76="","",CONSOLIDA!CT76)</f>
        <v/>
      </c>
      <c r="AY95" s="1140"/>
      <c r="AZ95" s="1140"/>
      <c r="BA95" s="1140"/>
      <c r="BB95" s="1140"/>
      <c r="BC95" s="1140"/>
      <c r="BD95" s="1139" t="str">
        <f>IF(CONSOLIDA!CU76="","",CONSOLIDA!CU76)</f>
        <v/>
      </c>
      <c r="BE95" s="1139"/>
      <c r="BF95" s="1139"/>
      <c r="BG95" s="1139"/>
      <c r="BH95" s="1139"/>
      <c r="BI95" s="1139"/>
      <c r="BJ95" s="1139" t="str">
        <f>IF(CONSOLIDA!CV76="","",CONSOLIDA!CV76)</f>
        <v/>
      </c>
      <c r="BK95" s="1139"/>
      <c r="BL95" s="1139"/>
      <c r="BM95" s="1139"/>
      <c r="BN95" s="1139"/>
      <c r="BO95" s="1139"/>
      <c r="BP95" s="1139" t="str">
        <f>IF(CONSOLIDA!CW76="","",CONSOLIDA!CW76)</f>
        <v/>
      </c>
      <c r="BQ95" s="1139"/>
      <c r="BR95" s="1139"/>
      <c r="BS95" s="1139"/>
      <c r="BT95" s="1139"/>
      <c r="BU95" s="1139"/>
      <c r="BV95" s="1140" t="str">
        <f>IF(CONSOLIDA!CX76="","",CONSOLIDA!CX76)</f>
        <v/>
      </c>
      <c r="BW95" s="1140"/>
      <c r="BX95" s="1140"/>
      <c r="BY95" s="1140"/>
      <c r="BZ95" s="1140"/>
      <c r="CA95" s="1140"/>
      <c r="CB95" s="1139" t="str">
        <f>IF(CONSOLIDA!CY76="","",CONSOLIDA!CY76)</f>
        <v/>
      </c>
      <c r="CC95" s="1139"/>
      <c r="CD95" s="1139"/>
      <c r="CE95" s="1139"/>
      <c r="CF95" s="1139"/>
      <c r="CG95" s="1139"/>
      <c r="CH95" s="486"/>
      <c r="CI95" s="190" t="str">
        <f>IF(CONSOLIDA!CZ76="","",CONSOLIDA!CZ76)</f>
        <v/>
      </c>
      <c r="CJ95" s="190" t="str">
        <f>IF(CONSOLIDA!DA76="","",CONSOLIDA!DA76)</f>
        <v/>
      </c>
    </row>
    <row r="96" spans="1:88" s="3" customFormat="1" hidden="1">
      <c r="A96" s="243" t="str">
        <f t="shared" si="1"/>
        <v>OK</v>
      </c>
      <c r="B96" s="1141" t="str">
        <f>IF(CONSOLIDA!CL77="","",CONSOLIDA!CL77)</f>
        <v/>
      </c>
      <c r="C96" s="1141"/>
      <c r="D96" s="1134" t="str">
        <f>IF(CONSOLIDA!CN77="","",CONSOLIDA!CN77)</f>
        <v/>
      </c>
      <c r="E96" s="1135"/>
      <c r="F96" s="1135"/>
      <c r="G96" s="1129" t="str">
        <f>IF(CONSOLIDA!CO77="","",CONSOLIDA!CO77)</f>
        <v/>
      </c>
      <c r="H96" s="1129"/>
      <c r="I96" s="1129"/>
      <c r="J96" s="1129"/>
      <c r="K96" s="1129"/>
      <c r="L96" s="1129"/>
      <c r="M96" s="1129"/>
      <c r="N96" s="1129"/>
      <c r="O96" s="1129"/>
      <c r="P96" s="1129"/>
      <c r="Q96" s="1129"/>
      <c r="R96" s="1129"/>
      <c r="S96" s="1129"/>
      <c r="T96" s="1129"/>
      <c r="U96" s="1129"/>
      <c r="V96" s="1129"/>
      <c r="W96" s="1129"/>
      <c r="X96" s="1129"/>
      <c r="Y96" s="1130"/>
      <c r="Z96" s="1139" t="str">
        <f>IF(CONSOLIDA!CP77="","",CONSOLIDA!CP77)</f>
        <v/>
      </c>
      <c r="AA96" s="1139"/>
      <c r="AB96" s="1139"/>
      <c r="AC96" s="1139"/>
      <c r="AD96" s="1139"/>
      <c r="AE96" s="1139"/>
      <c r="AF96" s="1139" t="str">
        <f>IF(CONSOLIDA!CQ77="","",CONSOLIDA!CQ77)</f>
        <v/>
      </c>
      <c r="AG96" s="1139"/>
      <c r="AH96" s="1139"/>
      <c r="AI96" s="1139"/>
      <c r="AJ96" s="1139"/>
      <c r="AK96" s="1139"/>
      <c r="AL96" s="1139" t="str">
        <f>IF(CONSOLIDA!CR77="","",CONSOLIDA!CR77)</f>
        <v/>
      </c>
      <c r="AM96" s="1139"/>
      <c r="AN96" s="1139"/>
      <c r="AO96" s="1139"/>
      <c r="AP96" s="1139"/>
      <c r="AQ96" s="1139"/>
      <c r="AR96" s="1139" t="str">
        <f>IF(CONSOLIDA!CS77="","",CONSOLIDA!CS77)</f>
        <v/>
      </c>
      <c r="AS96" s="1139"/>
      <c r="AT96" s="1139"/>
      <c r="AU96" s="1139"/>
      <c r="AV96" s="1139"/>
      <c r="AW96" s="1139"/>
      <c r="AX96" s="1140" t="str">
        <f>IF(CONSOLIDA!CT77="","",CONSOLIDA!CT77)</f>
        <v/>
      </c>
      <c r="AY96" s="1140"/>
      <c r="AZ96" s="1140"/>
      <c r="BA96" s="1140"/>
      <c r="BB96" s="1140"/>
      <c r="BC96" s="1140"/>
      <c r="BD96" s="1139" t="str">
        <f>IF(CONSOLIDA!CU77="","",CONSOLIDA!CU77)</f>
        <v/>
      </c>
      <c r="BE96" s="1139"/>
      <c r="BF96" s="1139"/>
      <c r="BG96" s="1139"/>
      <c r="BH96" s="1139"/>
      <c r="BI96" s="1139"/>
      <c r="BJ96" s="1139" t="str">
        <f>IF(CONSOLIDA!CV77="","",CONSOLIDA!CV77)</f>
        <v/>
      </c>
      <c r="BK96" s="1139"/>
      <c r="BL96" s="1139"/>
      <c r="BM96" s="1139"/>
      <c r="BN96" s="1139"/>
      <c r="BO96" s="1139"/>
      <c r="BP96" s="1139" t="str">
        <f>IF(CONSOLIDA!CW77="","",CONSOLIDA!CW77)</f>
        <v/>
      </c>
      <c r="BQ96" s="1139"/>
      <c r="BR96" s="1139"/>
      <c r="BS96" s="1139"/>
      <c r="BT96" s="1139"/>
      <c r="BU96" s="1139"/>
      <c r="BV96" s="1140" t="str">
        <f>IF(CONSOLIDA!CX77="","",CONSOLIDA!CX77)</f>
        <v/>
      </c>
      <c r="BW96" s="1140"/>
      <c r="BX96" s="1140"/>
      <c r="BY96" s="1140"/>
      <c r="BZ96" s="1140"/>
      <c r="CA96" s="1140"/>
      <c r="CB96" s="1139" t="str">
        <f>IF(CONSOLIDA!CY77="","",CONSOLIDA!CY77)</f>
        <v/>
      </c>
      <c r="CC96" s="1139"/>
      <c r="CD96" s="1139"/>
      <c r="CE96" s="1139"/>
      <c r="CF96" s="1139"/>
      <c r="CG96" s="1139"/>
      <c r="CH96" s="486"/>
      <c r="CI96" s="190" t="str">
        <f>IF(CONSOLIDA!CZ77="","",CONSOLIDA!CZ77)</f>
        <v/>
      </c>
      <c r="CJ96" s="190" t="str">
        <f>IF(CONSOLIDA!DA77="","",CONSOLIDA!DA77)</f>
        <v/>
      </c>
    </row>
    <row r="97" spans="1:88" s="3" customFormat="1" hidden="1">
      <c r="A97" s="243" t="str">
        <f t="shared" si="1"/>
        <v>OK</v>
      </c>
      <c r="B97" s="1141" t="str">
        <f>IF(CONSOLIDA!CL78="","",CONSOLIDA!CL78)</f>
        <v/>
      </c>
      <c r="C97" s="1141"/>
      <c r="D97" s="1134" t="str">
        <f>IF(CONSOLIDA!CN78="","",CONSOLIDA!CN78)</f>
        <v/>
      </c>
      <c r="E97" s="1135"/>
      <c r="F97" s="1135"/>
      <c r="G97" s="1129" t="str">
        <f>IF(CONSOLIDA!CO78="","",CONSOLIDA!CO78)</f>
        <v/>
      </c>
      <c r="H97" s="1129"/>
      <c r="I97" s="1129"/>
      <c r="J97" s="1129"/>
      <c r="K97" s="1129"/>
      <c r="L97" s="1129"/>
      <c r="M97" s="1129"/>
      <c r="N97" s="1129"/>
      <c r="O97" s="1129"/>
      <c r="P97" s="1129"/>
      <c r="Q97" s="1129"/>
      <c r="R97" s="1129"/>
      <c r="S97" s="1129"/>
      <c r="T97" s="1129"/>
      <c r="U97" s="1129"/>
      <c r="V97" s="1129"/>
      <c r="W97" s="1129"/>
      <c r="X97" s="1129"/>
      <c r="Y97" s="1130"/>
      <c r="Z97" s="1139" t="str">
        <f>IF(CONSOLIDA!CP78="","",CONSOLIDA!CP78)</f>
        <v/>
      </c>
      <c r="AA97" s="1139"/>
      <c r="AB97" s="1139"/>
      <c r="AC97" s="1139"/>
      <c r="AD97" s="1139"/>
      <c r="AE97" s="1139"/>
      <c r="AF97" s="1139" t="str">
        <f>IF(CONSOLIDA!CQ78="","",CONSOLIDA!CQ78)</f>
        <v/>
      </c>
      <c r="AG97" s="1139"/>
      <c r="AH97" s="1139"/>
      <c r="AI97" s="1139"/>
      <c r="AJ97" s="1139"/>
      <c r="AK97" s="1139"/>
      <c r="AL97" s="1139" t="str">
        <f>IF(CONSOLIDA!CR78="","",CONSOLIDA!CR78)</f>
        <v/>
      </c>
      <c r="AM97" s="1139"/>
      <c r="AN97" s="1139"/>
      <c r="AO97" s="1139"/>
      <c r="AP97" s="1139"/>
      <c r="AQ97" s="1139"/>
      <c r="AR97" s="1139" t="str">
        <f>IF(CONSOLIDA!CS78="","",CONSOLIDA!CS78)</f>
        <v/>
      </c>
      <c r="AS97" s="1139"/>
      <c r="AT97" s="1139"/>
      <c r="AU97" s="1139"/>
      <c r="AV97" s="1139"/>
      <c r="AW97" s="1139"/>
      <c r="AX97" s="1140" t="str">
        <f>IF(CONSOLIDA!CT78="","",CONSOLIDA!CT78)</f>
        <v/>
      </c>
      <c r="AY97" s="1140"/>
      <c r="AZ97" s="1140"/>
      <c r="BA97" s="1140"/>
      <c r="BB97" s="1140"/>
      <c r="BC97" s="1140"/>
      <c r="BD97" s="1139" t="str">
        <f>IF(CONSOLIDA!CU78="","",CONSOLIDA!CU78)</f>
        <v/>
      </c>
      <c r="BE97" s="1139"/>
      <c r="BF97" s="1139"/>
      <c r="BG97" s="1139"/>
      <c r="BH97" s="1139"/>
      <c r="BI97" s="1139"/>
      <c r="BJ97" s="1139" t="str">
        <f>IF(CONSOLIDA!CV78="","",CONSOLIDA!CV78)</f>
        <v/>
      </c>
      <c r="BK97" s="1139"/>
      <c r="BL97" s="1139"/>
      <c r="BM97" s="1139"/>
      <c r="BN97" s="1139"/>
      <c r="BO97" s="1139"/>
      <c r="BP97" s="1139" t="str">
        <f>IF(CONSOLIDA!CW78="","",CONSOLIDA!CW78)</f>
        <v/>
      </c>
      <c r="BQ97" s="1139"/>
      <c r="BR97" s="1139"/>
      <c r="BS97" s="1139"/>
      <c r="BT97" s="1139"/>
      <c r="BU97" s="1139"/>
      <c r="BV97" s="1140" t="str">
        <f>IF(CONSOLIDA!CX78="","",CONSOLIDA!CX78)</f>
        <v/>
      </c>
      <c r="BW97" s="1140"/>
      <c r="BX97" s="1140"/>
      <c r="BY97" s="1140"/>
      <c r="BZ97" s="1140"/>
      <c r="CA97" s="1140"/>
      <c r="CB97" s="1139" t="str">
        <f>IF(CONSOLIDA!CY78="","",CONSOLIDA!CY78)</f>
        <v/>
      </c>
      <c r="CC97" s="1139"/>
      <c r="CD97" s="1139"/>
      <c r="CE97" s="1139"/>
      <c r="CF97" s="1139"/>
      <c r="CG97" s="1139"/>
      <c r="CH97" s="486"/>
      <c r="CI97" s="190" t="str">
        <f>IF(CONSOLIDA!CZ78="","",CONSOLIDA!CZ78)</f>
        <v/>
      </c>
      <c r="CJ97" s="190" t="str">
        <f>IF(CONSOLIDA!DA78="","",CONSOLIDA!DA78)</f>
        <v/>
      </c>
    </row>
    <row r="98" spans="1:88" s="3" customFormat="1" hidden="1">
      <c r="A98" s="243" t="str">
        <f t="shared" si="1"/>
        <v>OK</v>
      </c>
      <c r="B98" s="1141" t="str">
        <f>IF(CONSOLIDA!CL79="","",CONSOLIDA!CL79)</f>
        <v/>
      </c>
      <c r="C98" s="1141"/>
      <c r="D98" s="1134" t="str">
        <f>IF(CONSOLIDA!CN79="","",CONSOLIDA!CN79)</f>
        <v/>
      </c>
      <c r="E98" s="1135"/>
      <c r="F98" s="1135"/>
      <c r="G98" s="1129" t="str">
        <f>IF(CONSOLIDA!CO79="","",CONSOLIDA!CO79)</f>
        <v/>
      </c>
      <c r="H98" s="1129"/>
      <c r="I98" s="1129"/>
      <c r="J98" s="1129"/>
      <c r="K98" s="1129"/>
      <c r="L98" s="1129"/>
      <c r="M98" s="1129"/>
      <c r="N98" s="1129"/>
      <c r="O98" s="1129"/>
      <c r="P98" s="1129"/>
      <c r="Q98" s="1129"/>
      <c r="R98" s="1129"/>
      <c r="S98" s="1129"/>
      <c r="T98" s="1129"/>
      <c r="U98" s="1129"/>
      <c r="V98" s="1129"/>
      <c r="W98" s="1129"/>
      <c r="X98" s="1129"/>
      <c r="Y98" s="1130"/>
      <c r="Z98" s="1139" t="str">
        <f>IF(CONSOLIDA!CP79="","",CONSOLIDA!CP79)</f>
        <v/>
      </c>
      <c r="AA98" s="1139"/>
      <c r="AB98" s="1139"/>
      <c r="AC98" s="1139"/>
      <c r="AD98" s="1139"/>
      <c r="AE98" s="1139"/>
      <c r="AF98" s="1139" t="str">
        <f>IF(CONSOLIDA!CQ79="","",CONSOLIDA!CQ79)</f>
        <v/>
      </c>
      <c r="AG98" s="1139"/>
      <c r="AH98" s="1139"/>
      <c r="AI98" s="1139"/>
      <c r="AJ98" s="1139"/>
      <c r="AK98" s="1139"/>
      <c r="AL98" s="1139" t="str">
        <f>IF(CONSOLIDA!CR79="","",CONSOLIDA!CR79)</f>
        <v/>
      </c>
      <c r="AM98" s="1139"/>
      <c r="AN98" s="1139"/>
      <c r="AO98" s="1139"/>
      <c r="AP98" s="1139"/>
      <c r="AQ98" s="1139"/>
      <c r="AR98" s="1139" t="str">
        <f>IF(CONSOLIDA!CS79="","",CONSOLIDA!CS79)</f>
        <v/>
      </c>
      <c r="AS98" s="1139"/>
      <c r="AT98" s="1139"/>
      <c r="AU98" s="1139"/>
      <c r="AV98" s="1139"/>
      <c r="AW98" s="1139"/>
      <c r="AX98" s="1140" t="str">
        <f>IF(CONSOLIDA!CT79="","",CONSOLIDA!CT79)</f>
        <v/>
      </c>
      <c r="AY98" s="1140"/>
      <c r="AZ98" s="1140"/>
      <c r="BA98" s="1140"/>
      <c r="BB98" s="1140"/>
      <c r="BC98" s="1140"/>
      <c r="BD98" s="1139" t="str">
        <f>IF(CONSOLIDA!CU79="","",CONSOLIDA!CU79)</f>
        <v/>
      </c>
      <c r="BE98" s="1139"/>
      <c r="BF98" s="1139"/>
      <c r="BG98" s="1139"/>
      <c r="BH98" s="1139"/>
      <c r="BI98" s="1139"/>
      <c r="BJ98" s="1139" t="str">
        <f>IF(CONSOLIDA!CV79="","",CONSOLIDA!CV79)</f>
        <v/>
      </c>
      <c r="BK98" s="1139"/>
      <c r="BL98" s="1139"/>
      <c r="BM98" s="1139"/>
      <c r="BN98" s="1139"/>
      <c r="BO98" s="1139"/>
      <c r="BP98" s="1139" t="str">
        <f>IF(CONSOLIDA!CW79="","",CONSOLIDA!CW79)</f>
        <v/>
      </c>
      <c r="BQ98" s="1139"/>
      <c r="BR98" s="1139"/>
      <c r="BS98" s="1139"/>
      <c r="BT98" s="1139"/>
      <c r="BU98" s="1139"/>
      <c r="BV98" s="1140" t="str">
        <f>IF(CONSOLIDA!CX79="","",CONSOLIDA!CX79)</f>
        <v/>
      </c>
      <c r="BW98" s="1140"/>
      <c r="BX98" s="1140"/>
      <c r="BY98" s="1140"/>
      <c r="BZ98" s="1140"/>
      <c r="CA98" s="1140"/>
      <c r="CB98" s="1139" t="str">
        <f>IF(CONSOLIDA!CY79="","",CONSOLIDA!CY79)</f>
        <v/>
      </c>
      <c r="CC98" s="1139"/>
      <c r="CD98" s="1139"/>
      <c r="CE98" s="1139"/>
      <c r="CF98" s="1139"/>
      <c r="CG98" s="1139"/>
      <c r="CH98" s="486"/>
      <c r="CI98" s="190" t="str">
        <f>IF(CONSOLIDA!CZ79="","",CONSOLIDA!CZ79)</f>
        <v/>
      </c>
      <c r="CJ98" s="190" t="str">
        <f>IF(CONSOLIDA!DA79="","",CONSOLIDA!DA79)</f>
        <v/>
      </c>
    </row>
    <row r="99" spans="1:88" s="3" customFormat="1" hidden="1">
      <c r="A99" s="243" t="str">
        <f t="shared" si="1"/>
        <v>OK</v>
      </c>
      <c r="B99" s="1141" t="str">
        <f>IF(CONSOLIDA!CL80="","",CONSOLIDA!CL80)</f>
        <v/>
      </c>
      <c r="C99" s="1141"/>
      <c r="D99" s="1134" t="str">
        <f>IF(CONSOLIDA!CN80="","",CONSOLIDA!CN80)</f>
        <v/>
      </c>
      <c r="E99" s="1135"/>
      <c r="F99" s="1135"/>
      <c r="G99" s="1129" t="str">
        <f>IF(CONSOLIDA!CO80="","",CONSOLIDA!CO80)</f>
        <v/>
      </c>
      <c r="H99" s="1129"/>
      <c r="I99" s="1129"/>
      <c r="J99" s="1129"/>
      <c r="K99" s="1129"/>
      <c r="L99" s="1129"/>
      <c r="M99" s="1129"/>
      <c r="N99" s="1129"/>
      <c r="O99" s="1129"/>
      <c r="P99" s="1129"/>
      <c r="Q99" s="1129"/>
      <c r="R99" s="1129"/>
      <c r="S99" s="1129"/>
      <c r="T99" s="1129"/>
      <c r="U99" s="1129"/>
      <c r="V99" s="1129"/>
      <c r="W99" s="1129"/>
      <c r="X99" s="1129"/>
      <c r="Y99" s="1130"/>
      <c r="Z99" s="1139" t="str">
        <f>IF(CONSOLIDA!CP80="","",CONSOLIDA!CP80)</f>
        <v/>
      </c>
      <c r="AA99" s="1139"/>
      <c r="AB99" s="1139"/>
      <c r="AC99" s="1139"/>
      <c r="AD99" s="1139"/>
      <c r="AE99" s="1139"/>
      <c r="AF99" s="1139" t="str">
        <f>IF(CONSOLIDA!CQ80="","",CONSOLIDA!CQ80)</f>
        <v/>
      </c>
      <c r="AG99" s="1139"/>
      <c r="AH99" s="1139"/>
      <c r="AI99" s="1139"/>
      <c r="AJ99" s="1139"/>
      <c r="AK99" s="1139"/>
      <c r="AL99" s="1139" t="str">
        <f>IF(CONSOLIDA!CR80="","",CONSOLIDA!CR80)</f>
        <v/>
      </c>
      <c r="AM99" s="1139"/>
      <c r="AN99" s="1139"/>
      <c r="AO99" s="1139"/>
      <c r="AP99" s="1139"/>
      <c r="AQ99" s="1139"/>
      <c r="AR99" s="1139" t="str">
        <f>IF(CONSOLIDA!CS80="","",CONSOLIDA!CS80)</f>
        <v/>
      </c>
      <c r="AS99" s="1139"/>
      <c r="AT99" s="1139"/>
      <c r="AU99" s="1139"/>
      <c r="AV99" s="1139"/>
      <c r="AW99" s="1139"/>
      <c r="AX99" s="1140" t="str">
        <f>IF(CONSOLIDA!CT80="","",CONSOLIDA!CT80)</f>
        <v/>
      </c>
      <c r="AY99" s="1140"/>
      <c r="AZ99" s="1140"/>
      <c r="BA99" s="1140"/>
      <c r="BB99" s="1140"/>
      <c r="BC99" s="1140"/>
      <c r="BD99" s="1139" t="str">
        <f>IF(CONSOLIDA!CU80="","",CONSOLIDA!CU80)</f>
        <v/>
      </c>
      <c r="BE99" s="1139"/>
      <c r="BF99" s="1139"/>
      <c r="BG99" s="1139"/>
      <c r="BH99" s="1139"/>
      <c r="BI99" s="1139"/>
      <c r="BJ99" s="1139" t="str">
        <f>IF(CONSOLIDA!CV80="","",CONSOLIDA!CV80)</f>
        <v/>
      </c>
      <c r="BK99" s="1139"/>
      <c r="BL99" s="1139"/>
      <c r="BM99" s="1139"/>
      <c r="BN99" s="1139"/>
      <c r="BO99" s="1139"/>
      <c r="BP99" s="1139" t="str">
        <f>IF(CONSOLIDA!CW80="","",CONSOLIDA!CW80)</f>
        <v/>
      </c>
      <c r="BQ99" s="1139"/>
      <c r="BR99" s="1139"/>
      <c r="BS99" s="1139"/>
      <c r="BT99" s="1139"/>
      <c r="BU99" s="1139"/>
      <c r="BV99" s="1140" t="str">
        <f>IF(CONSOLIDA!CX80="","",CONSOLIDA!CX80)</f>
        <v/>
      </c>
      <c r="BW99" s="1140"/>
      <c r="BX99" s="1140"/>
      <c r="BY99" s="1140"/>
      <c r="BZ99" s="1140"/>
      <c r="CA99" s="1140"/>
      <c r="CB99" s="1139" t="str">
        <f>IF(CONSOLIDA!CY80="","",CONSOLIDA!CY80)</f>
        <v/>
      </c>
      <c r="CC99" s="1139"/>
      <c r="CD99" s="1139"/>
      <c r="CE99" s="1139"/>
      <c r="CF99" s="1139"/>
      <c r="CG99" s="1139"/>
      <c r="CH99" s="486"/>
      <c r="CI99" s="190" t="str">
        <f>IF(CONSOLIDA!CZ80="","",CONSOLIDA!CZ80)</f>
        <v/>
      </c>
      <c r="CJ99" s="190" t="str">
        <f>IF(CONSOLIDA!DA80="","",CONSOLIDA!DA80)</f>
        <v/>
      </c>
    </row>
    <row r="100" spans="1:88" s="3" customFormat="1" hidden="1">
      <c r="A100" s="243" t="str">
        <f t="shared" si="1"/>
        <v>OK</v>
      </c>
      <c r="B100" s="1141" t="str">
        <f>IF(CONSOLIDA!CL81="","",CONSOLIDA!CL81)</f>
        <v/>
      </c>
      <c r="C100" s="1141"/>
      <c r="D100" s="1134" t="str">
        <f>IF(CONSOLIDA!CN81="","",CONSOLIDA!CN81)</f>
        <v/>
      </c>
      <c r="E100" s="1135"/>
      <c r="F100" s="1135"/>
      <c r="G100" s="1129" t="str">
        <f>IF(CONSOLIDA!CO81="","",CONSOLIDA!CO81)</f>
        <v/>
      </c>
      <c r="H100" s="1129"/>
      <c r="I100" s="1129"/>
      <c r="J100" s="1129"/>
      <c r="K100" s="1129"/>
      <c r="L100" s="1129"/>
      <c r="M100" s="1129"/>
      <c r="N100" s="1129"/>
      <c r="O100" s="1129"/>
      <c r="P100" s="1129"/>
      <c r="Q100" s="1129"/>
      <c r="R100" s="1129"/>
      <c r="S100" s="1129"/>
      <c r="T100" s="1129"/>
      <c r="U100" s="1129"/>
      <c r="V100" s="1129"/>
      <c r="W100" s="1129"/>
      <c r="X100" s="1129"/>
      <c r="Y100" s="1130"/>
      <c r="Z100" s="1139" t="str">
        <f>IF(CONSOLIDA!CP81="","",CONSOLIDA!CP81)</f>
        <v/>
      </c>
      <c r="AA100" s="1139"/>
      <c r="AB100" s="1139"/>
      <c r="AC100" s="1139"/>
      <c r="AD100" s="1139"/>
      <c r="AE100" s="1139"/>
      <c r="AF100" s="1139" t="str">
        <f>IF(CONSOLIDA!CQ81="","",CONSOLIDA!CQ81)</f>
        <v/>
      </c>
      <c r="AG100" s="1139"/>
      <c r="AH100" s="1139"/>
      <c r="AI100" s="1139"/>
      <c r="AJ100" s="1139"/>
      <c r="AK100" s="1139"/>
      <c r="AL100" s="1139" t="str">
        <f>IF(CONSOLIDA!CR81="","",CONSOLIDA!CR81)</f>
        <v/>
      </c>
      <c r="AM100" s="1139"/>
      <c r="AN100" s="1139"/>
      <c r="AO100" s="1139"/>
      <c r="AP100" s="1139"/>
      <c r="AQ100" s="1139"/>
      <c r="AR100" s="1139" t="str">
        <f>IF(CONSOLIDA!CS81="","",CONSOLIDA!CS81)</f>
        <v/>
      </c>
      <c r="AS100" s="1139"/>
      <c r="AT100" s="1139"/>
      <c r="AU100" s="1139"/>
      <c r="AV100" s="1139"/>
      <c r="AW100" s="1139"/>
      <c r="AX100" s="1140" t="str">
        <f>IF(CONSOLIDA!CT81="","",CONSOLIDA!CT81)</f>
        <v/>
      </c>
      <c r="AY100" s="1140"/>
      <c r="AZ100" s="1140"/>
      <c r="BA100" s="1140"/>
      <c r="BB100" s="1140"/>
      <c r="BC100" s="1140"/>
      <c r="BD100" s="1139" t="str">
        <f>IF(CONSOLIDA!CU81="","",CONSOLIDA!CU81)</f>
        <v/>
      </c>
      <c r="BE100" s="1139"/>
      <c r="BF100" s="1139"/>
      <c r="BG100" s="1139"/>
      <c r="BH100" s="1139"/>
      <c r="BI100" s="1139"/>
      <c r="BJ100" s="1139" t="str">
        <f>IF(CONSOLIDA!CV81="","",CONSOLIDA!CV81)</f>
        <v/>
      </c>
      <c r="BK100" s="1139"/>
      <c r="BL100" s="1139"/>
      <c r="BM100" s="1139"/>
      <c r="BN100" s="1139"/>
      <c r="BO100" s="1139"/>
      <c r="BP100" s="1139" t="str">
        <f>IF(CONSOLIDA!CW81="","",CONSOLIDA!CW81)</f>
        <v/>
      </c>
      <c r="BQ100" s="1139"/>
      <c r="BR100" s="1139"/>
      <c r="BS100" s="1139"/>
      <c r="BT100" s="1139"/>
      <c r="BU100" s="1139"/>
      <c r="BV100" s="1140" t="str">
        <f>IF(CONSOLIDA!CX81="","",CONSOLIDA!CX81)</f>
        <v/>
      </c>
      <c r="BW100" s="1140"/>
      <c r="BX100" s="1140"/>
      <c r="BY100" s="1140"/>
      <c r="BZ100" s="1140"/>
      <c r="CA100" s="1140"/>
      <c r="CB100" s="1139" t="str">
        <f>IF(CONSOLIDA!CY81="","",CONSOLIDA!CY81)</f>
        <v/>
      </c>
      <c r="CC100" s="1139"/>
      <c r="CD100" s="1139"/>
      <c r="CE100" s="1139"/>
      <c r="CF100" s="1139"/>
      <c r="CG100" s="1139"/>
      <c r="CH100" s="486"/>
      <c r="CI100" s="190" t="str">
        <f>IF(CONSOLIDA!CZ81="","",CONSOLIDA!CZ81)</f>
        <v/>
      </c>
      <c r="CJ100" s="190" t="str">
        <f>IF(CONSOLIDA!DA81="","",CONSOLIDA!DA81)</f>
        <v/>
      </c>
    </row>
    <row r="101" spans="1:88" s="3" customFormat="1" hidden="1">
      <c r="A101" s="243" t="str">
        <f t="shared" si="1"/>
        <v>OK</v>
      </c>
      <c r="B101" s="1141" t="str">
        <f>IF(CONSOLIDA!CL82="","",CONSOLIDA!CL82)</f>
        <v/>
      </c>
      <c r="C101" s="1141"/>
      <c r="D101" s="1134" t="str">
        <f>IF(CONSOLIDA!CN82="","",CONSOLIDA!CN82)</f>
        <v/>
      </c>
      <c r="E101" s="1135"/>
      <c r="F101" s="1135"/>
      <c r="G101" s="1129" t="str">
        <f>IF(CONSOLIDA!CO82="","",CONSOLIDA!CO82)</f>
        <v/>
      </c>
      <c r="H101" s="1129"/>
      <c r="I101" s="1129"/>
      <c r="J101" s="1129"/>
      <c r="K101" s="1129"/>
      <c r="L101" s="1129"/>
      <c r="M101" s="1129"/>
      <c r="N101" s="1129"/>
      <c r="O101" s="1129"/>
      <c r="P101" s="1129"/>
      <c r="Q101" s="1129"/>
      <c r="R101" s="1129"/>
      <c r="S101" s="1129"/>
      <c r="T101" s="1129"/>
      <c r="U101" s="1129"/>
      <c r="V101" s="1129"/>
      <c r="W101" s="1129"/>
      <c r="X101" s="1129"/>
      <c r="Y101" s="1130"/>
      <c r="Z101" s="1139" t="str">
        <f>IF(CONSOLIDA!CP82="","",CONSOLIDA!CP82)</f>
        <v/>
      </c>
      <c r="AA101" s="1139"/>
      <c r="AB101" s="1139"/>
      <c r="AC101" s="1139"/>
      <c r="AD101" s="1139"/>
      <c r="AE101" s="1139"/>
      <c r="AF101" s="1139" t="str">
        <f>IF(CONSOLIDA!CQ82="","",CONSOLIDA!CQ82)</f>
        <v/>
      </c>
      <c r="AG101" s="1139"/>
      <c r="AH101" s="1139"/>
      <c r="AI101" s="1139"/>
      <c r="AJ101" s="1139"/>
      <c r="AK101" s="1139"/>
      <c r="AL101" s="1139" t="str">
        <f>IF(CONSOLIDA!CR82="","",CONSOLIDA!CR82)</f>
        <v/>
      </c>
      <c r="AM101" s="1139"/>
      <c r="AN101" s="1139"/>
      <c r="AO101" s="1139"/>
      <c r="AP101" s="1139"/>
      <c r="AQ101" s="1139"/>
      <c r="AR101" s="1139" t="str">
        <f>IF(CONSOLIDA!CS82="","",CONSOLIDA!CS82)</f>
        <v/>
      </c>
      <c r="AS101" s="1139"/>
      <c r="AT101" s="1139"/>
      <c r="AU101" s="1139"/>
      <c r="AV101" s="1139"/>
      <c r="AW101" s="1139"/>
      <c r="AX101" s="1140" t="str">
        <f>IF(CONSOLIDA!CT82="","",CONSOLIDA!CT82)</f>
        <v/>
      </c>
      <c r="AY101" s="1140"/>
      <c r="AZ101" s="1140"/>
      <c r="BA101" s="1140"/>
      <c r="BB101" s="1140"/>
      <c r="BC101" s="1140"/>
      <c r="BD101" s="1139" t="str">
        <f>IF(CONSOLIDA!CU82="","",CONSOLIDA!CU82)</f>
        <v/>
      </c>
      <c r="BE101" s="1139"/>
      <c r="BF101" s="1139"/>
      <c r="BG101" s="1139"/>
      <c r="BH101" s="1139"/>
      <c r="BI101" s="1139"/>
      <c r="BJ101" s="1139" t="str">
        <f>IF(CONSOLIDA!CV82="","",CONSOLIDA!CV82)</f>
        <v/>
      </c>
      <c r="BK101" s="1139"/>
      <c r="BL101" s="1139"/>
      <c r="BM101" s="1139"/>
      <c r="BN101" s="1139"/>
      <c r="BO101" s="1139"/>
      <c r="BP101" s="1139" t="str">
        <f>IF(CONSOLIDA!CW82="","",CONSOLIDA!CW82)</f>
        <v/>
      </c>
      <c r="BQ101" s="1139"/>
      <c r="BR101" s="1139"/>
      <c r="BS101" s="1139"/>
      <c r="BT101" s="1139"/>
      <c r="BU101" s="1139"/>
      <c r="BV101" s="1140" t="str">
        <f>IF(CONSOLIDA!CX82="","",CONSOLIDA!CX82)</f>
        <v/>
      </c>
      <c r="BW101" s="1140"/>
      <c r="BX101" s="1140"/>
      <c r="BY101" s="1140"/>
      <c r="BZ101" s="1140"/>
      <c r="CA101" s="1140"/>
      <c r="CB101" s="1139" t="str">
        <f>IF(CONSOLIDA!CY82="","",CONSOLIDA!CY82)</f>
        <v/>
      </c>
      <c r="CC101" s="1139"/>
      <c r="CD101" s="1139"/>
      <c r="CE101" s="1139"/>
      <c r="CF101" s="1139"/>
      <c r="CG101" s="1139"/>
      <c r="CH101" s="486"/>
      <c r="CI101" s="190" t="str">
        <f>IF(CONSOLIDA!CZ82="","",CONSOLIDA!CZ82)</f>
        <v/>
      </c>
      <c r="CJ101" s="190" t="str">
        <f>IF(CONSOLIDA!DA82="","",CONSOLIDA!DA82)</f>
        <v/>
      </c>
    </row>
    <row r="102" spans="1:88" s="3" customFormat="1" hidden="1">
      <c r="A102" s="243" t="str">
        <f t="shared" si="1"/>
        <v>OK</v>
      </c>
      <c r="B102" s="1141" t="str">
        <f>IF(CONSOLIDA!CL83="","",CONSOLIDA!CL83)</f>
        <v/>
      </c>
      <c r="C102" s="1141"/>
      <c r="D102" s="1134" t="str">
        <f>IF(CONSOLIDA!CN83="","",CONSOLIDA!CN83)</f>
        <v/>
      </c>
      <c r="E102" s="1135"/>
      <c r="F102" s="1135"/>
      <c r="G102" s="1129" t="str">
        <f>IF(CONSOLIDA!CO83="","",CONSOLIDA!CO83)</f>
        <v/>
      </c>
      <c r="H102" s="1129"/>
      <c r="I102" s="1129"/>
      <c r="J102" s="1129"/>
      <c r="K102" s="1129"/>
      <c r="L102" s="1129"/>
      <c r="M102" s="1129"/>
      <c r="N102" s="1129"/>
      <c r="O102" s="1129"/>
      <c r="P102" s="1129"/>
      <c r="Q102" s="1129"/>
      <c r="R102" s="1129"/>
      <c r="S102" s="1129"/>
      <c r="T102" s="1129"/>
      <c r="U102" s="1129"/>
      <c r="V102" s="1129"/>
      <c r="W102" s="1129"/>
      <c r="X102" s="1129"/>
      <c r="Y102" s="1130"/>
      <c r="Z102" s="1139" t="str">
        <f>IF(CONSOLIDA!CP83="","",CONSOLIDA!CP83)</f>
        <v/>
      </c>
      <c r="AA102" s="1139"/>
      <c r="AB102" s="1139"/>
      <c r="AC102" s="1139"/>
      <c r="AD102" s="1139"/>
      <c r="AE102" s="1139"/>
      <c r="AF102" s="1139" t="str">
        <f>IF(CONSOLIDA!CQ83="","",CONSOLIDA!CQ83)</f>
        <v/>
      </c>
      <c r="AG102" s="1139"/>
      <c r="AH102" s="1139"/>
      <c r="AI102" s="1139"/>
      <c r="AJ102" s="1139"/>
      <c r="AK102" s="1139"/>
      <c r="AL102" s="1139" t="str">
        <f>IF(CONSOLIDA!CR83="","",CONSOLIDA!CR83)</f>
        <v/>
      </c>
      <c r="AM102" s="1139"/>
      <c r="AN102" s="1139"/>
      <c r="AO102" s="1139"/>
      <c r="AP102" s="1139"/>
      <c r="AQ102" s="1139"/>
      <c r="AR102" s="1139" t="str">
        <f>IF(CONSOLIDA!CS83="","",CONSOLIDA!CS83)</f>
        <v/>
      </c>
      <c r="AS102" s="1139"/>
      <c r="AT102" s="1139"/>
      <c r="AU102" s="1139"/>
      <c r="AV102" s="1139"/>
      <c r="AW102" s="1139"/>
      <c r="AX102" s="1140" t="str">
        <f>IF(CONSOLIDA!CT83="","",CONSOLIDA!CT83)</f>
        <v/>
      </c>
      <c r="AY102" s="1140"/>
      <c r="AZ102" s="1140"/>
      <c r="BA102" s="1140"/>
      <c r="BB102" s="1140"/>
      <c r="BC102" s="1140"/>
      <c r="BD102" s="1139" t="str">
        <f>IF(CONSOLIDA!CU83="","",CONSOLIDA!CU83)</f>
        <v/>
      </c>
      <c r="BE102" s="1139"/>
      <c r="BF102" s="1139"/>
      <c r="BG102" s="1139"/>
      <c r="BH102" s="1139"/>
      <c r="BI102" s="1139"/>
      <c r="BJ102" s="1139" t="str">
        <f>IF(CONSOLIDA!CV83="","",CONSOLIDA!CV83)</f>
        <v/>
      </c>
      <c r="BK102" s="1139"/>
      <c r="BL102" s="1139"/>
      <c r="BM102" s="1139"/>
      <c r="BN102" s="1139"/>
      <c r="BO102" s="1139"/>
      <c r="BP102" s="1139" t="str">
        <f>IF(CONSOLIDA!CW83="","",CONSOLIDA!CW83)</f>
        <v/>
      </c>
      <c r="BQ102" s="1139"/>
      <c r="BR102" s="1139"/>
      <c r="BS102" s="1139"/>
      <c r="BT102" s="1139"/>
      <c r="BU102" s="1139"/>
      <c r="BV102" s="1140" t="str">
        <f>IF(CONSOLIDA!CX83="","",CONSOLIDA!CX83)</f>
        <v/>
      </c>
      <c r="BW102" s="1140"/>
      <c r="BX102" s="1140"/>
      <c r="BY102" s="1140"/>
      <c r="BZ102" s="1140"/>
      <c r="CA102" s="1140"/>
      <c r="CB102" s="1139" t="str">
        <f>IF(CONSOLIDA!CY83="","",CONSOLIDA!CY83)</f>
        <v/>
      </c>
      <c r="CC102" s="1139"/>
      <c r="CD102" s="1139"/>
      <c r="CE102" s="1139"/>
      <c r="CF102" s="1139"/>
      <c r="CG102" s="1139"/>
      <c r="CH102" s="486"/>
      <c r="CI102" s="190" t="str">
        <f>IF(CONSOLIDA!CZ83="","",CONSOLIDA!CZ83)</f>
        <v/>
      </c>
      <c r="CJ102" s="190" t="str">
        <f>IF(CONSOLIDA!DA83="","",CONSOLIDA!DA83)</f>
        <v/>
      </c>
    </row>
    <row r="103" spans="1:88" s="3" customFormat="1" hidden="1">
      <c r="A103" s="243" t="str">
        <f t="shared" si="1"/>
        <v>OK</v>
      </c>
      <c r="B103" s="1141" t="str">
        <f>IF(CONSOLIDA!CL84="","",CONSOLIDA!CL84)</f>
        <v/>
      </c>
      <c r="C103" s="1141"/>
      <c r="D103" s="1134" t="str">
        <f>IF(CONSOLIDA!CN84="","",CONSOLIDA!CN84)</f>
        <v/>
      </c>
      <c r="E103" s="1135"/>
      <c r="F103" s="1135"/>
      <c r="G103" s="1129" t="str">
        <f>IF(CONSOLIDA!CO84="","",CONSOLIDA!CO84)</f>
        <v/>
      </c>
      <c r="H103" s="1129"/>
      <c r="I103" s="1129"/>
      <c r="J103" s="1129"/>
      <c r="K103" s="1129"/>
      <c r="L103" s="1129"/>
      <c r="M103" s="1129"/>
      <c r="N103" s="1129"/>
      <c r="O103" s="1129"/>
      <c r="P103" s="1129"/>
      <c r="Q103" s="1129"/>
      <c r="R103" s="1129"/>
      <c r="S103" s="1129"/>
      <c r="T103" s="1129"/>
      <c r="U103" s="1129"/>
      <c r="V103" s="1129"/>
      <c r="W103" s="1129"/>
      <c r="X103" s="1129"/>
      <c r="Y103" s="1130"/>
      <c r="Z103" s="1139" t="str">
        <f>IF(CONSOLIDA!CP84="","",CONSOLIDA!CP84)</f>
        <v/>
      </c>
      <c r="AA103" s="1139"/>
      <c r="AB103" s="1139"/>
      <c r="AC103" s="1139"/>
      <c r="AD103" s="1139"/>
      <c r="AE103" s="1139"/>
      <c r="AF103" s="1139" t="str">
        <f>IF(CONSOLIDA!CQ84="","",CONSOLIDA!CQ84)</f>
        <v/>
      </c>
      <c r="AG103" s="1139"/>
      <c r="AH103" s="1139"/>
      <c r="AI103" s="1139"/>
      <c r="AJ103" s="1139"/>
      <c r="AK103" s="1139"/>
      <c r="AL103" s="1139" t="str">
        <f>IF(CONSOLIDA!CR84="","",CONSOLIDA!CR84)</f>
        <v/>
      </c>
      <c r="AM103" s="1139"/>
      <c r="AN103" s="1139"/>
      <c r="AO103" s="1139"/>
      <c r="AP103" s="1139"/>
      <c r="AQ103" s="1139"/>
      <c r="AR103" s="1139" t="str">
        <f>IF(CONSOLIDA!CS84="","",CONSOLIDA!CS84)</f>
        <v/>
      </c>
      <c r="AS103" s="1139"/>
      <c r="AT103" s="1139"/>
      <c r="AU103" s="1139"/>
      <c r="AV103" s="1139"/>
      <c r="AW103" s="1139"/>
      <c r="AX103" s="1140" t="str">
        <f>IF(CONSOLIDA!CT84="","",CONSOLIDA!CT84)</f>
        <v/>
      </c>
      <c r="AY103" s="1140"/>
      <c r="AZ103" s="1140"/>
      <c r="BA103" s="1140"/>
      <c r="BB103" s="1140"/>
      <c r="BC103" s="1140"/>
      <c r="BD103" s="1139" t="str">
        <f>IF(CONSOLIDA!CU84="","",CONSOLIDA!CU84)</f>
        <v/>
      </c>
      <c r="BE103" s="1139"/>
      <c r="BF103" s="1139"/>
      <c r="BG103" s="1139"/>
      <c r="BH103" s="1139"/>
      <c r="BI103" s="1139"/>
      <c r="BJ103" s="1139" t="str">
        <f>IF(CONSOLIDA!CV84="","",CONSOLIDA!CV84)</f>
        <v/>
      </c>
      <c r="BK103" s="1139"/>
      <c r="BL103" s="1139"/>
      <c r="BM103" s="1139"/>
      <c r="BN103" s="1139"/>
      <c r="BO103" s="1139"/>
      <c r="BP103" s="1139" t="str">
        <f>IF(CONSOLIDA!CW84="","",CONSOLIDA!CW84)</f>
        <v/>
      </c>
      <c r="BQ103" s="1139"/>
      <c r="BR103" s="1139"/>
      <c r="BS103" s="1139"/>
      <c r="BT103" s="1139"/>
      <c r="BU103" s="1139"/>
      <c r="BV103" s="1140" t="str">
        <f>IF(CONSOLIDA!CX84="","",CONSOLIDA!CX84)</f>
        <v/>
      </c>
      <c r="BW103" s="1140"/>
      <c r="BX103" s="1140"/>
      <c r="BY103" s="1140"/>
      <c r="BZ103" s="1140"/>
      <c r="CA103" s="1140"/>
      <c r="CB103" s="1139" t="str">
        <f>IF(CONSOLIDA!CY84="","",CONSOLIDA!CY84)</f>
        <v/>
      </c>
      <c r="CC103" s="1139"/>
      <c r="CD103" s="1139"/>
      <c r="CE103" s="1139"/>
      <c r="CF103" s="1139"/>
      <c r="CG103" s="1139"/>
      <c r="CH103" s="486"/>
      <c r="CI103" s="190" t="str">
        <f>IF(CONSOLIDA!CZ84="","",CONSOLIDA!CZ84)</f>
        <v/>
      </c>
      <c r="CJ103" s="190" t="str">
        <f>IF(CONSOLIDA!DA84="","",CONSOLIDA!DA84)</f>
        <v/>
      </c>
    </row>
    <row r="104" spans="1:88" s="3" customFormat="1" hidden="1">
      <c r="A104" s="243" t="str">
        <f t="shared" si="1"/>
        <v>OK</v>
      </c>
      <c r="B104" s="1141" t="str">
        <f>IF(CONSOLIDA!CL85="","",CONSOLIDA!CL85)</f>
        <v/>
      </c>
      <c r="C104" s="1141"/>
      <c r="D104" s="1134" t="str">
        <f>IF(CONSOLIDA!CN85="","",CONSOLIDA!CN85)</f>
        <v/>
      </c>
      <c r="E104" s="1135"/>
      <c r="F104" s="1135"/>
      <c r="G104" s="1129" t="str">
        <f>IF(CONSOLIDA!CO85="","",CONSOLIDA!CO85)</f>
        <v/>
      </c>
      <c r="H104" s="1129"/>
      <c r="I104" s="1129"/>
      <c r="J104" s="1129"/>
      <c r="K104" s="1129"/>
      <c r="L104" s="1129"/>
      <c r="M104" s="1129"/>
      <c r="N104" s="1129"/>
      <c r="O104" s="1129"/>
      <c r="P104" s="1129"/>
      <c r="Q104" s="1129"/>
      <c r="R104" s="1129"/>
      <c r="S104" s="1129"/>
      <c r="T104" s="1129"/>
      <c r="U104" s="1129"/>
      <c r="V104" s="1129"/>
      <c r="W104" s="1129"/>
      <c r="X104" s="1129"/>
      <c r="Y104" s="1130"/>
      <c r="Z104" s="1139" t="str">
        <f>IF(CONSOLIDA!CP85="","",CONSOLIDA!CP85)</f>
        <v/>
      </c>
      <c r="AA104" s="1139"/>
      <c r="AB104" s="1139"/>
      <c r="AC104" s="1139"/>
      <c r="AD104" s="1139"/>
      <c r="AE104" s="1139"/>
      <c r="AF104" s="1139" t="str">
        <f>IF(CONSOLIDA!CQ85="","",CONSOLIDA!CQ85)</f>
        <v/>
      </c>
      <c r="AG104" s="1139"/>
      <c r="AH104" s="1139"/>
      <c r="AI104" s="1139"/>
      <c r="AJ104" s="1139"/>
      <c r="AK104" s="1139"/>
      <c r="AL104" s="1139" t="str">
        <f>IF(CONSOLIDA!CR85="","",CONSOLIDA!CR85)</f>
        <v/>
      </c>
      <c r="AM104" s="1139"/>
      <c r="AN104" s="1139"/>
      <c r="AO104" s="1139"/>
      <c r="AP104" s="1139"/>
      <c r="AQ104" s="1139"/>
      <c r="AR104" s="1139" t="str">
        <f>IF(CONSOLIDA!CS85="","",CONSOLIDA!CS85)</f>
        <v/>
      </c>
      <c r="AS104" s="1139"/>
      <c r="AT104" s="1139"/>
      <c r="AU104" s="1139"/>
      <c r="AV104" s="1139"/>
      <c r="AW104" s="1139"/>
      <c r="AX104" s="1140" t="str">
        <f>IF(CONSOLIDA!CT85="","",CONSOLIDA!CT85)</f>
        <v/>
      </c>
      <c r="AY104" s="1140"/>
      <c r="AZ104" s="1140"/>
      <c r="BA104" s="1140"/>
      <c r="BB104" s="1140"/>
      <c r="BC104" s="1140"/>
      <c r="BD104" s="1139" t="str">
        <f>IF(CONSOLIDA!CU85="","",CONSOLIDA!CU85)</f>
        <v/>
      </c>
      <c r="BE104" s="1139"/>
      <c r="BF104" s="1139"/>
      <c r="BG104" s="1139"/>
      <c r="BH104" s="1139"/>
      <c r="BI104" s="1139"/>
      <c r="BJ104" s="1139" t="str">
        <f>IF(CONSOLIDA!CV85="","",CONSOLIDA!CV85)</f>
        <v/>
      </c>
      <c r="BK104" s="1139"/>
      <c r="BL104" s="1139"/>
      <c r="BM104" s="1139"/>
      <c r="BN104" s="1139"/>
      <c r="BO104" s="1139"/>
      <c r="BP104" s="1139" t="str">
        <f>IF(CONSOLIDA!CW85="","",CONSOLIDA!CW85)</f>
        <v/>
      </c>
      <c r="BQ104" s="1139"/>
      <c r="BR104" s="1139"/>
      <c r="BS104" s="1139"/>
      <c r="BT104" s="1139"/>
      <c r="BU104" s="1139"/>
      <c r="BV104" s="1140" t="str">
        <f>IF(CONSOLIDA!CX85="","",CONSOLIDA!CX85)</f>
        <v/>
      </c>
      <c r="BW104" s="1140"/>
      <c r="BX104" s="1140"/>
      <c r="BY104" s="1140"/>
      <c r="BZ104" s="1140"/>
      <c r="CA104" s="1140"/>
      <c r="CB104" s="1139" t="str">
        <f>IF(CONSOLIDA!CY85="","",CONSOLIDA!CY85)</f>
        <v/>
      </c>
      <c r="CC104" s="1139"/>
      <c r="CD104" s="1139"/>
      <c r="CE104" s="1139"/>
      <c r="CF104" s="1139"/>
      <c r="CG104" s="1139"/>
      <c r="CH104" s="486"/>
      <c r="CI104" s="190" t="str">
        <f>IF(CONSOLIDA!CZ85="","",CONSOLIDA!CZ85)</f>
        <v/>
      </c>
      <c r="CJ104" s="190" t="str">
        <f>IF(CONSOLIDA!DA85="","",CONSOLIDA!DA85)</f>
        <v/>
      </c>
    </row>
    <row r="105" spans="1:88" s="3" customFormat="1" hidden="1">
      <c r="A105" s="243" t="str">
        <f t="shared" si="1"/>
        <v>OK</v>
      </c>
      <c r="B105" s="1141" t="str">
        <f>IF(CONSOLIDA!CL86="","",CONSOLIDA!CL86)</f>
        <v/>
      </c>
      <c r="C105" s="1141"/>
      <c r="D105" s="1134" t="str">
        <f>IF(CONSOLIDA!CN86="","",CONSOLIDA!CN86)</f>
        <v/>
      </c>
      <c r="E105" s="1135"/>
      <c r="F105" s="1135"/>
      <c r="G105" s="1129" t="str">
        <f>IF(CONSOLIDA!CO86="","",CONSOLIDA!CO86)</f>
        <v/>
      </c>
      <c r="H105" s="1129"/>
      <c r="I105" s="1129"/>
      <c r="J105" s="1129"/>
      <c r="K105" s="1129"/>
      <c r="L105" s="1129"/>
      <c r="M105" s="1129"/>
      <c r="N105" s="1129"/>
      <c r="O105" s="1129"/>
      <c r="P105" s="1129"/>
      <c r="Q105" s="1129"/>
      <c r="R105" s="1129"/>
      <c r="S105" s="1129"/>
      <c r="T105" s="1129"/>
      <c r="U105" s="1129"/>
      <c r="V105" s="1129"/>
      <c r="W105" s="1129"/>
      <c r="X105" s="1129"/>
      <c r="Y105" s="1130"/>
      <c r="Z105" s="1139" t="str">
        <f>IF(CONSOLIDA!CP86="","",CONSOLIDA!CP86)</f>
        <v/>
      </c>
      <c r="AA105" s="1139"/>
      <c r="AB105" s="1139"/>
      <c r="AC105" s="1139"/>
      <c r="AD105" s="1139"/>
      <c r="AE105" s="1139"/>
      <c r="AF105" s="1139" t="str">
        <f>IF(CONSOLIDA!CQ86="","",CONSOLIDA!CQ86)</f>
        <v/>
      </c>
      <c r="AG105" s="1139"/>
      <c r="AH105" s="1139"/>
      <c r="AI105" s="1139"/>
      <c r="AJ105" s="1139"/>
      <c r="AK105" s="1139"/>
      <c r="AL105" s="1139" t="str">
        <f>IF(CONSOLIDA!CR86="","",CONSOLIDA!CR86)</f>
        <v/>
      </c>
      <c r="AM105" s="1139"/>
      <c r="AN105" s="1139"/>
      <c r="AO105" s="1139"/>
      <c r="AP105" s="1139"/>
      <c r="AQ105" s="1139"/>
      <c r="AR105" s="1139" t="str">
        <f>IF(CONSOLIDA!CS86="","",CONSOLIDA!CS86)</f>
        <v/>
      </c>
      <c r="AS105" s="1139"/>
      <c r="AT105" s="1139"/>
      <c r="AU105" s="1139"/>
      <c r="AV105" s="1139"/>
      <c r="AW105" s="1139"/>
      <c r="AX105" s="1140" t="str">
        <f>IF(CONSOLIDA!CT86="","",CONSOLIDA!CT86)</f>
        <v/>
      </c>
      <c r="AY105" s="1140"/>
      <c r="AZ105" s="1140"/>
      <c r="BA105" s="1140"/>
      <c r="BB105" s="1140"/>
      <c r="BC105" s="1140"/>
      <c r="BD105" s="1139" t="str">
        <f>IF(CONSOLIDA!CU86="","",CONSOLIDA!CU86)</f>
        <v/>
      </c>
      <c r="BE105" s="1139"/>
      <c r="BF105" s="1139"/>
      <c r="BG105" s="1139"/>
      <c r="BH105" s="1139"/>
      <c r="BI105" s="1139"/>
      <c r="BJ105" s="1139" t="str">
        <f>IF(CONSOLIDA!CV86="","",CONSOLIDA!CV86)</f>
        <v/>
      </c>
      <c r="BK105" s="1139"/>
      <c r="BL105" s="1139"/>
      <c r="BM105" s="1139"/>
      <c r="BN105" s="1139"/>
      <c r="BO105" s="1139"/>
      <c r="BP105" s="1139" t="str">
        <f>IF(CONSOLIDA!CW86="","",CONSOLIDA!CW86)</f>
        <v/>
      </c>
      <c r="BQ105" s="1139"/>
      <c r="BR105" s="1139"/>
      <c r="BS105" s="1139"/>
      <c r="BT105" s="1139"/>
      <c r="BU105" s="1139"/>
      <c r="BV105" s="1140" t="str">
        <f>IF(CONSOLIDA!CX86="","",CONSOLIDA!CX86)</f>
        <v/>
      </c>
      <c r="BW105" s="1140"/>
      <c r="BX105" s="1140"/>
      <c r="BY105" s="1140"/>
      <c r="BZ105" s="1140"/>
      <c r="CA105" s="1140"/>
      <c r="CB105" s="1139" t="str">
        <f>IF(CONSOLIDA!CY86="","",CONSOLIDA!CY86)</f>
        <v/>
      </c>
      <c r="CC105" s="1139"/>
      <c r="CD105" s="1139"/>
      <c r="CE105" s="1139"/>
      <c r="CF105" s="1139"/>
      <c r="CG105" s="1139"/>
      <c r="CH105" s="486"/>
      <c r="CI105" s="190" t="str">
        <f>IF(CONSOLIDA!CZ86="","",CONSOLIDA!CZ86)</f>
        <v/>
      </c>
      <c r="CJ105" s="190" t="str">
        <f>IF(CONSOLIDA!DA86="","",CONSOLIDA!DA86)</f>
        <v/>
      </c>
    </row>
    <row r="106" spans="1:88" s="3" customFormat="1" hidden="1">
      <c r="A106" s="243" t="str">
        <f t="shared" si="1"/>
        <v>OK</v>
      </c>
      <c r="B106" s="1141" t="str">
        <f>IF(CONSOLIDA!CL87="","",CONSOLIDA!CL87)</f>
        <v/>
      </c>
      <c r="C106" s="1141"/>
      <c r="D106" s="1134" t="str">
        <f>IF(CONSOLIDA!CN87="","",CONSOLIDA!CN87)</f>
        <v/>
      </c>
      <c r="E106" s="1135"/>
      <c r="F106" s="1135"/>
      <c r="G106" s="1129" t="str">
        <f>IF(CONSOLIDA!CO87="","",CONSOLIDA!CO87)</f>
        <v/>
      </c>
      <c r="H106" s="1129"/>
      <c r="I106" s="1129"/>
      <c r="J106" s="1129"/>
      <c r="K106" s="1129"/>
      <c r="L106" s="1129"/>
      <c r="M106" s="1129"/>
      <c r="N106" s="1129"/>
      <c r="O106" s="1129"/>
      <c r="P106" s="1129"/>
      <c r="Q106" s="1129"/>
      <c r="R106" s="1129"/>
      <c r="S106" s="1129"/>
      <c r="T106" s="1129"/>
      <c r="U106" s="1129"/>
      <c r="V106" s="1129"/>
      <c r="W106" s="1129"/>
      <c r="X106" s="1129"/>
      <c r="Y106" s="1130"/>
      <c r="Z106" s="1139" t="str">
        <f>IF(CONSOLIDA!CP87="","",CONSOLIDA!CP87)</f>
        <v/>
      </c>
      <c r="AA106" s="1139"/>
      <c r="AB106" s="1139"/>
      <c r="AC106" s="1139"/>
      <c r="AD106" s="1139"/>
      <c r="AE106" s="1139"/>
      <c r="AF106" s="1139" t="str">
        <f>IF(CONSOLIDA!CQ87="","",CONSOLIDA!CQ87)</f>
        <v/>
      </c>
      <c r="AG106" s="1139"/>
      <c r="AH106" s="1139"/>
      <c r="AI106" s="1139"/>
      <c r="AJ106" s="1139"/>
      <c r="AK106" s="1139"/>
      <c r="AL106" s="1139" t="str">
        <f>IF(CONSOLIDA!CR87="","",CONSOLIDA!CR87)</f>
        <v/>
      </c>
      <c r="AM106" s="1139"/>
      <c r="AN106" s="1139"/>
      <c r="AO106" s="1139"/>
      <c r="AP106" s="1139"/>
      <c r="AQ106" s="1139"/>
      <c r="AR106" s="1139" t="str">
        <f>IF(CONSOLIDA!CS87="","",CONSOLIDA!CS87)</f>
        <v/>
      </c>
      <c r="AS106" s="1139"/>
      <c r="AT106" s="1139"/>
      <c r="AU106" s="1139"/>
      <c r="AV106" s="1139"/>
      <c r="AW106" s="1139"/>
      <c r="AX106" s="1140" t="str">
        <f>IF(CONSOLIDA!CT87="","",CONSOLIDA!CT87)</f>
        <v/>
      </c>
      <c r="AY106" s="1140"/>
      <c r="AZ106" s="1140"/>
      <c r="BA106" s="1140"/>
      <c r="BB106" s="1140"/>
      <c r="BC106" s="1140"/>
      <c r="BD106" s="1139" t="str">
        <f>IF(CONSOLIDA!CU87="","",CONSOLIDA!CU87)</f>
        <v/>
      </c>
      <c r="BE106" s="1139"/>
      <c r="BF106" s="1139"/>
      <c r="BG106" s="1139"/>
      <c r="BH106" s="1139"/>
      <c r="BI106" s="1139"/>
      <c r="BJ106" s="1139" t="str">
        <f>IF(CONSOLIDA!CV87="","",CONSOLIDA!CV87)</f>
        <v/>
      </c>
      <c r="BK106" s="1139"/>
      <c r="BL106" s="1139"/>
      <c r="BM106" s="1139"/>
      <c r="BN106" s="1139"/>
      <c r="BO106" s="1139"/>
      <c r="BP106" s="1139" t="str">
        <f>IF(CONSOLIDA!CW87="","",CONSOLIDA!CW87)</f>
        <v/>
      </c>
      <c r="BQ106" s="1139"/>
      <c r="BR106" s="1139"/>
      <c r="BS106" s="1139"/>
      <c r="BT106" s="1139"/>
      <c r="BU106" s="1139"/>
      <c r="BV106" s="1140" t="str">
        <f>IF(CONSOLIDA!CX87="","",CONSOLIDA!CX87)</f>
        <v/>
      </c>
      <c r="BW106" s="1140"/>
      <c r="BX106" s="1140"/>
      <c r="BY106" s="1140"/>
      <c r="BZ106" s="1140"/>
      <c r="CA106" s="1140"/>
      <c r="CB106" s="1139" t="str">
        <f>IF(CONSOLIDA!CY87="","",CONSOLIDA!CY87)</f>
        <v/>
      </c>
      <c r="CC106" s="1139"/>
      <c r="CD106" s="1139"/>
      <c r="CE106" s="1139"/>
      <c r="CF106" s="1139"/>
      <c r="CG106" s="1139"/>
      <c r="CH106" s="486"/>
      <c r="CI106" s="190" t="str">
        <f>IF(CONSOLIDA!CZ87="","",CONSOLIDA!CZ87)</f>
        <v/>
      </c>
      <c r="CJ106" s="190" t="str">
        <f>IF(CONSOLIDA!DA87="","",CONSOLIDA!DA87)</f>
        <v/>
      </c>
    </row>
    <row r="107" spans="1:88" s="3" customFormat="1" hidden="1">
      <c r="A107" s="243" t="str">
        <f t="shared" si="1"/>
        <v>OK</v>
      </c>
      <c r="B107" s="1141" t="str">
        <f>IF(CONSOLIDA!CL88="","",CONSOLIDA!CL88)</f>
        <v/>
      </c>
      <c r="C107" s="1141"/>
      <c r="D107" s="1134" t="str">
        <f>IF(CONSOLIDA!CN88="","",CONSOLIDA!CN88)</f>
        <v/>
      </c>
      <c r="E107" s="1135"/>
      <c r="F107" s="1135"/>
      <c r="G107" s="1129" t="str">
        <f>IF(CONSOLIDA!CO88="","",CONSOLIDA!CO88)</f>
        <v/>
      </c>
      <c r="H107" s="1129"/>
      <c r="I107" s="1129"/>
      <c r="J107" s="1129"/>
      <c r="K107" s="1129"/>
      <c r="L107" s="1129"/>
      <c r="M107" s="1129"/>
      <c r="N107" s="1129"/>
      <c r="O107" s="1129"/>
      <c r="P107" s="1129"/>
      <c r="Q107" s="1129"/>
      <c r="R107" s="1129"/>
      <c r="S107" s="1129"/>
      <c r="T107" s="1129"/>
      <c r="U107" s="1129"/>
      <c r="V107" s="1129"/>
      <c r="W107" s="1129"/>
      <c r="X107" s="1129"/>
      <c r="Y107" s="1130"/>
      <c r="Z107" s="1139" t="str">
        <f>IF(CONSOLIDA!CP88="","",CONSOLIDA!CP88)</f>
        <v/>
      </c>
      <c r="AA107" s="1139"/>
      <c r="AB107" s="1139"/>
      <c r="AC107" s="1139"/>
      <c r="AD107" s="1139"/>
      <c r="AE107" s="1139"/>
      <c r="AF107" s="1139" t="str">
        <f>IF(CONSOLIDA!CQ88="","",CONSOLIDA!CQ88)</f>
        <v/>
      </c>
      <c r="AG107" s="1139"/>
      <c r="AH107" s="1139"/>
      <c r="AI107" s="1139"/>
      <c r="AJ107" s="1139"/>
      <c r="AK107" s="1139"/>
      <c r="AL107" s="1139" t="str">
        <f>IF(CONSOLIDA!CR88="","",CONSOLIDA!CR88)</f>
        <v/>
      </c>
      <c r="AM107" s="1139"/>
      <c r="AN107" s="1139"/>
      <c r="AO107" s="1139"/>
      <c r="AP107" s="1139"/>
      <c r="AQ107" s="1139"/>
      <c r="AR107" s="1139" t="str">
        <f>IF(CONSOLIDA!CS88="","",CONSOLIDA!CS88)</f>
        <v/>
      </c>
      <c r="AS107" s="1139"/>
      <c r="AT107" s="1139"/>
      <c r="AU107" s="1139"/>
      <c r="AV107" s="1139"/>
      <c r="AW107" s="1139"/>
      <c r="AX107" s="1140" t="str">
        <f>IF(CONSOLIDA!CT88="","",CONSOLIDA!CT88)</f>
        <v/>
      </c>
      <c r="AY107" s="1140"/>
      <c r="AZ107" s="1140"/>
      <c r="BA107" s="1140"/>
      <c r="BB107" s="1140"/>
      <c r="BC107" s="1140"/>
      <c r="BD107" s="1139" t="str">
        <f>IF(CONSOLIDA!CU88="","",CONSOLIDA!CU88)</f>
        <v/>
      </c>
      <c r="BE107" s="1139"/>
      <c r="BF107" s="1139"/>
      <c r="BG107" s="1139"/>
      <c r="BH107" s="1139"/>
      <c r="BI107" s="1139"/>
      <c r="BJ107" s="1139" t="str">
        <f>IF(CONSOLIDA!CV88="","",CONSOLIDA!CV88)</f>
        <v/>
      </c>
      <c r="BK107" s="1139"/>
      <c r="BL107" s="1139"/>
      <c r="BM107" s="1139"/>
      <c r="BN107" s="1139"/>
      <c r="BO107" s="1139"/>
      <c r="BP107" s="1139" t="str">
        <f>IF(CONSOLIDA!CW88="","",CONSOLIDA!CW88)</f>
        <v/>
      </c>
      <c r="BQ107" s="1139"/>
      <c r="BR107" s="1139"/>
      <c r="BS107" s="1139"/>
      <c r="BT107" s="1139"/>
      <c r="BU107" s="1139"/>
      <c r="BV107" s="1140" t="str">
        <f>IF(CONSOLIDA!CX88="","",CONSOLIDA!CX88)</f>
        <v/>
      </c>
      <c r="BW107" s="1140"/>
      <c r="BX107" s="1140"/>
      <c r="BY107" s="1140"/>
      <c r="BZ107" s="1140"/>
      <c r="CA107" s="1140"/>
      <c r="CB107" s="1139" t="str">
        <f>IF(CONSOLIDA!CY88="","",CONSOLIDA!CY88)</f>
        <v/>
      </c>
      <c r="CC107" s="1139"/>
      <c r="CD107" s="1139"/>
      <c r="CE107" s="1139"/>
      <c r="CF107" s="1139"/>
      <c r="CG107" s="1139"/>
      <c r="CH107" s="486"/>
      <c r="CI107" s="190" t="str">
        <f>IF(CONSOLIDA!CZ88="","",CONSOLIDA!CZ88)</f>
        <v/>
      </c>
      <c r="CJ107" s="190" t="str">
        <f>IF(CONSOLIDA!DA88="","",CONSOLIDA!DA88)</f>
        <v/>
      </c>
    </row>
    <row r="108" spans="1:88" s="3" customFormat="1" hidden="1">
      <c r="A108" s="243" t="str">
        <f t="shared" si="1"/>
        <v>OK</v>
      </c>
      <c r="B108" s="1141" t="str">
        <f>IF(CONSOLIDA!CL89="","",CONSOLIDA!CL89)</f>
        <v/>
      </c>
      <c r="C108" s="1141"/>
      <c r="D108" s="1134" t="str">
        <f>IF(CONSOLIDA!CN89="","",CONSOLIDA!CN89)</f>
        <v/>
      </c>
      <c r="E108" s="1135"/>
      <c r="F108" s="1135"/>
      <c r="G108" s="1129" t="str">
        <f>IF(CONSOLIDA!CO89="","",CONSOLIDA!CO89)</f>
        <v/>
      </c>
      <c r="H108" s="1129"/>
      <c r="I108" s="1129"/>
      <c r="J108" s="1129"/>
      <c r="K108" s="1129"/>
      <c r="L108" s="1129"/>
      <c r="M108" s="1129"/>
      <c r="N108" s="1129"/>
      <c r="O108" s="1129"/>
      <c r="P108" s="1129"/>
      <c r="Q108" s="1129"/>
      <c r="R108" s="1129"/>
      <c r="S108" s="1129"/>
      <c r="T108" s="1129"/>
      <c r="U108" s="1129"/>
      <c r="V108" s="1129"/>
      <c r="W108" s="1129"/>
      <c r="X108" s="1129"/>
      <c r="Y108" s="1130"/>
      <c r="Z108" s="1139" t="str">
        <f>IF(CONSOLIDA!CP89="","",CONSOLIDA!CP89)</f>
        <v/>
      </c>
      <c r="AA108" s="1139"/>
      <c r="AB108" s="1139"/>
      <c r="AC108" s="1139"/>
      <c r="AD108" s="1139"/>
      <c r="AE108" s="1139"/>
      <c r="AF108" s="1139" t="str">
        <f>IF(CONSOLIDA!CQ89="","",CONSOLIDA!CQ89)</f>
        <v/>
      </c>
      <c r="AG108" s="1139"/>
      <c r="AH108" s="1139"/>
      <c r="AI108" s="1139"/>
      <c r="AJ108" s="1139"/>
      <c r="AK108" s="1139"/>
      <c r="AL108" s="1139" t="str">
        <f>IF(CONSOLIDA!CR89="","",CONSOLIDA!CR89)</f>
        <v/>
      </c>
      <c r="AM108" s="1139"/>
      <c r="AN108" s="1139"/>
      <c r="AO108" s="1139"/>
      <c r="AP108" s="1139"/>
      <c r="AQ108" s="1139"/>
      <c r="AR108" s="1139" t="str">
        <f>IF(CONSOLIDA!CS89="","",CONSOLIDA!CS89)</f>
        <v/>
      </c>
      <c r="AS108" s="1139"/>
      <c r="AT108" s="1139"/>
      <c r="AU108" s="1139"/>
      <c r="AV108" s="1139"/>
      <c r="AW108" s="1139"/>
      <c r="AX108" s="1140" t="str">
        <f>IF(CONSOLIDA!CT89="","",CONSOLIDA!CT89)</f>
        <v/>
      </c>
      <c r="AY108" s="1140"/>
      <c r="AZ108" s="1140"/>
      <c r="BA108" s="1140"/>
      <c r="BB108" s="1140"/>
      <c r="BC108" s="1140"/>
      <c r="BD108" s="1139" t="str">
        <f>IF(CONSOLIDA!CU89="","",CONSOLIDA!CU89)</f>
        <v/>
      </c>
      <c r="BE108" s="1139"/>
      <c r="BF108" s="1139"/>
      <c r="BG108" s="1139"/>
      <c r="BH108" s="1139"/>
      <c r="BI108" s="1139"/>
      <c r="BJ108" s="1139" t="str">
        <f>IF(CONSOLIDA!CV89="","",CONSOLIDA!CV89)</f>
        <v/>
      </c>
      <c r="BK108" s="1139"/>
      <c r="BL108" s="1139"/>
      <c r="BM108" s="1139"/>
      <c r="BN108" s="1139"/>
      <c r="BO108" s="1139"/>
      <c r="BP108" s="1139" t="str">
        <f>IF(CONSOLIDA!CW89="","",CONSOLIDA!CW89)</f>
        <v/>
      </c>
      <c r="BQ108" s="1139"/>
      <c r="BR108" s="1139"/>
      <c r="BS108" s="1139"/>
      <c r="BT108" s="1139"/>
      <c r="BU108" s="1139"/>
      <c r="BV108" s="1140" t="str">
        <f>IF(CONSOLIDA!CX89="","",CONSOLIDA!CX89)</f>
        <v/>
      </c>
      <c r="BW108" s="1140"/>
      <c r="BX108" s="1140"/>
      <c r="BY108" s="1140"/>
      <c r="BZ108" s="1140"/>
      <c r="CA108" s="1140"/>
      <c r="CB108" s="1139" t="str">
        <f>IF(CONSOLIDA!CY89="","",CONSOLIDA!CY89)</f>
        <v/>
      </c>
      <c r="CC108" s="1139"/>
      <c r="CD108" s="1139"/>
      <c r="CE108" s="1139"/>
      <c r="CF108" s="1139"/>
      <c r="CG108" s="1139"/>
      <c r="CH108" s="486"/>
      <c r="CI108" s="190" t="str">
        <f>IF(CONSOLIDA!CZ89="","",CONSOLIDA!CZ89)</f>
        <v/>
      </c>
      <c r="CJ108" s="190" t="str">
        <f>IF(CONSOLIDA!DA89="","",CONSOLIDA!DA89)</f>
        <v/>
      </c>
    </row>
    <row r="109" spans="1:88" s="3" customFormat="1" hidden="1">
      <c r="A109" s="243" t="str">
        <f t="shared" si="1"/>
        <v>OK</v>
      </c>
      <c r="B109" s="1141" t="str">
        <f>IF(CONSOLIDA!CL90="","",CONSOLIDA!CL90)</f>
        <v/>
      </c>
      <c r="C109" s="1141"/>
      <c r="D109" s="1134" t="str">
        <f>IF(CONSOLIDA!CN90="","",CONSOLIDA!CN90)</f>
        <v/>
      </c>
      <c r="E109" s="1135"/>
      <c r="F109" s="1135"/>
      <c r="G109" s="1129" t="str">
        <f>IF(CONSOLIDA!CO90="","",CONSOLIDA!CO90)</f>
        <v/>
      </c>
      <c r="H109" s="1129"/>
      <c r="I109" s="1129"/>
      <c r="J109" s="1129"/>
      <c r="K109" s="1129"/>
      <c r="L109" s="1129"/>
      <c r="M109" s="1129"/>
      <c r="N109" s="1129"/>
      <c r="O109" s="1129"/>
      <c r="P109" s="1129"/>
      <c r="Q109" s="1129"/>
      <c r="R109" s="1129"/>
      <c r="S109" s="1129"/>
      <c r="T109" s="1129"/>
      <c r="U109" s="1129"/>
      <c r="V109" s="1129"/>
      <c r="W109" s="1129"/>
      <c r="X109" s="1129"/>
      <c r="Y109" s="1130"/>
      <c r="Z109" s="1139" t="str">
        <f>IF(CONSOLIDA!CP90="","",CONSOLIDA!CP90)</f>
        <v/>
      </c>
      <c r="AA109" s="1139"/>
      <c r="AB109" s="1139"/>
      <c r="AC109" s="1139"/>
      <c r="AD109" s="1139"/>
      <c r="AE109" s="1139"/>
      <c r="AF109" s="1139" t="str">
        <f>IF(CONSOLIDA!CQ90="","",CONSOLIDA!CQ90)</f>
        <v/>
      </c>
      <c r="AG109" s="1139"/>
      <c r="AH109" s="1139"/>
      <c r="AI109" s="1139"/>
      <c r="AJ109" s="1139"/>
      <c r="AK109" s="1139"/>
      <c r="AL109" s="1139" t="str">
        <f>IF(CONSOLIDA!CR90="","",CONSOLIDA!CR90)</f>
        <v/>
      </c>
      <c r="AM109" s="1139"/>
      <c r="AN109" s="1139"/>
      <c r="AO109" s="1139"/>
      <c r="AP109" s="1139"/>
      <c r="AQ109" s="1139"/>
      <c r="AR109" s="1139" t="str">
        <f>IF(CONSOLIDA!CS90="","",CONSOLIDA!CS90)</f>
        <v/>
      </c>
      <c r="AS109" s="1139"/>
      <c r="AT109" s="1139"/>
      <c r="AU109" s="1139"/>
      <c r="AV109" s="1139"/>
      <c r="AW109" s="1139"/>
      <c r="AX109" s="1140" t="str">
        <f>IF(CONSOLIDA!CT90="","",CONSOLIDA!CT90)</f>
        <v/>
      </c>
      <c r="AY109" s="1140"/>
      <c r="AZ109" s="1140"/>
      <c r="BA109" s="1140"/>
      <c r="BB109" s="1140"/>
      <c r="BC109" s="1140"/>
      <c r="BD109" s="1139" t="str">
        <f>IF(CONSOLIDA!CU90="","",CONSOLIDA!CU90)</f>
        <v/>
      </c>
      <c r="BE109" s="1139"/>
      <c r="BF109" s="1139"/>
      <c r="BG109" s="1139"/>
      <c r="BH109" s="1139"/>
      <c r="BI109" s="1139"/>
      <c r="BJ109" s="1139" t="str">
        <f>IF(CONSOLIDA!CV90="","",CONSOLIDA!CV90)</f>
        <v/>
      </c>
      <c r="BK109" s="1139"/>
      <c r="BL109" s="1139"/>
      <c r="BM109" s="1139"/>
      <c r="BN109" s="1139"/>
      <c r="BO109" s="1139"/>
      <c r="BP109" s="1139" t="str">
        <f>IF(CONSOLIDA!CW90="","",CONSOLIDA!CW90)</f>
        <v/>
      </c>
      <c r="BQ109" s="1139"/>
      <c r="BR109" s="1139"/>
      <c r="BS109" s="1139"/>
      <c r="BT109" s="1139"/>
      <c r="BU109" s="1139"/>
      <c r="BV109" s="1140" t="str">
        <f>IF(CONSOLIDA!CX90="","",CONSOLIDA!CX90)</f>
        <v/>
      </c>
      <c r="BW109" s="1140"/>
      <c r="BX109" s="1140"/>
      <c r="BY109" s="1140"/>
      <c r="BZ109" s="1140"/>
      <c r="CA109" s="1140"/>
      <c r="CB109" s="1139" t="str">
        <f>IF(CONSOLIDA!CY90="","",CONSOLIDA!CY90)</f>
        <v/>
      </c>
      <c r="CC109" s="1139"/>
      <c r="CD109" s="1139"/>
      <c r="CE109" s="1139"/>
      <c r="CF109" s="1139"/>
      <c r="CG109" s="1139"/>
      <c r="CH109" s="486"/>
      <c r="CI109" s="190" t="str">
        <f>IF(CONSOLIDA!CZ90="","",CONSOLIDA!CZ90)</f>
        <v/>
      </c>
      <c r="CJ109" s="190" t="str">
        <f>IF(CONSOLIDA!DA90="","",CONSOLIDA!DA90)</f>
        <v/>
      </c>
    </row>
    <row r="110" spans="1:88" s="3" customFormat="1" hidden="1">
      <c r="A110" s="243" t="str">
        <f t="shared" si="1"/>
        <v>OK</v>
      </c>
      <c r="B110" s="1141" t="str">
        <f>IF(CONSOLIDA!CL91="","",CONSOLIDA!CL91)</f>
        <v/>
      </c>
      <c r="C110" s="1141"/>
      <c r="D110" s="1134" t="str">
        <f>IF(CONSOLIDA!CN91="","",CONSOLIDA!CN91)</f>
        <v/>
      </c>
      <c r="E110" s="1135"/>
      <c r="F110" s="1135"/>
      <c r="G110" s="1129" t="str">
        <f>IF(CONSOLIDA!CO91="","",CONSOLIDA!CO91)</f>
        <v/>
      </c>
      <c r="H110" s="1129"/>
      <c r="I110" s="1129"/>
      <c r="J110" s="1129"/>
      <c r="K110" s="1129"/>
      <c r="L110" s="1129"/>
      <c r="M110" s="1129"/>
      <c r="N110" s="1129"/>
      <c r="O110" s="1129"/>
      <c r="P110" s="1129"/>
      <c r="Q110" s="1129"/>
      <c r="R110" s="1129"/>
      <c r="S110" s="1129"/>
      <c r="T110" s="1129"/>
      <c r="U110" s="1129"/>
      <c r="V110" s="1129"/>
      <c r="W110" s="1129"/>
      <c r="X110" s="1129"/>
      <c r="Y110" s="1130"/>
      <c r="Z110" s="1139" t="str">
        <f>IF(CONSOLIDA!CP91="","",CONSOLIDA!CP91)</f>
        <v/>
      </c>
      <c r="AA110" s="1139"/>
      <c r="AB110" s="1139"/>
      <c r="AC110" s="1139"/>
      <c r="AD110" s="1139"/>
      <c r="AE110" s="1139"/>
      <c r="AF110" s="1139" t="str">
        <f>IF(CONSOLIDA!CQ91="","",CONSOLIDA!CQ91)</f>
        <v/>
      </c>
      <c r="AG110" s="1139"/>
      <c r="AH110" s="1139"/>
      <c r="AI110" s="1139"/>
      <c r="AJ110" s="1139"/>
      <c r="AK110" s="1139"/>
      <c r="AL110" s="1139" t="str">
        <f>IF(CONSOLIDA!CR91="","",CONSOLIDA!CR91)</f>
        <v/>
      </c>
      <c r="AM110" s="1139"/>
      <c r="AN110" s="1139"/>
      <c r="AO110" s="1139"/>
      <c r="AP110" s="1139"/>
      <c r="AQ110" s="1139"/>
      <c r="AR110" s="1139" t="str">
        <f>IF(CONSOLIDA!CS91="","",CONSOLIDA!CS91)</f>
        <v/>
      </c>
      <c r="AS110" s="1139"/>
      <c r="AT110" s="1139"/>
      <c r="AU110" s="1139"/>
      <c r="AV110" s="1139"/>
      <c r="AW110" s="1139"/>
      <c r="AX110" s="1140" t="str">
        <f>IF(CONSOLIDA!CT91="","",CONSOLIDA!CT91)</f>
        <v/>
      </c>
      <c r="AY110" s="1140"/>
      <c r="AZ110" s="1140"/>
      <c r="BA110" s="1140"/>
      <c r="BB110" s="1140"/>
      <c r="BC110" s="1140"/>
      <c r="BD110" s="1139" t="str">
        <f>IF(CONSOLIDA!CU91="","",CONSOLIDA!CU91)</f>
        <v/>
      </c>
      <c r="BE110" s="1139"/>
      <c r="BF110" s="1139"/>
      <c r="BG110" s="1139"/>
      <c r="BH110" s="1139"/>
      <c r="BI110" s="1139"/>
      <c r="BJ110" s="1139" t="str">
        <f>IF(CONSOLIDA!CV91="","",CONSOLIDA!CV91)</f>
        <v/>
      </c>
      <c r="BK110" s="1139"/>
      <c r="BL110" s="1139"/>
      <c r="BM110" s="1139"/>
      <c r="BN110" s="1139"/>
      <c r="BO110" s="1139"/>
      <c r="BP110" s="1139" t="str">
        <f>IF(CONSOLIDA!CW91="","",CONSOLIDA!CW91)</f>
        <v/>
      </c>
      <c r="BQ110" s="1139"/>
      <c r="BR110" s="1139"/>
      <c r="BS110" s="1139"/>
      <c r="BT110" s="1139"/>
      <c r="BU110" s="1139"/>
      <c r="BV110" s="1140" t="str">
        <f>IF(CONSOLIDA!CX91="","",CONSOLIDA!CX91)</f>
        <v/>
      </c>
      <c r="BW110" s="1140"/>
      <c r="BX110" s="1140"/>
      <c r="BY110" s="1140"/>
      <c r="BZ110" s="1140"/>
      <c r="CA110" s="1140"/>
      <c r="CB110" s="1139" t="str">
        <f>IF(CONSOLIDA!CY91="","",CONSOLIDA!CY91)</f>
        <v/>
      </c>
      <c r="CC110" s="1139"/>
      <c r="CD110" s="1139"/>
      <c r="CE110" s="1139"/>
      <c r="CF110" s="1139"/>
      <c r="CG110" s="1139"/>
      <c r="CH110" s="486"/>
      <c r="CI110" s="190" t="str">
        <f>IF(CONSOLIDA!CZ91="","",CONSOLIDA!CZ91)</f>
        <v/>
      </c>
      <c r="CJ110" s="190" t="str">
        <f>IF(CONSOLIDA!DA91="","",CONSOLIDA!DA91)</f>
        <v/>
      </c>
    </row>
    <row r="111" spans="1:88" s="3" customFormat="1" hidden="1">
      <c r="A111" s="243" t="str">
        <f t="shared" si="1"/>
        <v>OK</v>
      </c>
      <c r="B111" s="1141" t="str">
        <f>IF(CONSOLIDA!CL92="","",CONSOLIDA!CL92)</f>
        <v/>
      </c>
      <c r="C111" s="1141"/>
      <c r="D111" s="1134" t="str">
        <f>IF(CONSOLIDA!CN92="","",CONSOLIDA!CN92)</f>
        <v/>
      </c>
      <c r="E111" s="1135"/>
      <c r="F111" s="1135"/>
      <c r="G111" s="1129" t="str">
        <f>IF(CONSOLIDA!CO92="","",CONSOLIDA!CO92)</f>
        <v/>
      </c>
      <c r="H111" s="1129"/>
      <c r="I111" s="1129"/>
      <c r="J111" s="1129"/>
      <c r="K111" s="1129"/>
      <c r="L111" s="1129"/>
      <c r="M111" s="1129"/>
      <c r="N111" s="1129"/>
      <c r="O111" s="1129"/>
      <c r="P111" s="1129"/>
      <c r="Q111" s="1129"/>
      <c r="R111" s="1129"/>
      <c r="S111" s="1129"/>
      <c r="T111" s="1129"/>
      <c r="U111" s="1129"/>
      <c r="V111" s="1129"/>
      <c r="W111" s="1129"/>
      <c r="X111" s="1129"/>
      <c r="Y111" s="1130"/>
      <c r="Z111" s="1139" t="str">
        <f>IF(CONSOLIDA!CP92="","",CONSOLIDA!CP92)</f>
        <v/>
      </c>
      <c r="AA111" s="1139"/>
      <c r="AB111" s="1139"/>
      <c r="AC111" s="1139"/>
      <c r="AD111" s="1139"/>
      <c r="AE111" s="1139"/>
      <c r="AF111" s="1139" t="str">
        <f>IF(CONSOLIDA!CQ92="","",CONSOLIDA!CQ92)</f>
        <v/>
      </c>
      <c r="AG111" s="1139"/>
      <c r="AH111" s="1139"/>
      <c r="AI111" s="1139"/>
      <c r="AJ111" s="1139"/>
      <c r="AK111" s="1139"/>
      <c r="AL111" s="1139" t="str">
        <f>IF(CONSOLIDA!CR92="","",CONSOLIDA!CR92)</f>
        <v/>
      </c>
      <c r="AM111" s="1139"/>
      <c r="AN111" s="1139"/>
      <c r="AO111" s="1139"/>
      <c r="AP111" s="1139"/>
      <c r="AQ111" s="1139"/>
      <c r="AR111" s="1139" t="str">
        <f>IF(CONSOLIDA!CS92="","",CONSOLIDA!CS92)</f>
        <v/>
      </c>
      <c r="AS111" s="1139"/>
      <c r="AT111" s="1139"/>
      <c r="AU111" s="1139"/>
      <c r="AV111" s="1139"/>
      <c r="AW111" s="1139"/>
      <c r="AX111" s="1140" t="str">
        <f>IF(CONSOLIDA!CT92="","",CONSOLIDA!CT92)</f>
        <v/>
      </c>
      <c r="AY111" s="1140"/>
      <c r="AZ111" s="1140"/>
      <c r="BA111" s="1140"/>
      <c r="BB111" s="1140"/>
      <c r="BC111" s="1140"/>
      <c r="BD111" s="1139" t="str">
        <f>IF(CONSOLIDA!CU92="","",CONSOLIDA!CU92)</f>
        <v/>
      </c>
      <c r="BE111" s="1139"/>
      <c r="BF111" s="1139"/>
      <c r="BG111" s="1139"/>
      <c r="BH111" s="1139"/>
      <c r="BI111" s="1139"/>
      <c r="BJ111" s="1139" t="str">
        <f>IF(CONSOLIDA!CV92="","",CONSOLIDA!CV92)</f>
        <v/>
      </c>
      <c r="BK111" s="1139"/>
      <c r="BL111" s="1139"/>
      <c r="BM111" s="1139"/>
      <c r="BN111" s="1139"/>
      <c r="BO111" s="1139"/>
      <c r="BP111" s="1139" t="str">
        <f>IF(CONSOLIDA!CW92="","",CONSOLIDA!CW92)</f>
        <v/>
      </c>
      <c r="BQ111" s="1139"/>
      <c r="BR111" s="1139"/>
      <c r="BS111" s="1139"/>
      <c r="BT111" s="1139"/>
      <c r="BU111" s="1139"/>
      <c r="BV111" s="1140" t="str">
        <f>IF(CONSOLIDA!CX92="","",CONSOLIDA!CX92)</f>
        <v/>
      </c>
      <c r="BW111" s="1140"/>
      <c r="BX111" s="1140"/>
      <c r="BY111" s="1140"/>
      <c r="BZ111" s="1140"/>
      <c r="CA111" s="1140"/>
      <c r="CB111" s="1139" t="str">
        <f>IF(CONSOLIDA!CY92="","",CONSOLIDA!CY92)</f>
        <v/>
      </c>
      <c r="CC111" s="1139"/>
      <c r="CD111" s="1139"/>
      <c r="CE111" s="1139"/>
      <c r="CF111" s="1139"/>
      <c r="CG111" s="1139"/>
      <c r="CH111" s="486"/>
      <c r="CI111" s="190" t="str">
        <f>IF(CONSOLIDA!CZ92="","",CONSOLIDA!CZ92)</f>
        <v/>
      </c>
      <c r="CJ111" s="190" t="str">
        <f>IF(CONSOLIDA!DA92="","",CONSOLIDA!DA92)</f>
        <v/>
      </c>
    </row>
    <row r="112" spans="1:88" s="3" customFormat="1" hidden="1">
      <c r="A112" s="243" t="str">
        <f t="shared" si="1"/>
        <v>OK</v>
      </c>
      <c r="B112" s="1141" t="str">
        <f>IF(CONSOLIDA!CL93="","",CONSOLIDA!CL93)</f>
        <v/>
      </c>
      <c r="C112" s="1141"/>
      <c r="D112" s="1134" t="str">
        <f>IF(CONSOLIDA!CN93="","",CONSOLIDA!CN93)</f>
        <v/>
      </c>
      <c r="E112" s="1135"/>
      <c r="F112" s="1135"/>
      <c r="G112" s="1129" t="str">
        <f>IF(CONSOLIDA!CO93="","",CONSOLIDA!CO93)</f>
        <v/>
      </c>
      <c r="H112" s="1129"/>
      <c r="I112" s="1129"/>
      <c r="J112" s="1129"/>
      <c r="K112" s="1129"/>
      <c r="L112" s="1129"/>
      <c r="M112" s="1129"/>
      <c r="N112" s="1129"/>
      <c r="O112" s="1129"/>
      <c r="P112" s="1129"/>
      <c r="Q112" s="1129"/>
      <c r="R112" s="1129"/>
      <c r="S112" s="1129"/>
      <c r="T112" s="1129"/>
      <c r="U112" s="1129"/>
      <c r="V112" s="1129"/>
      <c r="W112" s="1129"/>
      <c r="X112" s="1129"/>
      <c r="Y112" s="1130"/>
      <c r="Z112" s="1139" t="str">
        <f>IF(CONSOLIDA!CP93="","",CONSOLIDA!CP93)</f>
        <v/>
      </c>
      <c r="AA112" s="1139"/>
      <c r="AB112" s="1139"/>
      <c r="AC112" s="1139"/>
      <c r="AD112" s="1139"/>
      <c r="AE112" s="1139"/>
      <c r="AF112" s="1139" t="str">
        <f>IF(CONSOLIDA!CQ93="","",CONSOLIDA!CQ93)</f>
        <v/>
      </c>
      <c r="AG112" s="1139"/>
      <c r="AH112" s="1139"/>
      <c r="AI112" s="1139"/>
      <c r="AJ112" s="1139"/>
      <c r="AK112" s="1139"/>
      <c r="AL112" s="1139" t="str">
        <f>IF(CONSOLIDA!CR93="","",CONSOLIDA!CR93)</f>
        <v/>
      </c>
      <c r="AM112" s="1139"/>
      <c r="AN112" s="1139"/>
      <c r="AO112" s="1139"/>
      <c r="AP112" s="1139"/>
      <c r="AQ112" s="1139"/>
      <c r="AR112" s="1139" t="str">
        <f>IF(CONSOLIDA!CS93="","",CONSOLIDA!CS93)</f>
        <v/>
      </c>
      <c r="AS112" s="1139"/>
      <c r="AT112" s="1139"/>
      <c r="AU112" s="1139"/>
      <c r="AV112" s="1139"/>
      <c r="AW112" s="1139"/>
      <c r="AX112" s="1140" t="str">
        <f>IF(CONSOLIDA!CT93="","",CONSOLIDA!CT93)</f>
        <v/>
      </c>
      <c r="AY112" s="1140"/>
      <c r="AZ112" s="1140"/>
      <c r="BA112" s="1140"/>
      <c r="BB112" s="1140"/>
      <c r="BC112" s="1140"/>
      <c r="BD112" s="1139" t="str">
        <f>IF(CONSOLIDA!CU93="","",CONSOLIDA!CU93)</f>
        <v/>
      </c>
      <c r="BE112" s="1139"/>
      <c r="BF112" s="1139"/>
      <c r="BG112" s="1139"/>
      <c r="BH112" s="1139"/>
      <c r="BI112" s="1139"/>
      <c r="BJ112" s="1139" t="str">
        <f>IF(CONSOLIDA!CV93="","",CONSOLIDA!CV93)</f>
        <v/>
      </c>
      <c r="BK112" s="1139"/>
      <c r="BL112" s="1139"/>
      <c r="BM112" s="1139"/>
      <c r="BN112" s="1139"/>
      <c r="BO112" s="1139"/>
      <c r="BP112" s="1139" t="str">
        <f>IF(CONSOLIDA!CW93="","",CONSOLIDA!CW93)</f>
        <v/>
      </c>
      <c r="BQ112" s="1139"/>
      <c r="BR112" s="1139"/>
      <c r="BS112" s="1139"/>
      <c r="BT112" s="1139"/>
      <c r="BU112" s="1139"/>
      <c r="BV112" s="1140" t="str">
        <f>IF(CONSOLIDA!CX93="","",CONSOLIDA!CX93)</f>
        <v/>
      </c>
      <c r="BW112" s="1140"/>
      <c r="BX112" s="1140"/>
      <c r="BY112" s="1140"/>
      <c r="BZ112" s="1140"/>
      <c r="CA112" s="1140"/>
      <c r="CB112" s="1139" t="str">
        <f>IF(CONSOLIDA!CY93="","",CONSOLIDA!CY93)</f>
        <v/>
      </c>
      <c r="CC112" s="1139"/>
      <c r="CD112" s="1139"/>
      <c r="CE112" s="1139"/>
      <c r="CF112" s="1139"/>
      <c r="CG112" s="1139"/>
      <c r="CH112" s="486"/>
      <c r="CI112" s="190" t="str">
        <f>IF(CONSOLIDA!CZ93="","",CONSOLIDA!CZ93)</f>
        <v/>
      </c>
      <c r="CJ112" s="190" t="str">
        <f>IF(CONSOLIDA!DA93="","",CONSOLIDA!DA93)</f>
        <v/>
      </c>
    </row>
    <row r="113" spans="1:88" s="3" customFormat="1" hidden="1">
      <c r="A113" s="243" t="str">
        <f t="shared" si="1"/>
        <v>OK</v>
      </c>
      <c r="B113" s="1141" t="str">
        <f>IF(CONSOLIDA!CL94="","",CONSOLIDA!CL94)</f>
        <v/>
      </c>
      <c r="C113" s="1141"/>
      <c r="D113" s="1134" t="str">
        <f>IF(CONSOLIDA!CN94="","",CONSOLIDA!CN94)</f>
        <v/>
      </c>
      <c r="E113" s="1135"/>
      <c r="F113" s="1135"/>
      <c r="G113" s="1129" t="str">
        <f>IF(CONSOLIDA!CO94="","",CONSOLIDA!CO94)</f>
        <v/>
      </c>
      <c r="H113" s="1129"/>
      <c r="I113" s="1129"/>
      <c r="J113" s="1129"/>
      <c r="K113" s="1129"/>
      <c r="L113" s="1129"/>
      <c r="M113" s="1129"/>
      <c r="N113" s="1129"/>
      <c r="O113" s="1129"/>
      <c r="P113" s="1129"/>
      <c r="Q113" s="1129"/>
      <c r="R113" s="1129"/>
      <c r="S113" s="1129"/>
      <c r="T113" s="1129"/>
      <c r="U113" s="1129"/>
      <c r="V113" s="1129"/>
      <c r="W113" s="1129"/>
      <c r="X113" s="1129"/>
      <c r="Y113" s="1130"/>
      <c r="Z113" s="1139" t="str">
        <f>IF(CONSOLIDA!CP94="","",CONSOLIDA!CP94)</f>
        <v/>
      </c>
      <c r="AA113" s="1139"/>
      <c r="AB113" s="1139"/>
      <c r="AC113" s="1139"/>
      <c r="AD113" s="1139"/>
      <c r="AE113" s="1139"/>
      <c r="AF113" s="1139" t="str">
        <f>IF(CONSOLIDA!CQ94="","",CONSOLIDA!CQ94)</f>
        <v/>
      </c>
      <c r="AG113" s="1139"/>
      <c r="AH113" s="1139"/>
      <c r="AI113" s="1139"/>
      <c r="AJ113" s="1139"/>
      <c r="AK113" s="1139"/>
      <c r="AL113" s="1139" t="str">
        <f>IF(CONSOLIDA!CR94="","",CONSOLIDA!CR94)</f>
        <v/>
      </c>
      <c r="AM113" s="1139"/>
      <c r="AN113" s="1139"/>
      <c r="AO113" s="1139"/>
      <c r="AP113" s="1139"/>
      <c r="AQ113" s="1139"/>
      <c r="AR113" s="1139" t="str">
        <f>IF(CONSOLIDA!CS94="","",CONSOLIDA!CS94)</f>
        <v/>
      </c>
      <c r="AS113" s="1139"/>
      <c r="AT113" s="1139"/>
      <c r="AU113" s="1139"/>
      <c r="AV113" s="1139"/>
      <c r="AW113" s="1139"/>
      <c r="AX113" s="1140" t="str">
        <f>IF(CONSOLIDA!CT94="","",CONSOLIDA!CT94)</f>
        <v/>
      </c>
      <c r="AY113" s="1140"/>
      <c r="AZ113" s="1140"/>
      <c r="BA113" s="1140"/>
      <c r="BB113" s="1140"/>
      <c r="BC113" s="1140"/>
      <c r="BD113" s="1139" t="str">
        <f>IF(CONSOLIDA!CU94="","",CONSOLIDA!CU94)</f>
        <v/>
      </c>
      <c r="BE113" s="1139"/>
      <c r="BF113" s="1139"/>
      <c r="BG113" s="1139"/>
      <c r="BH113" s="1139"/>
      <c r="BI113" s="1139"/>
      <c r="BJ113" s="1139" t="str">
        <f>IF(CONSOLIDA!CV94="","",CONSOLIDA!CV94)</f>
        <v/>
      </c>
      <c r="BK113" s="1139"/>
      <c r="BL113" s="1139"/>
      <c r="BM113" s="1139"/>
      <c r="BN113" s="1139"/>
      <c r="BO113" s="1139"/>
      <c r="BP113" s="1139" t="str">
        <f>IF(CONSOLIDA!CW94="","",CONSOLIDA!CW94)</f>
        <v/>
      </c>
      <c r="BQ113" s="1139"/>
      <c r="BR113" s="1139"/>
      <c r="BS113" s="1139"/>
      <c r="BT113" s="1139"/>
      <c r="BU113" s="1139"/>
      <c r="BV113" s="1140" t="str">
        <f>IF(CONSOLIDA!CX94="","",CONSOLIDA!CX94)</f>
        <v/>
      </c>
      <c r="BW113" s="1140"/>
      <c r="BX113" s="1140"/>
      <c r="BY113" s="1140"/>
      <c r="BZ113" s="1140"/>
      <c r="CA113" s="1140"/>
      <c r="CB113" s="1139" t="str">
        <f>IF(CONSOLIDA!CY94="","",CONSOLIDA!CY94)</f>
        <v/>
      </c>
      <c r="CC113" s="1139"/>
      <c r="CD113" s="1139"/>
      <c r="CE113" s="1139"/>
      <c r="CF113" s="1139"/>
      <c r="CG113" s="1139"/>
      <c r="CH113" s="486"/>
      <c r="CI113" s="190" t="str">
        <f>IF(CONSOLIDA!CZ94="","",CONSOLIDA!CZ94)</f>
        <v/>
      </c>
      <c r="CJ113" s="190" t="str">
        <f>IF(CONSOLIDA!DA94="","",CONSOLIDA!DA94)</f>
        <v/>
      </c>
    </row>
    <row r="114" spans="1:88" s="3" customFormat="1" hidden="1">
      <c r="A114" s="243" t="str">
        <f t="shared" si="1"/>
        <v>OK</v>
      </c>
      <c r="B114" s="1141" t="str">
        <f>IF(CONSOLIDA!CL95="","",CONSOLIDA!CL95)</f>
        <v/>
      </c>
      <c r="C114" s="1141"/>
      <c r="D114" s="1134" t="str">
        <f>IF(CONSOLIDA!CN95="","",CONSOLIDA!CN95)</f>
        <v/>
      </c>
      <c r="E114" s="1135"/>
      <c r="F114" s="1135"/>
      <c r="G114" s="1129" t="str">
        <f>IF(CONSOLIDA!CO95="","",CONSOLIDA!CO95)</f>
        <v/>
      </c>
      <c r="H114" s="1129"/>
      <c r="I114" s="1129"/>
      <c r="J114" s="1129"/>
      <c r="K114" s="1129"/>
      <c r="L114" s="1129"/>
      <c r="M114" s="1129"/>
      <c r="N114" s="1129"/>
      <c r="O114" s="1129"/>
      <c r="P114" s="1129"/>
      <c r="Q114" s="1129"/>
      <c r="R114" s="1129"/>
      <c r="S114" s="1129"/>
      <c r="T114" s="1129"/>
      <c r="U114" s="1129"/>
      <c r="V114" s="1129"/>
      <c r="W114" s="1129"/>
      <c r="X114" s="1129"/>
      <c r="Y114" s="1130"/>
      <c r="Z114" s="1139" t="str">
        <f>IF(CONSOLIDA!CP95="","",CONSOLIDA!CP95)</f>
        <v/>
      </c>
      <c r="AA114" s="1139"/>
      <c r="AB114" s="1139"/>
      <c r="AC114" s="1139"/>
      <c r="AD114" s="1139"/>
      <c r="AE114" s="1139"/>
      <c r="AF114" s="1139" t="str">
        <f>IF(CONSOLIDA!CQ95="","",CONSOLIDA!CQ95)</f>
        <v/>
      </c>
      <c r="AG114" s="1139"/>
      <c r="AH114" s="1139"/>
      <c r="AI114" s="1139"/>
      <c r="AJ114" s="1139"/>
      <c r="AK114" s="1139"/>
      <c r="AL114" s="1139" t="str">
        <f>IF(CONSOLIDA!CR95="","",CONSOLIDA!CR95)</f>
        <v/>
      </c>
      <c r="AM114" s="1139"/>
      <c r="AN114" s="1139"/>
      <c r="AO114" s="1139"/>
      <c r="AP114" s="1139"/>
      <c r="AQ114" s="1139"/>
      <c r="AR114" s="1139" t="str">
        <f>IF(CONSOLIDA!CS95="","",CONSOLIDA!CS95)</f>
        <v/>
      </c>
      <c r="AS114" s="1139"/>
      <c r="AT114" s="1139"/>
      <c r="AU114" s="1139"/>
      <c r="AV114" s="1139"/>
      <c r="AW114" s="1139"/>
      <c r="AX114" s="1140" t="str">
        <f>IF(CONSOLIDA!CT95="","",CONSOLIDA!CT95)</f>
        <v/>
      </c>
      <c r="AY114" s="1140"/>
      <c r="AZ114" s="1140"/>
      <c r="BA114" s="1140"/>
      <c r="BB114" s="1140"/>
      <c r="BC114" s="1140"/>
      <c r="BD114" s="1139" t="str">
        <f>IF(CONSOLIDA!CU95="","",CONSOLIDA!CU95)</f>
        <v/>
      </c>
      <c r="BE114" s="1139"/>
      <c r="BF114" s="1139"/>
      <c r="BG114" s="1139"/>
      <c r="BH114" s="1139"/>
      <c r="BI114" s="1139"/>
      <c r="BJ114" s="1139" t="str">
        <f>IF(CONSOLIDA!CV95="","",CONSOLIDA!CV95)</f>
        <v/>
      </c>
      <c r="BK114" s="1139"/>
      <c r="BL114" s="1139"/>
      <c r="BM114" s="1139"/>
      <c r="BN114" s="1139"/>
      <c r="BO114" s="1139"/>
      <c r="BP114" s="1139" t="str">
        <f>IF(CONSOLIDA!CW95="","",CONSOLIDA!CW95)</f>
        <v/>
      </c>
      <c r="BQ114" s="1139"/>
      <c r="BR114" s="1139"/>
      <c r="BS114" s="1139"/>
      <c r="BT114" s="1139"/>
      <c r="BU114" s="1139"/>
      <c r="BV114" s="1140" t="str">
        <f>IF(CONSOLIDA!CX95="","",CONSOLIDA!CX95)</f>
        <v/>
      </c>
      <c r="BW114" s="1140"/>
      <c r="BX114" s="1140"/>
      <c r="BY114" s="1140"/>
      <c r="BZ114" s="1140"/>
      <c r="CA114" s="1140"/>
      <c r="CB114" s="1139" t="str">
        <f>IF(CONSOLIDA!CY95="","",CONSOLIDA!CY95)</f>
        <v/>
      </c>
      <c r="CC114" s="1139"/>
      <c r="CD114" s="1139"/>
      <c r="CE114" s="1139"/>
      <c r="CF114" s="1139"/>
      <c r="CG114" s="1139"/>
      <c r="CH114" s="486"/>
      <c r="CI114" s="190" t="str">
        <f>IF(CONSOLIDA!CZ95="","",CONSOLIDA!CZ95)</f>
        <v/>
      </c>
      <c r="CJ114" s="190" t="str">
        <f>IF(CONSOLIDA!DA95="","",CONSOLIDA!DA95)</f>
        <v/>
      </c>
    </row>
    <row r="115" spans="1:88" s="3" customFormat="1" hidden="1">
      <c r="A115" s="243" t="str">
        <f t="shared" si="1"/>
        <v>OK</v>
      </c>
      <c r="B115" s="1141" t="str">
        <f>IF(CONSOLIDA!CL96="","",CONSOLIDA!CL96)</f>
        <v/>
      </c>
      <c r="C115" s="1141"/>
      <c r="D115" s="1134" t="str">
        <f>IF(CONSOLIDA!CN96="","",CONSOLIDA!CN96)</f>
        <v/>
      </c>
      <c r="E115" s="1135"/>
      <c r="F115" s="1135"/>
      <c r="G115" s="1129" t="str">
        <f>IF(CONSOLIDA!CO96="","",CONSOLIDA!CO96)</f>
        <v/>
      </c>
      <c r="H115" s="1129"/>
      <c r="I115" s="1129"/>
      <c r="J115" s="1129"/>
      <c r="K115" s="1129"/>
      <c r="L115" s="1129"/>
      <c r="M115" s="1129"/>
      <c r="N115" s="1129"/>
      <c r="O115" s="1129"/>
      <c r="P115" s="1129"/>
      <c r="Q115" s="1129"/>
      <c r="R115" s="1129"/>
      <c r="S115" s="1129"/>
      <c r="T115" s="1129"/>
      <c r="U115" s="1129"/>
      <c r="V115" s="1129"/>
      <c r="W115" s="1129"/>
      <c r="X115" s="1129"/>
      <c r="Y115" s="1130"/>
      <c r="Z115" s="1139" t="str">
        <f>IF(CONSOLIDA!CP96="","",CONSOLIDA!CP96)</f>
        <v/>
      </c>
      <c r="AA115" s="1139"/>
      <c r="AB115" s="1139"/>
      <c r="AC115" s="1139"/>
      <c r="AD115" s="1139"/>
      <c r="AE115" s="1139"/>
      <c r="AF115" s="1139" t="str">
        <f>IF(CONSOLIDA!CQ96="","",CONSOLIDA!CQ96)</f>
        <v/>
      </c>
      <c r="AG115" s="1139"/>
      <c r="AH115" s="1139"/>
      <c r="AI115" s="1139"/>
      <c r="AJ115" s="1139"/>
      <c r="AK115" s="1139"/>
      <c r="AL115" s="1139" t="str">
        <f>IF(CONSOLIDA!CR96="","",CONSOLIDA!CR96)</f>
        <v/>
      </c>
      <c r="AM115" s="1139"/>
      <c r="AN115" s="1139"/>
      <c r="AO115" s="1139"/>
      <c r="AP115" s="1139"/>
      <c r="AQ115" s="1139"/>
      <c r="AR115" s="1139" t="str">
        <f>IF(CONSOLIDA!CS96="","",CONSOLIDA!CS96)</f>
        <v/>
      </c>
      <c r="AS115" s="1139"/>
      <c r="AT115" s="1139"/>
      <c r="AU115" s="1139"/>
      <c r="AV115" s="1139"/>
      <c r="AW115" s="1139"/>
      <c r="AX115" s="1140" t="str">
        <f>IF(CONSOLIDA!CT96="","",CONSOLIDA!CT96)</f>
        <v/>
      </c>
      <c r="AY115" s="1140"/>
      <c r="AZ115" s="1140"/>
      <c r="BA115" s="1140"/>
      <c r="BB115" s="1140"/>
      <c r="BC115" s="1140"/>
      <c r="BD115" s="1139" t="str">
        <f>IF(CONSOLIDA!CU96="","",CONSOLIDA!CU96)</f>
        <v/>
      </c>
      <c r="BE115" s="1139"/>
      <c r="BF115" s="1139"/>
      <c r="BG115" s="1139"/>
      <c r="BH115" s="1139"/>
      <c r="BI115" s="1139"/>
      <c r="BJ115" s="1139" t="str">
        <f>IF(CONSOLIDA!CV96="","",CONSOLIDA!CV96)</f>
        <v/>
      </c>
      <c r="BK115" s="1139"/>
      <c r="BL115" s="1139"/>
      <c r="BM115" s="1139"/>
      <c r="BN115" s="1139"/>
      <c r="BO115" s="1139"/>
      <c r="BP115" s="1139" t="str">
        <f>IF(CONSOLIDA!CW96="","",CONSOLIDA!CW96)</f>
        <v/>
      </c>
      <c r="BQ115" s="1139"/>
      <c r="BR115" s="1139"/>
      <c r="BS115" s="1139"/>
      <c r="BT115" s="1139"/>
      <c r="BU115" s="1139"/>
      <c r="BV115" s="1140" t="str">
        <f>IF(CONSOLIDA!CX96="","",CONSOLIDA!CX96)</f>
        <v/>
      </c>
      <c r="BW115" s="1140"/>
      <c r="BX115" s="1140"/>
      <c r="BY115" s="1140"/>
      <c r="BZ115" s="1140"/>
      <c r="CA115" s="1140"/>
      <c r="CB115" s="1139" t="str">
        <f>IF(CONSOLIDA!CY96="","",CONSOLIDA!CY96)</f>
        <v/>
      </c>
      <c r="CC115" s="1139"/>
      <c r="CD115" s="1139"/>
      <c r="CE115" s="1139"/>
      <c r="CF115" s="1139"/>
      <c r="CG115" s="1139"/>
      <c r="CH115" s="486"/>
      <c r="CI115" s="190" t="str">
        <f>IF(CONSOLIDA!CZ96="","",CONSOLIDA!CZ96)</f>
        <v/>
      </c>
      <c r="CJ115" s="190" t="str">
        <f>IF(CONSOLIDA!DA96="","",CONSOLIDA!DA96)</f>
        <v/>
      </c>
    </row>
    <row r="116" spans="1:88" s="3" customFormat="1" hidden="1">
      <c r="A116" s="243" t="str">
        <f t="shared" si="1"/>
        <v>OK</v>
      </c>
      <c r="B116" s="1141" t="str">
        <f>IF(CONSOLIDA!CL97="","",CONSOLIDA!CL97)</f>
        <v/>
      </c>
      <c r="C116" s="1141"/>
      <c r="D116" s="1134" t="str">
        <f>IF(CONSOLIDA!CN97="","",CONSOLIDA!CN97)</f>
        <v/>
      </c>
      <c r="E116" s="1135"/>
      <c r="F116" s="1135"/>
      <c r="G116" s="1129" t="str">
        <f>IF(CONSOLIDA!CO97="","",CONSOLIDA!CO97)</f>
        <v/>
      </c>
      <c r="H116" s="1129"/>
      <c r="I116" s="1129"/>
      <c r="J116" s="1129"/>
      <c r="K116" s="1129"/>
      <c r="L116" s="1129"/>
      <c r="M116" s="1129"/>
      <c r="N116" s="1129"/>
      <c r="O116" s="1129"/>
      <c r="P116" s="1129"/>
      <c r="Q116" s="1129"/>
      <c r="R116" s="1129"/>
      <c r="S116" s="1129"/>
      <c r="T116" s="1129"/>
      <c r="U116" s="1129"/>
      <c r="V116" s="1129"/>
      <c r="W116" s="1129"/>
      <c r="X116" s="1129"/>
      <c r="Y116" s="1130"/>
      <c r="Z116" s="1139" t="str">
        <f>IF(CONSOLIDA!CP97="","",CONSOLIDA!CP97)</f>
        <v/>
      </c>
      <c r="AA116" s="1139"/>
      <c r="AB116" s="1139"/>
      <c r="AC116" s="1139"/>
      <c r="AD116" s="1139"/>
      <c r="AE116" s="1139"/>
      <c r="AF116" s="1139" t="str">
        <f>IF(CONSOLIDA!CQ97="","",CONSOLIDA!CQ97)</f>
        <v/>
      </c>
      <c r="AG116" s="1139"/>
      <c r="AH116" s="1139"/>
      <c r="AI116" s="1139"/>
      <c r="AJ116" s="1139"/>
      <c r="AK116" s="1139"/>
      <c r="AL116" s="1139" t="str">
        <f>IF(CONSOLIDA!CR97="","",CONSOLIDA!CR97)</f>
        <v/>
      </c>
      <c r="AM116" s="1139"/>
      <c r="AN116" s="1139"/>
      <c r="AO116" s="1139"/>
      <c r="AP116" s="1139"/>
      <c r="AQ116" s="1139"/>
      <c r="AR116" s="1139" t="str">
        <f>IF(CONSOLIDA!CS97="","",CONSOLIDA!CS97)</f>
        <v/>
      </c>
      <c r="AS116" s="1139"/>
      <c r="AT116" s="1139"/>
      <c r="AU116" s="1139"/>
      <c r="AV116" s="1139"/>
      <c r="AW116" s="1139"/>
      <c r="AX116" s="1140" t="str">
        <f>IF(CONSOLIDA!CT97="","",CONSOLIDA!CT97)</f>
        <v/>
      </c>
      <c r="AY116" s="1140"/>
      <c r="AZ116" s="1140"/>
      <c r="BA116" s="1140"/>
      <c r="BB116" s="1140"/>
      <c r="BC116" s="1140"/>
      <c r="BD116" s="1139" t="str">
        <f>IF(CONSOLIDA!CU97="","",CONSOLIDA!CU97)</f>
        <v/>
      </c>
      <c r="BE116" s="1139"/>
      <c r="BF116" s="1139"/>
      <c r="BG116" s="1139"/>
      <c r="BH116" s="1139"/>
      <c r="BI116" s="1139"/>
      <c r="BJ116" s="1139" t="str">
        <f>IF(CONSOLIDA!CV97="","",CONSOLIDA!CV97)</f>
        <v/>
      </c>
      <c r="BK116" s="1139"/>
      <c r="BL116" s="1139"/>
      <c r="BM116" s="1139"/>
      <c r="BN116" s="1139"/>
      <c r="BO116" s="1139"/>
      <c r="BP116" s="1139" t="str">
        <f>IF(CONSOLIDA!CW97="","",CONSOLIDA!CW97)</f>
        <v/>
      </c>
      <c r="BQ116" s="1139"/>
      <c r="BR116" s="1139"/>
      <c r="BS116" s="1139"/>
      <c r="BT116" s="1139"/>
      <c r="BU116" s="1139"/>
      <c r="BV116" s="1140" t="str">
        <f>IF(CONSOLIDA!CX97="","",CONSOLIDA!CX97)</f>
        <v/>
      </c>
      <c r="BW116" s="1140"/>
      <c r="BX116" s="1140"/>
      <c r="BY116" s="1140"/>
      <c r="BZ116" s="1140"/>
      <c r="CA116" s="1140"/>
      <c r="CB116" s="1139" t="str">
        <f>IF(CONSOLIDA!CY97="","",CONSOLIDA!CY97)</f>
        <v/>
      </c>
      <c r="CC116" s="1139"/>
      <c r="CD116" s="1139"/>
      <c r="CE116" s="1139"/>
      <c r="CF116" s="1139"/>
      <c r="CG116" s="1139"/>
      <c r="CH116" s="486"/>
      <c r="CI116" s="190" t="str">
        <f>IF(CONSOLIDA!CZ97="","",CONSOLIDA!CZ97)</f>
        <v/>
      </c>
      <c r="CJ116" s="190" t="str">
        <f>IF(CONSOLIDA!DA97="","",CONSOLIDA!DA97)</f>
        <v/>
      </c>
    </row>
    <row r="117" spans="1:88" s="3" customFormat="1" hidden="1">
      <c r="A117" s="243" t="str">
        <f t="shared" si="1"/>
        <v>OK</v>
      </c>
      <c r="B117" s="1141" t="str">
        <f>IF(CONSOLIDA!CL98="","",CONSOLIDA!CL98)</f>
        <v/>
      </c>
      <c r="C117" s="1141"/>
      <c r="D117" s="1134" t="str">
        <f>IF(CONSOLIDA!CN98="","",CONSOLIDA!CN98)</f>
        <v/>
      </c>
      <c r="E117" s="1135"/>
      <c r="F117" s="1135"/>
      <c r="G117" s="1129" t="str">
        <f>IF(CONSOLIDA!CO98="","",CONSOLIDA!CO98)</f>
        <v/>
      </c>
      <c r="H117" s="1129"/>
      <c r="I117" s="1129"/>
      <c r="J117" s="1129"/>
      <c r="K117" s="1129"/>
      <c r="L117" s="1129"/>
      <c r="M117" s="1129"/>
      <c r="N117" s="1129"/>
      <c r="O117" s="1129"/>
      <c r="P117" s="1129"/>
      <c r="Q117" s="1129"/>
      <c r="R117" s="1129"/>
      <c r="S117" s="1129"/>
      <c r="T117" s="1129"/>
      <c r="U117" s="1129"/>
      <c r="V117" s="1129"/>
      <c r="W117" s="1129"/>
      <c r="X117" s="1129"/>
      <c r="Y117" s="1130"/>
      <c r="Z117" s="1139" t="str">
        <f>IF(CONSOLIDA!CP98="","",CONSOLIDA!CP98)</f>
        <v/>
      </c>
      <c r="AA117" s="1139"/>
      <c r="AB117" s="1139"/>
      <c r="AC117" s="1139"/>
      <c r="AD117" s="1139"/>
      <c r="AE117" s="1139"/>
      <c r="AF117" s="1139" t="str">
        <f>IF(CONSOLIDA!CQ98="","",CONSOLIDA!CQ98)</f>
        <v/>
      </c>
      <c r="AG117" s="1139"/>
      <c r="AH117" s="1139"/>
      <c r="AI117" s="1139"/>
      <c r="AJ117" s="1139"/>
      <c r="AK117" s="1139"/>
      <c r="AL117" s="1139" t="str">
        <f>IF(CONSOLIDA!CR98="","",CONSOLIDA!CR98)</f>
        <v/>
      </c>
      <c r="AM117" s="1139"/>
      <c r="AN117" s="1139"/>
      <c r="AO117" s="1139"/>
      <c r="AP117" s="1139"/>
      <c r="AQ117" s="1139"/>
      <c r="AR117" s="1139" t="str">
        <f>IF(CONSOLIDA!CS98="","",CONSOLIDA!CS98)</f>
        <v/>
      </c>
      <c r="AS117" s="1139"/>
      <c r="AT117" s="1139"/>
      <c r="AU117" s="1139"/>
      <c r="AV117" s="1139"/>
      <c r="AW117" s="1139"/>
      <c r="AX117" s="1140" t="str">
        <f>IF(CONSOLIDA!CT98="","",CONSOLIDA!CT98)</f>
        <v/>
      </c>
      <c r="AY117" s="1140"/>
      <c r="AZ117" s="1140"/>
      <c r="BA117" s="1140"/>
      <c r="BB117" s="1140"/>
      <c r="BC117" s="1140"/>
      <c r="BD117" s="1139" t="str">
        <f>IF(CONSOLIDA!CU98="","",CONSOLIDA!CU98)</f>
        <v/>
      </c>
      <c r="BE117" s="1139"/>
      <c r="BF117" s="1139"/>
      <c r="BG117" s="1139"/>
      <c r="BH117" s="1139"/>
      <c r="BI117" s="1139"/>
      <c r="BJ117" s="1139" t="str">
        <f>IF(CONSOLIDA!CV98="","",CONSOLIDA!CV98)</f>
        <v/>
      </c>
      <c r="BK117" s="1139"/>
      <c r="BL117" s="1139"/>
      <c r="BM117" s="1139"/>
      <c r="BN117" s="1139"/>
      <c r="BO117" s="1139"/>
      <c r="BP117" s="1139" t="str">
        <f>IF(CONSOLIDA!CW98="","",CONSOLIDA!CW98)</f>
        <v/>
      </c>
      <c r="BQ117" s="1139"/>
      <c r="BR117" s="1139"/>
      <c r="BS117" s="1139"/>
      <c r="BT117" s="1139"/>
      <c r="BU117" s="1139"/>
      <c r="BV117" s="1140" t="str">
        <f>IF(CONSOLIDA!CX98="","",CONSOLIDA!CX98)</f>
        <v/>
      </c>
      <c r="BW117" s="1140"/>
      <c r="BX117" s="1140"/>
      <c r="BY117" s="1140"/>
      <c r="BZ117" s="1140"/>
      <c r="CA117" s="1140"/>
      <c r="CB117" s="1139" t="str">
        <f>IF(CONSOLIDA!CY98="","",CONSOLIDA!CY98)</f>
        <v/>
      </c>
      <c r="CC117" s="1139"/>
      <c r="CD117" s="1139"/>
      <c r="CE117" s="1139"/>
      <c r="CF117" s="1139"/>
      <c r="CG117" s="1139"/>
      <c r="CH117" s="486"/>
      <c r="CI117" s="190" t="str">
        <f>IF(CONSOLIDA!CZ98="","",CONSOLIDA!CZ98)</f>
        <v/>
      </c>
      <c r="CJ117" s="190" t="str">
        <f>IF(CONSOLIDA!DA98="","",CONSOLIDA!DA98)</f>
        <v/>
      </c>
    </row>
    <row r="118" spans="1:88" s="3" customFormat="1" hidden="1">
      <c r="A118" s="243" t="str">
        <f t="shared" si="1"/>
        <v>OK</v>
      </c>
      <c r="B118" s="1141" t="str">
        <f>IF(CONSOLIDA!CL99="","",CONSOLIDA!CL99)</f>
        <v/>
      </c>
      <c r="C118" s="1141"/>
      <c r="D118" s="1134" t="str">
        <f>IF(CONSOLIDA!CN99="","",CONSOLIDA!CN99)</f>
        <v/>
      </c>
      <c r="E118" s="1135"/>
      <c r="F118" s="1135"/>
      <c r="G118" s="1129" t="str">
        <f>IF(CONSOLIDA!CO99="","",CONSOLIDA!CO99)</f>
        <v/>
      </c>
      <c r="H118" s="1129"/>
      <c r="I118" s="1129"/>
      <c r="J118" s="1129"/>
      <c r="K118" s="1129"/>
      <c r="L118" s="1129"/>
      <c r="M118" s="1129"/>
      <c r="N118" s="1129"/>
      <c r="O118" s="1129"/>
      <c r="P118" s="1129"/>
      <c r="Q118" s="1129"/>
      <c r="R118" s="1129"/>
      <c r="S118" s="1129"/>
      <c r="T118" s="1129"/>
      <c r="U118" s="1129"/>
      <c r="V118" s="1129"/>
      <c r="W118" s="1129"/>
      <c r="X118" s="1129"/>
      <c r="Y118" s="1130"/>
      <c r="Z118" s="1139" t="str">
        <f>IF(CONSOLIDA!CP99="","",CONSOLIDA!CP99)</f>
        <v/>
      </c>
      <c r="AA118" s="1139"/>
      <c r="AB118" s="1139"/>
      <c r="AC118" s="1139"/>
      <c r="AD118" s="1139"/>
      <c r="AE118" s="1139"/>
      <c r="AF118" s="1139" t="str">
        <f>IF(CONSOLIDA!CQ99="","",CONSOLIDA!CQ99)</f>
        <v/>
      </c>
      <c r="AG118" s="1139"/>
      <c r="AH118" s="1139"/>
      <c r="AI118" s="1139"/>
      <c r="AJ118" s="1139"/>
      <c r="AK118" s="1139"/>
      <c r="AL118" s="1139" t="str">
        <f>IF(CONSOLIDA!CR99="","",CONSOLIDA!CR99)</f>
        <v/>
      </c>
      <c r="AM118" s="1139"/>
      <c r="AN118" s="1139"/>
      <c r="AO118" s="1139"/>
      <c r="AP118" s="1139"/>
      <c r="AQ118" s="1139"/>
      <c r="AR118" s="1139" t="str">
        <f>IF(CONSOLIDA!CS99="","",CONSOLIDA!CS99)</f>
        <v/>
      </c>
      <c r="AS118" s="1139"/>
      <c r="AT118" s="1139"/>
      <c r="AU118" s="1139"/>
      <c r="AV118" s="1139"/>
      <c r="AW118" s="1139"/>
      <c r="AX118" s="1140" t="str">
        <f>IF(CONSOLIDA!CT99="","",CONSOLIDA!CT99)</f>
        <v/>
      </c>
      <c r="AY118" s="1140"/>
      <c r="AZ118" s="1140"/>
      <c r="BA118" s="1140"/>
      <c r="BB118" s="1140"/>
      <c r="BC118" s="1140"/>
      <c r="BD118" s="1139" t="str">
        <f>IF(CONSOLIDA!CU99="","",CONSOLIDA!CU99)</f>
        <v/>
      </c>
      <c r="BE118" s="1139"/>
      <c r="BF118" s="1139"/>
      <c r="BG118" s="1139"/>
      <c r="BH118" s="1139"/>
      <c r="BI118" s="1139"/>
      <c r="BJ118" s="1139" t="str">
        <f>IF(CONSOLIDA!CV99="","",CONSOLIDA!CV99)</f>
        <v/>
      </c>
      <c r="BK118" s="1139"/>
      <c r="BL118" s="1139"/>
      <c r="BM118" s="1139"/>
      <c r="BN118" s="1139"/>
      <c r="BO118" s="1139"/>
      <c r="BP118" s="1139" t="str">
        <f>IF(CONSOLIDA!CW99="","",CONSOLIDA!CW99)</f>
        <v/>
      </c>
      <c r="BQ118" s="1139"/>
      <c r="BR118" s="1139"/>
      <c r="BS118" s="1139"/>
      <c r="BT118" s="1139"/>
      <c r="BU118" s="1139"/>
      <c r="BV118" s="1140" t="str">
        <f>IF(CONSOLIDA!CX99="","",CONSOLIDA!CX99)</f>
        <v/>
      </c>
      <c r="BW118" s="1140"/>
      <c r="BX118" s="1140"/>
      <c r="BY118" s="1140"/>
      <c r="BZ118" s="1140"/>
      <c r="CA118" s="1140"/>
      <c r="CB118" s="1139" t="str">
        <f>IF(CONSOLIDA!CY99="","",CONSOLIDA!CY99)</f>
        <v/>
      </c>
      <c r="CC118" s="1139"/>
      <c r="CD118" s="1139"/>
      <c r="CE118" s="1139"/>
      <c r="CF118" s="1139"/>
      <c r="CG118" s="1139"/>
      <c r="CH118" s="486"/>
      <c r="CI118" s="190" t="str">
        <f>IF(CONSOLIDA!CZ99="","",CONSOLIDA!CZ99)</f>
        <v/>
      </c>
      <c r="CJ118" s="190" t="str">
        <f>IF(CONSOLIDA!DA99="","",CONSOLIDA!DA99)</f>
        <v/>
      </c>
    </row>
    <row r="119" spans="1:88" s="3" customFormat="1" hidden="1">
      <c r="A119" s="243" t="str">
        <f t="shared" si="1"/>
        <v>OK</v>
      </c>
      <c r="B119" s="1141" t="str">
        <f>IF(CONSOLIDA!CL100="","",CONSOLIDA!CL100)</f>
        <v/>
      </c>
      <c r="C119" s="1141"/>
      <c r="D119" s="1134" t="str">
        <f>IF(CONSOLIDA!CN100="","",CONSOLIDA!CN100)</f>
        <v/>
      </c>
      <c r="E119" s="1135"/>
      <c r="F119" s="1135"/>
      <c r="G119" s="1129" t="str">
        <f>IF(CONSOLIDA!CO100="","",CONSOLIDA!CO100)</f>
        <v/>
      </c>
      <c r="H119" s="1129"/>
      <c r="I119" s="1129"/>
      <c r="J119" s="1129"/>
      <c r="K119" s="1129"/>
      <c r="L119" s="1129"/>
      <c r="M119" s="1129"/>
      <c r="N119" s="1129"/>
      <c r="O119" s="1129"/>
      <c r="P119" s="1129"/>
      <c r="Q119" s="1129"/>
      <c r="R119" s="1129"/>
      <c r="S119" s="1129"/>
      <c r="T119" s="1129"/>
      <c r="U119" s="1129"/>
      <c r="V119" s="1129"/>
      <c r="W119" s="1129"/>
      <c r="X119" s="1129"/>
      <c r="Y119" s="1130"/>
      <c r="Z119" s="1139" t="str">
        <f>IF(CONSOLIDA!CP100="","",CONSOLIDA!CP100)</f>
        <v/>
      </c>
      <c r="AA119" s="1139"/>
      <c r="AB119" s="1139"/>
      <c r="AC119" s="1139"/>
      <c r="AD119" s="1139"/>
      <c r="AE119" s="1139"/>
      <c r="AF119" s="1139" t="str">
        <f>IF(CONSOLIDA!CQ100="","",CONSOLIDA!CQ100)</f>
        <v/>
      </c>
      <c r="AG119" s="1139"/>
      <c r="AH119" s="1139"/>
      <c r="AI119" s="1139"/>
      <c r="AJ119" s="1139"/>
      <c r="AK119" s="1139"/>
      <c r="AL119" s="1139" t="str">
        <f>IF(CONSOLIDA!CR100="","",CONSOLIDA!CR100)</f>
        <v/>
      </c>
      <c r="AM119" s="1139"/>
      <c r="AN119" s="1139"/>
      <c r="AO119" s="1139"/>
      <c r="AP119" s="1139"/>
      <c r="AQ119" s="1139"/>
      <c r="AR119" s="1139" t="str">
        <f>IF(CONSOLIDA!CS100="","",CONSOLIDA!CS100)</f>
        <v/>
      </c>
      <c r="AS119" s="1139"/>
      <c r="AT119" s="1139"/>
      <c r="AU119" s="1139"/>
      <c r="AV119" s="1139"/>
      <c r="AW119" s="1139"/>
      <c r="AX119" s="1140" t="str">
        <f>IF(CONSOLIDA!CT100="","",CONSOLIDA!CT100)</f>
        <v/>
      </c>
      <c r="AY119" s="1140"/>
      <c r="AZ119" s="1140"/>
      <c r="BA119" s="1140"/>
      <c r="BB119" s="1140"/>
      <c r="BC119" s="1140"/>
      <c r="BD119" s="1139" t="str">
        <f>IF(CONSOLIDA!CU100="","",CONSOLIDA!CU100)</f>
        <v/>
      </c>
      <c r="BE119" s="1139"/>
      <c r="BF119" s="1139"/>
      <c r="BG119" s="1139"/>
      <c r="BH119" s="1139"/>
      <c r="BI119" s="1139"/>
      <c r="BJ119" s="1139" t="str">
        <f>IF(CONSOLIDA!CV100="","",CONSOLIDA!CV100)</f>
        <v/>
      </c>
      <c r="BK119" s="1139"/>
      <c r="BL119" s="1139"/>
      <c r="BM119" s="1139"/>
      <c r="BN119" s="1139"/>
      <c r="BO119" s="1139"/>
      <c r="BP119" s="1139" t="str">
        <f>IF(CONSOLIDA!CW100="","",CONSOLIDA!CW100)</f>
        <v/>
      </c>
      <c r="BQ119" s="1139"/>
      <c r="BR119" s="1139"/>
      <c r="BS119" s="1139"/>
      <c r="BT119" s="1139"/>
      <c r="BU119" s="1139"/>
      <c r="BV119" s="1140" t="str">
        <f>IF(CONSOLIDA!CX100="","",CONSOLIDA!CX100)</f>
        <v/>
      </c>
      <c r="BW119" s="1140"/>
      <c r="BX119" s="1140"/>
      <c r="BY119" s="1140"/>
      <c r="BZ119" s="1140"/>
      <c r="CA119" s="1140"/>
      <c r="CB119" s="1139" t="str">
        <f>IF(CONSOLIDA!CY100="","",CONSOLIDA!CY100)</f>
        <v/>
      </c>
      <c r="CC119" s="1139"/>
      <c r="CD119" s="1139"/>
      <c r="CE119" s="1139"/>
      <c r="CF119" s="1139"/>
      <c r="CG119" s="1139"/>
      <c r="CH119" s="486"/>
      <c r="CI119" s="190" t="str">
        <f>IF(CONSOLIDA!CZ100="","",CONSOLIDA!CZ100)</f>
        <v/>
      </c>
      <c r="CJ119" s="190" t="str">
        <f>IF(CONSOLIDA!DA100="","",CONSOLIDA!DA100)</f>
        <v/>
      </c>
    </row>
    <row r="120" spans="1:88" s="3" customFormat="1" hidden="1">
      <c r="A120" s="243" t="str">
        <f t="shared" si="1"/>
        <v>OK</v>
      </c>
      <c r="B120" s="1141" t="str">
        <f>IF(CONSOLIDA!CL101="","",CONSOLIDA!CL101)</f>
        <v/>
      </c>
      <c r="C120" s="1141"/>
      <c r="D120" s="1134" t="str">
        <f>IF(CONSOLIDA!CN101="","",CONSOLIDA!CN101)</f>
        <v/>
      </c>
      <c r="E120" s="1135"/>
      <c r="F120" s="1135"/>
      <c r="G120" s="1129" t="str">
        <f>IF(CONSOLIDA!CO101="","",CONSOLIDA!CO101)</f>
        <v/>
      </c>
      <c r="H120" s="1129"/>
      <c r="I120" s="1129"/>
      <c r="J120" s="1129"/>
      <c r="K120" s="1129"/>
      <c r="L120" s="1129"/>
      <c r="M120" s="1129"/>
      <c r="N120" s="1129"/>
      <c r="O120" s="1129"/>
      <c r="P120" s="1129"/>
      <c r="Q120" s="1129"/>
      <c r="R120" s="1129"/>
      <c r="S120" s="1129"/>
      <c r="T120" s="1129"/>
      <c r="U120" s="1129"/>
      <c r="V120" s="1129"/>
      <c r="W120" s="1129"/>
      <c r="X120" s="1129"/>
      <c r="Y120" s="1130"/>
      <c r="Z120" s="1139" t="str">
        <f>IF(CONSOLIDA!CP101="","",CONSOLIDA!CP101)</f>
        <v/>
      </c>
      <c r="AA120" s="1139"/>
      <c r="AB120" s="1139"/>
      <c r="AC120" s="1139"/>
      <c r="AD120" s="1139"/>
      <c r="AE120" s="1139"/>
      <c r="AF120" s="1139" t="str">
        <f>IF(CONSOLIDA!CQ101="","",CONSOLIDA!CQ101)</f>
        <v/>
      </c>
      <c r="AG120" s="1139"/>
      <c r="AH120" s="1139"/>
      <c r="AI120" s="1139"/>
      <c r="AJ120" s="1139"/>
      <c r="AK120" s="1139"/>
      <c r="AL120" s="1139" t="str">
        <f>IF(CONSOLIDA!CR101="","",CONSOLIDA!CR101)</f>
        <v/>
      </c>
      <c r="AM120" s="1139"/>
      <c r="AN120" s="1139"/>
      <c r="AO120" s="1139"/>
      <c r="AP120" s="1139"/>
      <c r="AQ120" s="1139"/>
      <c r="AR120" s="1139" t="str">
        <f>IF(CONSOLIDA!CS101="","",CONSOLIDA!CS101)</f>
        <v/>
      </c>
      <c r="AS120" s="1139"/>
      <c r="AT120" s="1139"/>
      <c r="AU120" s="1139"/>
      <c r="AV120" s="1139"/>
      <c r="AW120" s="1139"/>
      <c r="AX120" s="1140" t="str">
        <f>IF(CONSOLIDA!CT101="","",CONSOLIDA!CT101)</f>
        <v/>
      </c>
      <c r="AY120" s="1140"/>
      <c r="AZ120" s="1140"/>
      <c r="BA120" s="1140"/>
      <c r="BB120" s="1140"/>
      <c r="BC120" s="1140"/>
      <c r="BD120" s="1139" t="str">
        <f>IF(CONSOLIDA!CU101="","",CONSOLIDA!CU101)</f>
        <v/>
      </c>
      <c r="BE120" s="1139"/>
      <c r="BF120" s="1139"/>
      <c r="BG120" s="1139"/>
      <c r="BH120" s="1139"/>
      <c r="BI120" s="1139"/>
      <c r="BJ120" s="1139" t="str">
        <f>IF(CONSOLIDA!CV101="","",CONSOLIDA!CV101)</f>
        <v/>
      </c>
      <c r="BK120" s="1139"/>
      <c r="BL120" s="1139"/>
      <c r="BM120" s="1139"/>
      <c r="BN120" s="1139"/>
      <c r="BO120" s="1139"/>
      <c r="BP120" s="1139" t="str">
        <f>IF(CONSOLIDA!CW101="","",CONSOLIDA!CW101)</f>
        <v/>
      </c>
      <c r="BQ120" s="1139"/>
      <c r="BR120" s="1139"/>
      <c r="BS120" s="1139"/>
      <c r="BT120" s="1139"/>
      <c r="BU120" s="1139"/>
      <c r="BV120" s="1140" t="str">
        <f>IF(CONSOLIDA!CX101="","",CONSOLIDA!CX101)</f>
        <v/>
      </c>
      <c r="BW120" s="1140"/>
      <c r="BX120" s="1140"/>
      <c r="BY120" s="1140"/>
      <c r="BZ120" s="1140"/>
      <c r="CA120" s="1140"/>
      <c r="CB120" s="1139" t="str">
        <f>IF(CONSOLIDA!CY101="","",CONSOLIDA!CY101)</f>
        <v/>
      </c>
      <c r="CC120" s="1139"/>
      <c r="CD120" s="1139"/>
      <c r="CE120" s="1139"/>
      <c r="CF120" s="1139"/>
      <c r="CG120" s="1139"/>
      <c r="CH120" s="486"/>
      <c r="CI120" s="190" t="str">
        <f>IF(CONSOLIDA!CZ101="","",CONSOLIDA!CZ101)</f>
        <v/>
      </c>
      <c r="CJ120" s="190" t="str">
        <f>IF(CONSOLIDA!DA101="","",CONSOLIDA!DA101)</f>
        <v/>
      </c>
    </row>
    <row r="121" spans="1:88" s="3" customFormat="1" hidden="1">
      <c r="A121" s="243" t="str">
        <f t="shared" si="1"/>
        <v>OK</v>
      </c>
      <c r="B121" s="1141" t="str">
        <f>IF(CONSOLIDA!CL102="","",CONSOLIDA!CL102)</f>
        <v/>
      </c>
      <c r="C121" s="1141"/>
      <c r="D121" s="1134" t="str">
        <f>IF(CONSOLIDA!CN102="","",CONSOLIDA!CN102)</f>
        <v/>
      </c>
      <c r="E121" s="1135"/>
      <c r="F121" s="1135"/>
      <c r="G121" s="1129" t="str">
        <f>IF(CONSOLIDA!CO102="","",CONSOLIDA!CO102)</f>
        <v/>
      </c>
      <c r="H121" s="1129"/>
      <c r="I121" s="1129"/>
      <c r="J121" s="1129"/>
      <c r="K121" s="1129"/>
      <c r="L121" s="1129"/>
      <c r="M121" s="1129"/>
      <c r="N121" s="1129"/>
      <c r="O121" s="1129"/>
      <c r="P121" s="1129"/>
      <c r="Q121" s="1129"/>
      <c r="R121" s="1129"/>
      <c r="S121" s="1129"/>
      <c r="T121" s="1129"/>
      <c r="U121" s="1129"/>
      <c r="V121" s="1129"/>
      <c r="W121" s="1129"/>
      <c r="X121" s="1129"/>
      <c r="Y121" s="1130"/>
      <c r="Z121" s="1139" t="str">
        <f>IF(CONSOLIDA!CP102="","",CONSOLIDA!CP102)</f>
        <v/>
      </c>
      <c r="AA121" s="1139"/>
      <c r="AB121" s="1139"/>
      <c r="AC121" s="1139"/>
      <c r="AD121" s="1139"/>
      <c r="AE121" s="1139"/>
      <c r="AF121" s="1139" t="str">
        <f>IF(CONSOLIDA!CQ102="","",CONSOLIDA!CQ102)</f>
        <v/>
      </c>
      <c r="AG121" s="1139"/>
      <c r="AH121" s="1139"/>
      <c r="AI121" s="1139"/>
      <c r="AJ121" s="1139"/>
      <c r="AK121" s="1139"/>
      <c r="AL121" s="1139" t="str">
        <f>IF(CONSOLIDA!CR102="","",CONSOLIDA!CR102)</f>
        <v/>
      </c>
      <c r="AM121" s="1139"/>
      <c r="AN121" s="1139"/>
      <c r="AO121" s="1139"/>
      <c r="AP121" s="1139"/>
      <c r="AQ121" s="1139"/>
      <c r="AR121" s="1139" t="str">
        <f>IF(CONSOLIDA!CS102="","",CONSOLIDA!CS102)</f>
        <v/>
      </c>
      <c r="AS121" s="1139"/>
      <c r="AT121" s="1139"/>
      <c r="AU121" s="1139"/>
      <c r="AV121" s="1139"/>
      <c r="AW121" s="1139"/>
      <c r="AX121" s="1140" t="str">
        <f>IF(CONSOLIDA!CT102="","",CONSOLIDA!CT102)</f>
        <v/>
      </c>
      <c r="AY121" s="1140"/>
      <c r="AZ121" s="1140"/>
      <c r="BA121" s="1140"/>
      <c r="BB121" s="1140"/>
      <c r="BC121" s="1140"/>
      <c r="BD121" s="1139" t="str">
        <f>IF(CONSOLIDA!CU102="","",CONSOLIDA!CU102)</f>
        <v/>
      </c>
      <c r="BE121" s="1139"/>
      <c r="BF121" s="1139"/>
      <c r="BG121" s="1139"/>
      <c r="BH121" s="1139"/>
      <c r="BI121" s="1139"/>
      <c r="BJ121" s="1139" t="str">
        <f>IF(CONSOLIDA!CV102="","",CONSOLIDA!CV102)</f>
        <v/>
      </c>
      <c r="BK121" s="1139"/>
      <c r="BL121" s="1139"/>
      <c r="BM121" s="1139"/>
      <c r="BN121" s="1139"/>
      <c r="BO121" s="1139"/>
      <c r="BP121" s="1139" t="str">
        <f>IF(CONSOLIDA!CW102="","",CONSOLIDA!CW102)</f>
        <v/>
      </c>
      <c r="BQ121" s="1139"/>
      <c r="BR121" s="1139"/>
      <c r="BS121" s="1139"/>
      <c r="BT121" s="1139"/>
      <c r="BU121" s="1139"/>
      <c r="BV121" s="1140" t="str">
        <f>IF(CONSOLIDA!CX102="","",CONSOLIDA!CX102)</f>
        <v/>
      </c>
      <c r="BW121" s="1140"/>
      <c r="BX121" s="1140"/>
      <c r="BY121" s="1140"/>
      <c r="BZ121" s="1140"/>
      <c r="CA121" s="1140"/>
      <c r="CB121" s="1139" t="str">
        <f>IF(CONSOLIDA!CY102="","",CONSOLIDA!CY102)</f>
        <v/>
      </c>
      <c r="CC121" s="1139"/>
      <c r="CD121" s="1139"/>
      <c r="CE121" s="1139"/>
      <c r="CF121" s="1139"/>
      <c r="CG121" s="1139"/>
      <c r="CH121" s="486"/>
      <c r="CI121" s="190" t="str">
        <f>IF(CONSOLIDA!CZ102="","",CONSOLIDA!CZ102)</f>
        <v/>
      </c>
      <c r="CJ121" s="190" t="str">
        <f>IF(CONSOLIDA!DA102="","",CONSOLIDA!DA102)</f>
        <v/>
      </c>
    </row>
    <row r="122" spans="1:88" s="3" customFormat="1" hidden="1">
      <c r="A122" s="243" t="str">
        <f t="shared" si="1"/>
        <v>OK</v>
      </c>
      <c r="B122" s="1141" t="str">
        <f>IF(CONSOLIDA!CL103="","",CONSOLIDA!CL103)</f>
        <v/>
      </c>
      <c r="C122" s="1141"/>
      <c r="D122" s="1134" t="str">
        <f>IF(CONSOLIDA!CN103="","",CONSOLIDA!CN103)</f>
        <v/>
      </c>
      <c r="E122" s="1135"/>
      <c r="F122" s="1135"/>
      <c r="G122" s="1129" t="str">
        <f>IF(CONSOLIDA!CO103="","",CONSOLIDA!CO103)</f>
        <v/>
      </c>
      <c r="H122" s="1129"/>
      <c r="I122" s="1129"/>
      <c r="J122" s="1129"/>
      <c r="K122" s="1129"/>
      <c r="L122" s="1129"/>
      <c r="M122" s="1129"/>
      <c r="N122" s="1129"/>
      <c r="O122" s="1129"/>
      <c r="P122" s="1129"/>
      <c r="Q122" s="1129"/>
      <c r="R122" s="1129"/>
      <c r="S122" s="1129"/>
      <c r="T122" s="1129"/>
      <c r="U122" s="1129"/>
      <c r="V122" s="1129"/>
      <c r="W122" s="1129"/>
      <c r="X122" s="1129"/>
      <c r="Y122" s="1130"/>
      <c r="Z122" s="1139" t="str">
        <f>IF(CONSOLIDA!CP103="","",CONSOLIDA!CP103)</f>
        <v/>
      </c>
      <c r="AA122" s="1139"/>
      <c r="AB122" s="1139"/>
      <c r="AC122" s="1139"/>
      <c r="AD122" s="1139"/>
      <c r="AE122" s="1139"/>
      <c r="AF122" s="1139" t="str">
        <f>IF(CONSOLIDA!CQ103="","",CONSOLIDA!CQ103)</f>
        <v/>
      </c>
      <c r="AG122" s="1139"/>
      <c r="AH122" s="1139"/>
      <c r="AI122" s="1139"/>
      <c r="AJ122" s="1139"/>
      <c r="AK122" s="1139"/>
      <c r="AL122" s="1139" t="str">
        <f>IF(CONSOLIDA!CR103="","",CONSOLIDA!CR103)</f>
        <v/>
      </c>
      <c r="AM122" s="1139"/>
      <c r="AN122" s="1139"/>
      <c r="AO122" s="1139"/>
      <c r="AP122" s="1139"/>
      <c r="AQ122" s="1139"/>
      <c r="AR122" s="1139" t="str">
        <f>IF(CONSOLIDA!CS103="","",CONSOLIDA!CS103)</f>
        <v/>
      </c>
      <c r="AS122" s="1139"/>
      <c r="AT122" s="1139"/>
      <c r="AU122" s="1139"/>
      <c r="AV122" s="1139"/>
      <c r="AW122" s="1139"/>
      <c r="AX122" s="1140" t="str">
        <f>IF(CONSOLIDA!CT103="","",CONSOLIDA!CT103)</f>
        <v/>
      </c>
      <c r="AY122" s="1140"/>
      <c r="AZ122" s="1140"/>
      <c r="BA122" s="1140"/>
      <c r="BB122" s="1140"/>
      <c r="BC122" s="1140"/>
      <c r="BD122" s="1139" t="str">
        <f>IF(CONSOLIDA!CU103="","",CONSOLIDA!CU103)</f>
        <v/>
      </c>
      <c r="BE122" s="1139"/>
      <c r="BF122" s="1139"/>
      <c r="BG122" s="1139"/>
      <c r="BH122" s="1139"/>
      <c r="BI122" s="1139"/>
      <c r="BJ122" s="1139" t="str">
        <f>IF(CONSOLIDA!CV103="","",CONSOLIDA!CV103)</f>
        <v/>
      </c>
      <c r="BK122" s="1139"/>
      <c r="BL122" s="1139"/>
      <c r="BM122" s="1139"/>
      <c r="BN122" s="1139"/>
      <c r="BO122" s="1139"/>
      <c r="BP122" s="1139" t="str">
        <f>IF(CONSOLIDA!CW103="","",CONSOLIDA!CW103)</f>
        <v/>
      </c>
      <c r="BQ122" s="1139"/>
      <c r="BR122" s="1139"/>
      <c r="BS122" s="1139"/>
      <c r="BT122" s="1139"/>
      <c r="BU122" s="1139"/>
      <c r="BV122" s="1140" t="str">
        <f>IF(CONSOLIDA!CX103="","",CONSOLIDA!CX103)</f>
        <v/>
      </c>
      <c r="BW122" s="1140"/>
      <c r="BX122" s="1140"/>
      <c r="BY122" s="1140"/>
      <c r="BZ122" s="1140"/>
      <c r="CA122" s="1140"/>
      <c r="CB122" s="1139" t="str">
        <f>IF(CONSOLIDA!CY103="","",CONSOLIDA!CY103)</f>
        <v/>
      </c>
      <c r="CC122" s="1139"/>
      <c r="CD122" s="1139"/>
      <c r="CE122" s="1139"/>
      <c r="CF122" s="1139"/>
      <c r="CG122" s="1139"/>
      <c r="CH122" s="486"/>
      <c r="CI122" s="190" t="str">
        <f>IF(CONSOLIDA!CZ103="","",CONSOLIDA!CZ103)</f>
        <v/>
      </c>
      <c r="CJ122" s="190" t="str">
        <f>IF(CONSOLIDA!DA103="","",CONSOLIDA!DA103)</f>
        <v/>
      </c>
    </row>
    <row r="123" spans="1:88" s="3" customFormat="1" hidden="1">
      <c r="A123" s="243" t="str">
        <f t="shared" si="1"/>
        <v>OK</v>
      </c>
      <c r="B123" s="1141" t="str">
        <f>IF(CONSOLIDA!CL104="","",CONSOLIDA!CL104)</f>
        <v/>
      </c>
      <c r="C123" s="1141"/>
      <c r="D123" s="1134" t="str">
        <f>IF(CONSOLIDA!CN104="","",CONSOLIDA!CN104)</f>
        <v/>
      </c>
      <c r="E123" s="1135"/>
      <c r="F123" s="1135"/>
      <c r="G123" s="1129" t="str">
        <f>IF(CONSOLIDA!CO104="","",CONSOLIDA!CO104)</f>
        <v/>
      </c>
      <c r="H123" s="1129"/>
      <c r="I123" s="1129"/>
      <c r="J123" s="1129"/>
      <c r="K123" s="1129"/>
      <c r="L123" s="1129"/>
      <c r="M123" s="1129"/>
      <c r="N123" s="1129"/>
      <c r="O123" s="1129"/>
      <c r="P123" s="1129"/>
      <c r="Q123" s="1129"/>
      <c r="R123" s="1129"/>
      <c r="S123" s="1129"/>
      <c r="T123" s="1129"/>
      <c r="U123" s="1129"/>
      <c r="V123" s="1129"/>
      <c r="W123" s="1129"/>
      <c r="X123" s="1129"/>
      <c r="Y123" s="1130"/>
      <c r="Z123" s="1139" t="str">
        <f>IF(CONSOLIDA!CP104="","",CONSOLIDA!CP104)</f>
        <v/>
      </c>
      <c r="AA123" s="1139"/>
      <c r="AB123" s="1139"/>
      <c r="AC123" s="1139"/>
      <c r="AD123" s="1139"/>
      <c r="AE123" s="1139"/>
      <c r="AF123" s="1139" t="str">
        <f>IF(CONSOLIDA!CQ104="","",CONSOLIDA!CQ104)</f>
        <v/>
      </c>
      <c r="AG123" s="1139"/>
      <c r="AH123" s="1139"/>
      <c r="AI123" s="1139"/>
      <c r="AJ123" s="1139"/>
      <c r="AK123" s="1139"/>
      <c r="AL123" s="1139" t="str">
        <f>IF(CONSOLIDA!CR104="","",CONSOLIDA!CR104)</f>
        <v/>
      </c>
      <c r="AM123" s="1139"/>
      <c r="AN123" s="1139"/>
      <c r="AO123" s="1139"/>
      <c r="AP123" s="1139"/>
      <c r="AQ123" s="1139"/>
      <c r="AR123" s="1139" t="str">
        <f>IF(CONSOLIDA!CS104="","",CONSOLIDA!CS104)</f>
        <v/>
      </c>
      <c r="AS123" s="1139"/>
      <c r="AT123" s="1139"/>
      <c r="AU123" s="1139"/>
      <c r="AV123" s="1139"/>
      <c r="AW123" s="1139"/>
      <c r="AX123" s="1140" t="str">
        <f>IF(CONSOLIDA!CT104="","",CONSOLIDA!CT104)</f>
        <v/>
      </c>
      <c r="AY123" s="1140"/>
      <c r="AZ123" s="1140"/>
      <c r="BA123" s="1140"/>
      <c r="BB123" s="1140"/>
      <c r="BC123" s="1140"/>
      <c r="BD123" s="1139" t="str">
        <f>IF(CONSOLIDA!CU104="","",CONSOLIDA!CU104)</f>
        <v/>
      </c>
      <c r="BE123" s="1139"/>
      <c r="BF123" s="1139"/>
      <c r="BG123" s="1139"/>
      <c r="BH123" s="1139"/>
      <c r="BI123" s="1139"/>
      <c r="BJ123" s="1139" t="str">
        <f>IF(CONSOLIDA!CV104="","",CONSOLIDA!CV104)</f>
        <v/>
      </c>
      <c r="BK123" s="1139"/>
      <c r="BL123" s="1139"/>
      <c r="BM123" s="1139"/>
      <c r="BN123" s="1139"/>
      <c r="BO123" s="1139"/>
      <c r="BP123" s="1139" t="str">
        <f>IF(CONSOLIDA!CW104="","",CONSOLIDA!CW104)</f>
        <v/>
      </c>
      <c r="BQ123" s="1139"/>
      <c r="BR123" s="1139"/>
      <c r="BS123" s="1139"/>
      <c r="BT123" s="1139"/>
      <c r="BU123" s="1139"/>
      <c r="BV123" s="1140" t="str">
        <f>IF(CONSOLIDA!CX104="","",CONSOLIDA!CX104)</f>
        <v/>
      </c>
      <c r="BW123" s="1140"/>
      <c r="BX123" s="1140"/>
      <c r="BY123" s="1140"/>
      <c r="BZ123" s="1140"/>
      <c r="CA123" s="1140"/>
      <c r="CB123" s="1139" t="str">
        <f>IF(CONSOLIDA!CY104="","",CONSOLIDA!CY104)</f>
        <v/>
      </c>
      <c r="CC123" s="1139"/>
      <c r="CD123" s="1139"/>
      <c r="CE123" s="1139"/>
      <c r="CF123" s="1139"/>
      <c r="CG123" s="1139"/>
      <c r="CH123" s="486"/>
      <c r="CI123" s="190" t="str">
        <f>IF(CONSOLIDA!CZ104="","",CONSOLIDA!CZ104)</f>
        <v/>
      </c>
      <c r="CJ123" s="190" t="str">
        <f>IF(CONSOLIDA!DA104="","",CONSOLIDA!DA104)</f>
        <v/>
      </c>
    </row>
    <row r="124" spans="1:88" s="3" customFormat="1" hidden="1">
      <c r="A124" s="243" t="str">
        <f t="shared" si="1"/>
        <v>OK</v>
      </c>
      <c r="B124" s="1141" t="str">
        <f>IF(CONSOLIDA!CL105="","",CONSOLIDA!CL105)</f>
        <v/>
      </c>
      <c r="C124" s="1141"/>
      <c r="D124" s="1134" t="str">
        <f>IF(CONSOLIDA!CN105="","",CONSOLIDA!CN105)</f>
        <v/>
      </c>
      <c r="E124" s="1135"/>
      <c r="F124" s="1135"/>
      <c r="G124" s="1129" t="str">
        <f>IF(CONSOLIDA!CO105="","",CONSOLIDA!CO105)</f>
        <v/>
      </c>
      <c r="H124" s="1129"/>
      <c r="I124" s="1129"/>
      <c r="J124" s="1129"/>
      <c r="K124" s="1129"/>
      <c r="L124" s="1129"/>
      <c r="M124" s="1129"/>
      <c r="N124" s="1129"/>
      <c r="O124" s="1129"/>
      <c r="P124" s="1129"/>
      <c r="Q124" s="1129"/>
      <c r="R124" s="1129"/>
      <c r="S124" s="1129"/>
      <c r="T124" s="1129"/>
      <c r="U124" s="1129"/>
      <c r="V124" s="1129"/>
      <c r="W124" s="1129"/>
      <c r="X124" s="1129"/>
      <c r="Y124" s="1130"/>
      <c r="Z124" s="1139" t="str">
        <f>IF(CONSOLIDA!CP105="","",CONSOLIDA!CP105)</f>
        <v/>
      </c>
      <c r="AA124" s="1139"/>
      <c r="AB124" s="1139"/>
      <c r="AC124" s="1139"/>
      <c r="AD124" s="1139"/>
      <c r="AE124" s="1139"/>
      <c r="AF124" s="1139" t="str">
        <f>IF(CONSOLIDA!CQ105="","",CONSOLIDA!CQ105)</f>
        <v/>
      </c>
      <c r="AG124" s="1139"/>
      <c r="AH124" s="1139"/>
      <c r="AI124" s="1139"/>
      <c r="AJ124" s="1139"/>
      <c r="AK124" s="1139"/>
      <c r="AL124" s="1139" t="str">
        <f>IF(CONSOLIDA!CR105="","",CONSOLIDA!CR105)</f>
        <v/>
      </c>
      <c r="AM124" s="1139"/>
      <c r="AN124" s="1139"/>
      <c r="AO124" s="1139"/>
      <c r="AP124" s="1139"/>
      <c r="AQ124" s="1139"/>
      <c r="AR124" s="1139" t="str">
        <f>IF(CONSOLIDA!CS105="","",CONSOLIDA!CS105)</f>
        <v/>
      </c>
      <c r="AS124" s="1139"/>
      <c r="AT124" s="1139"/>
      <c r="AU124" s="1139"/>
      <c r="AV124" s="1139"/>
      <c r="AW124" s="1139"/>
      <c r="AX124" s="1140" t="str">
        <f>IF(CONSOLIDA!CT105="","",CONSOLIDA!CT105)</f>
        <v/>
      </c>
      <c r="AY124" s="1140"/>
      <c r="AZ124" s="1140"/>
      <c r="BA124" s="1140"/>
      <c r="BB124" s="1140"/>
      <c r="BC124" s="1140"/>
      <c r="BD124" s="1139" t="str">
        <f>IF(CONSOLIDA!CU105="","",CONSOLIDA!CU105)</f>
        <v/>
      </c>
      <c r="BE124" s="1139"/>
      <c r="BF124" s="1139"/>
      <c r="BG124" s="1139"/>
      <c r="BH124" s="1139"/>
      <c r="BI124" s="1139"/>
      <c r="BJ124" s="1139" t="str">
        <f>IF(CONSOLIDA!CV105="","",CONSOLIDA!CV105)</f>
        <v/>
      </c>
      <c r="BK124" s="1139"/>
      <c r="BL124" s="1139"/>
      <c r="BM124" s="1139"/>
      <c r="BN124" s="1139"/>
      <c r="BO124" s="1139"/>
      <c r="BP124" s="1139" t="str">
        <f>IF(CONSOLIDA!CW105="","",CONSOLIDA!CW105)</f>
        <v/>
      </c>
      <c r="BQ124" s="1139"/>
      <c r="BR124" s="1139"/>
      <c r="BS124" s="1139"/>
      <c r="BT124" s="1139"/>
      <c r="BU124" s="1139"/>
      <c r="BV124" s="1140" t="str">
        <f>IF(CONSOLIDA!CX105="","",CONSOLIDA!CX105)</f>
        <v/>
      </c>
      <c r="BW124" s="1140"/>
      <c r="BX124" s="1140"/>
      <c r="BY124" s="1140"/>
      <c r="BZ124" s="1140"/>
      <c r="CA124" s="1140"/>
      <c r="CB124" s="1139" t="str">
        <f>IF(CONSOLIDA!CY105="","",CONSOLIDA!CY105)</f>
        <v/>
      </c>
      <c r="CC124" s="1139"/>
      <c r="CD124" s="1139"/>
      <c r="CE124" s="1139"/>
      <c r="CF124" s="1139"/>
      <c r="CG124" s="1139"/>
      <c r="CH124" s="486"/>
      <c r="CI124" s="190" t="str">
        <f>IF(CONSOLIDA!CZ105="","",CONSOLIDA!CZ105)</f>
        <v/>
      </c>
      <c r="CJ124" s="190" t="str">
        <f>IF(CONSOLIDA!DA105="","",CONSOLIDA!DA105)</f>
        <v/>
      </c>
    </row>
    <row r="125" spans="1:88" s="3" customFormat="1" hidden="1">
      <c r="A125" s="243" t="str">
        <f t="shared" si="1"/>
        <v>OK</v>
      </c>
      <c r="B125" s="1141" t="str">
        <f>IF(CONSOLIDA!CL106="","",CONSOLIDA!CL106)</f>
        <v/>
      </c>
      <c r="C125" s="1141"/>
      <c r="D125" s="1134" t="str">
        <f>IF(CONSOLIDA!CN106="","",CONSOLIDA!CN106)</f>
        <v/>
      </c>
      <c r="E125" s="1135"/>
      <c r="F125" s="1135"/>
      <c r="G125" s="1129" t="str">
        <f>IF(CONSOLIDA!CO106="","",CONSOLIDA!CO106)</f>
        <v/>
      </c>
      <c r="H125" s="1129"/>
      <c r="I125" s="1129"/>
      <c r="J125" s="1129"/>
      <c r="K125" s="1129"/>
      <c r="L125" s="1129"/>
      <c r="M125" s="1129"/>
      <c r="N125" s="1129"/>
      <c r="O125" s="1129"/>
      <c r="P125" s="1129"/>
      <c r="Q125" s="1129"/>
      <c r="R125" s="1129"/>
      <c r="S125" s="1129"/>
      <c r="T125" s="1129"/>
      <c r="U125" s="1129"/>
      <c r="V125" s="1129"/>
      <c r="W125" s="1129"/>
      <c r="X125" s="1129"/>
      <c r="Y125" s="1130"/>
      <c r="Z125" s="1139" t="str">
        <f>IF(CONSOLIDA!CP106="","",CONSOLIDA!CP106)</f>
        <v/>
      </c>
      <c r="AA125" s="1139"/>
      <c r="AB125" s="1139"/>
      <c r="AC125" s="1139"/>
      <c r="AD125" s="1139"/>
      <c r="AE125" s="1139"/>
      <c r="AF125" s="1139" t="str">
        <f>IF(CONSOLIDA!CQ106="","",CONSOLIDA!CQ106)</f>
        <v/>
      </c>
      <c r="AG125" s="1139"/>
      <c r="AH125" s="1139"/>
      <c r="AI125" s="1139"/>
      <c r="AJ125" s="1139"/>
      <c r="AK125" s="1139"/>
      <c r="AL125" s="1139" t="str">
        <f>IF(CONSOLIDA!CR106="","",CONSOLIDA!CR106)</f>
        <v/>
      </c>
      <c r="AM125" s="1139"/>
      <c r="AN125" s="1139"/>
      <c r="AO125" s="1139"/>
      <c r="AP125" s="1139"/>
      <c r="AQ125" s="1139"/>
      <c r="AR125" s="1139" t="str">
        <f>IF(CONSOLIDA!CS106="","",CONSOLIDA!CS106)</f>
        <v/>
      </c>
      <c r="AS125" s="1139"/>
      <c r="AT125" s="1139"/>
      <c r="AU125" s="1139"/>
      <c r="AV125" s="1139"/>
      <c r="AW125" s="1139"/>
      <c r="AX125" s="1140" t="str">
        <f>IF(CONSOLIDA!CT106="","",CONSOLIDA!CT106)</f>
        <v/>
      </c>
      <c r="AY125" s="1140"/>
      <c r="AZ125" s="1140"/>
      <c r="BA125" s="1140"/>
      <c r="BB125" s="1140"/>
      <c r="BC125" s="1140"/>
      <c r="BD125" s="1139" t="str">
        <f>IF(CONSOLIDA!CU106="","",CONSOLIDA!CU106)</f>
        <v/>
      </c>
      <c r="BE125" s="1139"/>
      <c r="BF125" s="1139"/>
      <c r="BG125" s="1139"/>
      <c r="BH125" s="1139"/>
      <c r="BI125" s="1139"/>
      <c r="BJ125" s="1139" t="str">
        <f>IF(CONSOLIDA!CV106="","",CONSOLIDA!CV106)</f>
        <v/>
      </c>
      <c r="BK125" s="1139"/>
      <c r="BL125" s="1139"/>
      <c r="BM125" s="1139"/>
      <c r="BN125" s="1139"/>
      <c r="BO125" s="1139"/>
      <c r="BP125" s="1139" t="str">
        <f>IF(CONSOLIDA!CW106="","",CONSOLIDA!CW106)</f>
        <v/>
      </c>
      <c r="BQ125" s="1139"/>
      <c r="BR125" s="1139"/>
      <c r="BS125" s="1139"/>
      <c r="BT125" s="1139"/>
      <c r="BU125" s="1139"/>
      <c r="BV125" s="1140" t="str">
        <f>IF(CONSOLIDA!CX106="","",CONSOLIDA!CX106)</f>
        <v/>
      </c>
      <c r="BW125" s="1140"/>
      <c r="BX125" s="1140"/>
      <c r="BY125" s="1140"/>
      <c r="BZ125" s="1140"/>
      <c r="CA125" s="1140"/>
      <c r="CB125" s="1139" t="str">
        <f>IF(CONSOLIDA!CY106="","",CONSOLIDA!CY106)</f>
        <v/>
      </c>
      <c r="CC125" s="1139"/>
      <c r="CD125" s="1139"/>
      <c r="CE125" s="1139"/>
      <c r="CF125" s="1139"/>
      <c r="CG125" s="1139"/>
      <c r="CH125" s="486"/>
      <c r="CI125" s="190" t="str">
        <f>IF(CONSOLIDA!CZ106="","",CONSOLIDA!CZ106)</f>
        <v/>
      </c>
      <c r="CJ125" s="190" t="str">
        <f>IF(CONSOLIDA!DA106="","",CONSOLIDA!DA106)</f>
        <v/>
      </c>
    </row>
    <row r="126" spans="1:88" s="3" customFormat="1" hidden="1">
      <c r="A126" s="243" t="str">
        <f t="shared" si="1"/>
        <v>OK</v>
      </c>
      <c r="B126" s="1141" t="str">
        <f>IF(CONSOLIDA!CL107="","",CONSOLIDA!CL107)</f>
        <v/>
      </c>
      <c r="C126" s="1141"/>
      <c r="D126" s="1134" t="str">
        <f>IF(CONSOLIDA!CN107="","",CONSOLIDA!CN107)</f>
        <v/>
      </c>
      <c r="E126" s="1135"/>
      <c r="F126" s="1135"/>
      <c r="G126" s="1129" t="str">
        <f>IF(CONSOLIDA!CO107="","",CONSOLIDA!CO107)</f>
        <v/>
      </c>
      <c r="H126" s="1129"/>
      <c r="I126" s="1129"/>
      <c r="J126" s="1129"/>
      <c r="K126" s="1129"/>
      <c r="L126" s="1129"/>
      <c r="M126" s="1129"/>
      <c r="N126" s="1129"/>
      <c r="O126" s="1129"/>
      <c r="P126" s="1129"/>
      <c r="Q126" s="1129"/>
      <c r="R126" s="1129"/>
      <c r="S126" s="1129"/>
      <c r="T126" s="1129"/>
      <c r="U126" s="1129"/>
      <c r="V126" s="1129"/>
      <c r="W126" s="1129"/>
      <c r="X126" s="1129"/>
      <c r="Y126" s="1130"/>
      <c r="Z126" s="1139" t="str">
        <f>IF(CONSOLIDA!CP107="","",CONSOLIDA!CP107)</f>
        <v/>
      </c>
      <c r="AA126" s="1139"/>
      <c r="AB126" s="1139"/>
      <c r="AC126" s="1139"/>
      <c r="AD126" s="1139"/>
      <c r="AE126" s="1139"/>
      <c r="AF126" s="1139" t="str">
        <f>IF(CONSOLIDA!CQ107="","",CONSOLIDA!CQ107)</f>
        <v/>
      </c>
      <c r="AG126" s="1139"/>
      <c r="AH126" s="1139"/>
      <c r="AI126" s="1139"/>
      <c r="AJ126" s="1139"/>
      <c r="AK126" s="1139"/>
      <c r="AL126" s="1139" t="str">
        <f>IF(CONSOLIDA!CR107="","",CONSOLIDA!CR107)</f>
        <v/>
      </c>
      <c r="AM126" s="1139"/>
      <c r="AN126" s="1139"/>
      <c r="AO126" s="1139"/>
      <c r="AP126" s="1139"/>
      <c r="AQ126" s="1139"/>
      <c r="AR126" s="1139" t="str">
        <f>IF(CONSOLIDA!CS107="","",CONSOLIDA!CS107)</f>
        <v/>
      </c>
      <c r="AS126" s="1139"/>
      <c r="AT126" s="1139"/>
      <c r="AU126" s="1139"/>
      <c r="AV126" s="1139"/>
      <c r="AW126" s="1139"/>
      <c r="AX126" s="1140" t="str">
        <f>IF(CONSOLIDA!CT107="","",CONSOLIDA!CT107)</f>
        <v/>
      </c>
      <c r="AY126" s="1140"/>
      <c r="AZ126" s="1140"/>
      <c r="BA126" s="1140"/>
      <c r="BB126" s="1140"/>
      <c r="BC126" s="1140"/>
      <c r="BD126" s="1139" t="str">
        <f>IF(CONSOLIDA!CU107="","",CONSOLIDA!CU107)</f>
        <v/>
      </c>
      <c r="BE126" s="1139"/>
      <c r="BF126" s="1139"/>
      <c r="BG126" s="1139"/>
      <c r="BH126" s="1139"/>
      <c r="BI126" s="1139"/>
      <c r="BJ126" s="1139" t="str">
        <f>IF(CONSOLIDA!CV107="","",CONSOLIDA!CV107)</f>
        <v/>
      </c>
      <c r="BK126" s="1139"/>
      <c r="BL126" s="1139"/>
      <c r="BM126" s="1139"/>
      <c r="BN126" s="1139"/>
      <c r="BO126" s="1139"/>
      <c r="BP126" s="1139" t="str">
        <f>IF(CONSOLIDA!CW107="","",CONSOLIDA!CW107)</f>
        <v/>
      </c>
      <c r="BQ126" s="1139"/>
      <c r="BR126" s="1139"/>
      <c r="BS126" s="1139"/>
      <c r="BT126" s="1139"/>
      <c r="BU126" s="1139"/>
      <c r="BV126" s="1140" t="str">
        <f>IF(CONSOLIDA!CX107="","",CONSOLIDA!CX107)</f>
        <v/>
      </c>
      <c r="BW126" s="1140"/>
      <c r="BX126" s="1140"/>
      <c r="BY126" s="1140"/>
      <c r="BZ126" s="1140"/>
      <c r="CA126" s="1140"/>
      <c r="CB126" s="1139" t="str">
        <f>IF(CONSOLIDA!CY107="","",CONSOLIDA!CY107)</f>
        <v/>
      </c>
      <c r="CC126" s="1139"/>
      <c r="CD126" s="1139"/>
      <c r="CE126" s="1139"/>
      <c r="CF126" s="1139"/>
      <c r="CG126" s="1139"/>
      <c r="CH126" s="486"/>
      <c r="CI126" s="190" t="str">
        <f>IF(CONSOLIDA!CZ107="","",CONSOLIDA!CZ107)</f>
        <v/>
      </c>
      <c r="CJ126" s="190" t="str">
        <f>IF(CONSOLIDA!DA107="","",CONSOLIDA!DA107)</f>
        <v/>
      </c>
    </row>
    <row r="127" spans="1:88" s="3" customFormat="1" hidden="1">
      <c r="A127" s="243" t="str">
        <f t="shared" si="1"/>
        <v>OK</v>
      </c>
      <c r="B127" s="1141" t="str">
        <f>IF(CONSOLIDA!CL108="","",CONSOLIDA!CL108)</f>
        <v/>
      </c>
      <c r="C127" s="1141"/>
      <c r="D127" s="1134" t="str">
        <f>IF(CONSOLIDA!CN108="","",CONSOLIDA!CN108)</f>
        <v/>
      </c>
      <c r="E127" s="1135"/>
      <c r="F127" s="1135"/>
      <c r="G127" s="1129" t="str">
        <f>IF(CONSOLIDA!CO108="","",CONSOLIDA!CO108)</f>
        <v/>
      </c>
      <c r="H127" s="1129"/>
      <c r="I127" s="1129"/>
      <c r="J127" s="1129"/>
      <c r="K127" s="1129"/>
      <c r="L127" s="1129"/>
      <c r="M127" s="1129"/>
      <c r="N127" s="1129"/>
      <c r="O127" s="1129"/>
      <c r="P127" s="1129"/>
      <c r="Q127" s="1129"/>
      <c r="R127" s="1129"/>
      <c r="S127" s="1129"/>
      <c r="T127" s="1129"/>
      <c r="U127" s="1129"/>
      <c r="V127" s="1129"/>
      <c r="W127" s="1129"/>
      <c r="X127" s="1129"/>
      <c r="Y127" s="1130"/>
      <c r="Z127" s="1139" t="str">
        <f>IF(CONSOLIDA!CP108="","",CONSOLIDA!CP108)</f>
        <v/>
      </c>
      <c r="AA127" s="1139"/>
      <c r="AB127" s="1139"/>
      <c r="AC127" s="1139"/>
      <c r="AD127" s="1139"/>
      <c r="AE127" s="1139"/>
      <c r="AF127" s="1139" t="str">
        <f>IF(CONSOLIDA!CQ108="","",CONSOLIDA!CQ108)</f>
        <v/>
      </c>
      <c r="AG127" s="1139"/>
      <c r="AH127" s="1139"/>
      <c r="AI127" s="1139"/>
      <c r="AJ127" s="1139"/>
      <c r="AK127" s="1139"/>
      <c r="AL127" s="1139" t="str">
        <f>IF(CONSOLIDA!CR108="","",CONSOLIDA!CR108)</f>
        <v/>
      </c>
      <c r="AM127" s="1139"/>
      <c r="AN127" s="1139"/>
      <c r="AO127" s="1139"/>
      <c r="AP127" s="1139"/>
      <c r="AQ127" s="1139"/>
      <c r="AR127" s="1139" t="str">
        <f>IF(CONSOLIDA!CS108="","",CONSOLIDA!CS108)</f>
        <v/>
      </c>
      <c r="AS127" s="1139"/>
      <c r="AT127" s="1139"/>
      <c r="AU127" s="1139"/>
      <c r="AV127" s="1139"/>
      <c r="AW127" s="1139"/>
      <c r="AX127" s="1140" t="str">
        <f>IF(CONSOLIDA!CT108="","",CONSOLIDA!CT108)</f>
        <v/>
      </c>
      <c r="AY127" s="1140"/>
      <c r="AZ127" s="1140"/>
      <c r="BA127" s="1140"/>
      <c r="BB127" s="1140"/>
      <c r="BC127" s="1140"/>
      <c r="BD127" s="1139" t="str">
        <f>IF(CONSOLIDA!CU108="","",CONSOLIDA!CU108)</f>
        <v/>
      </c>
      <c r="BE127" s="1139"/>
      <c r="BF127" s="1139"/>
      <c r="BG127" s="1139"/>
      <c r="BH127" s="1139"/>
      <c r="BI127" s="1139"/>
      <c r="BJ127" s="1139" t="str">
        <f>IF(CONSOLIDA!CV108="","",CONSOLIDA!CV108)</f>
        <v/>
      </c>
      <c r="BK127" s="1139"/>
      <c r="BL127" s="1139"/>
      <c r="BM127" s="1139"/>
      <c r="BN127" s="1139"/>
      <c r="BO127" s="1139"/>
      <c r="BP127" s="1139" t="str">
        <f>IF(CONSOLIDA!CW108="","",CONSOLIDA!CW108)</f>
        <v/>
      </c>
      <c r="BQ127" s="1139"/>
      <c r="BR127" s="1139"/>
      <c r="BS127" s="1139"/>
      <c r="BT127" s="1139"/>
      <c r="BU127" s="1139"/>
      <c r="BV127" s="1140" t="str">
        <f>IF(CONSOLIDA!CX108="","",CONSOLIDA!CX108)</f>
        <v/>
      </c>
      <c r="BW127" s="1140"/>
      <c r="BX127" s="1140"/>
      <c r="BY127" s="1140"/>
      <c r="BZ127" s="1140"/>
      <c r="CA127" s="1140"/>
      <c r="CB127" s="1139" t="str">
        <f>IF(CONSOLIDA!CY108="","",CONSOLIDA!CY108)</f>
        <v/>
      </c>
      <c r="CC127" s="1139"/>
      <c r="CD127" s="1139"/>
      <c r="CE127" s="1139"/>
      <c r="CF127" s="1139"/>
      <c r="CG127" s="1139"/>
      <c r="CH127" s="486"/>
      <c r="CI127" s="190" t="str">
        <f>IF(CONSOLIDA!CZ108="","",CONSOLIDA!CZ108)</f>
        <v/>
      </c>
      <c r="CJ127" s="190" t="str">
        <f>IF(CONSOLIDA!DA108="","",CONSOLIDA!DA108)</f>
        <v/>
      </c>
    </row>
    <row r="128" spans="1:88" s="3" customFormat="1" hidden="1">
      <c r="A128" s="243" t="str">
        <f t="shared" si="1"/>
        <v>OK</v>
      </c>
      <c r="B128" s="1141" t="str">
        <f>IF(CONSOLIDA!CL109="","",CONSOLIDA!CL109)</f>
        <v/>
      </c>
      <c r="C128" s="1141"/>
      <c r="D128" s="1134" t="str">
        <f>IF(CONSOLIDA!CN109="","",CONSOLIDA!CN109)</f>
        <v/>
      </c>
      <c r="E128" s="1135"/>
      <c r="F128" s="1135"/>
      <c r="G128" s="1129" t="str">
        <f>IF(CONSOLIDA!CO109="","",CONSOLIDA!CO109)</f>
        <v/>
      </c>
      <c r="H128" s="1129"/>
      <c r="I128" s="1129"/>
      <c r="J128" s="1129"/>
      <c r="K128" s="1129"/>
      <c r="L128" s="1129"/>
      <c r="M128" s="1129"/>
      <c r="N128" s="1129"/>
      <c r="O128" s="1129"/>
      <c r="P128" s="1129"/>
      <c r="Q128" s="1129"/>
      <c r="R128" s="1129"/>
      <c r="S128" s="1129"/>
      <c r="T128" s="1129"/>
      <c r="U128" s="1129"/>
      <c r="V128" s="1129"/>
      <c r="W128" s="1129"/>
      <c r="X128" s="1129"/>
      <c r="Y128" s="1130"/>
      <c r="Z128" s="1139" t="str">
        <f>IF(CONSOLIDA!CP109="","",CONSOLIDA!CP109)</f>
        <v/>
      </c>
      <c r="AA128" s="1139"/>
      <c r="AB128" s="1139"/>
      <c r="AC128" s="1139"/>
      <c r="AD128" s="1139"/>
      <c r="AE128" s="1139"/>
      <c r="AF128" s="1139" t="str">
        <f>IF(CONSOLIDA!CQ109="","",CONSOLIDA!CQ109)</f>
        <v/>
      </c>
      <c r="AG128" s="1139"/>
      <c r="AH128" s="1139"/>
      <c r="AI128" s="1139"/>
      <c r="AJ128" s="1139"/>
      <c r="AK128" s="1139"/>
      <c r="AL128" s="1139" t="str">
        <f>IF(CONSOLIDA!CR109="","",CONSOLIDA!CR109)</f>
        <v/>
      </c>
      <c r="AM128" s="1139"/>
      <c r="AN128" s="1139"/>
      <c r="AO128" s="1139"/>
      <c r="AP128" s="1139"/>
      <c r="AQ128" s="1139"/>
      <c r="AR128" s="1139" t="str">
        <f>IF(CONSOLIDA!CS109="","",CONSOLIDA!CS109)</f>
        <v/>
      </c>
      <c r="AS128" s="1139"/>
      <c r="AT128" s="1139"/>
      <c r="AU128" s="1139"/>
      <c r="AV128" s="1139"/>
      <c r="AW128" s="1139"/>
      <c r="AX128" s="1140" t="str">
        <f>IF(CONSOLIDA!CT109="","",CONSOLIDA!CT109)</f>
        <v/>
      </c>
      <c r="AY128" s="1140"/>
      <c r="AZ128" s="1140"/>
      <c r="BA128" s="1140"/>
      <c r="BB128" s="1140"/>
      <c r="BC128" s="1140"/>
      <c r="BD128" s="1139" t="str">
        <f>IF(CONSOLIDA!CU109="","",CONSOLIDA!CU109)</f>
        <v/>
      </c>
      <c r="BE128" s="1139"/>
      <c r="BF128" s="1139"/>
      <c r="BG128" s="1139"/>
      <c r="BH128" s="1139"/>
      <c r="BI128" s="1139"/>
      <c r="BJ128" s="1139" t="str">
        <f>IF(CONSOLIDA!CV109="","",CONSOLIDA!CV109)</f>
        <v/>
      </c>
      <c r="BK128" s="1139"/>
      <c r="BL128" s="1139"/>
      <c r="BM128" s="1139"/>
      <c r="BN128" s="1139"/>
      <c r="BO128" s="1139"/>
      <c r="BP128" s="1139" t="str">
        <f>IF(CONSOLIDA!CW109="","",CONSOLIDA!CW109)</f>
        <v/>
      </c>
      <c r="BQ128" s="1139"/>
      <c r="BR128" s="1139"/>
      <c r="BS128" s="1139"/>
      <c r="BT128" s="1139"/>
      <c r="BU128" s="1139"/>
      <c r="BV128" s="1140" t="str">
        <f>IF(CONSOLIDA!CX109="","",CONSOLIDA!CX109)</f>
        <v/>
      </c>
      <c r="BW128" s="1140"/>
      <c r="BX128" s="1140"/>
      <c r="BY128" s="1140"/>
      <c r="BZ128" s="1140"/>
      <c r="CA128" s="1140"/>
      <c r="CB128" s="1139" t="str">
        <f>IF(CONSOLIDA!CY109="","",CONSOLIDA!CY109)</f>
        <v/>
      </c>
      <c r="CC128" s="1139"/>
      <c r="CD128" s="1139"/>
      <c r="CE128" s="1139"/>
      <c r="CF128" s="1139"/>
      <c r="CG128" s="1139"/>
      <c r="CH128" s="486"/>
      <c r="CI128" s="190" t="str">
        <f>IF(CONSOLIDA!CZ109="","",CONSOLIDA!CZ109)</f>
        <v/>
      </c>
      <c r="CJ128" s="190" t="str">
        <f>IF(CONSOLIDA!DA109="","",CONSOLIDA!DA109)</f>
        <v/>
      </c>
    </row>
    <row r="129" spans="1:88" s="3" customFormat="1" hidden="1">
      <c r="A129" s="243" t="str">
        <f t="shared" si="1"/>
        <v>OK</v>
      </c>
      <c r="B129" s="1141" t="str">
        <f>IF(CONSOLIDA!CL110="","",CONSOLIDA!CL110)</f>
        <v/>
      </c>
      <c r="C129" s="1141"/>
      <c r="D129" s="1134" t="str">
        <f>IF(CONSOLIDA!CN110="","",CONSOLIDA!CN110)</f>
        <v/>
      </c>
      <c r="E129" s="1135"/>
      <c r="F129" s="1135"/>
      <c r="G129" s="1129" t="str">
        <f>IF(CONSOLIDA!CO110="","",CONSOLIDA!CO110)</f>
        <v/>
      </c>
      <c r="H129" s="1129"/>
      <c r="I129" s="1129"/>
      <c r="J129" s="1129"/>
      <c r="K129" s="1129"/>
      <c r="L129" s="1129"/>
      <c r="M129" s="1129"/>
      <c r="N129" s="1129"/>
      <c r="O129" s="1129"/>
      <c r="P129" s="1129"/>
      <c r="Q129" s="1129"/>
      <c r="R129" s="1129"/>
      <c r="S129" s="1129"/>
      <c r="T129" s="1129"/>
      <c r="U129" s="1129"/>
      <c r="V129" s="1129"/>
      <c r="W129" s="1129"/>
      <c r="X129" s="1129"/>
      <c r="Y129" s="1130"/>
      <c r="Z129" s="1139" t="str">
        <f>IF(CONSOLIDA!CP110="","",CONSOLIDA!CP110)</f>
        <v/>
      </c>
      <c r="AA129" s="1139"/>
      <c r="AB129" s="1139"/>
      <c r="AC129" s="1139"/>
      <c r="AD129" s="1139"/>
      <c r="AE129" s="1139"/>
      <c r="AF129" s="1139" t="str">
        <f>IF(CONSOLIDA!CQ110="","",CONSOLIDA!CQ110)</f>
        <v/>
      </c>
      <c r="AG129" s="1139"/>
      <c r="AH129" s="1139"/>
      <c r="AI129" s="1139"/>
      <c r="AJ129" s="1139"/>
      <c r="AK129" s="1139"/>
      <c r="AL129" s="1139" t="str">
        <f>IF(CONSOLIDA!CR110="","",CONSOLIDA!CR110)</f>
        <v/>
      </c>
      <c r="AM129" s="1139"/>
      <c r="AN129" s="1139"/>
      <c r="AO129" s="1139"/>
      <c r="AP129" s="1139"/>
      <c r="AQ129" s="1139"/>
      <c r="AR129" s="1139" t="str">
        <f>IF(CONSOLIDA!CS110="","",CONSOLIDA!CS110)</f>
        <v/>
      </c>
      <c r="AS129" s="1139"/>
      <c r="AT129" s="1139"/>
      <c r="AU129" s="1139"/>
      <c r="AV129" s="1139"/>
      <c r="AW129" s="1139"/>
      <c r="AX129" s="1140" t="str">
        <f>IF(CONSOLIDA!CT110="","",CONSOLIDA!CT110)</f>
        <v/>
      </c>
      <c r="AY129" s="1140"/>
      <c r="AZ129" s="1140"/>
      <c r="BA129" s="1140"/>
      <c r="BB129" s="1140"/>
      <c r="BC129" s="1140"/>
      <c r="BD129" s="1139" t="str">
        <f>IF(CONSOLIDA!CU110="","",CONSOLIDA!CU110)</f>
        <v/>
      </c>
      <c r="BE129" s="1139"/>
      <c r="BF129" s="1139"/>
      <c r="BG129" s="1139"/>
      <c r="BH129" s="1139"/>
      <c r="BI129" s="1139"/>
      <c r="BJ129" s="1139" t="str">
        <f>IF(CONSOLIDA!CV110="","",CONSOLIDA!CV110)</f>
        <v/>
      </c>
      <c r="BK129" s="1139"/>
      <c r="BL129" s="1139"/>
      <c r="BM129" s="1139"/>
      <c r="BN129" s="1139"/>
      <c r="BO129" s="1139"/>
      <c r="BP129" s="1139" t="str">
        <f>IF(CONSOLIDA!CW110="","",CONSOLIDA!CW110)</f>
        <v/>
      </c>
      <c r="BQ129" s="1139"/>
      <c r="BR129" s="1139"/>
      <c r="BS129" s="1139"/>
      <c r="BT129" s="1139"/>
      <c r="BU129" s="1139"/>
      <c r="BV129" s="1140" t="str">
        <f>IF(CONSOLIDA!CX110="","",CONSOLIDA!CX110)</f>
        <v/>
      </c>
      <c r="BW129" s="1140"/>
      <c r="BX129" s="1140"/>
      <c r="BY129" s="1140"/>
      <c r="BZ129" s="1140"/>
      <c r="CA129" s="1140"/>
      <c r="CB129" s="1139" t="str">
        <f>IF(CONSOLIDA!CY110="","",CONSOLIDA!CY110)</f>
        <v/>
      </c>
      <c r="CC129" s="1139"/>
      <c r="CD129" s="1139"/>
      <c r="CE129" s="1139"/>
      <c r="CF129" s="1139"/>
      <c r="CG129" s="1139"/>
      <c r="CH129" s="486"/>
      <c r="CI129" s="190" t="str">
        <f>IF(CONSOLIDA!CZ110="","",CONSOLIDA!CZ110)</f>
        <v/>
      </c>
      <c r="CJ129" s="190" t="str">
        <f>IF(CONSOLIDA!DA110="","",CONSOLIDA!DA110)</f>
        <v/>
      </c>
    </row>
    <row r="130" spans="1:88" s="3" customFormat="1" hidden="1">
      <c r="A130" s="243" t="str">
        <f t="shared" si="1"/>
        <v>OK</v>
      </c>
      <c r="B130" s="1141" t="str">
        <f>IF(CONSOLIDA!CL111="","",CONSOLIDA!CL111)</f>
        <v/>
      </c>
      <c r="C130" s="1141"/>
      <c r="D130" s="1134" t="str">
        <f>IF(CONSOLIDA!CN111="","",CONSOLIDA!CN111)</f>
        <v/>
      </c>
      <c r="E130" s="1135"/>
      <c r="F130" s="1135"/>
      <c r="G130" s="1129" t="str">
        <f>IF(CONSOLIDA!CO111="","",CONSOLIDA!CO111)</f>
        <v/>
      </c>
      <c r="H130" s="1129"/>
      <c r="I130" s="1129"/>
      <c r="J130" s="1129"/>
      <c r="K130" s="1129"/>
      <c r="L130" s="1129"/>
      <c r="M130" s="1129"/>
      <c r="N130" s="1129"/>
      <c r="O130" s="1129"/>
      <c r="P130" s="1129"/>
      <c r="Q130" s="1129"/>
      <c r="R130" s="1129"/>
      <c r="S130" s="1129"/>
      <c r="T130" s="1129"/>
      <c r="U130" s="1129"/>
      <c r="V130" s="1129"/>
      <c r="W130" s="1129"/>
      <c r="X130" s="1129"/>
      <c r="Y130" s="1130"/>
      <c r="Z130" s="1139" t="str">
        <f>IF(CONSOLIDA!CP111="","",CONSOLIDA!CP111)</f>
        <v/>
      </c>
      <c r="AA130" s="1139"/>
      <c r="AB130" s="1139"/>
      <c r="AC130" s="1139"/>
      <c r="AD130" s="1139"/>
      <c r="AE130" s="1139"/>
      <c r="AF130" s="1139" t="str">
        <f>IF(CONSOLIDA!CQ111="","",CONSOLIDA!CQ111)</f>
        <v/>
      </c>
      <c r="AG130" s="1139"/>
      <c r="AH130" s="1139"/>
      <c r="AI130" s="1139"/>
      <c r="AJ130" s="1139"/>
      <c r="AK130" s="1139"/>
      <c r="AL130" s="1139" t="str">
        <f>IF(CONSOLIDA!CR111="","",CONSOLIDA!CR111)</f>
        <v/>
      </c>
      <c r="AM130" s="1139"/>
      <c r="AN130" s="1139"/>
      <c r="AO130" s="1139"/>
      <c r="AP130" s="1139"/>
      <c r="AQ130" s="1139"/>
      <c r="AR130" s="1139" t="str">
        <f>IF(CONSOLIDA!CS111="","",CONSOLIDA!CS111)</f>
        <v/>
      </c>
      <c r="AS130" s="1139"/>
      <c r="AT130" s="1139"/>
      <c r="AU130" s="1139"/>
      <c r="AV130" s="1139"/>
      <c r="AW130" s="1139"/>
      <c r="AX130" s="1140" t="str">
        <f>IF(CONSOLIDA!CT111="","",CONSOLIDA!CT111)</f>
        <v/>
      </c>
      <c r="AY130" s="1140"/>
      <c r="AZ130" s="1140"/>
      <c r="BA130" s="1140"/>
      <c r="BB130" s="1140"/>
      <c r="BC130" s="1140"/>
      <c r="BD130" s="1139" t="str">
        <f>IF(CONSOLIDA!CU111="","",CONSOLIDA!CU111)</f>
        <v/>
      </c>
      <c r="BE130" s="1139"/>
      <c r="BF130" s="1139"/>
      <c r="BG130" s="1139"/>
      <c r="BH130" s="1139"/>
      <c r="BI130" s="1139"/>
      <c r="BJ130" s="1139" t="str">
        <f>IF(CONSOLIDA!CV111="","",CONSOLIDA!CV111)</f>
        <v/>
      </c>
      <c r="BK130" s="1139"/>
      <c r="BL130" s="1139"/>
      <c r="BM130" s="1139"/>
      <c r="BN130" s="1139"/>
      <c r="BO130" s="1139"/>
      <c r="BP130" s="1139" t="str">
        <f>IF(CONSOLIDA!CW111="","",CONSOLIDA!CW111)</f>
        <v/>
      </c>
      <c r="BQ130" s="1139"/>
      <c r="BR130" s="1139"/>
      <c r="BS130" s="1139"/>
      <c r="BT130" s="1139"/>
      <c r="BU130" s="1139"/>
      <c r="BV130" s="1140" t="str">
        <f>IF(CONSOLIDA!CX111="","",CONSOLIDA!CX111)</f>
        <v/>
      </c>
      <c r="BW130" s="1140"/>
      <c r="BX130" s="1140"/>
      <c r="BY130" s="1140"/>
      <c r="BZ130" s="1140"/>
      <c r="CA130" s="1140"/>
      <c r="CB130" s="1139" t="str">
        <f>IF(CONSOLIDA!CY111="","",CONSOLIDA!CY111)</f>
        <v/>
      </c>
      <c r="CC130" s="1139"/>
      <c r="CD130" s="1139"/>
      <c r="CE130" s="1139"/>
      <c r="CF130" s="1139"/>
      <c r="CG130" s="1139"/>
      <c r="CH130" s="486"/>
      <c r="CI130" s="190" t="str">
        <f>IF(CONSOLIDA!CZ111="","",CONSOLIDA!CZ111)</f>
        <v/>
      </c>
      <c r="CJ130" s="190" t="str">
        <f>IF(CONSOLIDA!DA111="","",CONSOLIDA!DA111)</f>
        <v/>
      </c>
    </row>
    <row r="131" spans="1:88" s="3" customFormat="1" hidden="1">
      <c r="A131" s="243" t="str">
        <f t="shared" si="1"/>
        <v>OK</v>
      </c>
      <c r="B131" s="1141" t="str">
        <f>IF(CONSOLIDA!CL112="","",CONSOLIDA!CL112)</f>
        <v/>
      </c>
      <c r="C131" s="1141"/>
      <c r="D131" s="1134" t="str">
        <f>IF(CONSOLIDA!CN112="","",CONSOLIDA!CN112)</f>
        <v/>
      </c>
      <c r="E131" s="1135"/>
      <c r="F131" s="1135"/>
      <c r="G131" s="1129" t="str">
        <f>IF(CONSOLIDA!CO112="","",CONSOLIDA!CO112)</f>
        <v/>
      </c>
      <c r="H131" s="1129"/>
      <c r="I131" s="1129"/>
      <c r="J131" s="1129"/>
      <c r="K131" s="1129"/>
      <c r="L131" s="1129"/>
      <c r="M131" s="1129"/>
      <c r="N131" s="1129"/>
      <c r="O131" s="1129"/>
      <c r="P131" s="1129"/>
      <c r="Q131" s="1129"/>
      <c r="R131" s="1129"/>
      <c r="S131" s="1129"/>
      <c r="T131" s="1129"/>
      <c r="U131" s="1129"/>
      <c r="V131" s="1129"/>
      <c r="W131" s="1129"/>
      <c r="X131" s="1129"/>
      <c r="Y131" s="1130"/>
      <c r="Z131" s="1139" t="str">
        <f>IF(CONSOLIDA!CP112="","",CONSOLIDA!CP112)</f>
        <v/>
      </c>
      <c r="AA131" s="1139"/>
      <c r="AB131" s="1139"/>
      <c r="AC131" s="1139"/>
      <c r="AD131" s="1139"/>
      <c r="AE131" s="1139"/>
      <c r="AF131" s="1139" t="str">
        <f>IF(CONSOLIDA!CQ112="","",CONSOLIDA!CQ112)</f>
        <v/>
      </c>
      <c r="AG131" s="1139"/>
      <c r="AH131" s="1139"/>
      <c r="AI131" s="1139"/>
      <c r="AJ131" s="1139"/>
      <c r="AK131" s="1139"/>
      <c r="AL131" s="1139" t="str">
        <f>IF(CONSOLIDA!CR112="","",CONSOLIDA!CR112)</f>
        <v/>
      </c>
      <c r="AM131" s="1139"/>
      <c r="AN131" s="1139"/>
      <c r="AO131" s="1139"/>
      <c r="AP131" s="1139"/>
      <c r="AQ131" s="1139"/>
      <c r="AR131" s="1139" t="str">
        <f>IF(CONSOLIDA!CS112="","",CONSOLIDA!CS112)</f>
        <v/>
      </c>
      <c r="AS131" s="1139"/>
      <c r="AT131" s="1139"/>
      <c r="AU131" s="1139"/>
      <c r="AV131" s="1139"/>
      <c r="AW131" s="1139"/>
      <c r="AX131" s="1140" t="str">
        <f>IF(CONSOLIDA!CT112="","",CONSOLIDA!CT112)</f>
        <v/>
      </c>
      <c r="AY131" s="1140"/>
      <c r="AZ131" s="1140"/>
      <c r="BA131" s="1140"/>
      <c r="BB131" s="1140"/>
      <c r="BC131" s="1140"/>
      <c r="BD131" s="1139" t="str">
        <f>IF(CONSOLIDA!CU112="","",CONSOLIDA!CU112)</f>
        <v/>
      </c>
      <c r="BE131" s="1139"/>
      <c r="BF131" s="1139"/>
      <c r="BG131" s="1139"/>
      <c r="BH131" s="1139"/>
      <c r="BI131" s="1139"/>
      <c r="BJ131" s="1139" t="str">
        <f>IF(CONSOLIDA!CV112="","",CONSOLIDA!CV112)</f>
        <v/>
      </c>
      <c r="BK131" s="1139"/>
      <c r="BL131" s="1139"/>
      <c r="BM131" s="1139"/>
      <c r="BN131" s="1139"/>
      <c r="BO131" s="1139"/>
      <c r="BP131" s="1139" t="str">
        <f>IF(CONSOLIDA!CW112="","",CONSOLIDA!CW112)</f>
        <v/>
      </c>
      <c r="BQ131" s="1139"/>
      <c r="BR131" s="1139"/>
      <c r="BS131" s="1139"/>
      <c r="BT131" s="1139"/>
      <c r="BU131" s="1139"/>
      <c r="BV131" s="1140" t="str">
        <f>IF(CONSOLIDA!CX112="","",CONSOLIDA!CX112)</f>
        <v/>
      </c>
      <c r="BW131" s="1140"/>
      <c r="BX131" s="1140"/>
      <c r="BY131" s="1140"/>
      <c r="BZ131" s="1140"/>
      <c r="CA131" s="1140"/>
      <c r="CB131" s="1139" t="str">
        <f>IF(CONSOLIDA!CY112="","",CONSOLIDA!CY112)</f>
        <v/>
      </c>
      <c r="CC131" s="1139"/>
      <c r="CD131" s="1139"/>
      <c r="CE131" s="1139"/>
      <c r="CF131" s="1139"/>
      <c r="CG131" s="1139"/>
      <c r="CH131" s="486"/>
      <c r="CI131" s="190" t="str">
        <f>IF(CONSOLIDA!CZ112="","",CONSOLIDA!CZ112)</f>
        <v/>
      </c>
      <c r="CJ131" s="190" t="str">
        <f>IF(CONSOLIDA!DA112="","",CONSOLIDA!DA112)</f>
        <v/>
      </c>
    </row>
    <row r="132" spans="1:88" s="3" customFormat="1" hidden="1">
      <c r="A132" s="243" t="str">
        <f t="shared" si="1"/>
        <v>OK</v>
      </c>
      <c r="B132" s="1141" t="str">
        <f>IF(CONSOLIDA!CL113="","",CONSOLIDA!CL113)</f>
        <v/>
      </c>
      <c r="C132" s="1141"/>
      <c r="D132" s="1134" t="str">
        <f>IF(CONSOLIDA!CN113="","",CONSOLIDA!CN113)</f>
        <v/>
      </c>
      <c r="E132" s="1135"/>
      <c r="F132" s="1135"/>
      <c r="G132" s="1129" t="str">
        <f>IF(CONSOLIDA!CO113="","",CONSOLIDA!CO113)</f>
        <v/>
      </c>
      <c r="H132" s="1129"/>
      <c r="I132" s="1129"/>
      <c r="J132" s="1129"/>
      <c r="K132" s="1129"/>
      <c r="L132" s="1129"/>
      <c r="M132" s="1129"/>
      <c r="N132" s="1129"/>
      <c r="O132" s="1129"/>
      <c r="P132" s="1129"/>
      <c r="Q132" s="1129"/>
      <c r="R132" s="1129"/>
      <c r="S132" s="1129"/>
      <c r="T132" s="1129"/>
      <c r="U132" s="1129"/>
      <c r="V132" s="1129"/>
      <c r="W132" s="1129"/>
      <c r="X132" s="1129"/>
      <c r="Y132" s="1130"/>
      <c r="Z132" s="1139" t="str">
        <f>IF(CONSOLIDA!CP113="","",CONSOLIDA!CP113)</f>
        <v/>
      </c>
      <c r="AA132" s="1139"/>
      <c r="AB132" s="1139"/>
      <c r="AC132" s="1139"/>
      <c r="AD132" s="1139"/>
      <c r="AE132" s="1139"/>
      <c r="AF132" s="1139" t="str">
        <f>IF(CONSOLIDA!CQ113="","",CONSOLIDA!CQ113)</f>
        <v/>
      </c>
      <c r="AG132" s="1139"/>
      <c r="AH132" s="1139"/>
      <c r="AI132" s="1139"/>
      <c r="AJ132" s="1139"/>
      <c r="AK132" s="1139"/>
      <c r="AL132" s="1139" t="str">
        <f>IF(CONSOLIDA!CR113="","",CONSOLIDA!CR113)</f>
        <v/>
      </c>
      <c r="AM132" s="1139"/>
      <c r="AN132" s="1139"/>
      <c r="AO132" s="1139"/>
      <c r="AP132" s="1139"/>
      <c r="AQ132" s="1139"/>
      <c r="AR132" s="1139" t="str">
        <f>IF(CONSOLIDA!CS113="","",CONSOLIDA!CS113)</f>
        <v/>
      </c>
      <c r="AS132" s="1139"/>
      <c r="AT132" s="1139"/>
      <c r="AU132" s="1139"/>
      <c r="AV132" s="1139"/>
      <c r="AW132" s="1139"/>
      <c r="AX132" s="1140" t="str">
        <f>IF(CONSOLIDA!CT113="","",CONSOLIDA!CT113)</f>
        <v/>
      </c>
      <c r="AY132" s="1140"/>
      <c r="AZ132" s="1140"/>
      <c r="BA132" s="1140"/>
      <c r="BB132" s="1140"/>
      <c r="BC132" s="1140"/>
      <c r="BD132" s="1139" t="str">
        <f>IF(CONSOLIDA!CU113="","",CONSOLIDA!CU113)</f>
        <v/>
      </c>
      <c r="BE132" s="1139"/>
      <c r="BF132" s="1139"/>
      <c r="BG132" s="1139"/>
      <c r="BH132" s="1139"/>
      <c r="BI132" s="1139"/>
      <c r="BJ132" s="1139" t="str">
        <f>IF(CONSOLIDA!CV113="","",CONSOLIDA!CV113)</f>
        <v/>
      </c>
      <c r="BK132" s="1139"/>
      <c r="BL132" s="1139"/>
      <c r="BM132" s="1139"/>
      <c r="BN132" s="1139"/>
      <c r="BO132" s="1139"/>
      <c r="BP132" s="1139" t="str">
        <f>IF(CONSOLIDA!CW113="","",CONSOLIDA!CW113)</f>
        <v/>
      </c>
      <c r="BQ132" s="1139"/>
      <c r="BR132" s="1139"/>
      <c r="BS132" s="1139"/>
      <c r="BT132" s="1139"/>
      <c r="BU132" s="1139"/>
      <c r="BV132" s="1140" t="str">
        <f>IF(CONSOLIDA!CX113="","",CONSOLIDA!CX113)</f>
        <v/>
      </c>
      <c r="BW132" s="1140"/>
      <c r="BX132" s="1140"/>
      <c r="BY132" s="1140"/>
      <c r="BZ132" s="1140"/>
      <c r="CA132" s="1140"/>
      <c r="CB132" s="1139" t="str">
        <f>IF(CONSOLIDA!CY113="","",CONSOLIDA!CY113)</f>
        <v/>
      </c>
      <c r="CC132" s="1139"/>
      <c r="CD132" s="1139"/>
      <c r="CE132" s="1139"/>
      <c r="CF132" s="1139"/>
      <c r="CG132" s="1139"/>
      <c r="CH132" s="486"/>
      <c r="CI132" s="190" t="str">
        <f>IF(CONSOLIDA!CZ113="","",CONSOLIDA!CZ113)</f>
        <v/>
      </c>
      <c r="CJ132" s="190" t="str">
        <f>IF(CONSOLIDA!DA113="","",CONSOLIDA!DA113)</f>
        <v/>
      </c>
    </row>
    <row r="133" spans="1:88" s="3" customFormat="1" hidden="1">
      <c r="A133" s="243" t="str">
        <f t="shared" si="1"/>
        <v>OK</v>
      </c>
      <c r="B133" s="1141" t="str">
        <f>IF(CONSOLIDA!CL114="","",CONSOLIDA!CL114)</f>
        <v/>
      </c>
      <c r="C133" s="1141"/>
      <c r="D133" s="1134" t="str">
        <f>IF(CONSOLIDA!CN114="","",CONSOLIDA!CN114)</f>
        <v/>
      </c>
      <c r="E133" s="1135"/>
      <c r="F133" s="1135"/>
      <c r="G133" s="1129" t="str">
        <f>IF(CONSOLIDA!CO114="","",CONSOLIDA!CO114)</f>
        <v/>
      </c>
      <c r="H133" s="1129"/>
      <c r="I133" s="1129"/>
      <c r="J133" s="1129"/>
      <c r="K133" s="1129"/>
      <c r="L133" s="1129"/>
      <c r="M133" s="1129"/>
      <c r="N133" s="1129"/>
      <c r="O133" s="1129"/>
      <c r="P133" s="1129"/>
      <c r="Q133" s="1129"/>
      <c r="R133" s="1129"/>
      <c r="S133" s="1129"/>
      <c r="T133" s="1129"/>
      <c r="U133" s="1129"/>
      <c r="V133" s="1129"/>
      <c r="W133" s="1129"/>
      <c r="X133" s="1129"/>
      <c r="Y133" s="1130"/>
      <c r="Z133" s="1139" t="str">
        <f>IF(CONSOLIDA!CP114="","",CONSOLIDA!CP114)</f>
        <v/>
      </c>
      <c r="AA133" s="1139"/>
      <c r="AB133" s="1139"/>
      <c r="AC133" s="1139"/>
      <c r="AD133" s="1139"/>
      <c r="AE133" s="1139"/>
      <c r="AF133" s="1139" t="str">
        <f>IF(CONSOLIDA!CQ114="","",CONSOLIDA!CQ114)</f>
        <v/>
      </c>
      <c r="AG133" s="1139"/>
      <c r="AH133" s="1139"/>
      <c r="AI133" s="1139"/>
      <c r="AJ133" s="1139"/>
      <c r="AK133" s="1139"/>
      <c r="AL133" s="1139" t="str">
        <f>IF(CONSOLIDA!CR114="","",CONSOLIDA!CR114)</f>
        <v/>
      </c>
      <c r="AM133" s="1139"/>
      <c r="AN133" s="1139"/>
      <c r="AO133" s="1139"/>
      <c r="AP133" s="1139"/>
      <c r="AQ133" s="1139"/>
      <c r="AR133" s="1139" t="str">
        <f>IF(CONSOLIDA!CS114="","",CONSOLIDA!CS114)</f>
        <v/>
      </c>
      <c r="AS133" s="1139"/>
      <c r="AT133" s="1139"/>
      <c r="AU133" s="1139"/>
      <c r="AV133" s="1139"/>
      <c r="AW133" s="1139"/>
      <c r="AX133" s="1140" t="str">
        <f>IF(CONSOLIDA!CT114="","",CONSOLIDA!CT114)</f>
        <v/>
      </c>
      <c r="AY133" s="1140"/>
      <c r="AZ133" s="1140"/>
      <c r="BA133" s="1140"/>
      <c r="BB133" s="1140"/>
      <c r="BC133" s="1140"/>
      <c r="BD133" s="1139" t="str">
        <f>IF(CONSOLIDA!CU114="","",CONSOLIDA!CU114)</f>
        <v/>
      </c>
      <c r="BE133" s="1139"/>
      <c r="BF133" s="1139"/>
      <c r="BG133" s="1139"/>
      <c r="BH133" s="1139"/>
      <c r="BI133" s="1139"/>
      <c r="BJ133" s="1139" t="str">
        <f>IF(CONSOLIDA!CV114="","",CONSOLIDA!CV114)</f>
        <v/>
      </c>
      <c r="BK133" s="1139"/>
      <c r="BL133" s="1139"/>
      <c r="BM133" s="1139"/>
      <c r="BN133" s="1139"/>
      <c r="BO133" s="1139"/>
      <c r="BP133" s="1139" t="str">
        <f>IF(CONSOLIDA!CW114="","",CONSOLIDA!CW114)</f>
        <v/>
      </c>
      <c r="BQ133" s="1139"/>
      <c r="BR133" s="1139"/>
      <c r="BS133" s="1139"/>
      <c r="BT133" s="1139"/>
      <c r="BU133" s="1139"/>
      <c r="BV133" s="1140" t="str">
        <f>IF(CONSOLIDA!CX114="","",CONSOLIDA!CX114)</f>
        <v/>
      </c>
      <c r="BW133" s="1140"/>
      <c r="BX133" s="1140"/>
      <c r="BY133" s="1140"/>
      <c r="BZ133" s="1140"/>
      <c r="CA133" s="1140"/>
      <c r="CB133" s="1139" t="str">
        <f>IF(CONSOLIDA!CY114="","",CONSOLIDA!CY114)</f>
        <v/>
      </c>
      <c r="CC133" s="1139"/>
      <c r="CD133" s="1139"/>
      <c r="CE133" s="1139"/>
      <c r="CF133" s="1139"/>
      <c r="CG133" s="1139"/>
      <c r="CH133" s="486"/>
      <c r="CI133" s="190" t="str">
        <f>IF(CONSOLIDA!CZ114="","",CONSOLIDA!CZ114)</f>
        <v/>
      </c>
      <c r="CJ133" s="190" t="str">
        <f>IF(CONSOLIDA!DA114="","",CONSOLIDA!DA114)</f>
        <v/>
      </c>
    </row>
    <row r="134" spans="1:88" s="3" customFormat="1" hidden="1">
      <c r="A134" s="243" t="str">
        <f t="shared" si="1"/>
        <v>OK</v>
      </c>
      <c r="B134" s="1141" t="str">
        <f>IF(CONSOLIDA!CL115="","",CONSOLIDA!CL115)</f>
        <v/>
      </c>
      <c r="C134" s="1141"/>
      <c r="D134" s="1134" t="str">
        <f>IF(CONSOLIDA!CN115="","",CONSOLIDA!CN115)</f>
        <v/>
      </c>
      <c r="E134" s="1135"/>
      <c r="F134" s="1135"/>
      <c r="G134" s="1129" t="str">
        <f>IF(CONSOLIDA!CO115="","",CONSOLIDA!CO115)</f>
        <v/>
      </c>
      <c r="H134" s="1129"/>
      <c r="I134" s="1129"/>
      <c r="J134" s="1129"/>
      <c r="K134" s="1129"/>
      <c r="L134" s="1129"/>
      <c r="M134" s="1129"/>
      <c r="N134" s="1129"/>
      <c r="O134" s="1129"/>
      <c r="P134" s="1129"/>
      <c r="Q134" s="1129"/>
      <c r="R134" s="1129"/>
      <c r="S134" s="1129"/>
      <c r="T134" s="1129"/>
      <c r="U134" s="1129"/>
      <c r="V134" s="1129"/>
      <c r="W134" s="1129"/>
      <c r="X134" s="1129"/>
      <c r="Y134" s="1130"/>
      <c r="Z134" s="1139" t="str">
        <f>IF(CONSOLIDA!CP115="","",CONSOLIDA!CP115)</f>
        <v/>
      </c>
      <c r="AA134" s="1139"/>
      <c r="AB134" s="1139"/>
      <c r="AC134" s="1139"/>
      <c r="AD134" s="1139"/>
      <c r="AE134" s="1139"/>
      <c r="AF134" s="1139" t="str">
        <f>IF(CONSOLIDA!CQ115="","",CONSOLIDA!CQ115)</f>
        <v/>
      </c>
      <c r="AG134" s="1139"/>
      <c r="AH134" s="1139"/>
      <c r="AI134" s="1139"/>
      <c r="AJ134" s="1139"/>
      <c r="AK134" s="1139"/>
      <c r="AL134" s="1139" t="str">
        <f>IF(CONSOLIDA!CR115="","",CONSOLIDA!CR115)</f>
        <v/>
      </c>
      <c r="AM134" s="1139"/>
      <c r="AN134" s="1139"/>
      <c r="AO134" s="1139"/>
      <c r="AP134" s="1139"/>
      <c r="AQ134" s="1139"/>
      <c r="AR134" s="1139" t="str">
        <f>IF(CONSOLIDA!CS115="","",CONSOLIDA!CS115)</f>
        <v/>
      </c>
      <c r="AS134" s="1139"/>
      <c r="AT134" s="1139"/>
      <c r="AU134" s="1139"/>
      <c r="AV134" s="1139"/>
      <c r="AW134" s="1139"/>
      <c r="AX134" s="1140" t="str">
        <f>IF(CONSOLIDA!CT115="","",CONSOLIDA!CT115)</f>
        <v/>
      </c>
      <c r="AY134" s="1140"/>
      <c r="AZ134" s="1140"/>
      <c r="BA134" s="1140"/>
      <c r="BB134" s="1140"/>
      <c r="BC134" s="1140"/>
      <c r="BD134" s="1139" t="str">
        <f>IF(CONSOLIDA!CU115="","",CONSOLIDA!CU115)</f>
        <v/>
      </c>
      <c r="BE134" s="1139"/>
      <c r="BF134" s="1139"/>
      <c r="BG134" s="1139"/>
      <c r="BH134" s="1139"/>
      <c r="BI134" s="1139"/>
      <c r="BJ134" s="1139" t="str">
        <f>IF(CONSOLIDA!CV115="","",CONSOLIDA!CV115)</f>
        <v/>
      </c>
      <c r="BK134" s="1139"/>
      <c r="BL134" s="1139"/>
      <c r="BM134" s="1139"/>
      <c r="BN134" s="1139"/>
      <c r="BO134" s="1139"/>
      <c r="BP134" s="1139" t="str">
        <f>IF(CONSOLIDA!CW115="","",CONSOLIDA!CW115)</f>
        <v/>
      </c>
      <c r="BQ134" s="1139"/>
      <c r="BR134" s="1139"/>
      <c r="BS134" s="1139"/>
      <c r="BT134" s="1139"/>
      <c r="BU134" s="1139"/>
      <c r="BV134" s="1140" t="str">
        <f>IF(CONSOLIDA!CX115="","",CONSOLIDA!CX115)</f>
        <v/>
      </c>
      <c r="BW134" s="1140"/>
      <c r="BX134" s="1140"/>
      <c r="BY134" s="1140"/>
      <c r="BZ134" s="1140"/>
      <c r="CA134" s="1140"/>
      <c r="CB134" s="1139" t="str">
        <f>IF(CONSOLIDA!CY115="","",CONSOLIDA!CY115)</f>
        <v/>
      </c>
      <c r="CC134" s="1139"/>
      <c r="CD134" s="1139"/>
      <c r="CE134" s="1139"/>
      <c r="CF134" s="1139"/>
      <c r="CG134" s="1139"/>
      <c r="CH134" s="486"/>
      <c r="CI134" s="190" t="str">
        <f>IF(CONSOLIDA!CZ115="","",CONSOLIDA!CZ115)</f>
        <v/>
      </c>
      <c r="CJ134" s="190" t="str">
        <f>IF(CONSOLIDA!DA115="","",CONSOLIDA!DA115)</f>
        <v/>
      </c>
    </row>
    <row r="135" spans="1:88" s="3" customFormat="1" hidden="1">
      <c r="A135" s="243" t="str">
        <f t="shared" si="1"/>
        <v>OK</v>
      </c>
      <c r="B135" s="1141" t="str">
        <f>IF(CONSOLIDA!CL116="","",CONSOLIDA!CL116)</f>
        <v/>
      </c>
      <c r="C135" s="1141"/>
      <c r="D135" s="1134" t="str">
        <f>IF(CONSOLIDA!CN116="","",CONSOLIDA!CN116)</f>
        <v/>
      </c>
      <c r="E135" s="1135"/>
      <c r="F135" s="1135"/>
      <c r="G135" s="1129" t="str">
        <f>IF(CONSOLIDA!CO116="","",CONSOLIDA!CO116)</f>
        <v/>
      </c>
      <c r="H135" s="1129"/>
      <c r="I135" s="1129"/>
      <c r="J135" s="1129"/>
      <c r="K135" s="1129"/>
      <c r="L135" s="1129"/>
      <c r="M135" s="1129"/>
      <c r="N135" s="1129"/>
      <c r="O135" s="1129"/>
      <c r="P135" s="1129"/>
      <c r="Q135" s="1129"/>
      <c r="R135" s="1129"/>
      <c r="S135" s="1129"/>
      <c r="T135" s="1129"/>
      <c r="U135" s="1129"/>
      <c r="V135" s="1129"/>
      <c r="W135" s="1129"/>
      <c r="X135" s="1129"/>
      <c r="Y135" s="1130"/>
      <c r="Z135" s="1139" t="str">
        <f>IF(CONSOLIDA!CP116="","",CONSOLIDA!CP116)</f>
        <v/>
      </c>
      <c r="AA135" s="1139"/>
      <c r="AB135" s="1139"/>
      <c r="AC135" s="1139"/>
      <c r="AD135" s="1139"/>
      <c r="AE135" s="1139"/>
      <c r="AF135" s="1139" t="str">
        <f>IF(CONSOLIDA!CQ116="","",CONSOLIDA!CQ116)</f>
        <v/>
      </c>
      <c r="AG135" s="1139"/>
      <c r="AH135" s="1139"/>
      <c r="AI135" s="1139"/>
      <c r="AJ135" s="1139"/>
      <c r="AK135" s="1139"/>
      <c r="AL135" s="1139" t="str">
        <f>IF(CONSOLIDA!CR116="","",CONSOLIDA!CR116)</f>
        <v/>
      </c>
      <c r="AM135" s="1139"/>
      <c r="AN135" s="1139"/>
      <c r="AO135" s="1139"/>
      <c r="AP135" s="1139"/>
      <c r="AQ135" s="1139"/>
      <c r="AR135" s="1139" t="str">
        <f>IF(CONSOLIDA!CS116="","",CONSOLIDA!CS116)</f>
        <v/>
      </c>
      <c r="AS135" s="1139"/>
      <c r="AT135" s="1139"/>
      <c r="AU135" s="1139"/>
      <c r="AV135" s="1139"/>
      <c r="AW135" s="1139"/>
      <c r="AX135" s="1140" t="str">
        <f>IF(CONSOLIDA!CT116="","",CONSOLIDA!CT116)</f>
        <v/>
      </c>
      <c r="AY135" s="1140"/>
      <c r="AZ135" s="1140"/>
      <c r="BA135" s="1140"/>
      <c r="BB135" s="1140"/>
      <c r="BC135" s="1140"/>
      <c r="BD135" s="1139" t="str">
        <f>IF(CONSOLIDA!CU116="","",CONSOLIDA!CU116)</f>
        <v/>
      </c>
      <c r="BE135" s="1139"/>
      <c r="BF135" s="1139"/>
      <c r="BG135" s="1139"/>
      <c r="BH135" s="1139"/>
      <c r="BI135" s="1139"/>
      <c r="BJ135" s="1139" t="str">
        <f>IF(CONSOLIDA!CV116="","",CONSOLIDA!CV116)</f>
        <v/>
      </c>
      <c r="BK135" s="1139"/>
      <c r="BL135" s="1139"/>
      <c r="BM135" s="1139"/>
      <c r="BN135" s="1139"/>
      <c r="BO135" s="1139"/>
      <c r="BP135" s="1139" t="str">
        <f>IF(CONSOLIDA!CW116="","",CONSOLIDA!CW116)</f>
        <v/>
      </c>
      <c r="BQ135" s="1139"/>
      <c r="BR135" s="1139"/>
      <c r="BS135" s="1139"/>
      <c r="BT135" s="1139"/>
      <c r="BU135" s="1139"/>
      <c r="BV135" s="1140" t="str">
        <f>IF(CONSOLIDA!CX116="","",CONSOLIDA!CX116)</f>
        <v/>
      </c>
      <c r="BW135" s="1140"/>
      <c r="BX135" s="1140"/>
      <c r="BY135" s="1140"/>
      <c r="BZ135" s="1140"/>
      <c r="CA135" s="1140"/>
      <c r="CB135" s="1139" t="str">
        <f>IF(CONSOLIDA!CY116="","",CONSOLIDA!CY116)</f>
        <v/>
      </c>
      <c r="CC135" s="1139"/>
      <c r="CD135" s="1139"/>
      <c r="CE135" s="1139"/>
      <c r="CF135" s="1139"/>
      <c r="CG135" s="1139"/>
      <c r="CH135" s="486"/>
      <c r="CI135" s="190" t="str">
        <f>IF(CONSOLIDA!CZ116="","",CONSOLIDA!CZ116)</f>
        <v/>
      </c>
      <c r="CJ135" s="190" t="str">
        <f>IF(CONSOLIDA!DA116="","",CONSOLIDA!DA116)</f>
        <v/>
      </c>
    </row>
    <row r="136" spans="1:88" s="3" customFormat="1" hidden="1">
      <c r="A136" s="243" t="str">
        <f t="shared" si="1"/>
        <v>OK</v>
      </c>
      <c r="B136" s="1141" t="str">
        <f>IF(CONSOLIDA!CL117="","",CONSOLIDA!CL117)</f>
        <v/>
      </c>
      <c r="C136" s="1141"/>
      <c r="D136" s="1134" t="str">
        <f>IF(CONSOLIDA!CN117="","",CONSOLIDA!CN117)</f>
        <v/>
      </c>
      <c r="E136" s="1135"/>
      <c r="F136" s="1135"/>
      <c r="G136" s="1129" t="str">
        <f>IF(CONSOLIDA!CO117="","",CONSOLIDA!CO117)</f>
        <v/>
      </c>
      <c r="H136" s="1129"/>
      <c r="I136" s="1129"/>
      <c r="J136" s="1129"/>
      <c r="K136" s="1129"/>
      <c r="L136" s="1129"/>
      <c r="M136" s="1129"/>
      <c r="N136" s="1129"/>
      <c r="O136" s="1129"/>
      <c r="P136" s="1129"/>
      <c r="Q136" s="1129"/>
      <c r="R136" s="1129"/>
      <c r="S136" s="1129"/>
      <c r="T136" s="1129"/>
      <c r="U136" s="1129"/>
      <c r="V136" s="1129"/>
      <c r="W136" s="1129"/>
      <c r="X136" s="1129"/>
      <c r="Y136" s="1130"/>
      <c r="Z136" s="1139" t="str">
        <f>IF(CONSOLIDA!CP117="","",CONSOLIDA!CP117)</f>
        <v/>
      </c>
      <c r="AA136" s="1139"/>
      <c r="AB136" s="1139"/>
      <c r="AC136" s="1139"/>
      <c r="AD136" s="1139"/>
      <c r="AE136" s="1139"/>
      <c r="AF136" s="1139" t="str">
        <f>IF(CONSOLIDA!CQ117="","",CONSOLIDA!CQ117)</f>
        <v/>
      </c>
      <c r="AG136" s="1139"/>
      <c r="AH136" s="1139"/>
      <c r="AI136" s="1139"/>
      <c r="AJ136" s="1139"/>
      <c r="AK136" s="1139"/>
      <c r="AL136" s="1139" t="str">
        <f>IF(CONSOLIDA!CR117="","",CONSOLIDA!CR117)</f>
        <v/>
      </c>
      <c r="AM136" s="1139"/>
      <c r="AN136" s="1139"/>
      <c r="AO136" s="1139"/>
      <c r="AP136" s="1139"/>
      <c r="AQ136" s="1139"/>
      <c r="AR136" s="1139" t="str">
        <f>IF(CONSOLIDA!CS117="","",CONSOLIDA!CS117)</f>
        <v/>
      </c>
      <c r="AS136" s="1139"/>
      <c r="AT136" s="1139"/>
      <c r="AU136" s="1139"/>
      <c r="AV136" s="1139"/>
      <c r="AW136" s="1139"/>
      <c r="AX136" s="1140" t="str">
        <f>IF(CONSOLIDA!CT117="","",CONSOLIDA!CT117)</f>
        <v/>
      </c>
      <c r="AY136" s="1140"/>
      <c r="AZ136" s="1140"/>
      <c r="BA136" s="1140"/>
      <c r="BB136" s="1140"/>
      <c r="BC136" s="1140"/>
      <c r="BD136" s="1139" t="str">
        <f>IF(CONSOLIDA!CU117="","",CONSOLIDA!CU117)</f>
        <v/>
      </c>
      <c r="BE136" s="1139"/>
      <c r="BF136" s="1139"/>
      <c r="BG136" s="1139"/>
      <c r="BH136" s="1139"/>
      <c r="BI136" s="1139"/>
      <c r="BJ136" s="1139" t="str">
        <f>IF(CONSOLIDA!CV117="","",CONSOLIDA!CV117)</f>
        <v/>
      </c>
      <c r="BK136" s="1139"/>
      <c r="BL136" s="1139"/>
      <c r="BM136" s="1139"/>
      <c r="BN136" s="1139"/>
      <c r="BO136" s="1139"/>
      <c r="BP136" s="1139" t="str">
        <f>IF(CONSOLIDA!CW117="","",CONSOLIDA!CW117)</f>
        <v/>
      </c>
      <c r="BQ136" s="1139"/>
      <c r="BR136" s="1139"/>
      <c r="BS136" s="1139"/>
      <c r="BT136" s="1139"/>
      <c r="BU136" s="1139"/>
      <c r="BV136" s="1140" t="str">
        <f>IF(CONSOLIDA!CX117="","",CONSOLIDA!CX117)</f>
        <v/>
      </c>
      <c r="BW136" s="1140"/>
      <c r="BX136" s="1140"/>
      <c r="BY136" s="1140"/>
      <c r="BZ136" s="1140"/>
      <c r="CA136" s="1140"/>
      <c r="CB136" s="1139" t="str">
        <f>IF(CONSOLIDA!CY117="","",CONSOLIDA!CY117)</f>
        <v/>
      </c>
      <c r="CC136" s="1139"/>
      <c r="CD136" s="1139"/>
      <c r="CE136" s="1139"/>
      <c r="CF136" s="1139"/>
      <c r="CG136" s="1139"/>
      <c r="CH136" s="486"/>
      <c r="CI136" s="190" t="str">
        <f>IF(CONSOLIDA!CZ117="","",CONSOLIDA!CZ117)</f>
        <v/>
      </c>
      <c r="CJ136" s="190" t="str">
        <f>IF(CONSOLIDA!DA117="","",CONSOLIDA!DA117)</f>
        <v/>
      </c>
    </row>
    <row r="137" spans="1:88" s="3" customFormat="1" hidden="1">
      <c r="A137" s="243" t="str">
        <f t="shared" si="1"/>
        <v>OK</v>
      </c>
      <c r="B137" s="1141" t="str">
        <f>IF(CONSOLIDA!CL118="","",CONSOLIDA!CL118)</f>
        <v/>
      </c>
      <c r="C137" s="1141"/>
      <c r="D137" s="1134" t="str">
        <f>IF(CONSOLIDA!CN118="","",CONSOLIDA!CN118)</f>
        <v/>
      </c>
      <c r="E137" s="1135"/>
      <c r="F137" s="1135"/>
      <c r="G137" s="1129" t="str">
        <f>IF(CONSOLIDA!CO118="","",CONSOLIDA!CO118)</f>
        <v/>
      </c>
      <c r="H137" s="1129"/>
      <c r="I137" s="1129"/>
      <c r="J137" s="1129"/>
      <c r="K137" s="1129"/>
      <c r="L137" s="1129"/>
      <c r="M137" s="1129"/>
      <c r="N137" s="1129"/>
      <c r="O137" s="1129"/>
      <c r="P137" s="1129"/>
      <c r="Q137" s="1129"/>
      <c r="R137" s="1129"/>
      <c r="S137" s="1129"/>
      <c r="T137" s="1129"/>
      <c r="U137" s="1129"/>
      <c r="V137" s="1129"/>
      <c r="W137" s="1129"/>
      <c r="X137" s="1129"/>
      <c r="Y137" s="1130"/>
      <c r="Z137" s="1139" t="str">
        <f>IF(CONSOLIDA!CP118="","",CONSOLIDA!CP118)</f>
        <v/>
      </c>
      <c r="AA137" s="1139"/>
      <c r="AB137" s="1139"/>
      <c r="AC137" s="1139"/>
      <c r="AD137" s="1139"/>
      <c r="AE137" s="1139"/>
      <c r="AF137" s="1139" t="str">
        <f>IF(CONSOLIDA!CQ118="","",CONSOLIDA!CQ118)</f>
        <v/>
      </c>
      <c r="AG137" s="1139"/>
      <c r="AH137" s="1139"/>
      <c r="AI137" s="1139"/>
      <c r="AJ137" s="1139"/>
      <c r="AK137" s="1139"/>
      <c r="AL137" s="1139" t="str">
        <f>IF(CONSOLIDA!CR118="","",CONSOLIDA!CR118)</f>
        <v/>
      </c>
      <c r="AM137" s="1139"/>
      <c r="AN137" s="1139"/>
      <c r="AO137" s="1139"/>
      <c r="AP137" s="1139"/>
      <c r="AQ137" s="1139"/>
      <c r="AR137" s="1139" t="str">
        <f>IF(CONSOLIDA!CS118="","",CONSOLIDA!CS118)</f>
        <v/>
      </c>
      <c r="AS137" s="1139"/>
      <c r="AT137" s="1139"/>
      <c r="AU137" s="1139"/>
      <c r="AV137" s="1139"/>
      <c r="AW137" s="1139"/>
      <c r="AX137" s="1140" t="str">
        <f>IF(CONSOLIDA!CT118="","",CONSOLIDA!CT118)</f>
        <v/>
      </c>
      <c r="AY137" s="1140"/>
      <c r="AZ137" s="1140"/>
      <c r="BA137" s="1140"/>
      <c r="BB137" s="1140"/>
      <c r="BC137" s="1140"/>
      <c r="BD137" s="1139" t="str">
        <f>IF(CONSOLIDA!CU118="","",CONSOLIDA!CU118)</f>
        <v/>
      </c>
      <c r="BE137" s="1139"/>
      <c r="BF137" s="1139"/>
      <c r="BG137" s="1139"/>
      <c r="BH137" s="1139"/>
      <c r="BI137" s="1139"/>
      <c r="BJ137" s="1139" t="str">
        <f>IF(CONSOLIDA!CV118="","",CONSOLIDA!CV118)</f>
        <v/>
      </c>
      <c r="BK137" s="1139"/>
      <c r="BL137" s="1139"/>
      <c r="BM137" s="1139"/>
      <c r="BN137" s="1139"/>
      <c r="BO137" s="1139"/>
      <c r="BP137" s="1139" t="str">
        <f>IF(CONSOLIDA!CW118="","",CONSOLIDA!CW118)</f>
        <v/>
      </c>
      <c r="BQ137" s="1139"/>
      <c r="BR137" s="1139"/>
      <c r="BS137" s="1139"/>
      <c r="BT137" s="1139"/>
      <c r="BU137" s="1139"/>
      <c r="BV137" s="1140" t="str">
        <f>IF(CONSOLIDA!CX118="","",CONSOLIDA!CX118)</f>
        <v/>
      </c>
      <c r="BW137" s="1140"/>
      <c r="BX137" s="1140"/>
      <c r="BY137" s="1140"/>
      <c r="BZ137" s="1140"/>
      <c r="CA137" s="1140"/>
      <c r="CB137" s="1139" t="str">
        <f>IF(CONSOLIDA!CY118="","",CONSOLIDA!CY118)</f>
        <v/>
      </c>
      <c r="CC137" s="1139"/>
      <c r="CD137" s="1139"/>
      <c r="CE137" s="1139"/>
      <c r="CF137" s="1139"/>
      <c r="CG137" s="1139"/>
      <c r="CH137" s="486"/>
      <c r="CI137" s="190" t="str">
        <f>IF(CONSOLIDA!CZ118="","",CONSOLIDA!CZ118)</f>
        <v/>
      </c>
      <c r="CJ137" s="190" t="str">
        <f>IF(CONSOLIDA!DA118="","",CONSOLIDA!DA118)</f>
        <v/>
      </c>
    </row>
    <row r="138" spans="1:88" s="3" customFormat="1" hidden="1">
      <c r="A138" s="243" t="str">
        <f t="shared" si="1"/>
        <v>OK</v>
      </c>
      <c r="B138" s="1141" t="str">
        <f>IF(CONSOLIDA!CL119="","",CONSOLIDA!CL119)</f>
        <v/>
      </c>
      <c r="C138" s="1141"/>
      <c r="D138" s="1134" t="str">
        <f>IF(CONSOLIDA!CN119="","",CONSOLIDA!CN119)</f>
        <v/>
      </c>
      <c r="E138" s="1135"/>
      <c r="F138" s="1135"/>
      <c r="G138" s="1129" t="str">
        <f>IF(CONSOLIDA!CO119="","",CONSOLIDA!CO119)</f>
        <v/>
      </c>
      <c r="H138" s="1129"/>
      <c r="I138" s="1129"/>
      <c r="J138" s="1129"/>
      <c r="K138" s="1129"/>
      <c r="L138" s="1129"/>
      <c r="M138" s="1129"/>
      <c r="N138" s="1129"/>
      <c r="O138" s="1129"/>
      <c r="P138" s="1129"/>
      <c r="Q138" s="1129"/>
      <c r="R138" s="1129"/>
      <c r="S138" s="1129"/>
      <c r="T138" s="1129"/>
      <c r="U138" s="1129"/>
      <c r="V138" s="1129"/>
      <c r="W138" s="1129"/>
      <c r="X138" s="1129"/>
      <c r="Y138" s="1130"/>
      <c r="Z138" s="1139" t="str">
        <f>IF(CONSOLIDA!CP119="","",CONSOLIDA!CP119)</f>
        <v/>
      </c>
      <c r="AA138" s="1139"/>
      <c r="AB138" s="1139"/>
      <c r="AC138" s="1139"/>
      <c r="AD138" s="1139"/>
      <c r="AE138" s="1139"/>
      <c r="AF138" s="1139" t="str">
        <f>IF(CONSOLIDA!CQ119="","",CONSOLIDA!CQ119)</f>
        <v/>
      </c>
      <c r="AG138" s="1139"/>
      <c r="AH138" s="1139"/>
      <c r="AI138" s="1139"/>
      <c r="AJ138" s="1139"/>
      <c r="AK138" s="1139"/>
      <c r="AL138" s="1139" t="str">
        <f>IF(CONSOLIDA!CR119="","",CONSOLIDA!CR119)</f>
        <v/>
      </c>
      <c r="AM138" s="1139"/>
      <c r="AN138" s="1139"/>
      <c r="AO138" s="1139"/>
      <c r="AP138" s="1139"/>
      <c r="AQ138" s="1139"/>
      <c r="AR138" s="1139" t="str">
        <f>IF(CONSOLIDA!CS119="","",CONSOLIDA!CS119)</f>
        <v/>
      </c>
      <c r="AS138" s="1139"/>
      <c r="AT138" s="1139"/>
      <c r="AU138" s="1139"/>
      <c r="AV138" s="1139"/>
      <c r="AW138" s="1139"/>
      <c r="AX138" s="1140" t="str">
        <f>IF(CONSOLIDA!CT119="","",CONSOLIDA!CT119)</f>
        <v/>
      </c>
      <c r="AY138" s="1140"/>
      <c r="AZ138" s="1140"/>
      <c r="BA138" s="1140"/>
      <c r="BB138" s="1140"/>
      <c r="BC138" s="1140"/>
      <c r="BD138" s="1139" t="str">
        <f>IF(CONSOLIDA!CU119="","",CONSOLIDA!CU119)</f>
        <v/>
      </c>
      <c r="BE138" s="1139"/>
      <c r="BF138" s="1139"/>
      <c r="BG138" s="1139"/>
      <c r="BH138" s="1139"/>
      <c r="BI138" s="1139"/>
      <c r="BJ138" s="1139" t="str">
        <f>IF(CONSOLIDA!CV119="","",CONSOLIDA!CV119)</f>
        <v/>
      </c>
      <c r="BK138" s="1139"/>
      <c r="BL138" s="1139"/>
      <c r="BM138" s="1139"/>
      <c r="BN138" s="1139"/>
      <c r="BO138" s="1139"/>
      <c r="BP138" s="1139" t="str">
        <f>IF(CONSOLIDA!CW119="","",CONSOLIDA!CW119)</f>
        <v/>
      </c>
      <c r="BQ138" s="1139"/>
      <c r="BR138" s="1139"/>
      <c r="BS138" s="1139"/>
      <c r="BT138" s="1139"/>
      <c r="BU138" s="1139"/>
      <c r="BV138" s="1140" t="str">
        <f>IF(CONSOLIDA!CX119="","",CONSOLIDA!CX119)</f>
        <v/>
      </c>
      <c r="BW138" s="1140"/>
      <c r="BX138" s="1140"/>
      <c r="BY138" s="1140"/>
      <c r="BZ138" s="1140"/>
      <c r="CA138" s="1140"/>
      <c r="CB138" s="1139" t="str">
        <f>IF(CONSOLIDA!CY119="","",CONSOLIDA!CY119)</f>
        <v/>
      </c>
      <c r="CC138" s="1139"/>
      <c r="CD138" s="1139"/>
      <c r="CE138" s="1139"/>
      <c r="CF138" s="1139"/>
      <c r="CG138" s="1139"/>
      <c r="CH138" s="486"/>
      <c r="CI138" s="190" t="str">
        <f>IF(CONSOLIDA!CZ119="","",CONSOLIDA!CZ119)</f>
        <v/>
      </c>
      <c r="CJ138" s="190" t="str">
        <f>IF(CONSOLIDA!DA119="","",CONSOLIDA!DA119)</f>
        <v/>
      </c>
    </row>
    <row r="139" spans="1:88" s="3" customFormat="1" hidden="1">
      <c r="A139" s="243" t="str">
        <f t="shared" si="1"/>
        <v>OK</v>
      </c>
      <c r="B139" s="1141" t="str">
        <f>IF(CONSOLIDA!CL120="","",CONSOLIDA!CL120)</f>
        <v/>
      </c>
      <c r="C139" s="1141"/>
      <c r="D139" s="1134" t="str">
        <f>IF(CONSOLIDA!CN120="","",CONSOLIDA!CN120)</f>
        <v/>
      </c>
      <c r="E139" s="1135"/>
      <c r="F139" s="1135"/>
      <c r="G139" s="1129" t="str">
        <f>IF(CONSOLIDA!CO120="","",CONSOLIDA!CO120)</f>
        <v/>
      </c>
      <c r="H139" s="1129"/>
      <c r="I139" s="1129"/>
      <c r="J139" s="1129"/>
      <c r="K139" s="1129"/>
      <c r="L139" s="1129"/>
      <c r="M139" s="1129"/>
      <c r="N139" s="1129"/>
      <c r="O139" s="1129"/>
      <c r="P139" s="1129"/>
      <c r="Q139" s="1129"/>
      <c r="R139" s="1129"/>
      <c r="S139" s="1129"/>
      <c r="T139" s="1129"/>
      <c r="U139" s="1129"/>
      <c r="V139" s="1129"/>
      <c r="W139" s="1129"/>
      <c r="X139" s="1129"/>
      <c r="Y139" s="1130"/>
      <c r="Z139" s="1139" t="str">
        <f>IF(CONSOLIDA!CP120="","",CONSOLIDA!CP120)</f>
        <v/>
      </c>
      <c r="AA139" s="1139"/>
      <c r="AB139" s="1139"/>
      <c r="AC139" s="1139"/>
      <c r="AD139" s="1139"/>
      <c r="AE139" s="1139"/>
      <c r="AF139" s="1139" t="str">
        <f>IF(CONSOLIDA!CQ120="","",CONSOLIDA!CQ120)</f>
        <v/>
      </c>
      <c r="AG139" s="1139"/>
      <c r="AH139" s="1139"/>
      <c r="AI139" s="1139"/>
      <c r="AJ139" s="1139"/>
      <c r="AK139" s="1139"/>
      <c r="AL139" s="1139" t="str">
        <f>IF(CONSOLIDA!CR120="","",CONSOLIDA!CR120)</f>
        <v/>
      </c>
      <c r="AM139" s="1139"/>
      <c r="AN139" s="1139"/>
      <c r="AO139" s="1139"/>
      <c r="AP139" s="1139"/>
      <c r="AQ139" s="1139"/>
      <c r="AR139" s="1139" t="str">
        <f>IF(CONSOLIDA!CS120="","",CONSOLIDA!CS120)</f>
        <v/>
      </c>
      <c r="AS139" s="1139"/>
      <c r="AT139" s="1139"/>
      <c r="AU139" s="1139"/>
      <c r="AV139" s="1139"/>
      <c r="AW139" s="1139"/>
      <c r="AX139" s="1140" t="str">
        <f>IF(CONSOLIDA!CT120="","",CONSOLIDA!CT120)</f>
        <v/>
      </c>
      <c r="AY139" s="1140"/>
      <c r="AZ139" s="1140"/>
      <c r="BA139" s="1140"/>
      <c r="BB139" s="1140"/>
      <c r="BC139" s="1140"/>
      <c r="BD139" s="1139" t="str">
        <f>IF(CONSOLIDA!CU120="","",CONSOLIDA!CU120)</f>
        <v/>
      </c>
      <c r="BE139" s="1139"/>
      <c r="BF139" s="1139"/>
      <c r="BG139" s="1139"/>
      <c r="BH139" s="1139"/>
      <c r="BI139" s="1139"/>
      <c r="BJ139" s="1139" t="str">
        <f>IF(CONSOLIDA!CV120="","",CONSOLIDA!CV120)</f>
        <v/>
      </c>
      <c r="BK139" s="1139"/>
      <c r="BL139" s="1139"/>
      <c r="BM139" s="1139"/>
      <c r="BN139" s="1139"/>
      <c r="BO139" s="1139"/>
      <c r="BP139" s="1139" t="str">
        <f>IF(CONSOLIDA!CW120="","",CONSOLIDA!CW120)</f>
        <v/>
      </c>
      <c r="BQ139" s="1139"/>
      <c r="BR139" s="1139"/>
      <c r="BS139" s="1139"/>
      <c r="BT139" s="1139"/>
      <c r="BU139" s="1139"/>
      <c r="BV139" s="1140" t="str">
        <f>IF(CONSOLIDA!CX120="","",CONSOLIDA!CX120)</f>
        <v/>
      </c>
      <c r="BW139" s="1140"/>
      <c r="BX139" s="1140"/>
      <c r="BY139" s="1140"/>
      <c r="BZ139" s="1140"/>
      <c r="CA139" s="1140"/>
      <c r="CB139" s="1139" t="str">
        <f>IF(CONSOLIDA!CY120="","",CONSOLIDA!CY120)</f>
        <v/>
      </c>
      <c r="CC139" s="1139"/>
      <c r="CD139" s="1139"/>
      <c r="CE139" s="1139"/>
      <c r="CF139" s="1139"/>
      <c r="CG139" s="1139"/>
      <c r="CH139" s="486"/>
      <c r="CI139" s="190" t="str">
        <f>IF(CONSOLIDA!CZ120="","",CONSOLIDA!CZ120)</f>
        <v/>
      </c>
      <c r="CJ139" s="190" t="str">
        <f>IF(CONSOLIDA!DA120="","",CONSOLIDA!DA120)</f>
        <v/>
      </c>
    </row>
    <row r="140" spans="1:88" s="3" customFormat="1" hidden="1">
      <c r="A140" s="243" t="str">
        <f t="shared" si="1"/>
        <v>OK</v>
      </c>
      <c r="B140" s="1141" t="str">
        <f>IF(CONSOLIDA!CL121="","",CONSOLIDA!CL121)</f>
        <v/>
      </c>
      <c r="C140" s="1141"/>
      <c r="D140" s="1134" t="str">
        <f>IF(CONSOLIDA!CN121="","",CONSOLIDA!CN121)</f>
        <v/>
      </c>
      <c r="E140" s="1135"/>
      <c r="F140" s="1135"/>
      <c r="G140" s="1129" t="str">
        <f>IF(CONSOLIDA!CO121="","",CONSOLIDA!CO121)</f>
        <v/>
      </c>
      <c r="H140" s="1129"/>
      <c r="I140" s="1129"/>
      <c r="J140" s="1129"/>
      <c r="K140" s="1129"/>
      <c r="L140" s="1129"/>
      <c r="M140" s="1129"/>
      <c r="N140" s="1129"/>
      <c r="O140" s="1129"/>
      <c r="P140" s="1129"/>
      <c r="Q140" s="1129"/>
      <c r="R140" s="1129"/>
      <c r="S140" s="1129"/>
      <c r="T140" s="1129"/>
      <c r="U140" s="1129"/>
      <c r="V140" s="1129"/>
      <c r="W140" s="1129"/>
      <c r="X140" s="1129"/>
      <c r="Y140" s="1130"/>
      <c r="Z140" s="1139" t="str">
        <f>IF(CONSOLIDA!CP121="","",CONSOLIDA!CP121)</f>
        <v/>
      </c>
      <c r="AA140" s="1139"/>
      <c r="AB140" s="1139"/>
      <c r="AC140" s="1139"/>
      <c r="AD140" s="1139"/>
      <c r="AE140" s="1139"/>
      <c r="AF140" s="1139" t="str">
        <f>IF(CONSOLIDA!CQ121="","",CONSOLIDA!CQ121)</f>
        <v/>
      </c>
      <c r="AG140" s="1139"/>
      <c r="AH140" s="1139"/>
      <c r="AI140" s="1139"/>
      <c r="AJ140" s="1139"/>
      <c r="AK140" s="1139"/>
      <c r="AL140" s="1139" t="str">
        <f>IF(CONSOLIDA!CR121="","",CONSOLIDA!CR121)</f>
        <v/>
      </c>
      <c r="AM140" s="1139"/>
      <c r="AN140" s="1139"/>
      <c r="AO140" s="1139"/>
      <c r="AP140" s="1139"/>
      <c r="AQ140" s="1139"/>
      <c r="AR140" s="1139" t="str">
        <f>IF(CONSOLIDA!CS121="","",CONSOLIDA!CS121)</f>
        <v/>
      </c>
      <c r="AS140" s="1139"/>
      <c r="AT140" s="1139"/>
      <c r="AU140" s="1139"/>
      <c r="AV140" s="1139"/>
      <c r="AW140" s="1139"/>
      <c r="AX140" s="1140" t="str">
        <f>IF(CONSOLIDA!CT121="","",CONSOLIDA!CT121)</f>
        <v/>
      </c>
      <c r="AY140" s="1140"/>
      <c r="AZ140" s="1140"/>
      <c r="BA140" s="1140"/>
      <c r="BB140" s="1140"/>
      <c r="BC140" s="1140"/>
      <c r="BD140" s="1139" t="str">
        <f>IF(CONSOLIDA!CU121="","",CONSOLIDA!CU121)</f>
        <v/>
      </c>
      <c r="BE140" s="1139"/>
      <c r="BF140" s="1139"/>
      <c r="BG140" s="1139"/>
      <c r="BH140" s="1139"/>
      <c r="BI140" s="1139"/>
      <c r="BJ140" s="1139" t="str">
        <f>IF(CONSOLIDA!CV121="","",CONSOLIDA!CV121)</f>
        <v/>
      </c>
      <c r="BK140" s="1139"/>
      <c r="BL140" s="1139"/>
      <c r="BM140" s="1139"/>
      <c r="BN140" s="1139"/>
      <c r="BO140" s="1139"/>
      <c r="BP140" s="1139" t="str">
        <f>IF(CONSOLIDA!CW121="","",CONSOLIDA!CW121)</f>
        <v/>
      </c>
      <c r="BQ140" s="1139"/>
      <c r="BR140" s="1139"/>
      <c r="BS140" s="1139"/>
      <c r="BT140" s="1139"/>
      <c r="BU140" s="1139"/>
      <c r="BV140" s="1140" t="str">
        <f>IF(CONSOLIDA!CX121="","",CONSOLIDA!CX121)</f>
        <v/>
      </c>
      <c r="BW140" s="1140"/>
      <c r="BX140" s="1140"/>
      <c r="BY140" s="1140"/>
      <c r="BZ140" s="1140"/>
      <c r="CA140" s="1140"/>
      <c r="CB140" s="1139" t="str">
        <f>IF(CONSOLIDA!CY121="","",CONSOLIDA!CY121)</f>
        <v/>
      </c>
      <c r="CC140" s="1139"/>
      <c r="CD140" s="1139"/>
      <c r="CE140" s="1139"/>
      <c r="CF140" s="1139"/>
      <c r="CG140" s="1139"/>
      <c r="CH140" s="486"/>
      <c r="CI140" s="190" t="str">
        <f>IF(CONSOLIDA!CZ121="","",CONSOLIDA!CZ121)</f>
        <v/>
      </c>
      <c r="CJ140" s="190" t="str">
        <f>IF(CONSOLIDA!DA121="","",CONSOLIDA!DA121)</f>
        <v/>
      </c>
    </row>
    <row r="141" spans="1:88" s="3" customFormat="1" hidden="1">
      <c r="A141" s="243" t="str">
        <f t="shared" si="1"/>
        <v>OK</v>
      </c>
      <c r="B141" s="1141" t="str">
        <f>IF(CONSOLIDA!CL122="","",CONSOLIDA!CL122)</f>
        <v/>
      </c>
      <c r="C141" s="1141"/>
      <c r="D141" s="1134" t="str">
        <f>IF(CONSOLIDA!CN122="","",CONSOLIDA!CN122)</f>
        <v/>
      </c>
      <c r="E141" s="1135"/>
      <c r="F141" s="1135"/>
      <c r="G141" s="1129" t="str">
        <f>IF(CONSOLIDA!CO122="","",CONSOLIDA!CO122)</f>
        <v/>
      </c>
      <c r="H141" s="1129"/>
      <c r="I141" s="1129"/>
      <c r="J141" s="1129"/>
      <c r="K141" s="1129"/>
      <c r="L141" s="1129"/>
      <c r="M141" s="1129"/>
      <c r="N141" s="1129"/>
      <c r="O141" s="1129"/>
      <c r="P141" s="1129"/>
      <c r="Q141" s="1129"/>
      <c r="R141" s="1129"/>
      <c r="S141" s="1129"/>
      <c r="T141" s="1129"/>
      <c r="U141" s="1129"/>
      <c r="V141" s="1129"/>
      <c r="W141" s="1129"/>
      <c r="X141" s="1129"/>
      <c r="Y141" s="1130"/>
      <c r="Z141" s="1139" t="str">
        <f>IF(CONSOLIDA!CP122="","",CONSOLIDA!CP122)</f>
        <v/>
      </c>
      <c r="AA141" s="1139"/>
      <c r="AB141" s="1139"/>
      <c r="AC141" s="1139"/>
      <c r="AD141" s="1139"/>
      <c r="AE141" s="1139"/>
      <c r="AF141" s="1139" t="str">
        <f>IF(CONSOLIDA!CQ122="","",CONSOLIDA!CQ122)</f>
        <v/>
      </c>
      <c r="AG141" s="1139"/>
      <c r="AH141" s="1139"/>
      <c r="AI141" s="1139"/>
      <c r="AJ141" s="1139"/>
      <c r="AK141" s="1139"/>
      <c r="AL141" s="1139" t="str">
        <f>IF(CONSOLIDA!CR122="","",CONSOLIDA!CR122)</f>
        <v/>
      </c>
      <c r="AM141" s="1139"/>
      <c r="AN141" s="1139"/>
      <c r="AO141" s="1139"/>
      <c r="AP141" s="1139"/>
      <c r="AQ141" s="1139"/>
      <c r="AR141" s="1139" t="str">
        <f>IF(CONSOLIDA!CS122="","",CONSOLIDA!CS122)</f>
        <v/>
      </c>
      <c r="AS141" s="1139"/>
      <c r="AT141" s="1139"/>
      <c r="AU141" s="1139"/>
      <c r="AV141" s="1139"/>
      <c r="AW141" s="1139"/>
      <c r="AX141" s="1140" t="str">
        <f>IF(CONSOLIDA!CT122="","",CONSOLIDA!CT122)</f>
        <v/>
      </c>
      <c r="AY141" s="1140"/>
      <c r="AZ141" s="1140"/>
      <c r="BA141" s="1140"/>
      <c r="BB141" s="1140"/>
      <c r="BC141" s="1140"/>
      <c r="BD141" s="1139" t="str">
        <f>IF(CONSOLIDA!CU122="","",CONSOLIDA!CU122)</f>
        <v/>
      </c>
      <c r="BE141" s="1139"/>
      <c r="BF141" s="1139"/>
      <c r="BG141" s="1139"/>
      <c r="BH141" s="1139"/>
      <c r="BI141" s="1139"/>
      <c r="BJ141" s="1139" t="str">
        <f>IF(CONSOLIDA!CV122="","",CONSOLIDA!CV122)</f>
        <v/>
      </c>
      <c r="BK141" s="1139"/>
      <c r="BL141" s="1139"/>
      <c r="BM141" s="1139"/>
      <c r="BN141" s="1139"/>
      <c r="BO141" s="1139"/>
      <c r="BP141" s="1139" t="str">
        <f>IF(CONSOLIDA!CW122="","",CONSOLIDA!CW122)</f>
        <v/>
      </c>
      <c r="BQ141" s="1139"/>
      <c r="BR141" s="1139"/>
      <c r="BS141" s="1139"/>
      <c r="BT141" s="1139"/>
      <c r="BU141" s="1139"/>
      <c r="BV141" s="1140" t="str">
        <f>IF(CONSOLIDA!CX122="","",CONSOLIDA!CX122)</f>
        <v/>
      </c>
      <c r="BW141" s="1140"/>
      <c r="BX141" s="1140"/>
      <c r="BY141" s="1140"/>
      <c r="BZ141" s="1140"/>
      <c r="CA141" s="1140"/>
      <c r="CB141" s="1139" t="str">
        <f>IF(CONSOLIDA!CY122="","",CONSOLIDA!CY122)</f>
        <v/>
      </c>
      <c r="CC141" s="1139"/>
      <c r="CD141" s="1139"/>
      <c r="CE141" s="1139"/>
      <c r="CF141" s="1139"/>
      <c r="CG141" s="1139"/>
      <c r="CH141" s="486"/>
      <c r="CI141" s="190" t="str">
        <f>IF(CONSOLIDA!CZ122="","",CONSOLIDA!CZ122)</f>
        <v/>
      </c>
      <c r="CJ141" s="190" t="str">
        <f>IF(CONSOLIDA!DA122="","",CONSOLIDA!DA122)</f>
        <v/>
      </c>
    </row>
    <row r="142" spans="1:88" s="3" customFormat="1" hidden="1">
      <c r="A142" s="243" t="str">
        <f t="shared" si="1"/>
        <v>OK</v>
      </c>
      <c r="B142" s="1141" t="str">
        <f>IF(CONSOLIDA!CL123="","",CONSOLIDA!CL123)</f>
        <v/>
      </c>
      <c r="C142" s="1141"/>
      <c r="D142" s="1134" t="str">
        <f>IF(CONSOLIDA!CN123="","",CONSOLIDA!CN123)</f>
        <v/>
      </c>
      <c r="E142" s="1135"/>
      <c r="F142" s="1135"/>
      <c r="G142" s="1129" t="str">
        <f>IF(CONSOLIDA!CO123="","",CONSOLIDA!CO123)</f>
        <v/>
      </c>
      <c r="H142" s="1129"/>
      <c r="I142" s="1129"/>
      <c r="J142" s="1129"/>
      <c r="K142" s="1129"/>
      <c r="L142" s="1129"/>
      <c r="M142" s="1129"/>
      <c r="N142" s="1129"/>
      <c r="O142" s="1129"/>
      <c r="P142" s="1129"/>
      <c r="Q142" s="1129"/>
      <c r="R142" s="1129"/>
      <c r="S142" s="1129"/>
      <c r="T142" s="1129"/>
      <c r="U142" s="1129"/>
      <c r="V142" s="1129"/>
      <c r="W142" s="1129"/>
      <c r="X142" s="1129"/>
      <c r="Y142" s="1130"/>
      <c r="Z142" s="1139" t="str">
        <f>IF(CONSOLIDA!CP123="","",CONSOLIDA!CP123)</f>
        <v/>
      </c>
      <c r="AA142" s="1139"/>
      <c r="AB142" s="1139"/>
      <c r="AC142" s="1139"/>
      <c r="AD142" s="1139"/>
      <c r="AE142" s="1139"/>
      <c r="AF142" s="1139" t="str">
        <f>IF(CONSOLIDA!CQ123="","",CONSOLIDA!CQ123)</f>
        <v/>
      </c>
      <c r="AG142" s="1139"/>
      <c r="AH142" s="1139"/>
      <c r="AI142" s="1139"/>
      <c r="AJ142" s="1139"/>
      <c r="AK142" s="1139"/>
      <c r="AL142" s="1139" t="str">
        <f>IF(CONSOLIDA!CR123="","",CONSOLIDA!CR123)</f>
        <v/>
      </c>
      <c r="AM142" s="1139"/>
      <c r="AN142" s="1139"/>
      <c r="AO142" s="1139"/>
      <c r="AP142" s="1139"/>
      <c r="AQ142" s="1139"/>
      <c r="AR142" s="1139" t="str">
        <f>IF(CONSOLIDA!CS123="","",CONSOLIDA!CS123)</f>
        <v/>
      </c>
      <c r="AS142" s="1139"/>
      <c r="AT142" s="1139"/>
      <c r="AU142" s="1139"/>
      <c r="AV142" s="1139"/>
      <c r="AW142" s="1139"/>
      <c r="AX142" s="1140" t="str">
        <f>IF(CONSOLIDA!CT123="","",CONSOLIDA!CT123)</f>
        <v/>
      </c>
      <c r="AY142" s="1140"/>
      <c r="AZ142" s="1140"/>
      <c r="BA142" s="1140"/>
      <c r="BB142" s="1140"/>
      <c r="BC142" s="1140"/>
      <c r="BD142" s="1139" t="str">
        <f>IF(CONSOLIDA!CU123="","",CONSOLIDA!CU123)</f>
        <v/>
      </c>
      <c r="BE142" s="1139"/>
      <c r="BF142" s="1139"/>
      <c r="BG142" s="1139"/>
      <c r="BH142" s="1139"/>
      <c r="BI142" s="1139"/>
      <c r="BJ142" s="1139" t="str">
        <f>IF(CONSOLIDA!CV123="","",CONSOLIDA!CV123)</f>
        <v/>
      </c>
      <c r="BK142" s="1139"/>
      <c r="BL142" s="1139"/>
      <c r="BM142" s="1139"/>
      <c r="BN142" s="1139"/>
      <c r="BO142" s="1139"/>
      <c r="BP142" s="1139" t="str">
        <f>IF(CONSOLIDA!CW123="","",CONSOLIDA!CW123)</f>
        <v/>
      </c>
      <c r="BQ142" s="1139"/>
      <c r="BR142" s="1139"/>
      <c r="BS142" s="1139"/>
      <c r="BT142" s="1139"/>
      <c r="BU142" s="1139"/>
      <c r="BV142" s="1140" t="str">
        <f>IF(CONSOLIDA!CX123="","",CONSOLIDA!CX123)</f>
        <v/>
      </c>
      <c r="BW142" s="1140"/>
      <c r="BX142" s="1140"/>
      <c r="BY142" s="1140"/>
      <c r="BZ142" s="1140"/>
      <c r="CA142" s="1140"/>
      <c r="CB142" s="1139" t="str">
        <f>IF(CONSOLIDA!CY123="","",CONSOLIDA!CY123)</f>
        <v/>
      </c>
      <c r="CC142" s="1139"/>
      <c r="CD142" s="1139"/>
      <c r="CE142" s="1139"/>
      <c r="CF142" s="1139"/>
      <c r="CG142" s="1139"/>
      <c r="CH142" s="486"/>
      <c r="CI142" s="190" t="str">
        <f>IF(CONSOLIDA!CZ123="","",CONSOLIDA!CZ123)</f>
        <v/>
      </c>
      <c r="CJ142" s="190" t="str">
        <f>IF(CONSOLIDA!DA123="","",CONSOLIDA!DA123)</f>
        <v/>
      </c>
    </row>
    <row r="143" spans="1:88" s="3" customFormat="1" hidden="1">
      <c r="A143" s="243" t="str">
        <f t="shared" si="1"/>
        <v>OK</v>
      </c>
      <c r="B143" s="1141" t="str">
        <f>IF(CONSOLIDA!CL124="","",CONSOLIDA!CL124)</f>
        <v/>
      </c>
      <c r="C143" s="1141"/>
      <c r="D143" s="1134" t="str">
        <f>IF(CONSOLIDA!CN124="","",CONSOLIDA!CN124)</f>
        <v/>
      </c>
      <c r="E143" s="1135"/>
      <c r="F143" s="1135"/>
      <c r="G143" s="1129" t="str">
        <f>IF(CONSOLIDA!CO124="","",CONSOLIDA!CO124)</f>
        <v/>
      </c>
      <c r="H143" s="1129"/>
      <c r="I143" s="1129"/>
      <c r="J143" s="1129"/>
      <c r="K143" s="1129"/>
      <c r="L143" s="1129"/>
      <c r="M143" s="1129"/>
      <c r="N143" s="1129"/>
      <c r="O143" s="1129"/>
      <c r="P143" s="1129"/>
      <c r="Q143" s="1129"/>
      <c r="R143" s="1129"/>
      <c r="S143" s="1129"/>
      <c r="T143" s="1129"/>
      <c r="U143" s="1129"/>
      <c r="V143" s="1129"/>
      <c r="W143" s="1129"/>
      <c r="X143" s="1129"/>
      <c r="Y143" s="1130"/>
      <c r="Z143" s="1139" t="str">
        <f>IF(CONSOLIDA!CP124="","",CONSOLIDA!CP124)</f>
        <v/>
      </c>
      <c r="AA143" s="1139"/>
      <c r="AB143" s="1139"/>
      <c r="AC143" s="1139"/>
      <c r="AD143" s="1139"/>
      <c r="AE143" s="1139"/>
      <c r="AF143" s="1139" t="str">
        <f>IF(CONSOLIDA!CQ124="","",CONSOLIDA!CQ124)</f>
        <v/>
      </c>
      <c r="AG143" s="1139"/>
      <c r="AH143" s="1139"/>
      <c r="AI143" s="1139"/>
      <c r="AJ143" s="1139"/>
      <c r="AK143" s="1139"/>
      <c r="AL143" s="1139" t="str">
        <f>IF(CONSOLIDA!CR124="","",CONSOLIDA!CR124)</f>
        <v/>
      </c>
      <c r="AM143" s="1139"/>
      <c r="AN143" s="1139"/>
      <c r="AO143" s="1139"/>
      <c r="AP143" s="1139"/>
      <c r="AQ143" s="1139"/>
      <c r="AR143" s="1139" t="str">
        <f>IF(CONSOLIDA!CS124="","",CONSOLIDA!CS124)</f>
        <v/>
      </c>
      <c r="AS143" s="1139"/>
      <c r="AT143" s="1139"/>
      <c r="AU143" s="1139"/>
      <c r="AV143" s="1139"/>
      <c r="AW143" s="1139"/>
      <c r="AX143" s="1140" t="str">
        <f>IF(CONSOLIDA!CT124="","",CONSOLIDA!CT124)</f>
        <v/>
      </c>
      <c r="AY143" s="1140"/>
      <c r="AZ143" s="1140"/>
      <c r="BA143" s="1140"/>
      <c r="BB143" s="1140"/>
      <c r="BC143" s="1140"/>
      <c r="BD143" s="1139" t="str">
        <f>IF(CONSOLIDA!CU124="","",CONSOLIDA!CU124)</f>
        <v/>
      </c>
      <c r="BE143" s="1139"/>
      <c r="BF143" s="1139"/>
      <c r="BG143" s="1139"/>
      <c r="BH143" s="1139"/>
      <c r="BI143" s="1139"/>
      <c r="BJ143" s="1139" t="str">
        <f>IF(CONSOLIDA!CV124="","",CONSOLIDA!CV124)</f>
        <v/>
      </c>
      <c r="BK143" s="1139"/>
      <c r="BL143" s="1139"/>
      <c r="BM143" s="1139"/>
      <c r="BN143" s="1139"/>
      <c r="BO143" s="1139"/>
      <c r="BP143" s="1139" t="str">
        <f>IF(CONSOLIDA!CW124="","",CONSOLIDA!CW124)</f>
        <v/>
      </c>
      <c r="BQ143" s="1139"/>
      <c r="BR143" s="1139"/>
      <c r="BS143" s="1139"/>
      <c r="BT143" s="1139"/>
      <c r="BU143" s="1139"/>
      <c r="BV143" s="1140" t="str">
        <f>IF(CONSOLIDA!CX124="","",CONSOLIDA!CX124)</f>
        <v/>
      </c>
      <c r="BW143" s="1140"/>
      <c r="BX143" s="1140"/>
      <c r="BY143" s="1140"/>
      <c r="BZ143" s="1140"/>
      <c r="CA143" s="1140"/>
      <c r="CB143" s="1139" t="str">
        <f>IF(CONSOLIDA!CY124="","",CONSOLIDA!CY124)</f>
        <v/>
      </c>
      <c r="CC143" s="1139"/>
      <c r="CD143" s="1139"/>
      <c r="CE143" s="1139"/>
      <c r="CF143" s="1139"/>
      <c r="CG143" s="1139"/>
      <c r="CH143" s="486"/>
      <c r="CI143" s="190" t="str">
        <f>IF(CONSOLIDA!CZ124="","",CONSOLIDA!CZ124)</f>
        <v/>
      </c>
      <c r="CJ143" s="190" t="str">
        <f>IF(CONSOLIDA!DA124="","",CONSOLIDA!DA124)</f>
        <v/>
      </c>
    </row>
    <row r="144" spans="1:88" s="3" customFormat="1" hidden="1">
      <c r="A144" s="243" t="str">
        <f t="shared" si="1"/>
        <v>OK</v>
      </c>
      <c r="B144" s="1141" t="str">
        <f>IF(CONSOLIDA!CL125="","",CONSOLIDA!CL125)</f>
        <v/>
      </c>
      <c r="C144" s="1141"/>
      <c r="D144" s="1134" t="str">
        <f>IF(CONSOLIDA!CN125="","",CONSOLIDA!CN125)</f>
        <v/>
      </c>
      <c r="E144" s="1135"/>
      <c r="F144" s="1135"/>
      <c r="G144" s="1129" t="str">
        <f>IF(CONSOLIDA!CO125="","",CONSOLIDA!CO125)</f>
        <v/>
      </c>
      <c r="H144" s="1129"/>
      <c r="I144" s="1129"/>
      <c r="J144" s="1129"/>
      <c r="K144" s="1129"/>
      <c r="L144" s="1129"/>
      <c r="M144" s="1129"/>
      <c r="N144" s="1129"/>
      <c r="O144" s="1129"/>
      <c r="P144" s="1129"/>
      <c r="Q144" s="1129"/>
      <c r="R144" s="1129"/>
      <c r="S144" s="1129"/>
      <c r="T144" s="1129"/>
      <c r="U144" s="1129"/>
      <c r="V144" s="1129"/>
      <c r="W144" s="1129"/>
      <c r="X144" s="1129"/>
      <c r="Y144" s="1130"/>
      <c r="Z144" s="1139" t="str">
        <f>IF(CONSOLIDA!CP125="","",CONSOLIDA!CP125)</f>
        <v/>
      </c>
      <c r="AA144" s="1139"/>
      <c r="AB144" s="1139"/>
      <c r="AC144" s="1139"/>
      <c r="AD144" s="1139"/>
      <c r="AE144" s="1139"/>
      <c r="AF144" s="1139" t="str">
        <f>IF(CONSOLIDA!CQ125="","",CONSOLIDA!CQ125)</f>
        <v/>
      </c>
      <c r="AG144" s="1139"/>
      <c r="AH144" s="1139"/>
      <c r="AI144" s="1139"/>
      <c r="AJ144" s="1139"/>
      <c r="AK144" s="1139"/>
      <c r="AL144" s="1139" t="str">
        <f>IF(CONSOLIDA!CR125="","",CONSOLIDA!CR125)</f>
        <v/>
      </c>
      <c r="AM144" s="1139"/>
      <c r="AN144" s="1139"/>
      <c r="AO144" s="1139"/>
      <c r="AP144" s="1139"/>
      <c r="AQ144" s="1139"/>
      <c r="AR144" s="1139" t="str">
        <f>IF(CONSOLIDA!CS125="","",CONSOLIDA!CS125)</f>
        <v/>
      </c>
      <c r="AS144" s="1139"/>
      <c r="AT144" s="1139"/>
      <c r="AU144" s="1139"/>
      <c r="AV144" s="1139"/>
      <c r="AW144" s="1139"/>
      <c r="AX144" s="1140" t="str">
        <f>IF(CONSOLIDA!CT125="","",CONSOLIDA!CT125)</f>
        <v/>
      </c>
      <c r="AY144" s="1140"/>
      <c r="AZ144" s="1140"/>
      <c r="BA144" s="1140"/>
      <c r="BB144" s="1140"/>
      <c r="BC144" s="1140"/>
      <c r="BD144" s="1139" t="str">
        <f>IF(CONSOLIDA!CU125="","",CONSOLIDA!CU125)</f>
        <v/>
      </c>
      <c r="BE144" s="1139"/>
      <c r="BF144" s="1139"/>
      <c r="BG144" s="1139"/>
      <c r="BH144" s="1139"/>
      <c r="BI144" s="1139"/>
      <c r="BJ144" s="1139" t="str">
        <f>IF(CONSOLIDA!CV125="","",CONSOLIDA!CV125)</f>
        <v/>
      </c>
      <c r="BK144" s="1139"/>
      <c r="BL144" s="1139"/>
      <c r="BM144" s="1139"/>
      <c r="BN144" s="1139"/>
      <c r="BO144" s="1139"/>
      <c r="BP144" s="1139" t="str">
        <f>IF(CONSOLIDA!CW125="","",CONSOLIDA!CW125)</f>
        <v/>
      </c>
      <c r="BQ144" s="1139"/>
      <c r="BR144" s="1139"/>
      <c r="BS144" s="1139"/>
      <c r="BT144" s="1139"/>
      <c r="BU144" s="1139"/>
      <c r="BV144" s="1140" t="str">
        <f>IF(CONSOLIDA!CX125="","",CONSOLIDA!CX125)</f>
        <v/>
      </c>
      <c r="BW144" s="1140"/>
      <c r="BX144" s="1140"/>
      <c r="BY144" s="1140"/>
      <c r="BZ144" s="1140"/>
      <c r="CA144" s="1140"/>
      <c r="CB144" s="1139" t="str">
        <f>IF(CONSOLIDA!CY125="","",CONSOLIDA!CY125)</f>
        <v/>
      </c>
      <c r="CC144" s="1139"/>
      <c r="CD144" s="1139"/>
      <c r="CE144" s="1139"/>
      <c r="CF144" s="1139"/>
      <c r="CG144" s="1139"/>
      <c r="CH144" s="486"/>
      <c r="CI144" s="190" t="str">
        <f>IF(CONSOLIDA!CZ125="","",CONSOLIDA!CZ125)</f>
        <v/>
      </c>
      <c r="CJ144" s="190" t="str">
        <f>IF(CONSOLIDA!DA125="","",CONSOLIDA!DA125)</f>
        <v/>
      </c>
    </row>
    <row r="145" spans="1:88" s="3" customFormat="1" hidden="1">
      <c r="A145" s="243" t="str">
        <f t="shared" si="1"/>
        <v>OK</v>
      </c>
      <c r="B145" s="1141" t="str">
        <f>IF(CONSOLIDA!CL126="","",CONSOLIDA!CL126)</f>
        <v/>
      </c>
      <c r="C145" s="1141"/>
      <c r="D145" s="1134" t="str">
        <f>IF(CONSOLIDA!CN126="","",CONSOLIDA!CN126)</f>
        <v/>
      </c>
      <c r="E145" s="1135"/>
      <c r="F145" s="1135"/>
      <c r="G145" s="1129" t="str">
        <f>IF(CONSOLIDA!CO126="","",CONSOLIDA!CO126)</f>
        <v/>
      </c>
      <c r="H145" s="1129"/>
      <c r="I145" s="1129"/>
      <c r="J145" s="1129"/>
      <c r="K145" s="1129"/>
      <c r="L145" s="1129"/>
      <c r="M145" s="1129"/>
      <c r="N145" s="1129"/>
      <c r="O145" s="1129"/>
      <c r="P145" s="1129"/>
      <c r="Q145" s="1129"/>
      <c r="R145" s="1129"/>
      <c r="S145" s="1129"/>
      <c r="T145" s="1129"/>
      <c r="U145" s="1129"/>
      <c r="V145" s="1129"/>
      <c r="W145" s="1129"/>
      <c r="X145" s="1129"/>
      <c r="Y145" s="1130"/>
      <c r="Z145" s="1139" t="str">
        <f>IF(CONSOLIDA!CP126="","",CONSOLIDA!CP126)</f>
        <v/>
      </c>
      <c r="AA145" s="1139"/>
      <c r="AB145" s="1139"/>
      <c r="AC145" s="1139"/>
      <c r="AD145" s="1139"/>
      <c r="AE145" s="1139"/>
      <c r="AF145" s="1139" t="str">
        <f>IF(CONSOLIDA!CQ126="","",CONSOLIDA!CQ126)</f>
        <v/>
      </c>
      <c r="AG145" s="1139"/>
      <c r="AH145" s="1139"/>
      <c r="AI145" s="1139"/>
      <c r="AJ145" s="1139"/>
      <c r="AK145" s="1139"/>
      <c r="AL145" s="1139" t="str">
        <f>IF(CONSOLIDA!CR126="","",CONSOLIDA!CR126)</f>
        <v/>
      </c>
      <c r="AM145" s="1139"/>
      <c r="AN145" s="1139"/>
      <c r="AO145" s="1139"/>
      <c r="AP145" s="1139"/>
      <c r="AQ145" s="1139"/>
      <c r="AR145" s="1139" t="str">
        <f>IF(CONSOLIDA!CS126="","",CONSOLIDA!CS126)</f>
        <v/>
      </c>
      <c r="AS145" s="1139"/>
      <c r="AT145" s="1139"/>
      <c r="AU145" s="1139"/>
      <c r="AV145" s="1139"/>
      <c r="AW145" s="1139"/>
      <c r="AX145" s="1140" t="str">
        <f>IF(CONSOLIDA!CT126="","",CONSOLIDA!CT126)</f>
        <v/>
      </c>
      <c r="AY145" s="1140"/>
      <c r="AZ145" s="1140"/>
      <c r="BA145" s="1140"/>
      <c r="BB145" s="1140"/>
      <c r="BC145" s="1140"/>
      <c r="BD145" s="1139" t="str">
        <f>IF(CONSOLIDA!CU126="","",CONSOLIDA!CU126)</f>
        <v/>
      </c>
      <c r="BE145" s="1139"/>
      <c r="BF145" s="1139"/>
      <c r="BG145" s="1139"/>
      <c r="BH145" s="1139"/>
      <c r="BI145" s="1139"/>
      <c r="BJ145" s="1139" t="str">
        <f>IF(CONSOLIDA!CV126="","",CONSOLIDA!CV126)</f>
        <v/>
      </c>
      <c r="BK145" s="1139"/>
      <c r="BL145" s="1139"/>
      <c r="BM145" s="1139"/>
      <c r="BN145" s="1139"/>
      <c r="BO145" s="1139"/>
      <c r="BP145" s="1139" t="str">
        <f>IF(CONSOLIDA!CW126="","",CONSOLIDA!CW126)</f>
        <v/>
      </c>
      <c r="BQ145" s="1139"/>
      <c r="BR145" s="1139"/>
      <c r="BS145" s="1139"/>
      <c r="BT145" s="1139"/>
      <c r="BU145" s="1139"/>
      <c r="BV145" s="1140" t="str">
        <f>IF(CONSOLIDA!CX126="","",CONSOLIDA!CX126)</f>
        <v/>
      </c>
      <c r="BW145" s="1140"/>
      <c r="BX145" s="1140"/>
      <c r="BY145" s="1140"/>
      <c r="BZ145" s="1140"/>
      <c r="CA145" s="1140"/>
      <c r="CB145" s="1139" t="str">
        <f>IF(CONSOLIDA!CY126="","",CONSOLIDA!CY126)</f>
        <v/>
      </c>
      <c r="CC145" s="1139"/>
      <c r="CD145" s="1139"/>
      <c r="CE145" s="1139"/>
      <c r="CF145" s="1139"/>
      <c r="CG145" s="1139"/>
      <c r="CH145" s="486"/>
      <c r="CI145" s="190" t="str">
        <f>IF(CONSOLIDA!CZ126="","",CONSOLIDA!CZ126)</f>
        <v/>
      </c>
      <c r="CJ145" s="190" t="str">
        <f>IF(CONSOLIDA!DA126="","",CONSOLIDA!DA126)</f>
        <v/>
      </c>
    </row>
    <row r="146" spans="1:88" s="3" customFormat="1" hidden="1">
      <c r="A146" s="243" t="str">
        <f t="shared" si="1"/>
        <v>OK</v>
      </c>
      <c r="B146" s="1141" t="str">
        <f>IF(CONSOLIDA!CL127="","",CONSOLIDA!CL127)</f>
        <v/>
      </c>
      <c r="C146" s="1141"/>
      <c r="D146" s="1134" t="str">
        <f>IF(CONSOLIDA!CN127="","",CONSOLIDA!CN127)</f>
        <v/>
      </c>
      <c r="E146" s="1135"/>
      <c r="F146" s="1135"/>
      <c r="G146" s="1129" t="str">
        <f>IF(CONSOLIDA!CO127="","",CONSOLIDA!CO127)</f>
        <v/>
      </c>
      <c r="H146" s="1129"/>
      <c r="I146" s="1129"/>
      <c r="J146" s="1129"/>
      <c r="K146" s="1129"/>
      <c r="L146" s="1129"/>
      <c r="M146" s="1129"/>
      <c r="N146" s="1129"/>
      <c r="O146" s="1129"/>
      <c r="P146" s="1129"/>
      <c r="Q146" s="1129"/>
      <c r="R146" s="1129"/>
      <c r="S146" s="1129"/>
      <c r="T146" s="1129"/>
      <c r="U146" s="1129"/>
      <c r="V146" s="1129"/>
      <c r="W146" s="1129"/>
      <c r="X146" s="1129"/>
      <c r="Y146" s="1130"/>
      <c r="Z146" s="1139" t="str">
        <f>IF(CONSOLIDA!CP127="","",CONSOLIDA!CP127)</f>
        <v/>
      </c>
      <c r="AA146" s="1139"/>
      <c r="AB146" s="1139"/>
      <c r="AC146" s="1139"/>
      <c r="AD146" s="1139"/>
      <c r="AE146" s="1139"/>
      <c r="AF146" s="1139" t="str">
        <f>IF(CONSOLIDA!CQ127="","",CONSOLIDA!CQ127)</f>
        <v/>
      </c>
      <c r="AG146" s="1139"/>
      <c r="AH146" s="1139"/>
      <c r="AI146" s="1139"/>
      <c r="AJ146" s="1139"/>
      <c r="AK146" s="1139"/>
      <c r="AL146" s="1139" t="str">
        <f>IF(CONSOLIDA!CR127="","",CONSOLIDA!CR127)</f>
        <v/>
      </c>
      <c r="AM146" s="1139"/>
      <c r="AN146" s="1139"/>
      <c r="AO146" s="1139"/>
      <c r="AP146" s="1139"/>
      <c r="AQ146" s="1139"/>
      <c r="AR146" s="1139" t="str">
        <f>IF(CONSOLIDA!CS127="","",CONSOLIDA!CS127)</f>
        <v/>
      </c>
      <c r="AS146" s="1139"/>
      <c r="AT146" s="1139"/>
      <c r="AU146" s="1139"/>
      <c r="AV146" s="1139"/>
      <c r="AW146" s="1139"/>
      <c r="AX146" s="1140" t="str">
        <f>IF(CONSOLIDA!CT127="","",CONSOLIDA!CT127)</f>
        <v/>
      </c>
      <c r="AY146" s="1140"/>
      <c r="AZ146" s="1140"/>
      <c r="BA146" s="1140"/>
      <c r="BB146" s="1140"/>
      <c r="BC146" s="1140"/>
      <c r="BD146" s="1139" t="str">
        <f>IF(CONSOLIDA!CU127="","",CONSOLIDA!CU127)</f>
        <v/>
      </c>
      <c r="BE146" s="1139"/>
      <c r="BF146" s="1139"/>
      <c r="BG146" s="1139"/>
      <c r="BH146" s="1139"/>
      <c r="BI146" s="1139"/>
      <c r="BJ146" s="1139" t="str">
        <f>IF(CONSOLIDA!CV127="","",CONSOLIDA!CV127)</f>
        <v/>
      </c>
      <c r="BK146" s="1139"/>
      <c r="BL146" s="1139"/>
      <c r="BM146" s="1139"/>
      <c r="BN146" s="1139"/>
      <c r="BO146" s="1139"/>
      <c r="BP146" s="1139" t="str">
        <f>IF(CONSOLIDA!CW127="","",CONSOLIDA!CW127)</f>
        <v/>
      </c>
      <c r="BQ146" s="1139"/>
      <c r="BR146" s="1139"/>
      <c r="BS146" s="1139"/>
      <c r="BT146" s="1139"/>
      <c r="BU146" s="1139"/>
      <c r="BV146" s="1140" t="str">
        <f>IF(CONSOLIDA!CX127="","",CONSOLIDA!CX127)</f>
        <v/>
      </c>
      <c r="BW146" s="1140"/>
      <c r="BX146" s="1140"/>
      <c r="BY146" s="1140"/>
      <c r="BZ146" s="1140"/>
      <c r="CA146" s="1140"/>
      <c r="CB146" s="1139" t="str">
        <f>IF(CONSOLIDA!CY127="","",CONSOLIDA!CY127)</f>
        <v/>
      </c>
      <c r="CC146" s="1139"/>
      <c r="CD146" s="1139"/>
      <c r="CE146" s="1139"/>
      <c r="CF146" s="1139"/>
      <c r="CG146" s="1139"/>
      <c r="CH146" s="486"/>
      <c r="CI146" s="190" t="str">
        <f>IF(CONSOLIDA!CZ127="","",CONSOLIDA!CZ127)</f>
        <v/>
      </c>
      <c r="CJ146" s="190" t="str">
        <f>IF(CONSOLIDA!DA127="","",CONSOLIDA!DA127)</f>
        <v/>
      </c>
    </row>
    <row r="147" spans="1:88" s="3" customFormat="1" hidden="1">
      <c r="A147" s="243" t="str">
        <f t="shared" si="1"/>
        <v>OK</v>
      </c>
      <c r="B147" s="1141" t="str">
        <f>IF(CONSOLIDA!CL128="","",CONSOLIDA!CL128)</f>
        <v/>
      </c>
      <c r="C147" s="1141"/>
      <c r="D147" s="1134" t="str">
        <f>IF(CONSOLIDA!CN128="","",CONSOLIDA!CN128)</f>
        <v/>
      </c>
      <c r="E147" s="1135"/>
      <c r="F147" s="1135"/>
      <c r="G147" s="1129" t="str">
        <f>IF(CONSOLIDA!CO128="","",CONSOLIDA!CO128)</f>
        <v/>
      </c>
      <c r="H147" s="1129"/>
      <c r="I147" s="1129"/>
      <c r="J147" s="1129"/>
      <c r="K147" s="1129"/>
      <c r="L147" s="1129"/>
      <c r="M147" s="1129"/>
      <c r="N147" s="1129"/>
      <c r="O147" s="1129"/>
      <c r="P147" s="1129"/>
      <c r="Q147" s="1129"/>
      <c r="R147" s="1129"/>
      <c r="S147" s="1129"/>
      <c r="T147" s="1129"/>
      <c r="U147" s="1129"/>
      <c r="V147" s="1129"/>
      <c r="W147" s="1129"/>
      <c r="X147" s="1129"/>
      <c r="Y147" s="1130"/>
      <c r="Z147" s="1139" t="str">
        <f>IF(CONSOLIDA!CP128="","",CONSOLIDA!CP128)</f>
        <v/>
      </c>
      <c r="AA147" s="1139"/>
      <c r="AB147" s="1139"/>
      <c r="AC147" s="1139"/>
      <c r="AD147" s="1139"/>
      <c r="AE147" s="1139"/>
      <c r="AF147" s="1139" t="str">
        <f>IF(CONSOLIDA!CQ128="","",CONSOLIDA!CQ128)</f>
        <v/>
      </c>
      <c r="AG147" s="1139"/>
      <c r="AH147" s="1139"/>
      <c r="AI147" s="1139"/>
      <c r="AJ147" s="1139"/>
      <c r="AK147" s="1139"/>
      <c r="AL147" s="1139" t="str">
        <f>IF(CONSOLIDA!CR128="","",CONSOLIDA!CR128)</f>
        <v/>
      </c>
      <c r="AM147" s="1139"/>
      <c r="AN147" s="1139"/>
      <c r="AO147" s="1139"/>
      <c r="AP147" s="1139"/>
      <c r="AQ147" s="1139"/>
      <c r="AR147" s="1139" t="str">
        <f>IF(CONSOLIDA!CS128="","",CONSOLIDA!CS128)</f>
        <v/>
      </c>
      <c r="AS147" s="1139"/>
      <c r="AT147" s="1139"/>
      <c r="AU147" s="1139"/>
      <c r="AV147" s="1139"/>
      <c r="AW147" s="1139"/>
      <c r="AX147" s="1140" t="str">
        <f>IF(CONSOLIDA!CT128="","",CONSOLIDA!CT128)</f>
        <v/>
      </c>
      <c r="AY147" s="1140"/>
      <c r="AZ147" s="1140"/>
      <c r="BA147" s="1140"/>
      <c r="BB147" s="1140"/>
      <c r="BC147" s="1140"/>
      <c r="BD147" s="1139" t="str">
        <f>IF(CONSOLIDA!CU128="","",CONSOLIDA!CU128)</f>
        <v/>
      </c>
      <c r="BE147" s="1139"/>
      <c r="BF147" s="1139"/>
      <c r="BG147" s="1139"/>
      <c r="BH147" s="1139"/>
      <c r="BI147" s="1139"/>
      <c r="BJ147" s="1139" t="str">
        <f>IF(CONSOLIDA!CV128="","",CONSOLIDA!CV128)</f>
        <v/>
      </c>
      <c r="BK147" s="1139"/>
      <c r="BL147" s="1139"/>
      <c r="BM147" s="1139"/>
      <c r="BN147" s="1139"/>
      <c r="BO147" s="1139"/>
      <c r="BP147" s="1139" t="str">
        <f>IF(CONSOLIDA!CW128="","",CONSOLIDA!CW128)</f>
        <v/>
      </c>
      <c r="BQ147" s="1139"/>
      <c r="BR147" s="1139"/>
      <c r="BS147" s="1139"/>
      <c r="BT147" s="1139"/>
      <c r="BU147" s="1139"/>
      <c r="BV147" s="1140" t="str">
        <f>IF(CONSOLIDA!CX128="","",CONSOLIDA!CX128)</f>
        <v/>
      </c>
      <c r="BW147" s="1140"/>
      <c r="BX147" s="1140"/>
      <c r="BY147" s="1140"/>
      <c r="BZ147" s="1140"/>
      <c r="CA147" s="1140"/>
      <c r="CB147" s="1139" t="str">
        <f>IF(CONSOLIDA!CY128="","",CONSOLIDA!CY128)</f>
        <v/>
      </c>
      <c r="CC147" s="1139"/>
      <c r="CD147" s="1139"/>
      <c r="CE147" s="1139"/>
      <c r="CF147" s="1139"/>
      <c r="CG147" s="1139"/>
      <c r="CH147" s="486"/>
      <c r="CI147" s="190" t="str">
        <f>IF(CONSOLIDA!CZ128="","",CONSOLIDA!CZ128)</f>
        <v/>
      </c>
      <c r="CJ147" s="190" t="str">
        <f>IF(CONSOLIDA!DA128="","",CONSOLIDA!DA128)</f>
        <v/>
      </c>
    </row>
    <row r="148" spans="1:88" s="3" customFormat="1" hidden="1">
      <c r="A148" s="243" t="str">
        <f t="shared" si="1"/>
        <v>OK</v>
      </c>
      <c r="B148" s="1141" t="str">
        <f>IF(CONSOLIDA!CL129="","",CONSOLIDA!CL129)</f>
        <v/>
      </c>
      <c r="C148" s="1141"/>
      <c r="D148" s="1134" t="str">
        <f>IF(CONSOLIDA!CN129="","",CONSOLIDA!CN129)</f>
        <v/>
      </c>
      <c r="E148" s="1135"/>
      <c r="F148" s="1135"/>
      <c r="G148" s="1129" t="str">
        <f>IF(CONSOLIDA!CO129="","",CONSOLIDA!CO129)</f>
        <v/>
      </c>
      <c r="H148" s="1129"/>
      <c r="I148" s="1129"/>
      <c r="J148" s="1129"/>
      <c r="K148" s="1129"/>
      <c r="L148" s="1129"/>
      <c r="M148" s="1129"/>
      <c r="N148" s="1129"/>
      <c r="O148" s="1129"/>
      <c r="P148" s="1129"/>
      <c r="Q148" s="1129"/>
      <c r="R148" s="1129"/>
      <c r="S148" s="1129"/>
      <c r="T148" s="1129"/>
      <c r="U148" s="1129"/>
      <c r="V148" s="1129"/>
      <c r="W148" s="1129"/>
      <c r="X148" s="1129"/>
      <c r="Y148" s="1130"/>
      <c r="Z148" s="1139" t="str">
        <f>IF(CONSOLIDA!CP129="","",CONSOLIDA!CP129)</f>
        <v/>
      </c>
      <c r="AA148" s="1139"/>
      <c r="AB148" s="1139"/>
      <c r="AC148" s="1139"/>
      <c r="AD148" s="1139"/>
      <c r="AE148" s="1139"/>
      <c r="AF148" s="1139" t="str">
        <f>IF(CONSOLIDA!CQ129="","",CONSOLIDA!CQ129)</f>
        <v/>
      </c>
      <c r="AG148" s="1139"/>
      <c r="AH148" s="1139"/>
      <c r="AI148" s="1139"/>
      <c r="AJ148" s="1139"/>
      <c r="AK148" s="1139"/>
      <c r="AL148" s="1139" t="str">
        <f>IF(CONSOLIDA!CR129="","",CONSOLIDA!CR129)</f>
        <v/>
      </c>
      <c r="AM148" s="1139"/>
      <c r="AN148" s="1139"/>
      <c r="AO148" s="1139"/>
      <c r="AP148" s="1139"/>
      <c r="AQ148" s="1139"/>
      <c r="AR148" s="1139" t="str">
        <f>IF(CONSOLIDA!CS129="","",CONSOLIDA!CS129)</f>
        <v/>
      </c>
      <c r="AS148" s="1139"/>
      <c r="AT148" s="1139"/>
      <c r="AU148" s="1139"/>
      <c r="AV148" s="1139"/>
      <c r="AW148" s="1139"/>
      <c r="AX148" s="1140" t="str">
        <f>IF(CONSOLIDA!CT129="","",CONSOLIDA!CT129)</f>
        <v/>
      </c>
      <c r="AY148" s="1140"/>
      <c r="AZ148" s="1140"/>
      <c r="BA148" s="1140"/>
      <c r="BB148" s="1140"/>
      <c r="BC148" s="1140"/>
      <c r="BD148" s="1139" t="str">
        <f>IF(CONSOLIDA!CU129="","",CONSOLIDA!CU129)</f>
        <v/>
      </c>
      <c r="BE148" s="1139"/>
      <c r="BF148" s="1139"/>
      <c r="BG148" s="1139"/>
      <c r="BH148" s="1139"/>
      <c r="BI148" s="1139"/>
      <c r="BJ148" s="1139" t="str">
        <f>IF(CONSOLIDA!CV129="","",CONSOLIDA!CV129)</f>
        <v/>
      </c>
      <c r="BK148" s="1139"/>
      <c r="BL148" s="1139"/>
      <c r="BM148" s="1139"/>
      <c r="BN148" s="1139"/>
      <c r="BO148" s="1139"/>
      <c r="BP148" s="1139" t="str">
        <f>IF(CONSOLIDA!CW129="","",CONSOLIDA!CW129)</f>
        <v/>
      </c>
      <c r="BQ148" s="1139"/>
      <c r="BR148" s="1139"/>
      <c r="BS148" s="1139"/>
      <c r="BT148" s="1139"/>
      <c r="BU148" s="1139"/>
      <c r="BV148" s="1140" t="str">
        <f>IF(CONSOLIDA!CX129="","",CONSOLIDA!CX129)</f>
        <v/>
      </c>
      <c r="BW148" s="1140"/>
      <c r="BX148" s="1140"/>
      <c r="BY148" s="1140"/>
      <c r="BZ148" s="1140"/>
      <c r="CA148" s="1140"/>
      <c r="CB148" s="1139" t="str">
        <f>IF(CONSOLIDA!CY129="","",CONSOLIDA!CY129)</f>
        <v/>
      </c>
      <c r="CC148" s="1139"/>
      <c r="CD148" s="1139"/>
      <c r="CE148" s="1139"/>
      <c r="CF148" s="1139"/>
      <c r="CG148" s="1139"/>
      <c r="CH148" s="486"/>
      <c r="CI148" s="190" t="str">
        <f>IF(CONSOLIDA!CZ129="","",CONSOLIDA!CZ129)</f>
        <v/>
      </c>
      <c r="CJ148" s="190" t="str">
        <f>IF(CONSOLIDA!DA129="","",CONSOLIDA!DA129)</f>
        <v/>
      </c>
    </row>
    <row r="149" spans="1:88" s="3" customFormat="1" hidden="1">
      <c r="A149" s="243" t="str">
        <f t="shared" si="1"/>
        <v>OK</v>
      </c>
      <c r="B149" s="1141" t="str">
        <f>IF(CONSOLIDA!CL130="","",CONSOLIDA!CL130)</f>
        <v/>
      </c>
      <c r="C149" s="1141"/>
      <c r="D149" s="1134" t="str">
        <f>IF(CONSOLIDA!CN130="","",CONSOLIDA!CN130)</f>
        <v/>
      </c>
      <c r="E149" s="1135"/>
      <c r="F149" s="1135"/>
      <c r="G149" s="1129" t="str">
        <f>IF(CONSOLIDA!CO130="","",CONSOLIDA!CO130)</f>
        <v/>
      </c>
      <c r="H149" s="1129"/>
      <c r="I149" s="1129"/>
      <c r="J149" s="1129"/>
      <c r="K149" s="1129"/>
      <c r="L149" s="1129"/>
      <c r="M149" s="1129"/>
      <c r="N149" s="1129"/>
      <c r="O149" s="1129"/>
      <c r="P149" s="1129"/>
      <c r="Q149" s="1129"/>
      <c r="R149" s="1129"/>
      <c r="S149" s="1129"/>
      <c r="T149" s="1129"/>
      <c r="U149" s="1129"/>
      <c r="V149" s="1129"/>
      <c r="W149" s="1129"/>
      <c r="X149" s="1129"/>
      <c r="Y149" s="1130"/>
      <c r="Z149" s="1139" t="str">
        <f>IF(CONSOLIDA!CP130="","",CONSOLIDA!CP130)</f>
        <v/>
      </c>
      <c r="AA149" s="1139"/>
      <c r="AB149" s="1139"/>
      <c r="AC149" s="1139"/>
      <c r="AD149" s="1139"/>
      <c r="AE149" s="1139"/>
      <c r="AF149" s="1139" t="str">
        <f>IF(CONSOLIDA!CQ130="","",CONSOLIDA!CQ130)</f>
        <v/>
      </c>
      <c r="AG149" s="1139"/>
      <c r="AH149" s="1139"/>
      <c r="AI149" s="1139"/>
      <c r="AJ149" s="1139"/>
      <c r="AK149" s="1139"/>
      <c r="AL149" s="1139" t="str">
        <f>IF(CONSOLIDA!CR130="","",CONSOLIDA!CR130)</f>
        <v/>
      </c>
      <c r="AM149" s="1139"/>
      <c r="AN149" s="1139"/>
      <c r="AO149" s="1139"/>
      <c r="AP149" s="1139"/>
      <c r="AQ149" s="1139"/>
      <c r="AR149" s="1139" t="str">
        <f>IF(CONSOLIDA!CS130="","",CONSOLIDA!CS130)</f>
        <v/>
      </c>
      <c r="AS149" s="1139"/>
      <c r="AT149" s="1139"/>
      <c r="AU149" s="1139"/>
      <c r="AV149" s="1139"/>
      <c r="AW149" s="1139"/>
      <c r="AX149" s="1140" t="str">
        <f>IF(CONSOLIDA!CT130="","",CONSOLIDA!CT130)</f>
        <v/>
      </c>
      <c r="AY149" s="1140"/>
      <c r="AZ149" s="1140"/>
      <c r="BA149" s="1140"/>
      <c r="BB149" s="1140"/>
      <c r="BC149" s="1140"/>
      <c r="BD149" s="1139" t="str">
        <f>IF(CONSOLIDA!CU130="","",CONSOLIDA!CU130)</f>
        <v/>
      </c>
      <c r="BE149" s="1139"/>
      <c r="BF149" s="1139"/>
      <c r="BG149" s="1139"/>
      <c r="BH149" s="1139"/>
      <c r="BI149" s="1139"/>
      <c r="BJ149" s="1139" t="str">
        <f>IF(CONSOLIDA!CV130="","",CONSOLIDA!CV130)</f>
        <v/>
      </c>
      <c r="BK149" s="1139"/>
      <c r="BL149" s="1139"/>
      <c r="BM149" s="1139"/>
      <c r="BN149" s="1139"/>
      <c r="BO149" s="1139"/>
      <c r="BP149" s="1139" t="str">
        <f>IF(CONSOLIDA!CW130="","",CONSOLIDA!CW130)</f>
        <v/>
      </c>
      <c r="BQ149" s="1139"/>
      <c r="BR149" s="1139"/>
      <c r="BS149" s="1139"/>
      <c r="BT149" s="1139"/>
      <c r="BU149" s="1139"/>
      <c r="BV149" s="1140" t="str">
        <f>IF(CONSOLIDA!CX130="","",CONSOLIDA!CX130)</f>
        <v/>
      </c>
      <c r="BW149" s="1140"/>
      <c r="BX149" s="1140"/>
      <c r="BY149" s="1140"/>
      <c r="BZ149" s="1140"/>
      <c r="CA149" s="1140"/>
      <c r="CB149" s="1139" t="str">
        <f>IF(CONSOLIDA!CY130="","",CONSOLIDA!CY130)</f>
        <v/>
      </c>
      <c r="CC149" s="1139"/>
      <c r="CD149" s="1139"/>
      <c r="CE149" s="1139"/>
      <c r="CF149" s="1139"/>
      <c r="CG149" s="1139"/>
      <c r="CH149" s="486"/>
      <c r="CI149" s="190" t="str">
        <f>IF(CONSOLIDA!CZ130="","",CONSOLIDA!CZ130)</f>
        <v/>
      </c>
      <c r="CJ149" s="190" t="str">
        <f>IF(CONSOLIDA!DA130="","",CONSOLIDA!DA130)</f>
        <v/>
      </c>
    </row>
    <row r="150" spans="1:88" s="3" customFormat="1" hidden="1">
      <c r="A150" s="243" t="str">
        <f t="shared" si="1"/>
        <v>OK</v>
      </c>
      <c r="B150" s="1141" t="str">
        <f>IF(CONSOLIDA!CL131="","",CONSOLIDA!CL131)</f>
        <v/>
      </c>
      <c r="C150" s="1141"/>
      <c r="D150" s="1134" t="str">
        <f>IF(CONSOLIDA!CN131="","",CONSOLIDA!CN131)</f>
        <v/>
      </c>
      <c r="E150" s="1135"/>
      <c r="F150" s="1135"/>
      <c r="G150" s="1129" t="str">
        <f>IF(CONSOLIDA!CO131="","",CONSOLIDA!CO131)</f>
        <v/>
      </c>
      <c r="H150" s="1129"/>
      <c r="I150" s="1129"/>
      <c r="J150" s="1129"/>
      <c r="K150" s="1129"/>
      <c r="L150" s="1129"/>
      <c r="M150" s="1129"/>
      <c r="N150" s="1129"/>
      <c r="O150" s="1129"/>
      <c r="P150" s="1129"/>
      <c r="Q150" s="1129"/>
      <c r="R150" s="1129"/>
      <c r="S150" s="1129"/>
      <c r="T150" s="1129"/>
      <c r="U150" s="1129"/>
      <c r="V150" s="1129"/>
      <c r="W150" s="1129"/>
      <c r="X150" s="1129"/>
      <c r="Y150" s="1130"/>
      <c r="Z150" s="1139" t="str">
        <f>IF(CONSOLIDA!CP131="","",CONSOLIDA!CP131)</f>
        <v/>
      </c>
      <c r="AA150" s="1139"/>
      <c r="AB150" s="1139"/>
      <c r="AC150" s="1139"/>
      <c r="AD150" s="1139"/>
      <c r="AE150" s="1139"/>
      <c r="AF150" s="1139" t="str">
        <f>IF(CONSOLIDA!CQ131="","",CONSOLIDA!CQ131)</f>
        <v/>
      </c>
      <c r="AG150" s="1139"/>
      <c r="AH150" s="1139"/>
      <c r="AI150" s="1139"/>
      <c r="AJ150" s="1139"/>
      <c r="AK150" s="1139"/>
      <c r="AL150" s="1139" t="str">
        <f>IF(CONSOLIDA!CR131="","",CONSOLIDA!CR131)</f>
        <v/>
      </c>
      <c r="AM150" s="1139"/>
      <c r="AN150" s="1139"/>
      <c r="AO150" s="1139"/>
      <c r="AP150" s="1139"/>
      <c r="AQ150" s="1139"/>
      <c r="AR150" s="1139" t="str">
        <f>IF(CONSOLIDA!CS131="","",CONSOLIDA!CS131)</f>
        <v/>
      </c>
      <c r="AS150" s="1139"/>
      <c r="AT150" s="1139"/>
      <c r="AU150" s="1139"/>
      <c r="AV150" s="1139"/>
      <c r="AW150" s="1139"/>
      <c r="AX150" s="1140" t="str">
        <f>IF(CONSOLIDA!CT131="","",CONSOLIDA!CT131)</f>
        <v/>
      </c>
      <c r="AY150" s="1140"/>
      <c r="AZ150" s="1140"/>
      <c r="BA150" s="1140"/>
      <c r="BB150" s="1140"/>
      <c r="BC150" s="1140"/>
      <c r="BD150" s="1139" t="str">
        <f>IF(CONSOLIDA!CU131="","",CONSOLIDA!CU131)</f>
        <v/>
      </c>
      <c r="BE150" s="1139"/>
      <c r="BF150" s="1139"/>
      <c r="BG150" s="1139"/>
      <c r="BH150" s="1139"/>
      <c r="BI150" s="1139"/>
      <c r="BJ150" s="1139" t="str">
        <f>IF(CONSOLIDA!CV131="","",CONSOLIDA!CV131)</f>
        <v/>
      </c>
      <c r="BK150" s="1139"/>
      <c r="BL150" s="1139"/>
      <c r="BM150" s="1139"/>
      <c r="BN150" s="1139"/>
      <c r="BO150" s="1139"/>
      <c r="BP150" s="1139" t="str">
        <f>IF(CONSOLIDA!CW131="","",CONSOLIDA!CW131)</f>
        <v/>
      </c>
      <c r="BQ150" s="1139"/>
      <c r="BR150" s="1139"/>
      <c r="BS150" s="1139"/>
      <c r="BT150" s="1139"/>
      <c r="BU150" s="1139"/>
      <c r="BV150" s="1140" t="str">
        <f>IF(CONSOLIDA!CX131="","",CONSOLIDA!CX131)</f>
        <v/>
      </c>
      <c r="BW150" s="1140"/>
      <c r="BX150" s="1140"/>
      <c r="BY150" s="1140"/>
      <c r="BZ150" s="1140"/>
      <c r="CA150" s="1140"/>
      <c r="CB150" s="1139" t="str">
        <f>IF(CONSOLIDA!CY131="","",CONSOLIDA!CY131)</f>
        <v/>
      </c>
      <c r="CC150" s="1139"/>
      <c r="CD150" s="1139"/>
      <c r="CE150" s="1139"/>
      <c r="CF150" s="1139"/>
      <c r="CG150" s="1139"/>
      <c r="CH150" s="486"/>
      <c r="CI150" s="190" t="str">
        <f>IF(CONSOLIDA!CZ131="","",CONSOLIDA!CZ131)</f>
        <v/>
      </c>
      <c r="CJ150" s="190" t="str">
        <f>IF(CONSOLIDA!DA131="","",CONSOLIDA!DA131)</f>
        <v/>
      </c>
    </row>
    <row r="151" spans="1:88" s="3" customFormat="1" hidden="1">
      <c r="A151" s="243" t="str">
        <f t="shared" si="1"/>
        <v>OK</v>
      </c>
      <c r="B151" s="1141" t="str">
        <f>IF(CONSOLIDA!CL132="","",CONSOLIDA!CL132)</f>
        <v/>
      </c>
      <c r="C151" s="1141"/>
      <c r="D151" s="1134" t="str">
        <f>IF(CONSOLIDA!CN132="","",CONSOLIDA!CN132)</f>
        <v/>
      </c>
      <c r="E151" s="1135"/>
      <c r="F151" s="1135"/>
      <c r="G151" s="1129" t="str">
        <f>IF(CONSOLIDA!CO132="","",CONSOLIDA!CO132)</f>
        <v/>
      </c>
      <c r="H151" s="1129"/>
      <c r="I151" s="1129"/>
      <c r="J151" s="1129"/>
      <c r="K151" s="1129"/>
      <c r="L151" s="1129"/>
      <c r="M151" s="1129"/>
      <c r="N151" s="1129"/>
      <c r="O151" s="1129"/>
      <c r="P151" s="1129"/>
      <c r="Q151" s="1129"/>
      <c r="R151" s="1129"/>
      <c r="S151" s="1129"/>
      <c r="T151" s="1129"/>
      <c r="U151" s="1129"/>
      <c r="V151" s="1129"/>
      <c r="W151" s="1129"/>
      <c r="X151" s="1129"/>
      <c r="Y151" s="1130"/>
      <c r="Z151" s="1139" t="str">
        <f>IF(CONSOLIDA!CP132="","",CONSOLIDA!CP132)</f>
        <v/>
      </c>
      <c r="AA151" s="1139"/>
      <c r="AB151" s="1139"/>
      <c r="AC151" s="1139"/>
      <c r="AD151" s="1139"/>
      <c r="AE151" s="1139"/>
      <c r="AF151" s="1139" t="str">
        <f>IF(CONSOLIDA!CQ132="","",CONSOLIDA!CQ132)</f>
        <v/>
      </c>
      <c r="AG151" s="1139"/>
      <c r="AH151" s="1139"/>
      <c r="AI151" s="1139"/>
      <c r="AJ151" s="1139"/>
      <c r="AK151" s="1139"/>
      <c r="AL151" s="1139" t="str">
        <f>IF(CONSOLIDA!CR132="","",CONSOLIDA!CR132)</f>
        <v/>
      </c>
      <c r="AM151" s="1139"/>
      <c r="AN151" s="1139"/>
      <c r="AO151" s="1139"/>
      <c r="AP151" s="1139"/>
      <c r="AQ151" s="1139"/>
      <c r="AR151" s="1139" t="str">
        <f>IF(CONSOLIDA!CS132="","",CONSOLIDA!CS132)</f>
        <v/>
      </c>
      <c r="AS151" s="1139"/>
      <c r="AT151" s="1139"/>
      <c r="AU151" s="1139"/>
      <c r="AV151" s="1139"/>
      <c r="AW151" s="1139"/>
      <c r="AX151" s="1140" t="str">
        <f>IF(CONSOLIDA!CT132="","",CONSOLIDA!CT132)</f>
        <v/>
      </c>
      <c r="AY151" s="1140"/>
      <c r="AZ151" s="1140"/>
      <c r="BA151" s="1140"/>
      <c r="BB151" s="1140"/>
      <c r="BC151" s="1140"/>
      <c r="BD151" s="1139" t="str">
        <f>IF(CONSOLIDA!CU132="","",CONSOLIDA!CU132)</f>
        <v/>
      </c>
      <c r="BE151" s="1139"/>
      <c r="BF151" s="1139"/>
      <c r="BG151" s="1139"/>
      <c r="BH151" s="1139"/>
      <c r="BI151" s="1139"/>
      <c r="BJ151" s="1139" t="str">
        <f>IF(CONSOLIDA!CV132="","",CONSOLIDA!CV132)</f>
        <v/>
      </c>
      <c r="BK151" s="1139"/>
      <c r="BL151" s="1139"/>
      <c r="BM151" s="1139"/>
      <c r="BN151" s="1139"/>
      <c r="BO151" s="1139"/>
      <c r="BP151" s="1139" t="str">
        <f>IF(CONSOLIDA!CW132="","",CONSOLIDA!CW132)</f>
        <v/>
      </c>
      <c r="BQ151" s="1139"/>
      <c r="BR151" s="1139"/>
      <c r="BS151" s="1139"/>
      <c r="BT151" s="1139"/>
      <c r="BU151" s="1139"/>
      <c r="BV151" s="1140" t="str">
        <f>IF(CONSOLIDA!CX132="","",CONSOLIDA!CX132)</f>
        <v/>
      </c>
      <c r="BW151" s="1140"/>
      <c r="BX151" s="1140"/>
      <c r="BY151" s="1140"/>
      <c r="BZ151" s="1140"/>
      <c r="CA151" s="1140"/>
      <c r="CB151" s="1139" t="str">
        <f>IF(CONSOLIDA!CY132="","",CONSOLIDA!CY132)</f>
        <v/>
      </c>
      <c r="CC151" s="1139"/>
      <c r="CD151" s="1139"/>
      <c r="CE151" s="1139"/>
      <c r="CF151" s="1139"/>
      <c r="CG151" s="1139"/>
      <c r="CH151" s="486"/>
      <c r="CI151" s="190" t="str">
        <f>IF(CONSOLIDA!CZ132="","",CONSOLIDA!CZ132)</f>
        <v/>
      </c>
      <c r="CJ151" s="190" t="str">
        <f>IF(CONSOLIDA!DA132="","",CONSOLIDA!DA132)</f>
        <v/>
      </c>
    </row>
    <row r="152" spans="1:88" s="3" customFormat="1" hidden="1">
      <c r="A152" s="243" t="str">
        <f t="shared" ref="A152:A215" si="2">IF(D152="","OK","")</f>
        <v>OK</v>
      </c>
      <c r="B152" s="1141" t="str">
        <f>IF(CONSOLIDA!CL133="","",CONSOLIDA!CL133)</f>
        <v/>
      </c>
      <c r="C152" s="1141"/>
      <c r="D152" s="1134" t="str">
        <f>IF(CONSOLIDA!CN133="","",CONSOLIDA!CN133)</f>
        <v/>
      </c>
      <c r="E152" s="1135"/>
      <c r="F152" s="1135"/>
      <c r="G152" s="1129" t="str">
        <f>IF(CONSOLIDA!CO133="","",CONSOLIDA!CO133)</f>
        <v/>
      </c>
      <c r="H152" s="1129"/>
      <c r="I152" s="1129"/>
      <c r="J152" s="1129"/>
      <c r="K152" s="1129"/>
      <c r="L152" s="1129"/>
      <c r="M152" s="1129"/>
      <c r="N152" s="1129"/>
      <c r="O152" s="1129"/>
      <c r="P152" s="1129"/>
      <c r="Q152" s="1129"/>
      <c r="R152" s="1129"/>
      <c r="S152" s="1129"/>
      <c r="T152" s="1129"/>
      <c r="U152" s="1129"/>
      <c r="V152" s="1129"/>
      <c r="W152" s="1129"/>
      <c r="X152" s="1129"/>
      <c r="Y152" s="1130"/>
      <c r="Z152" s="1139" t="str">
        <f>IF(CONSOLIDA!CP133="","",CONSOLIDA!CP133)</f>
        <v/>
      </c>
      <c r="AA152" s="1139"/>
      <c r="AB152" s="1139"/>
      <c r="AC152" s="1139"/>
      <c r="AD152" s="1139"/>
      <c r="AE152" s="1139"/>
      <c r="AF152" s="1139" t="str">
        <f>IF(CONSOLIDA!CQ133="","",CONSOLIDA!CQ133)</f>
        <v/>
      </c>
      <c r="AG152" s="1139"/>
      <c r="AH152" s="1139"/>
      <c r="AI152" s="1139"/>
      <c r="AJ152" s="1139"/>
      <c r="AK152" s="1139"/>
      <c r="AL152" s="1139" t="str">
        <f>IF(CONSOLIDA!CR133="","",CONSOLIDA!CR133)</f>
        <v/>
      </c>
      <c r="AM152" s="1139"/>
      <c r="AN152" s="1139"/>
      <c r="AO152" s="1139"/>
      <c r="AP152" s="1139"/>
      <c r="AQ152" s="1139"/>
      <c r="AR152" s="1139" t="str">
        <f>IF(CONSOLIDA!CS133="","",CONSOLIDA!CS133)</f>
        <v/>
      </c>
      <c r="AS152" s="1139"/>
      <c r="AT152" s="1139"/>
      <c r="AU152" s="1139"/>
      <c r="AV152" s="1139"/>
      <c r="AW152" s="1139"/>
      <c r="AX152" s="1140" t="str">
        <f>IF(CONSOLIDA!CT133="","",CONSOLIDA!CT133)</f>
        <v/>
      </c>
      <c r="AY152" s="1140"/>
      <c r="AZ152" s="1140"/>
      <c r="BA152" s="1140"/>
      <c r="BB152" s="1140"/>
      <c r="BC152" s="1140"/>
      <c r="BD152" s="1139" t="str">
        <f>IF(CONSOLIDA!CU133="","",CONSOLIDA!CU133)</f>
        <v/>
      </c>
      <c r="BE152" s="1139"/>
      <c r="BF152" s="1139"/>
      <c r="BG152" s="1139"/>
      <c r="BH152" s="1139"/>
      <c r="BI152" s="1139"/>
      <c r="BJ152" s="1139" t="str">
        <f>IF(CONSOLIDA!CV133="","",CONSOLIDA!CV133)</f>
        <v/>
      </c>
      <c r="BK152" s="1139"/>
      <c r="BL152" s="1139"/>
      <c r="BM152" s="1139"/>
      <c r="BN152" s="1139"/>
      <c r="BO152" s="1139"/>
      <c r="BP152" s="1139" t="str">
        <f>IF(CONSOLIDA!CW133="","",CONSOLIDA!CW133)</f>
        <v/>
      </c>
      <c r="BQ152" s="1139"/>
      <c r="BR152" s="1139"/>
      <c r="BS152" s="1139"/>
      <c r="BT152" s="1139"/>
      <c r="BU152" s="1139"/>
      <c r="BV152" s="1140" t="str">
        <f>IF(CONSOLIDA!CX133="","",CONSOLIDA!CX133)</f>
        <v/>
      </c>
      <c r="BW152" s="1140"/>
      <c r="BX152" s="1140"/>
      <c r="BY152" s="1140"/>
      <c r="BZ152" s="1140"/>
      <c r="CA152" s="1140"/>
      <c r="CB152" s="1139" t="str">
        <f>IF(CONSOLIDA!CY133="","",CONSOLIDA!CY133)</f>
        <v/>
      </c>
      <c r="CC152" s="1139"/>
      <c r="CD152" s="1139"/>
      <c r="CE152" s="1139"/>
      <c r="CF152" s="1139"/>
      <c r="CG152" s="1139"/>
      <c r="CH152" s="486"/>
      <c r="CI152" s="190" t="str">
        <f>IF(CONSOLIDA!CZ133="","",CONSOLIDA!CZ133)</f>
        <v/>
      </c>
      <c r="CJ152" s="190" t="str">
        <f>IF(CONSOLIDA!DA133="","",CONSOLIDA!DA133)</f>
        <v/>
      </c>
    </row>
    <row r="153" spans="1:88" s="3" customFormat="1" hidden="1">
      <c r="A153" s="243" t="str">
        <f t="shared" si="2"/>
        <v>OK</v>
      </c>
      <c r="B153" s="1141" t="str">
        <f>IF(CONSOLIDA!CL134="","",CONSOLIDA!CL134)</f>
        <v/>
      </c>
      <c r="C153" s="1141"/>
      <c r="D153" s="1134" t="str">
        <f>IF(CONSOLIDA!CN134="","",CONSOLIDA!CN134)</f>
        <v/>
      </c>
      <c r="E153" s="1135"/>
      <c r="F153" s="1135"/>
      <c r="G153" s="1129" t="str">
        <f>IF(CONSOLIDA!CO134="","",CONSOLIDA!CO134)</f>
        <v/>
      </c>
      <c r="H153" s="1129"/>
      <c r="I153" s="1129"/>
      <c r="J153" s="1129"/>
      <c r="K153" s="1129"/>
      <c r="L153" s="1129"/>
      <c r="M153" s="1129"/>
      <c r="N153" s="1129"/>
      <c r="O153" s="1129"/>
      <c r="P153" s="1129"/>
      <c r="Q153" s="1129"/>
      <c r="R153" s="1129"/>
      <c r="S153" s="1129"/>
      <c r="T153" s="1129"/>
      <c r="U153" s="1129"/>
      <c r="V153" s="1129"/>
      <c r="W153" s="1129"/>
      <c r="X153" s="1129"/>
      <c r="Y153" s="1130"/>
      <c r="Z153" s="1139" t="str">
        <f>IF(CONSOLIDA!CP134="","",CONSOLIDA!CP134)</f>
        <v/>
      </c>
      <c r="AA153" s="1139"/>
      <c r="AB153" s="1139"/>
      <c r="AC153" s="1139"/>
      <c r="AD153" s="1139"/>
      <c r="AE153" s="1139"/>
      <c r="AF153" s="1139" t="str">
        <f>IF(CONSOLIDA!CQ134="","",CONSOLIDA!CQ134)</f>
        <v/>
      </c>
      <c r="AG153" s="1139"/>
      <c r="AH153" s="1139"/>
      <c r="AI153" s="1139"/>
      <c r="AJ153" s="1139"/>
      <c r="AK153" s="1139"/>
      <c r="AL153" s="1139" t="str">
        <f>IF(CONSOLIDA!CR134="","",CONSOLIDA!CR134)</f>
        <v/>
      </c>
      <c r="AM153" s="1139"/>
      <c r="AN153" s="1139"/>
      <c r="AO153" s="1139"/>
      <c r="AP153" s="1139"/>
      <c r="AQ153" s="1139"/>
      <c r="AR153" s="1139" t="str">
        <f>IF(CONSOLIDA!CS134="","",CONSOLIDA!CS134)</f>
        <v/>
      </c>
      <c r="AS153" s="1139"/>
      <c r="AT153" s="1139"/>
      <c r="AU153" s="1139"/>
      <c r="AV153" s="1139"/>
      <c r="AW153" s="1139"/>
      <c r="AX153" s="1140" t="str">
        <f>IF(CONSOLIDA!CT134="","",CONSOLIDA!CT134)</f>
        <v/>
      </c>
      <c r="AY153" s="1140"/>
      <c r="AZ153" s="1140"/>
      <c r="BA153" s="1140"/>
      <c r="BB153" s="1140"/>
      <c r="BC153" s="1140"/>
      <c r="BD153" s="1139" t="str">
        <f>IF(CONSOLIDA!CU134="","",CONSOLIDA!CU134)</f>
        <v/>
      </c>
      <c r="BE153" s="1139"/>
      <c r="BF153" s="1139"/>
      <c r="BG153" s="1139"/>
      <c r="BH153" s="1139"/>
      <c r="BI153" s="1139"/>
      <c r="BJ153" s="1139" t="str">
        <f>IF(CONSOLIDA!CV134="","",CONSOLIDA!CV134)</f>
        <v/>
      </c>
      <c r="BK153" s="1139"/>
      <c r="BL153" s="1139"/>
      <c r="BM153" s="1139"/>
      <c r="BN153" s="1139"/>
      <c r="BO153" s="1139"/>
      <c r="BP153" s="1139" t="str">
        <f>IF(CONSOLIDA!CW134="","",CONSOLIDA!CW134)</f>
        <v/>
      </c>
      <c r="BQ153" s="1139"/>
      <c r="BR153" s="1139"/>
      <c r="BS153" s="1139"/>
      <c r="BT153" s="1139"/>
      <c r="BU153" s="1139"/>
      <c r="BV153" s="1140" t="str">
        <f>IF(CONSOLIDA!CX134="","",CONSOLIDA!CX134)</f>
        <v/>
      </c>
      <c r="BW153" s="1140"/>
      <c r="BX153" s="1140"/>
      <c r="BY153" s="1140"/>
      <c r="BZ153" s="1140"/>
      <c r="CA153" s="1140"/>
      <c r="CB153" s="1139" t="str">
        <f>IF(CONSOLIDA!CY134="","",CONSOLIDA!CY134)</f>
        <v/>
      </c>
      <c r="CC153" s="1139"/>
      <c r="CD153" s="1139"/>
      <c r="CE153" s="1139"/>
      <c r="CF153" s="1139"/>
      <c r="CG153" s="1139"/>
      <c r="CH153" s="486"/>
      <c r="CI153" s="190" t="str">
        <f>IF(CONSOLIDA!CZ134="","",CONSOLIDA!CZ134)</f>
        <v/>
      </c>
      <c r="CJ153" s="190" t="str">
        <f>IF(CONSOLIDA!DA134="","",CONSOLIDA!DA134)</f>
        <v/>
      </c>
    </row>
    <row r="154" spans="1:88" s="3" customFormat="1" hidden="1">
      <c r="A154" s="243" t="str">
        <f t="shared" si="2"/>
        <v>OK</v>
      </c>
      <c r="B154" s="1141" t="str">
        <f>IF(CONSOLIDA!CL135="","",CONSOLIDA!CL135)</f>
        <v/>
      </c>
      <c r="C154" s="1141"/>
      <c r="D154" s="1134" t="str">
        <f>IF(CONSOLIDA!CN135="","",CONSOLIDA!CN135)</f>
        <v/>
      </c>
      <c r="E154" s="1135"/>
      <c r="F154" s="1135"/>
      <c r="G154" s="1129" t="str">
        <f>IF(CONSOLIDA!CO135="","",CONSOLIDA!CO135)</f>
        <v/>
      </c>
      <c r="H154" s="1129"/>
      <c r="I154" s="1129"/>
      <c r="J154" s="1129"/>
      <c r="K154" s="1129"/>
      <c r="L154" s="1129"/>
      <c r="M154" s="1129"/>
      <c r="N154" s="1129"/>
      <c r="O154" s="1129"/>
      <c r="P154" s="1129"/>
      <c r="Q154" s="1129"/>
      <c r="R154" s="1129"/>
      <c r="S154" s="1129"/>
      <c r="T154" s="1129"/>
      <c r="U154" s="1129"/>
      <c r="V154" s="1129"/>
      <c r="W154" s="1129"/>
      <c r="X154" s="1129"/>
      <c r="Y154" s="1130"/>
      <c r="Z154" s="1139" t="str">
        <f>IF(CONSOLIDA!CP135="","",CONSOLIDA!CP135)</f>
        <v/>
      </c>
      <c r="AA154" s="1139"/>
      <c r="AB154" s="1139"/>
      <c r="AC154" s="1139"/>
      <c r="AD154" s="1139"/>
      <c r="AE154" s="1139"/>
      <c r="AF154" s="1139" t="str">
        <f>IF(CONSOLIDA!CQ135="","",CONSOLIDA!CQ135)</f>
        <v/>
      </c>
      <c r="AG154" s="1139"/>
      <c r="AH154" s="1139"/>
      <c r="AI154" s="1139"/>
      <c r="AJ154" s="1139"/>
      <c r="AK154" s="1139"/>
      <c r="AL154" s="1139" t="str">
        <f>IF(CONSOLIDA!CR135="","",CONSOLIDA!CR135)</f>
        <v/>
      </c>
      <c r="AM154" s="1139"/>
      <c r="AN154" s="1139"/>
      <c r="AO154" s="1139"/>
      <c r="AP154" s="1139"/>
      <c r="AQ154" s="1139"/>
      <c r="AR154" s="1139" t="str">
        <f>IF(CONSOLIDA!CS135="","",CONSOLIDA!CS135)</f>
        <v/>
      </c>
      <c r="AS154" s="1139"/>
      <c r="AT154" s="1139"/>
      <c r="AU154" s="1139"/>
      <c r="AV154" s="1139"/>
      <c r="AW154" s="1139"/>
      <c r="AX154" s="1140" t="str">
        <f>IF(CONSOLIDA!CT135="","",CONSOLIDA!CT135)</f>
        <v/>
      </c>
      <c r="AY154" s="1140"/>
      <c r="AZ154" s="1140"/>
      <c r="BA154" s="1140"/>
      <c r="BB154" s="1140"/>
      <c r="BC154" s="1140"/>
      <c r="BD154" s="1139" t="str">
        <f>IF(CONSOLIDA!CU135="","",CONSOLIDA!CU135)</f>
        <v/>
      </c>
      <c r="BE154" s="1139"/>
      <c r="BF154" s="1139"/>
      <c r="BG154" s="1139"/>
      <c r="BH154" s="1139"/>
      <c r="BI154" s="1139"/>
      <c r="BJ154" s="1139" t="str">
        <f>IF(CONSOLIDA!CV135="","",CONSOLIDA!CV135)</f>
        <v/>
      </c>
      <c r="BK154" s="1139"/>
      <c r="BL154" s="1139"/>
      <c r="BM154" s="1139"/>
      <c r="BN154" s="1139"/>
      <c r="BO154" s="1139"/>
      <c r="BP154" s="1139" t="str">
        <f>IF(CONSOLIDA!CW135="","",CONSOLIDA!CW135)</f>
        <v/>
      </c>
      <c r="BQ154" s="1139"/>
      <c r="BR154" s="1139"/>
      <c r="BS154" s="1139"/>
      <c r="BT154" s="1139"/>
      <c r="BU154" s="1139"/>
      <c r="BV154" s="1140" t="str">
        <f>IF(CONSOLIDA!CX135="","",CONSOLIDA!CX135)</f>
        <v/>
      </c>
      <c r="BW154" s="1140"/>
      <c r="BX154" s="1140"/>
      <c r="BY154" s="1140"/>
      <c r="BZ154" s="1140"/>
      <c r="CA154" s="1140"/>
      <c r="CB154" s="1139" t="str">
        <f>IF(CONSOLIDA!CY135="","",CONSOLIDA!CY135)</f>
        <v/>
      </c>
      <c r="CC154" s="1139"/>
      <c r="CD154" s="1139"/>
      <c r="CE154" s="1139"/>
      <c r="CF154" s="1139"/>
      <c r="CG154" s="1139"/>
      <c r="CH154" s="486"/>
      <c r="CI154" s="190" t="str">
        <f>IF(CONSOLIDA!CZ135="","",CONSOLIDA!CZ135)</f>
        <v/>
      </c>
      <c r="CJ154" s="190" t="str">
        <f>IF(CONSOLIDA!DA135="","",CONSOLIDA!DA135)</f>
        <v/>
      </c>
    </row>
    <row r="155" spans="1:88" s="3" customFormat="1" hidden="1">
      <c r="A155" s="243" t="str">
        <f t="shared" si="2"/>
        <v>OK</v>
      </c>
      <c r="B155" s="1141" t="str">
        <f>IF(CONSOLIDA!CL136="","",CONSOLIDA!CL136)</f>
        <v/>
      </c>
      <c r="C155" s="1141"/>
      <c r="D155" s="1134" t="str">
        <f>IF(CONSOLIDA!CN136="","",CONSOLIDA!CN136)</f>
        <v/>
      </c>
      <c r="E155" s="1135"/>
      <c r="F155" s="1135"/>
      <c r="G155" s="1129" t="str">
        <f>IF(CONSOLIDA!CO136="","",CONSOLIDA!CO136)</f>
        <v/>
      </c>
      <c r="H155" s="1129"/>
      <c r="I155" s="1129"/>
      <c r="J155" s="1129"/>
      <c r="K155" s="1129"/>
      <c r="L155" s="1129"/>
      <c r="M155" s="1129"/>
      <c r="N155" s="1129"/>
      <c r="O155" s="1129"/>
      <c r="P155" s="1129"/>
      <c r="Q155" s="1129"/>
      <c r="R155" s="1129"/>
      <c r="S155" s="1129"/>
      <c r="T155" s="1129"/>
      <c r="U155" s="1129"/>
      <c r="V155" s="1129"/>
      <c r="W155" s="1129"/>
      <c r="X155" s="1129"/>
      <c r="Y155" s="1130"/>
      <c r="Z155" s="1139" t="str">
        <f>IF(CONSOLIDA!CP136="","",CONSOLIDA!CP136)</f>
        <v/>
      </c>
      <c r="AA155" s="1139"/>
      <c r="AB155" s="1139"/>
      <c r="AC155" s="1139"/>
      <c r="AD155" s="1139"/>
      <c r="AE155" s="1139"/>
      <c r="AF155" s="1139" t="str">
        <f>IF(CONSOLIDA!CQ136="","",CONSOLIDA!CQ136)</f>
        <v/>
      </c>
      <c r="AG155" s="1139"/>
      <c r="AH155" s="1139"/>
      <c r="AI155" s="1139"/>
      <c r="AJ155" s="1139"/>
      <c r="AK155" s="1139"/>
      <c r="AL155" s="1139" t="str">
        <f>IF(CONSOLIDA!CR136="","",CONSOLIDA!CR136)</f>
        <v/>
      </c>
      <c r="AM155" s="1139"/>
      <c r="AN155" s="1139"/>
      <c r="AO155" s="1139"/>
      <c r="AP155" s="1139"/>
      <c r="AQ155" s="1139"/>
      <c r="AR155" s="1139" t="str">
        <f>IF(CONSOLIDA!CS136="","",CONSOLIDA!CS136)</f>
        <v/>
      </c>
      <c r="AS155" s="1139"/>
      <c r="AT155" s="1139"/>
      <c r="AU155" s="1139"/>
      <c r="AV155" s="1139"/>
      <c r="AW155" s="1139"/>
      <c r="AX155" s="1140" t="str">
        <f>IF(CONSOLIDA!CT136="","",CONSOLIDA!CT136)</f>
        <v/>
      </c>
      <c r="AY155" s="1140"/>
      <c r="AZ155" s="1140"/>
      <c r="BA155" s="1140"/>
      <c r="BB155" s="1140"/>
      <c r="BC155" s="1140"/>
      <c r="BD155" s="1139" t="str">
        <f>IF(CONSOLIDA!CU136="","",CONSOLIDA!CU136)</f>
        <v/>
      </c>
      <c r="BE155" s="1139"/>
      <c r="BF155" s="1139"/>
      <c r="BG155" s="1139"/>
      <c r="BH155" s="1139"/>
      <c r="BI155" s="1139"/>
      <c r="BJ155" s="1139" t="str">
        <f>IF(CONSOLIDA!CV136="","",CONSOLIDA!CV136)</f>
        <v/>
      </c>
      <c r="BK155" s="1139"/>
      <c r="BL155" s="1139"/>
      <c r="BM155" s="1139"/>
      <c r="BN155" s="1139"/>
      <c r="BO155" s="1139"/>
      <c r="BP155" s="1139" t="str">
        <f>IF(CONSOLIDA!CW136="","",CONSOLIDA!CW136)</f>
        <v/>
      </c>
      <c r="BQ155" s="1139"/>
      <c r="BR155" s="1139"/>
      <c r="BS155" s="1139"/>
      <c r="BT155" s="1139"/>
      <c r="BU155" s="1139"/>
      <c r="BV155" s="1140" t="str">
        <f>IF(CONSOLIDA!CX136="","",CONSOLIDA!CX136)</f>
        <v/>
      </c>
      <c r="BW155" s="1140"/>
      <c r="BX155" s="1140"/>
      <c r="BY155" s="1140"/>
      <c r="BZ155" s="1140"/>
      <c r="CA155" s="1140"/>
      <c r="CB155" s="1139" t="str">
        <f>IF(CONSOLIDA!CY136="","",CONSOLIDA!CY136)</f>
        <v/>
      </c>
      <c r="CC155" s="1139"/>
      <c r="CD155" s="1139"/>
      <c r="CE155" s="1139"/>
      <c r="CF155" s="1139"/>
      <c r="CG155" s="1139"/>
      <c r="CH155" s="486"/>
      <c r="CI155" s="190" t="str">
        <f>IF(CONSOLIDA!CZ136="","",CONSOLIDA!CZ136)</f>
        <v/>
      </c>
      <c r="CJ155" s="190" t="str">
        <f>IF(CONSOLIDA!DA136="","",CONSOLIDA!DA136)</f>
        <v/>
      </c>
    </row>
    <row r="156" spans="1:88" s="3" customFormat="1" hidden="1">
      <c r="A156" s="243" t="str">
        <f t="shared" si="2"/>
        <v>OK</v>
      </c>
      <c r="B156" s="1141" t="str">
        <f>IF(CONSOLIDA!CL137="","",CONSOLIDA!CL137)</f>
        <v/>
      </c>
      <c r="C156" s="1141"/>
      <c r="D156" s="1134" t="str">
        <f>IF(CONSOLIDA!CN137="","",CONSOLIDA!CN137)</f>
        <v/>
      </c>
      <c r="E156" s="1135"/>
      <c r="F156" s="1135"/>
      <c r="G156" s="1129" t="str">
        <f>IF(CONSOLIDA!CO137="","",CONSOLIDA!CO137)</f>
        <v/>
      </c>
      <c r="H156" s="1129"/>
      <c r="I156" s="1129"/>
      <c r="J156" s="1129"/>
      <c r="K156" s="1129"/>
      <c r="L156" s="1129"/>
      <c r="M156" s="1129"/>
      <c r="N156" s="1129"/>
      <c r="O156" s="1129"/>
      <c r="P156" s="1129"/>
      <c r="Q156" s="1129"/>
      <c r="R156" s="1129"/>
      <c r="S156" s="1129"/>
      <c r="T156" s="1129"/>
      <c r="U156" s="1129"/>
      <c r="V156" s="1129"/>
      <c r="W156" s="1129"/>
      <c r="X156" s="1129"/>
      <c r="Y156" s="1130"/>
      <c r="Z156" s="1139" t="str">
        <f>IF(CONSOLIDA!CP137="","",CONSOLIDA!CP137)</f>
        <v/>
      </c>
      <c r="AA156" s="1139"/>
      <c r="AB156" s="1139"/>
      <c r="AC156" s="1139"/>
      <c r="AD156" s="1139"/>
      <c r="AE156" s="1139"/>
      <c r="AF156" s="1139" t="str">
        <f>IF(CONSOLIDA!CQ137="","",CONSOLIDA!CQ137)</f>
        <v/>
      </c>
      <c r="AG156" s="1139"/>
      <c r="AH156" s="1139"/>
      <c r="AI156" s="1139"/>
      <c r="AJ156" s="1139"/>
      <c r="AK156" s="1139"/>
      <c r="AL156" s="1139" t="str">
        <f>IF(CONSOLIDA!CR137="","",CONSOLIDA!CR137)</f>
        <v/>
      </c>
      <c r="AM156" s="1139"/>
      <c r="AN156" s="1139"/>
      <c r="AO156" s="1139"/>
      <c r="AP156" s="1139"/>
      <c r="AQ156" s="1139"/>
      <c r="AR156" s="1139" t="str">
        <f>IF(CONSOLIDA!CS137="","",CONSOLIDA!CS137)</f>
        <v/>
      </c>
      <c r="AS156" s="1139"/>
      <c r="AT156" s="1139"/>
      <c r="AU156" s="1139"/>
      <c r="AV156" s="1139"/>
      <c r="AW156" s="1139"/>
      <c r="AX156" s="1140" t="str">
        <f>IF(CONSOLIDA!CT137="","",CONSOLIDA!CT137)</f>
        <v/>
      </c>
      <c r="AY156" s="1140"/>
      <c r="AZ156" s="1140"/>
      <c r="BA156" s="1140"/>
      <c r="BB156" s="1140"/>
      <c r="BC156" s="1140"/>
      <c r="BD156" s="1139" t="str">
        <f>IF(CONSOLIDA!CU137="","",CONSOLIDA!CU137)</f>
        <v/>
      </c>
      <c r="BE156" s="1139"/>
      <c r="BF156" s="1139"/>
      <c r="BG156" s="1139"/>
      <c r="BH156" s="1139"/>
      <c r="BI156" s="1139"/>
      <c r="BJ156" s="1139" t="str">
        <f>IF(CONSOLIDA!CV137="","",CONSOLIDA!CV137)</f>
        <v/>
      </c>
      <c r="BK156" s="1139"/>
      <c r="BL156" s="1139"/>
      <c r="BM156" s="1139"/>
      <c r="BN156" s="1139"/>
      <c r="BO156" s="1139"/>
      <c r="BP156" s="1139" t="str">
        <f>IF(CONSOLIDA!CW137="","",CONSOLIDA!CW137)</f>
        <v/>
      </c>
      <c r="BQ156" s="1139"/>
      <c r="BR156" s="1139"/>
      <c r="BS156" s="1139"/>
      <c r="BT156" s="1139"/>
      <c r="BU156" s="1139"/>
      <c r="BV156" s="1140" t="str">
        <f>IF(CONSOLIDA!CX137="","",CONSOLIDA!CX137)</f>
        <v/>
      </c>
      <c r="BW156" s="1140"/>
      <c r="BX156" s="1140"/>
      <c r="BY156" s="1140"/>
      <c r="BZ156" s="1140"/>
      <c r="CA156" s="1140"/>
      <c r="CB156" s="1139" t="str">
        <f>IF(CONSOLIDA!CY137="","",CONSOLIDA!CY137)</f>
        <v/>
      </c>
      <c r="CC156" s="1139"/>
      <c r="CD156" s="1139"/>
      <c r="CE156" s="1139"/>
      <c r="CF156" s="1139"/>
      <c r="CG156" s="1139"/>
      <c r="CH156" s="486"/>
      <c r="CI156" s="190" t="str">
        <f>IF(CONSOLIDA!CZ137="","",CONSOLIDA!CZ137)</f>
        <v/>
      </c>
      <c r="CJ156" s="190" t="str">
        <f>IF(CONSOLIDA!DA137="","",CONSOLIDA!DA137)</f>
        <v/>
      </c>
    </row>
    <row r="157" spans="1:88" s="3" customFormat="1" hidden="1">
      <c r="A157" s="243" t="str">
        <f t="shared" si="2"/>
        <v>OK</v>
      </c>
      <c r="B157" s="1141" t="str">
        <f>IF(CONSOLIDA!CL138="","",CONSOLIDA!CL138)</f>
        <v/>
      </c>
      <c r="C157" s="1141"/>
      <c r="D157" s="1134" t="str">
        <f>IF(CONSOLIDA!CN138="","",CONSOLIDA!CN138)</f>
        <v/>
      </c>
      <c r="E157" s="1135"/>
      <c r="F157" s="1135"/>
      <c r="G157" s="1129" t="str">
        <f>IF(CONSOLIDA!CO138="","",CONSOLIDA!CO138)</f>
        <v/>
      </c>
      <c r="H157" s="1129"/>
      <c r="I157" s="1129"/>
      <c r="J157" s="1129"/>
      <c r="K157" s="1129"/>
      <c r="L157" s="1129"/>
      <c r="M157" s="1129"/>
      <c r="N157" s="1129"/>
      <c r="O157" s="1129"/>
      <c r="P157" s="1129"/>
      <c r="Q157" s="1129"/>
      <c r="R157" s="1129"/>
      <c r="S157" s="1129"/>
      <c r="T157" s="1129"/>
      <c r="U157" s="1129"/>
      <c r="V157" s="1129"/>
      <c r="W157" s="1129"/>
      <c r="X157" s="1129"/>
      <c r="Y157" s="1130"/>
      <c r="Z157" s="1139" t="str">
        <f>IF(CONSOLIDA!CP138="","",CONSOLIDA!CP138)</f>
        <v/>
      </c>
      <c r="AA157" s="1139"/>
      <c r="AB157" s="1139"/>
      <c r="AC157" s="1139"/>
      <c r="AD157" s="1139"/>
      <c r="AE157" s="1139"/>
      <c r="AF157" s="1139" t="str">
        <f>IF(CONSOLIDA!CQ138="","",CONSOLIDA!CQ138)</f>
        <v/>
      </c>
      <c r="AG157" s="1139"/>
      <c r="AH157" s="1139"/>
      <c r="AI157" s="1139"/>
      <c r="AJ157" s="1139"/>
      <c r="AK157" s="1139"/>
      <c r="AL157" s="1139" t="str">
        <f>IF(CONSOLIDA!CR138="","",CONSOLIDA!CR138)</f>
        <v/>
      </c>
      <c r="AM157" s="1139"/>
      <c r="AN157" s="1139"/>
      <c r="AO157" s="1139"/>
      <c r="AP157" s="1139"/>
      <c r="AQ157" s="1139"/>
      <c r="AR157" s="1139" t="str">
        <f>IF(CONSOLIDA!CS138="","",CONSOLIDA!CS138)</f>
        <v/>
      </c>
      <c r="AS157" s="1139"/>
      <c r="AT157" s="1139"/>
      <c r="AU157" s="1139"/>
      <c r="AV157" s="1139"/>
      <c r="AW157" s="1139"/>
      <c r="AX157" s="1140" t="str">
        <f>IF(CONSOLIDA!CT138="","",CONSOLIDA!CT138)</f>
        <v/>
      </c>
      <c r="AY157" s="1140"/>
      <c r="AZ157" s="1140"/>
      <c r="BA157" s="1140"/>
      <c r="BB157" s="1140"/>
      <c r="BC157" s="1140"/>
      <c r="BD157" s="1139" t="str">
        <f>IF(CONSOLIDA!CU138="","",CONSOLIDA!CU138)</f>
        <v/>
      </c>
      <c r="BE157" s="1139"/>
      <c r="BF157" s="1139"/>
      <c r="BG157" s="1139"/>
      <c r="BH157" s="1139"/>
      <c r="BI157" s="1139"/>
      <c r="BJ157" s="1139" t="str">
        <f>IF(CONSOLIDA!CV138="","",CONSOLIDA!CV138)</f>
        <v/>
      </c>
      <c r="BK157" s="1139"/>
      <c r="BL157" s="1139"/>
      <c r="BM157" s="1139"/>
      <c r="BN157" s="1139"/>
      <c r="BO157" s="1139"/>
      <c r="BP157" s="1139" t="str">
        <f>IF(CONSOLIDA!CW138="","",CONSOLIDA!CW138)</f>
        <v/>
      </c>
      <c r="BQ157" s="1139"/>
      <c r="BR157" s="1139"/>
      <c r="BS157" s="1139"/>
      <c r="BT157" s="1139"/>
      <c r="BU157" s="1139"/>
      <c r="BV157" s="1140" t="str">
        <f>IF(CONSOLIDA!CX138="","",CONSOLIDA!CX138)</f>
        <v/>
      </c>
      <c r="BW157" s="1140"/>
      <c r="BX157" s="1140"/>
      <c r="BY157" s="1140"/>
      <c r="BZ157" s="1140"/>
      <c r="CA157" s="1140"/>
      <c r="CB157" s="1139" t="str">
        <f>IF(CONSOLIDA!CY138="","",CONSOLIDA!CY138)</f>
        <v/>
      </c>
      <c r="CC157" s="1139"/>
      <c r="CD157" s="1139"/>
      <c r="CE157" s="1139"/>
      <c r="CF157" s="1139"/>
      <c r="CG157" s="1139"/>
      <c r="CH157" s="486"/>
      <c r="CI157" s="190" t="str">
        <f>IF(CONSOLIDA!CZ138="","",CONSOLIDA!CZ138)</f>
        <v/>
      </c>
      <c r="CJ157" s="190" t="str">
        <f>IF(CONSOLIDA!DA138="","",CONSOLIDA!DA138)</f>
        <v/>
      </c>
    </row>
    <row r="158" spans="1:88" s="3" customFormat="1" hidden="1">
      <c r="A158" s="243" t="str">
        <f t="shared" si="2"/>
        <v>OK</v>
      </c>
      <c r="B158" s="1141" t="str">
        <f>IF(CONSOLIDA!CL139="","",CONSOLIDA!CL139)</f>
        <v/>
      </c>
      <c r="C158" s="1141"/>
      <c r="D158" s="1134" t="str">
        <f>IF(CONSOLIDA!CN139="","",CONSOLIDA!CN139)</f>
        <v/>
      </c>
      <c r="E158" s="1135"/>
      <c r="F158" s="1135"/>
      <c r="G158" s="1129" t="str">
        <f>IF(CONSOLIDA!CO139="","",CONSOLIDA!CO139)</f>
        <v/>
      </c>
      <c r="H158" s="1129"/>
      <c r="I158" s="1129"/>
      <c r="J158" s="1129"/>
      <c r="K158" s="1129"/>
      <c r="L158" s="1129"/>
      <c r="M158" s="1129"/>
      <c r="N158" s="1129"/>
      <c r="O158" s="1129"/>
      <c r="P158" s="1129"/>
      <c r="Q158" s="1129"/>
      <c r="R158" s="1129"/>
      <c r="S158" s="1129"/>
      <c r="T158" s="1129"/>
      <c r="U158" s="1129"/>
      <c r="V158" s="1129"/>
      <c r="W158" s="1129"/>
      <c r="X158" s="1129"/>
      <c r="Y158" s="1130"/>
      <c r="Z158" s="1139" t="str">
        <f>IF(CONSOLIDA!CP139="","",CONSOLIDA!CP139)</f>
        <v/>
      </c>
      <c r="AA158" s="1139"/>
      <c r="AB158" s="1139"/>
      <c r="AC158" s="1139"/>
      <c r="AD158" s="1139"/>
      <c r="AE158" s="1139"/>
      <c r="AF158" s="1139" t="str">
        <f>IF(CONSOLIDA!CQ139="","",CONSOLIDA!CQ139)</f>
        <v/>
      </c>
      <c r="AG158" s="1139"/>
      <c r="AH158" s="1139"/>
      <c r="AI158" s="1139"/>
      <c r="AJ158" s="1139"/>
      <c r="AK158" s="1139"/>
      <c r="AL158" s="1139" t="str">
        <f>IF(CONSOLIDA!CR139="","",CONSOLIDA!CR139)</f>
        <v/>
      </c>
      <c r="AM158" s="1139"/>
      <c r="AN158" s="1139"/>
      <c r="AO158" s="1139"/>
      <c r="AP158" s="1139"/>
      <c r="AQ158" s="1139"/>
      <c r="AR158" s="1139" t="str">
        <f>IF(CONSOLIDA!CS139="","",CONSOLIDA!CS139)</f>
        <v/>
      </c>
      <c r="AS158" s="1139"/>
      <c r="AT158" s="1139"/>
      <c r="AU158" s="1139"/>
      <c r="AV158" s="1139"/>
      <c r="AW158" s="1139"/>
      <c r="AX158" s="1140" t="str">
        <f>IF(CONSOLIDA!CT139="","",CONSOLIDA!CT139)</f>
        <v/>
      </c>
      <c r="AY158" s="1140"/>
      <c r="AZ158" s="1140"/>
      <c r="BA158" s="1140"/>
      <c r="BB158" s="1140"/>
      <c r="BC158" s="1140"/>
      <c r="BD158" s="1139" t="str">
        <f>IF(CONSOLIDA!CU139="","",CONSOLIDA!CU139)</f>
        <v/>
      </c>
      <c r="BE158" s="1139"/>
      <c r="BF158" s="1139"/>
      <c r="BG158" s="1139"/>
      <c r="BH158" s="1139"/>
      <c r="BI158" s="1139"/>
      <c r="BJ158" s="1139" t="str">
        <f>IF(CONSOLIDA!CV139="","",CONSOLIDA!CV139)</f>
        <v/>
      </c>
      <c r="BK158" s="1139"/>
      <c r="BL158" s="1139"/>
      <c r="BM158" s="1139"/>
      <c r="BN158" s="1139"/>
      <c r="BO158" s="1139"/>
      <c r="BP158" s="1139" t="str">
        <f>IF(CONSOLIDA!CW139="","",CONSOLIDA!CW139)</f>
        <v/>
      </c>
      <c r="BQ158" s="1139"/>
      <c r="BR158" s="1139"/>
      <c r="BS158" s="1139"/>
      <c r="BT158" s="1139"/>
      <c r="BU158" s="1139"/>
      <c r="BV158" s="1140" t="str">
        <f>IF(CONSOLIDA!CX139="","",CONSOLIDA!CX139)</f>
        <v/>
      </c>
      <c r="BW158" s="1140"/>
      <c r="BX158" s="1140"/>
      <c r="BY158" s="1140"/>
      <c r="BZ158" s="1140"/>
      <c r="CA158" s="1140"/>
      <c r="CB158" s="1139" t="str">
        <f>IF(CONSOLIDA!CY139="","",CONSOLIDA!CY139)</f>
        <v/>
      </c>
      <c r="CC158" s="1139"/>
      <c r="CD158" s="1139"/>
      <c r="CE158" s="1139"/>
      <c r="CF158" s="1139"/>
      <c r="CG158" s="1139"/>
      <c r="CH158" s="486"/>
      <c r="CI158" s="190" t="str">
        <f>IF(CONSOLIDA!CZ139="","",CONSOLIDA!CZ139)</f>
        <v/>
      </c>
      <c r="CJ158" s="190" t="str">
        <f>IF(CONSOLIDA!DA139="","",CONSOLIDA!DA139)</f>
        <v/>
      </c>
    </row>
    <row r="159" spans="1:88" s="3" customFormat="1" hidden="1">
      <c r="A159" s="243" t="str">
        <f t="shared" si="2"/>
        <v>OK</v>
      </c>
      <c r="B159" s="1141" t="str">
        <f>IF(CONSOLIDA!CL140="","",CONSOLIDA!CL140)</f>
        <v/>
      </c>
      <c r="C159" s="1141"/>
      <c r="D159" s="1134" t="str">
        <f>IF(CONSOLIDA!CN140="","",CONSOLIDA!CN140)</f>
        <v/>
      </c>
      <c r="E159" s="1135"/>
      <c r="F159" s="1135"/>
      <c r="G159" s="1129" t="str">
        <f>IF(CONSOLIDA!CO140="","",CONSOLIDA!CO140)</f>
        <v/>
      </c>
      <c r="H159" s="1129"/>
      <c r="I159" s="1129"/>
      <c r="J159" s="1129"/>
      <c r="K159" s="1129"/>
      <c r="L159" s="1129"/>
      <c r="M159" s="1129"/>
      <c r="N159" s="1129"/>
      <c r="O159" s="1129"/>
      <c r="P159" s="1129"/>
      <c r="Q159" s="1129"/>
      <c r="R159" s="1129"/>
      <c r="S159" s="1129"/>
      <c r="T159" s="1129"/>
      <c r="U159" s="1129"/>
      <c r="V159" s="1129"/>
      <c r="W159" s="1129"/>
      <c r="X159" s="1129"/>
      <c r="Y159" s="1130"/>
      <c r="Z159" s="1139" t="str">
        <f>IF(CONSOLIDA!CP140="","",CONSOLIDA!CP140)</f>
        <v/>
      </c>
      <c r="AA159" s="1139"/>
      <c r="AB159" s="1139"/>
      <c r="AC159" s="1139"/>
      <c r="AD159" s="1139"/>
      <c r="AE159" s="1139"/>
      <c r="AF159" s="1139" t="str">
        <f>IF(CONSOLIDA!CQ140="","",CONSOLIDA!CQ140)</f>
        <v/>
      </c>
      <c r="AG159" s="1139"/>
      <c r="AH159" s="1139"/>
      <c r="AI159" s="1139"/>
      <c r="AJ159" s="1139"/>
      <c r="AK159" s="1139"/>
      <c r="AL159" s="1139" t="str">
        <f>IF(CONSOLIDA!CR140="","",CONSOLIDA!CR140)</f>
        <v/>
      </c>
      <c r="AM159" s="1139"/>
      <c r="AN159" s="1139"/>
      <c r="AO159" s="1139"/>
      <c r="AP159" s="1139"/>
      <c r="AQ159" s="1139"/>
      <c r="AR159" s="1139" t="str">
        <f>IF(CONSOLIDA!CS140="","",CONSOLIDA!CS140)</f>
        <v/>
      </c>
      <c r="AS159" s="1139"/>
      <c r="AT159" s="1139"/>
      <c r="AU159" s="1139"/>
      <c r="AV159" s="1139"/>
      <c r="AW159" s="1139"/>
      <c r="AX159" s="1140" t="str">
        <f>IF(CONSOLIDA!CT140="","",CONSOLIDA!CT140)</f>
        <v/>
      </c>
      <c r="AY159" s="1140"/>
      <c r="AZ159" s="1140"/>
      <c r="BA159" s="1140"/>
      <c r="BB159" s="1140"/>
      <c r="BC159" s="1140"/>
      <c r="BD159" s="1139" t="str">
        <f>IF(CONSOLIDA!CU140="","",CONSOLIDA!CU140)</f>
        <v/>
      </c>
      <c r="BE159" s="1139"/>
      <c r="BF159" s="1139"/>
      <c r="BG159" s="1139"/>
      <c r="BH159" s="1139"/>
      <c r="BI159" s="1139"/>
      <c r="BJ159" s="1139" t="str">
        <f>IF(CONSOLIDA!CV140="","",CONSOLIDA!CV140)</f>
        <v/>
      </c>
      <c r="BK159" s="1139"/>
      <c r="BL159" s="1139"/>
      <c r="BM159" s="1139"/>
      <c r="BN159" s="1139"/>
      <c r="BO159" s="1139"/>
      <c r="BP159" s="1139" t="str">
        <f>IF(CONSOLIDA!CW140="","",CONSOLIDA!CW140)</f>
        <v/>
      </c>
      <c r="BQ159" s="1139"/>
      <c r="BR159" s="1139"/>
      <c r="BS159" s="1139"/>
      <c r="BT159" s="1139"/>
      <c r="BU159" s="1139"/>
      <c r="BV159" s="1140" t="str">
        <f>IF(CONSOLIDA!CX140="","",CONSOLIDA!CX140)</f>
        <v/>
      </c>
      <c r="BW159" s="1140"/>
      <c r="BX159" s="1140"/>
      <c r="BY159" s="1140"/>
      <c r="BZ159" s="1140"/>
      <c r="CA159" s="1140"/>
      <c r="CB159" s="1139" t="str">
        <f>IF(CONSOLIDA!CY140="","",CONSOLIDA!CY140)</f>
        <v/>
      </c>
      <c r="CC159" s="1139"/>
      <c r="CD159" s="1139"/>
      <c r="CE159" s="1139"/>
      <c r="CF159" s="1139"/>
      <c r="CG159" s="1139"/>
      <c r="CH159" s="486"/>
      <c r="CI159" s="190" t="str">
        <f>IF(CONSOLIDA!CZ140="","",CONSOLIDA!CZ140)</f>
        <v/>
      </c>
      <c r="CJ159" s="190" t="str">
        <f>IF(CONSOLIDA!DA140="","",CONSOLIDA!DA140)</f>
        <v/>
      </c>
    </row>
    <row r="160" spans="1:88" s="3" customFormat="1" hidden="1">
      <c r="A160" s="243" t="str">
        <f t="shared" si="2"/>
        <v>OK</v>
      </c>
      <c r="B160" s="1141" t="str">
        <f>IF(CONSOLIDA!CL141="","",CONSOLIDA!CL141)</f>
        <v/>
      </c>
      <c r="C160" s="1141"/>
      <c r="D160" s="1134" t="str">
        <f>IF(CONSOLIDA!CN141="","",CONSOLIDA!CN141)</f>
        <v/>
      </c>
      <c r="E160" s="1135"/>
      <c r="F160" s="1135"/>
      <c r="G160" s="1129" t="str">
        <f>IF(CONSOLIDA!CO141="","",CONSOLIDA!CO141)</f>
        <v/>
      </c>
      <c r="H160" s="1129"/>
      <c r="I160" s="1129"/>
      <c r="J160" s="1129"/>
      <c r="K160" s="1129"/>
      <c r="L160" s="1129"/>
      <c r="M160" s="1129"/>
      <c r="N160" s="1129"/>
      <c r="O160" s="1129"/>
      <c r="P160" s="1129"/>
      <c r="Q160" s="1129"/>
      <c r="R160" s="1129"/>
      <c r="S160" s="1129"/>
      <c r="T160" s="1129"/>
      <c r="U160" s="1129"/>
      <c r="V160" s="1129"/>
      <c r="W160" s="1129"/>
      <c r="X160" s="1129"/>
      <c r="Y160" s="1130"/>
      <c r="Z160" s="1139" t="str">
        <f>IF(CONSOLIDA!CP141="","",CONSOLIDA!CP141)</f>
        <v/>
      </c>
      <c r="AA160" s="1139"/>
      <c r="AB160" s="1139"/>
      <c r="AC160" s="1139"/>
      <c r="AD160" s="1139"/>
      <c r="AE160" s="1139"/>
      <c r="AF160" s="1139" t="str">
        <f>IF(CONSOLIDA!CQ141="","",CONSOLIDA!CQ141)</f>
        <v/>
      </c>
      <c r="AG160" s="1139"/>
      <c r="AH160" s="1139"/>
      <c r="AI160" s="1139"/>
      <c r="AJ160" s="1139"/>
      <c r="AK160" s="1139"/>
      <c r="AL160" s="1139" t="str">
        <f>IF(CONSOLIDA!CR141="","",CONSOLIDA!CR141)</f>
        <v/>
      </c>
      <c r="AM160" s="1139"/>
      <c r="AN160" s="1139"/>
      <c r="AO160" s="1139"/>
      <c r="AP160" s="1139"/>
      <c r="AQ160" s="1139"/>
      <c r="AR160" s="1139" t="str">
        <f>IF(CONSOLIDA!CS141="","",CONSOLIDA!CS141)</f>
        <v/>
      </c>
      <c r="AS160" s="1139"/>
      <c r="AT160" s="1139"/>
      <c r="AU160" s="1139"/>
      <c r="AV160" s="1139"/>
      <c r="AW160" s="1139"/>
      <c r="AX160" s="1140" t="str">
        <f>IF(CONSOLIDA!CT141="","",CONSOLIDA!CT141)</f>
        <v/>
      </c>
      <c r="AY160" s="1140"/>
      <c r="AZ160" s="1140"/>
      <c r="BA160" s="1140"/>
      <c r="BB160" s="1140"/>
      <c r="BC160" s="1140"/>
      <c r="BD160" s="1139" t="str">
        <f>IF(CONSOLIDA!CU141="","",CONSOLIDA!CU141)</f>
        <v/>
      </c>
      <c r="BE160" s="1139"/>
      <c r="BF160" s="1139"/>
      <c r="BG160" s="1139"/>
      <c r="BH160" s="1139"/>
      <c r="BI160" s="1139"/>
      <c r="BJ160" s="1139" t="str">
        <f>IF(CONSOLIDA!CV141="","",CONSOLIDA!CV141)</f>
        <v/>
      </c>
      <c r="BK160" s="1139"/>
      <c r="BL160" s="1139"/>
      <c r="BM160" s="1139"/>
      <c r="BN160" s="1139"/>
      <c r="BO160" s="1139"/>
      <c r="BP160" s="1139" t="str">
        <f>IF(CONSOLIDA!CW141="","",CONSOLIDA!CW141)</f>
        <v/>
      </c>
      <c r="BQ160" s="1139"/>
      <c r="BR160" s="1139"/>
      <c r="BS160" s="1139"/>
      <c r="BT160" s="1139"/>
      <c r="BU160" s="1139"/>
      <c r="BV160" s="1140" t="str">
        <f>IF(CONSOLIDA!CX141="","",CONSOLIDA!CX141)</f>
        <v/>
      </c>
      <c r="BW160" s="1140"/>
      <c r="BX160" s="1140"/>
      <c r="BY160" s="1140"/>
      <c r="BZ160" s="1140"/>
      <c r="CA160" s="1140"/>
      <c r="CB160" s="1139" t="str">
        <f>IF(CONSOLIDA!CY141="","",CONSOLIDA!CY141)</f>
        <v/>
      </c>
      <c r="CC160" s="1139"/>
      <c r="CD160" s="1139"/>
      <c r="CE160" s="1139"/>
      <c r="CF160" s="1139"/>
      <c r="CG160" s="1139"/>
      <c r="CH160" s="486"/>
      <c r="CI160" s="190" t="str">
        <f>IF(CONSOLIDA!CZ141="","",CONSOLIDA!CZ141)</f>
        <v/>
      </c>
      <c r="CJ160" s="190" t="str">
        <f>IF(CONSOLIDA!DA141="","",CONSOLIDA!DA141)</f>
        <v/>
      </c>
    </row>
    <row r="161" spans="1:88" s="3" customFormat="1" hidden="1">
      <c r="A161" s="243" t="str">
        <f t="shared" si="2"/>
        <v>OK</v>
      </c>
      <c r="B161" s="1141" t="str">
        <f>IF(CONSOLIDA!CL142="","",CONSOLIDA!CL142)</f>
        <v/>
      </c>
      <c r="C161" s="1141"/>
      <c r="D161" s="1134" t="str">
        <f>IF(CONSOLIDA!CN142="","",CONSOLIDA!CN142)</f>
        <v/>
      </c>
      <c r="E161" s="1135"/>
      <c r="F161" s="1135"/>
      <c r="G161" s="1129" t="str">
        <f>IF(CONSOLIDA!CO142="","",CONSOLIDA!CO142)</f>
        <v/>
      </c>
      <c r="H161" s="1129"/>
      <c r="I161" s="1129"/>
      <c r="J161" s="1129"/>
      <c r="K161" s="1129"/>
      <c r="L161" s="1129"/>
      <c r="M161" s="1129"/>
      <c r="N161" s="1129"/>
      <c r="O161" s="1129"/>
      <c r="P161" s="1129"/>
      <c r="Q161" s="1129"/>
      <c r="R161" s="1129"/>
      <c r="S161" s="1129"/>
      <c r="T161" s="1129"/>
      <c r="U161" s="1129"/>
      <c r="V161" s="1129"/>
      <c r="W161" s="1129"/>
      <c r="X161" s="1129"/>
      <c r="Y161" s="1130"/>
      <c r="Z161" s="1139" t="str">
        <f>IF(CONSOLIDA!CP142="","",CONSOLIDA!CP142)</f>
        <v/>
      </c>
      <c r="AA161" s="1139"/>
      <c r="AB161" s="1139"/>
      <c r="AC161" s="1139"/>
      <c r="AD161" s="1139"/>
      <c r="AE161" s="1139"/>
      <c r="AF161" s="1139" t="str">
        <f>IF(CONSOLIDA!CQ142="","",CONSOLIDA!CQ142)</f>
        <v/>
      </c>
      <c r="AG161" s="1139"/>
      <c r="AH161" s="1139"/>
      <c r="AI161" s="1139"/>
      <c r="AJ161" s="1139"/>
      <c r="AK161" s="1139"/>
      <c r="AL161" s="1139" t="str">
        <f>IF(CONSOLIDA!CR142="","",CONSOLIDA!CR142)</f>
        <v/>
      </c>
      <c r="AM161" s="1139"/>
      <c r="AN161" s="1139"/>
      <c r="AO161" s="1139"/>
      <c r="AP161" s="1139"/>
      <c r="AQ161" s="1139"/>
      <c r="AR161" s="1139" t="str">
        <f>IF(CONSOLIDA!CS142="","",CONSOLIDA!CS142)</f>
        <v/>
      </c>
      <c r="AS161" s="1139"/>
      <c r="AT161" s="1139"/>
      <c r="AU161" s="1139"/>
      <c r="AV161" s="1139"/>
      <c r="AW161" s="1139"/>
      <c r="AX161" s="1140" t="str">
        <f>IF(CONSOLIDA!CT142="","",CONSOLIDA!CT142)</f>
        <v/>
      </c>
      <c r="AY161" s="1140"/>
      <c r="AZ161" s="1140"/>
      <c r="BA161" s="1140"/>
      <c r="BB161" s="1140"/>
      <c r="BC161" s="1140"/>
      <c r="BD161" s="1139" t="str">
        <f>IF(CONSOLIDA!CU142="","",CONSOLIDA!CU142)</f>
        <v/>
      </c>
      <c r="BE161" s="1139"/>
      <c r="BF161" s="1139"/>
      <c r="BG161" s="1139"/>
      <c r="BH161" s="1139"/>
      <c r="BI161" s="1139"/>
      <c r="BJ161" s="1139" t="str">
        <f>IF(CONSOLIDA!CV142="","",CONSOLIDA!CV142)</f>
        <v/>
      </c>
      <c r="BK161" s="1139"/>
      <c r="BL161" s="1139"/>
      <c r="BM161" s="1139"/>
      <c r="BN161" s="1139"/>
      <c r="BO161" s="1139"/>
      <c r="BP161" s="1139" t="str">
        <f>IF(CONSOLIDA!CW142="","",CONSOLIDA!CW142)</f>
        <v/>
      </c>
      <c r="BQ161" s="1139"/>
      <c r="BR161" s="1139"/>
      <c r="BS161" s="1139"/>
      <c r="BT161" s="1139"/>
      <c r="BU161" s="1139"/>
      <c r="BV161" s="1140" t="str">
        <f>IF(CONSOLIDA!CX142="","",CONSOLIDA!CX142)</f>
        <v/>
      </c>
      <c r="BW161" s="1140"/>
      <c r="BX161" s="1140"/>
      <c r="BY161" s="1140"/>
      <c r="BZ161" s="1140"/>
      <c r="CA161" s="1140"/>
      <c r="CB161" s="1139" t="str">
        <f>IF(CONSOLIDA!CY142="","",CONSOLIDA!CY142)</f>
        <v/>
      </c>
      <c r="CC161" s="1139"/>
      <c r="CD161" s="1139"/>
      <c r="CE161" s="1139"/>
      <c r="CF161" s="1139"/>
      <c r="CG161" s="1139"/>
      <c r="CH161" s="486"/>
      <c r="CI161" s="190" t="str">
        <f>IF(CONSOLIDA!CZ142="","",CONSOLIDA!CZ142)</f>
        <v/>
      </c>
      <c r="CJ161" s="190" t="str">
        <f>IF(CONSOLIDA!DA142="","",CONSOLIDA!DA142)</f>
        <v/>
      </c>
    </row>
    <row r="162" spans="1:88" s="3" customFormat="1" hidden="1">
      <c r="A162" s="243" t="str">
        <f t="shared" si="2"/>
        <v>OK</v>
      </c>
      <c r="B162" s="1141" t="str">
        <f>IF(CONSOLIDA!CL143="","",CONSOLIDA!CL143)</f>
        <v/>
      </c>
      <c r="C162" s="1141"/>
      <c r="D162" s="1134" t="str">
        <f>IF(CONSOLIDA!CN143="","",CONSOLIDA!CN143)</f>
        <v/>
      </c>
      <c r="E162" s="1135"/>
      <c r="F162" s="1135"/>
      <c r="G162" s="1129" t="str">
        <f>IF(CONSOLIDA!CO143="","",CONSOLIDA!CO143)</f>
        <v/>
      </c>
      <c r="H162" s="1129"/>
      <c r="I162" s="1129"/>
      <c r="J162" s="1129"/>
      <c r="K162" s="1129"/>
      <c r="L162" s="1129"/>
      <c r="M162" s="1129"/>
      <c r="N162" s="1129"/>
      <c r="O162" s="1129"/>
      <c r="P162" s="1129"/>
      <c r="Q162" s="1129"/>
      <c r="R162" s="1129"/>
      <c r="S162" s="1129"/>
      <c r="T162" s="1129"/>
      <c r="U162" s="1129"/>
      <c r="V162" s="1129"/>
      <c r="W162" s="1129"/>
      <c r="X162" s="1129"/>
      <c r="Y162" s="1130"/>
      <c r="Z162" s="1139" t="str">
        <f>IF(CONSOLIDA!CP143="","",CONSOLIDA!CP143)</f>
        <v/>
      </c>
      <c r="AA162" s="1139"/>
      <c r="AB162" s="1139"/>
      <c r="AC162" s="1139"/>
      <c r="AD162" s="1139"/>
      <c r="AE162" s="1139"/>
      <c r="AF162" s="1139" t="str">
        <f>IF(CONSOLIDA!CQ143="","",CONSOLIDA!CQ143)</f>
        <v/>
      </c>
      <c r="AG162" s="1139"/>
      <c r="AH162" s="1139"/>
      <c r="AI162" s="1139"/>
      <c r="AJ162" s="1139"/>
      <c r="AK162" s="1139"/>
      <c r="AL162" s="1139" t="str">
        <f>IF(CONSOLIDA!CR143="","",CONSOLIDA!CR143)</f>
        <v/>
      </c>
      <c r="AM162" s="1139"/>
      <c r="AN162" s="1139"/>
      <c r="AO162" s="1139"/>
      <c r="AP162" s="1139"/>
      <c r="AQ162" s="1139"/>
      <c r="AR162" s="1139" t="str">
        <f>IF(CONSOLIDA!CS143="","",CONSOLIDA!CS143)</f>
        <v/>
      </c>
      <c r="AS162" s="1139"/>
      <c r="AT162" s="1139"/>
      <c r="AU162" s="1139"/>
      <c r="AV162" s="1139"/>
      <c r="AW162" s="1139"/>
      <c r="AX162" s="1140" t="str">
        <f>IF(CONSOLIDA!CT143="","",CONSOLIDA!CT143)</f>
        <v/>
      </c>
      <c r="AY162" s="1140"/>
      <c r="AZ162" s="1140"/>
      <c r="BA162" s="1140"/>
      <c r="BB162" s="1140"/>
      <c r="BC162" s="1140"/>
      <c r="BD162" s="1139" t="str">
        <f>IF(CONSOLIDA!CU143="","",CONSOLIDA!CU143)</f>
        <v/>
      </c>
      <c r="BE162" s="1139"/>
      <c r="BF162" s="1139"/>
      <c r="BG162" s="1139"/>
      <c r="BH162" s="1139"/>
      <c r="BI162" s="1139"/>
      <c r="BJ162" s="1139" t="str">
        <f>IF(CONSOLIDA!CV143="","",CONSOLIDA!CV143)</f>
        <v/>
      </c>
      <c r="BK162" s="1139"/>
      <c r="BL162" s="1139"/>
      <c r="BM162" s="1139"/>
      <c r="BN162" s="1139"/>
      <c r="BO162" s="1139"/>
      <c r="BP162" s="1139" t="str">
        <f>IF(CONSOLIDA!CW143="","",CONSOLIDA!CW143)</f>
        <v/>
      </c>
      <c r="BQ162" s="1139"/>
      <c r="BR162" s="1139"/>
      <c r="BS162" s="1139"/>
      <c r="BT162" s="1139"/>
      <c r="BU162" s="1139"/>
      <c r="BV162" s="1140" t="str">
        <f>IF(CONSOLIDA!CX143="","",CONSOLIDA!CX143)</f>
        <v/>
      </c>
      <c r="BW162" s="1140"/>
      <c r="BX162" s="1140"/>
      <c r="BY162" s="1140"/>
      <c r="BZ162" s="1140"/>
      <c r="CA162" s="1140"/>
      <c r="CB162" s="1139" t="str">
        <f>IF(CONSOLIDA!CY143="","",CONSOLIDA!CY143)</f>
        <v/>
      </c>
      <c r="CC162" s="1139"/>
      <c r="CD162" s="1139"/>
      <c r="CE162" s="1139"/>
      <c r="CF162" s="1139"/>
      <c r="CG162" s="1139"/>
      <c r="CH162" s="486"/>
      <c r="CI162" s="190" t="str">
        <f>IF(CONSOLIDA!CZ143="","",CONSOLIDA!CZ143)</f>
        <v/>
      </c>
      <c r="CJ162" s="190" t="str">
        <f>IF(CONSOLIDA!DA143="","",CONSOLIDA!DA143)</f>
        <v/>
      </c>
    </row>
    <row r="163" spans="1:88" s="3" customFormat="1" hidden="1">
      <c r="A163" s="243" t="str">
        <f t="shared" si="2"/>
        <v>OK</v>
      </c>
      <c r="B163" s="1141" t="str">
        <f>IF(CONSOLIDA!CL144="","",CONSOLIDA!CL144)</f>
        <v/>
      </c>
      <c r="C163" s="1141"/>
      <c r="D163" s="1134" t="str">
        <f>IF(CONSOLIDA!CN144="","",CONSOLIDA!CN144)</f>
        <v/>
      </c>
      <c r="E163" s="1135"/>
      <c r="F163" s="1135"/>
      <c r="G163" s="1129" t="str">
        <f>IF(CONSOLIDA!CO144="","",CONSOLIDA!CO144)</f>
        <v/>
      </c>
      <c r="H163" s="1129"/>
      <c r="I163" s="1129"/>
      <c r="J163" s="1129"/>
      <c r="K163" s="1129"/>
      <c r="L163" s="1129"/>
      <c r="M163" s="1129"/>
      <c r="N163" s="1129"/>
      <c r="O163" s="1129"/>
      <c r="P163" s="1129"/>
      <c r="Q163" s="1129"/>
      <c r="R163" s="1129"/>
      <c r="S163" s="1129"/>
      <c r="T163" s="1129"/>
      <c r="U163" s="1129"/>
      <c r="V163" s="1129"/>
      <c r="W163" s="1129"/>
      <c r="X163" s="1129"/>
      <c r="Y163" s="1130"/>
      <c r="Z163" s="1139" t="str">
        <f>IF(CONSOLIDA!CP144="","",CONSOLIDA!CP144)</f>
        <v/>
      </c>
      <c r="AA163" s="1139"/>
      <c r="AB163" s="1139"/>
      <c r="AC163" s="1139"/>
      <c r="AD163" s="1139"/>
      <c r="AE163" s="1139"/>
      <c r="AF163" s="1139" t="str">
        <f>IF(CONSOLIDA!CQ144="","",CONSOLIDA!CQ144)</f>
        <v/>
      </c>
      <c r="AG163" s="1139"/>
      <c r="AH163" s="1139"/>
      <c r="AI163" s="1139"/>
      <c r="AJ163" s="1139"/>
      <c r="AK163" s="1139"/>
      <c r="AL163" s="1139" t="str">
        <f>IF(CONSOLIDA!CR144="","",CONSOLIDA!CR144)</f>
        <v/>
      </c>
      <c r="AM163" s="1139"/>
      <c r="AN163" s="1139"/>
      <c r="AO163" s="1139"/>
      <c r="AP163" s="1139"/>
      <c r="AQ163" s="1139"/>
      <c r="AR163" s="1139" t="str">
        <f>IF(CONSOLIDA!CS144="","",CONSOLIDA!CS144)</f>
        <v/>
      </c>
      <c r="AS163" s="1139"/>
      <c r="AT163" s="1139"/>
      <c r="AU163" s="1139"/>
      <c r="AV163" s="1139"/>
      <c r="AW163" s="1139"/>
      <c r="AX163" s="1140" t="str">
        <f>IF(CONSOLIDA!CT144="","",CONSOLIDA!CT144)</f>
        <v/>
      </c>
      <c r="AY163" s="1140"/>
      <c r="AZ163" s="1140"/>
      <c r="BA163" s="1140"/>
      <c r="BB163" s="1140"/>
      <c r="BC163" s="1140"/>
      <c r="BD163" s="1139" t="str">
        <f>IF(CONSOLIDA!CU144="","",CONSOLIDA!CU144)</f>
        <v/>
      </c>
      <c r="BE163" s="1139"/>
      <c r="BF163" s="1139"/>
      <c r="BG163" s="1139"/>
      <c r="BH163" s="1139"/>
      <c r="BI163" s="1139"/>
      <c r="BJ163" s="1139" t="str">
        <f>IF(CONSOLIDA!CV144="","",CONSOLIDA!CV144)</f>
        <v/>
      </c>
      <c r="BK163" s="1139"/>
      <c r="BL163" s="1139"/>
      <c r="BM163" s="1139"/>
      <c r="BN163" s="1139"/>
      <c r="BO163" s="1139"/>
      <c r="BP163" s="1139" t="str">
        <f>IF(CONSOLIDA!CW144="","",CONSOLIDA!CW144)</f>
        <v/>
      </c>
      <c r="BQ163" s="1139"/>
      <c r="BR163" s="1139"/>
      <c r="BS163" s="1139"/>
      <c r="BT163" s="1139"/>
      <c r="BU163" s="1139"/>
      <c r="BV163" s="1140" t="str">
        <f>IF(CONSOLIDA!CX144="","",CONSOLIDA!CX144)</f>
        <v/>
      </c>
      <c r="BW163" s="1140"/>
      <c r="BX163" s="1140"/>
      <c r="BY163" s="1140"/>
      <c r="BZ163" s="1140"/>
      <c r="CA163" s="1140"/>
      <c r="CB163" s="1139" t="str">
        <f>IF(CONSOLIDA!CY144="","",CONSOLIDA!CY144)</f>
        <v/>
      </c>
      <c r="CC163" s="1139"/>
      <c r="CD163" s="1139"/>
      <c r="CE163" s="1139"/>
      <c r="CF163" s="1139"/>
      <c r="CG163" s="1139"/>
      <c r="CH163" s="486"/>
      <c r="CI163" s="190" t="str">
        <f>IF(CONSOLIDA!CZ144="","",CONSOLIDA!CZ144)</f>
        <v/>
      </c>
      <c r="CJ163" s="190" t="str">
        <f>IF(CONSOLIDA!DA144="","",CONSOLIDA!DA144)</f>
        <v/>
      </c>
    </row>
    <row r="164" spans="1:88" s="3" customFormat="1" hidden="1">
      <c r="A164" s="243" t="str">
        <f t="shared" si="2"/>
        <v>OK</v>
      </c>
      <c r="B164" s="1141" t="str">
        <f>IF(CONSOLIDA!CL145="","",CONSOLIDA!CL145)</f>
        <v/>
      </c>
      <c r="C164" s="1141"/>
      <c r="D164" s="1134" t="str">
        <f>IF(CONSOLIDA!CN145="","",CONSOLIDA!CN145)</f>
        <v/>
      </c>
      <c r="E164" s="1135"/>
      <c r="F164" s="1135"/>
      <c r="G164" s="1129" t="str">
        <f>IF(CONSOLIDA!CO145="","",CONSOLIDA!CO145)</f>
        <v/>
      </c>
      <c r="H164" s="1129"/>
      <c r="I164" s="1129"/>
      <c r="J164" s="1129"/>
      <c r="K164" s="1129"/>
      <c r="L164" s="1129"/>
      <c r="M164" s="1129"/>
      <c r="N164" s="1129"/>
      <c r="O164" s="1129"/>
      <c r="P164" s="1129"/>
      <c r="Q164" s="1129"/>
      <c r="R164" s="1129"/>
      <c r="S164" s="1129"/>
      <c r="T164" s="1129"/>
      <c r="U164" s="1129"/>
      <c r="V164" s="1129"/>
      <c r="W164" s="1129"/>
      <c r="X164" s="1129"/>
      <c r="Y164" s="1130"/>
      <c r="Z164" s="1139" t="str">
        <f>IF(CONSOLIDA!CP145="","",CONSOLIDA!CP145)</f>
        <v/>
      </c>
      <c r="AA164" s="1139"/>
      <c r="AB164" s="1139"/>
      <c r="AC164" s="1139"/>
      <c r="AD164" s="1139"/>
      <c r="AE164" s="1139"/>
      <c r="AF164" s="1139" t="str">
        <f>IF(CONSOLIDA!CQ145="","",CONSOLIDA!CQ145)</f>
        <v/>
      </c>
      <c r="AG164" s="1139"/>
      <c r="AH164" s="1139"/>
      <c r="AI164" s="1139"/>
      <c r="AJ164" s="1139"/>
      <c r="AK164" s="1139"/>
      <c r="AL164" s="1139" t="str">
        <f>IF(CONSOLIDA!CR145="","",CONSOLIDA!CR145)</f>
        <v/>
      </c>
      <c r="AM164" s="1139"/>
      <c r="AN164" s="1139"/>
      <c r="AO164" s="1139"/>
      <c r="AP164" s="1139"/>
      <c r="AQ164" s="1139"/>
      <c r="AR164" s="1139" t="str">
        <f>IF(CONSOLIDA!CS145="","",CONSOLIDA!CS145)</f>
        <v/>
      </c>
      <c r="AS164" s="1139"/>
      <c r="AT164" s="1139"/>
      <c r="AU164" s="1139"/>
      <c r="AV164" s="1139"/>
      <c r="AW164" s="1139"/>
      <c r="AX164" s="1140" t="str">
        <f>IF(CONSOLIDA!CT145="","",CONSOLIDA!CT145)</f>
        <v/>
      </c>
      <c r="AY164" s="1140"/>
      <c r="AZ164" s="1140"/>
      <c r="BA164" s="1140"/>
      <c r="BB164" s="1140"/>
      <c r="BC164" s="1140"/>
      <c r="BD164" s="1139" t="str">
        <f>IF(CONSOLIDA!CU145="","",CONSOLIDA!CU145)</f>
        <v/>
      </c>
      <c r="BE164" s="1139"/>
      <c r="BF164" s="1139"/>
      <c r="BG164" s="1139"/>
      <c r="BH164" s="1139"/>
      <c r="BI164" s="1139"/>
      <c r="BJ164" s="1139" t="str">
        <f>IF(CONSOLIDA!CV145="","",CONSOLIDA!CV145)</f>
        <v/>
      </c>
      <c r="BK164" s="1139"/>
      <c r="BL164" s="1139"/>
      <c r="BM164" s="1139"/>
      <c r="BN164" s="1139"/>
      <c r="BO164" s="1139"/>
      <c r="BP164" s="1139" t="str">
        <f>IF(CONSOLIDA!CW145="","",CONSOLIDA!CW145)</f>
        <v/>
      </c>
      <c r="BQ164" s="1139"/>
      <c r="BR164" s="1139"/>
      <c r="BS164" s="1139"/>
      <c r="BT164" s="1139"/>
      <c r="BU164" s="1139"/>
      <c r="BV164" s="1140" t="str">
        <f>IF(CONSOLIDA!CX145="","",CONSOLIDA!CX145)</f>
        <v/>
      </c>
      <c r="BW164" s="1140"/>
      <c r="BX164" s="1140"/>
      <c r="BY164" s="1140"/>
      <c r="BZ164" s="1140"/>
      <c r="CA164" s="1140"/>
      <c r="CB164" s="1139" t="str">
        <f>IF(CONSOLIDA!CY145="","",CONSOLIDA!CY145)</f>
        <v/>
      </c>
      <c r="CC164" s="1139"/>
      <c r="CD164" s="1139"/>
      <c r="CE164" s="1139"/>
      <c r="CF164" s="1139"/>
      <c r="CG164" s="1139"/>
      <c r="CH164" s="486"/>
      <c r="CI164" s="190" t="str">
        <f>IF(CONSOLIDA!CZ145="","",CONSOLIDA!CZ145)</f>
        <v/>
      </c>
      <c r="CJ164" s="190" t="str">
        <f>IF(CONSOLIDA!DA145="","",CONSOLIDA!DA145)</f>
        <v/>
      </c>
    </row>
    <row r="165" spans="1:88" s="3" customFormat="1" hidden="1">
      <c r="A165" s="243" t="str">
        <f t="shared" si="2"/>
        <v>OK</v>
      </c>
      <c r="B165" s="1141" t="str">
        <f>IF(CONSOLIDA!CL146="","",CONSOLIDA!CL146)</f>
        <v/>
      </c>
      <c r="C165" s="1141"/>
      <c r="D165" s="1134" t="str">
        <f>IF(CONSOLIDA!CN146="","",CONSOLIDA!CN146)</f>
        <v/>
      </c>
      <c r="E165" s="1135"/>
      <c r="F165" s="1135"/>
      <c r="G165" s="1129" t="str">
        <f>IF(CONSOLIDA!CO146="","",CONSOLIDA!CO146)</f>
        <v/>
      </c>
      <c r="H165" s="1129"/>
      <c r="I165" s="1129"/>
      <c r="J165" s="1129"/>
      <c r="K165" s="1129"/>
      <c r="L165" s="1129"/>
      <c r="M165" s="1129"/>
      <c r="N165" s="1129"/>
      <c r="O165" s="1129"/>
      <c r="P165" s="1129"/>
      <c r="Q165" s="1129"/>
      <c r="R165" s="1129"/>
      <c r="S165" s="1129"/>
      <c r="T165" s="1129"/>
      <c r="U165" s="1129"/>
      <c r="V165" s="1129"/>
      <c r="W165" s="1129"/>
      <c r="X165" s="1129"/>
      <c r="Y165" s="1130"/>
      <c r="Z165" s="1139" t="str">
        <f>IF(CONSOLIDA!CP146="","",CONSOLIDA!CP146)</f>
        <v/>
      </c>
      <c r="AA165" s="1139"/>
      <c r="AB165" s="1139"/>
      <c r="AC165" s="1139"/>
      <c r="AD165" s="1139"/>
      <c r="AE165" s="1139"/>
      <c r="AF165" s="1139" t="str">
        <f>IF(CONSOLIDA!CQ146="","",CONSOLIDA!CQ146)</f>
        <v/>
      </c>
      <c r="AG165" s="1139"/>
      <c r="AH165" s="1139"/>
      <c r="AI165" s="1139"/>
      <c r="AJ165" s="1139"/>
      <c r="AK165" s="1139"/>
      <c r="AL165" s="1139" t="str">
        <f>IF(CONSOLIDA!CR146="","",CONSOLIDA!CR146)</f>
        <v/>
      </c>
      <c r="AM165" s="1139"/>
      <c r="AN165" s="1139"/>
      <c r="AO165" s="1139"/>
      <c r="AP165" s="1139"/>
      <c r="AQ165" s="1139"/>
      <c r="AR165" s="1139" t="str">
        <f>IF(CONSOLIDA!CS146="","",CONSOLIDA!CS146)</f>
        <v/>
      </c>
      <c r="AS165" s="1139"/>
      <c r="AT165" s="1139"/>
      <c r="AU165" s="1139"/>
      <c r="AV165" s="1139"/>
      <c r="AW165" s="1139"/>
      <c r="AX165" s="1140" t="str">
        <f>IF(CONSOLIDA!CT146="","",CONSOLIDA!CT146)</f>
        <v/>
      </c>
      <c r="AY165" s="1140"/>
      <c r="AZ165" s="1140"/>
      <c r="BA165" s="1140"/>
      <c r="BB165" s="1140"/>
      <c r="BC165" s="1140"/>
      <c r="BD165" s="1139" t="str">
        <f>IF(CONSOLIDA!CU146="","",CONSOLIDA!CU146)</f>
        <v/>
      </c>
      <c r="BE165" s="1139"/>
      <c r="BF165" s="1139"/>
      <c r="BG165" s="1139"/>
      <c r="BH165" s="1139"/>
      <c r="BI165" s="1139"/>
      <c r="BJ165" s="1139" t="str">
        <f>IF(CONSOLIDA!CV146="","",CONSOLIDA!CV146)</f>
        <v/>
      </c>
      <c r="BK165" s="1139"/>
      <c r="BL165" s="1139"/>
      <c r="BM165" s="1139"/>
      <c r="BN165" s="1139"/>
      <c r="BO165" s="1139"/>
      <c r="BP165" s="1139" t="str">
        <f>IF(CONSOLIDA!CW146="","",CONSOLIDA!CW146)</f>
        <v/>
      </c>
      <c r="BQ165" s="1139"/>
      <c r="BR165" s="1139"/>
      <c r="BS165" s="1139"/>
      <c r="BT165" s="1139"/>
      <c r="BU165" s="1139"/>
      <c r="BV165" s="1140" t="str">
        <f>IF(CONSOLIDA!CX146="","",CONSOLIDA!CX146)</f>
        <v/>
      </c>
      <c r="BW165" s="1140"/>
      <c r="BX165" s="1140"/>
      <c r="BY165" s="1140"/>
      <c r="BZ165" s="1140"/>
      <c r="CA165" s="1140"/>
      <c r="CB165" s="1139" t="str">
        <f>IF(CONSOLIDA!CY146="","",CONSOLIDA!CY146)</f>
        <v/>
      </c>
      <c r="CC165" s="1139"/>
      <c r="CD165" s="1139"/>
      <c r="CE165" s="1139"/>
      <c r="CF165" s="1139"/>
      <c r="CG165" s="1139"/>
      <c r="CH165" s="486"/>
      <c r="CI165" s="190" t="str">
        <f>IF(CONSOLIDA!CZ146="","",CONSOLIDA!CZ146)</f>
        <v/>
      </c>
      <c r="CJ165" s="190" t="str">
        <f>IF(CONSOLIDA!DA146="","",CONSOLIDA!DA146)</f>
        <v/>
      </c>
    </row>
    <row r="166" spans="1:88" s="3" customFormat="1" hidden="1">
      <c r="A166" s="243" t="str">
        <f t="shared" si="2"/>
        <v>OK</v>
      </c>
      <c r="B166" s="1141" t="str">
        <f>IF(CONSOLIDA!CL147="","",CONSOLIDA!CL147)</f>
        <v/>
      </c>
      <c r="C166" s="1141"/>
      <c r="D166" s="1134" t="str">
        <f>IF(CONSOLIDA!CN147="","",CONSOLIDA!CN147)</f>
        <v/>
      </c>
      <c r="E166" s="1135"/>
      <c r="F166" s="1135"/>
      <c r="G166" s="1129" t="str">
        <f>IF(CONSOLIDA!CO147="","",CONSOLIDA!CO147)</f>
        <v/>
      </c>
      <c r="H166" s="1129"/>
      <c r="I166" s="1129"/>
      <c r="J166" s="1129"/>
      <c r="K166" s="1129"/>
      <c r="L166" s="1129"/>
      <c r="M166" s="1129"/>
      <c r="N166" s="1129"/>
      <c r="O166" s="1129"/>
      <c r="P166" s="1129"/>
      <c r="Q166" s="1129"/>
      <c r="R166" s="1129"/>
      <c r="S166" s="1129"/>
      <c r="T166" s="1129"/>
      <c r="U166" s="1129"/>
      <c r="V166" s="1129"/>
      <c r="W166" s="1129"/>
      <c r="X166" s="1129"/>
      <c r="Y166" s="1130"/>
      <c r="Z166" s="1139" t="str">
        <f>IF(CONSOLIDA!CP147="","",CONSOLIDA!CP147)</f>
        <v/>
      </c>
      <c r="AA166" s="1139"/>
      <c r="AB166" s="1139"/>
      <c r="AC166" s="1139"/>
      <c r="AD166" s="1139"/>
      <c r="AE166" s="1139"/>
      <c r="AF166" s="1139" t="str">
        <f>IF(CONSOLIDA!CQ147="","",CONSOLIDA!CQ147)</f>
        <v/>
      </c>
      <c r="AG166" s="1139"/>
      <c r="AH166" s="1139"/>
      <c r="AI166" s="1139"/>
      <c r="AJ166" s="1139"/>
      <c r="AK166" s="1139"/>
      <c r="AL166" s="1139" t="str">
        <f>IF(CONSOLIDA!CR147="","",CONSOLIDA!CR147)</f>
        <v/>
      </c>
      <c r="AM166" s="1139"/>
      <c r="AN166" s="1139"/>
      <c r="AO166" s="1139"/>
      <c r="AP166" s="1139"/>
      <c r="AQ166" s="1139"/>
      <c r="AR166" s="1139" t="str">
        <f>IF(CONSOLIDA!CS147="","",CONSOLIDA!CS147)</f>
        <v/>
      </c>
      <c r="AS166" s="1139"/>
      <c r="AT166" s="1139"/>
      <c r="AU166" s="1139"/>
      <c r="AV166" s="1139"/>
      <c r="AW166" s="1139"/>
      <c r="AX166" s="1140" t="str">
        <f>IF(CONSOLIDA!CT147="","",CONSOLIDA!CT147)</f>
        <v/>
      </c>
      <c r="AY166" s="1140"/>
      <c r="AZ166" s="1140"/>
      <c r="BA166" s="1140"/>
      <c r="BB166" s="1140"/>
      <c r="BC166" s="1140"/>
      <c r="BD166" s="1139" t="str">
        <f>IF(CONSOLIDA!CU147="","",CONSOLIDA!CU147)</f>
        <v/>
      </c>
      <c r="BE166" s="1139"/>
      <c r="BF166" s="1139"/>
      <c r="BG166" s="1139"/>
      <c r="BH166" s="1139"/>
      <c r="BI166" s="1139"/>
      <c r="BJ166" s="1139" t="str">
        <f>IF(CONSOLIDA!CV147="","",CONSOLIDA!CV147)</f>
        <v/>
      </c>
      <c r="BK166" s="1139"/>
      <c r="BL166" s="1139"/>
      <c r="BM166" s="1139"/>
      <c r="BN166" s="1139"/>
      <c r="BO166" s="1139"/>
      <c r="BP166" s="1139" t="str">
        <f>IF(CONSOLIDA!CW147="","",CONSOLIDA!CW147)</f>
        <v/>
      </c>
      <c r="BQ166" s="1139"/>
      <c r="BR166" s="1139"/>
      <c r="BS166" s="1139"/>
      <c r="BT166" s="1139"/>
      <c r="BU166" s="1139"/>
      <c r="BV166" s="1140" t="str">
        <f>IF(CONSOLIDA!CX147="","",CONSOLIDA!CX147)</f>
        <v/>
      </c>
      <c r="BW166" s="1140"/>
      <c r="BX166" s="1140"/>
      <c r="BY166" s="1140"/>
      <c r="BZ166" s="1140"/>
      <c r="CA166" s="1140"/>
      <c r="CB166" s="1139" t="str">
        <f>IF(CONSOLIDA!CY147="","",CONSOLIDA!CY147)</f>
        <v/>
      </c>
      <c r="CC166" s="1139"/>
      <c r="CD166" s="1139"/>
      <c r="CE166" s="1139"/>
      <c r="CF166" s="1139"/>
      <c r="CG166" s="1139"/>
      <c r="CH166" s="486"/>
      <c r="CI166" s="190" t="str">
        <f>IF(CONSOLIDA!CZ147="","",CONSOLIDA!CZ147)</f>
        <v/>
      </c>
      <c r="CJ166" s="190" t="str">
        <f>IF(CONSOLIDA!DA147="","",CONSOLIDA!DA147)</f>
        <v/>
      </c>
    </row>
    <row r="167" spans="1:88" s="3" customFormat="1" hidden="1">
      <c r="A167" s="243" t="str">
        <f t="shared" si="2"/>
        <v>OK</v>
      </c>
      <c r="B167" s="1141" t="str">
        <f>IF(CONSOLIDA!CL148="","",CONSOLIDA!CL148)</f>
        <v/>
      </c>
      <c r="C167" s="1141"/>
      <c r="D167" s="1134" t="str">
        <f>IF(CONSOLIDA!CN148="","",CONSOLIDA!CN148)</f>
        <v/>
      </c>
      <c r="E167" s="1135"/>
      <c r="F167" s="1135"/>
      <c r="G167" s="1129" t="str">
        <f>IF(CONSOLIDA!CO148="","",CONSOLIDA!CO148)</f>
        <v/>
      </c>
      <c r="H167" s="1129"/>
      <c r="I167" s="1129"/>
      <c r="J167" s="1129"/>
      <c r="K167" s="1129"/>
      <c r="L167" s="1129"/>
      <c r="M167" s="1129"/>
      <c r="N167" s="1129"/>
      <c r="O167" s="1129"/>
      <c r="P167" s="1129"/>
      <c r="Q167" s="1129"/>
      <c r="R167" s="1129"/>
      <c r="S167" s="1129"/>
      <c r="T167" s="1129"/>
      <c r="U167" s="1129"/>
      <c r="V167" s="1129"/>
      <c r="W167" s="1129"/>
      <c r="X167" s="1129"/>
      <c r="Y167" s="1130"/>
      <c r="Z167" s="1139" t="str">
        <f>IF(CONSOLIDA!CP148="","",CONSOLIDA!CP148)</f>
        <v/>
      </c>
      <c r="AA167" s="1139"/>
      <c r="AB167" s="1139"/>
      <c r="AC167" s="1139"/>
      <c r="AD167" s="1139"/>
      <c r="AE167" s="1139"/>
      <c r="AF167" s="1139" t="str">
        <f>IF(CONSOLIDA!CQ148="","",CONSOLIDA!CQ148)</f>
        <v/>
      </c>
      <c r="AG167" s="1139"/>
      <c r="AH167" s="1139"/>
      <c r="AI167" s="1139"/>
      <c r="AJ167" s="1139"/>
      <c r="AK167" s="1139"/>
      <c r="AL167" s="1139" t="str">
        <f>IF(CONSOLIDA!CR148="","",CONSOLIDA!CR148)</f>
        <v/>
      </c>
      <c r="AM167" s="1139"/>
      <c r="AN167" s="1139"/>
      <c r="AO167" s="1139"/>
      <c r="AP167" s="1139"/>
      <c r="AQ167" s="1139"/>
      <c r="AR167" s="1139" t="str">
        <f>IF(CONSOLIDA!CS148="","",CONSOLIDA!CS148)</f>
        <v/>
      </c>
      <c r="AS167" s="1139"/>
      <c r="AT167" s="1139"/>
      <c r="AU167" s="1139"/>
      <c r="AV167" s="1139"/>
      <c r="AW167" s="1139"/>
      <c r="AX167" s="1140" t="str">
        <f>IF(CONSOLIDA!CT148="","",CONSOLIDA!CT148)</f>
        <v/>
      </c>
      <c r="AY167" s="1140"/>
      <c r="AZ167" s="1140"/>
      <c r="BA167" s="1140"/>
      <c r="BB167" s="1140"/>
      <c r="BC167" s="1140"/>
      <c r="BD167" s="1139" t="str">
        <f>IF(CONSOLIDA!CU148="","",CONSOLIDA!CU148)</f>
        <v/>
      </c>
      <c r="BE167" s="1139"/>
      <c r="BF167" s="1139"/>
      <c r="BG167" s="1139"/>
      <c r="BH167" s="1139"/>
      <c r="BI167" s="1139"/>
      <c r="BJ167" s="1139" t="str">
        <f>IF(CONSOLIDA!CV148="","",CONSOLIDA!CV148)</f>
        <v/>
      </c>
      <c r="BK167" s="1139"/>
      <c r="BL167" s="1139"/>
      <c r="BM167" s="1139"/>
      <c r="BN167" s="1139"/>
      <c r="BO167" s="1139"/>
      <c r="BP167" s="1139" t="str">
        <f>IF(CONSOLIDA!CW148="","",CONSOLIDA!CW148)</f>
        <v/>
      </c>
      <c r="BQ167" s="1139"/>
      <c r="BR167" s="1139"/>
      <c r="BS167" s="1139"/>
      <c r="BT167" s="1139"/>
      <c r="BU167" s="1139"/>
      <c r="BV167" s="1140" t="str">
        <f>IF(CONSOLIDA!CX148="","",CONSOLIDA!CX148)</f>
        <v/>
      </c>
      <c r="BW167" s="1140"/>
      <c r="BX167" s="1140"/>
      <c r="BY167" s="1140"/>
      <c r="BZ167" s="1140"/>
      <c r="CA167" s="1140"/>
      <c r="CB167" s="1139" t="str">
        <f>IF(CONSOLIDA!CY148="","",CONSOLIDA!CY148)</f>
        <v/>
      </c>
      <c r="CC167" s="1139"/>
      <c r="CD167" s="1139"/>
      <c r="CE167" s="1139"/>
      <c r="CF167" s="1139"/>
      <c r="CG167" s="1139"/>
      <c r="CH167" s="486"/>
      <c r="CI167" s="190" t="str">
        <f>IF(CONSOLIDA!CZ148="","",CONSOLIDA!CZ148)</f>
        <v/>
      </c>
      <c r="CJ167" s="190" t="str">
        <f>IF(CONSOLIDA!DA148="","",CONSOLIDA!DA148)</f>
        <v/>
      </c>
    </row>
    <row r="168" spans="1:88" s="3" customFormat="1" hidden="1">
      <c r="A168" s="243" t="str">
        <f t="shared" si="2"/>
        <v>OK</v>
      </c>
      <c r="B168" s="1141" t="str">
        <f>IF(CONSOLIDA!CL149="","",CONSOLIDA!CL149)</f>
        <v/>
      </c>
      <c r="C168" s="1141"/>
      <c r="D168" s="1134" t="str">
        <f>IF(CONSOLIDA!CN149="","",CONSOLIDA!CN149)</f>
        <v/>
      </c>
      <c r="E168" s="1135"/>
      <c r="F168" s="1135"/>
      <c r="G168" s="1129" t="str">
        <f>IF(CONSOLIDA!CO149="","",CONSOLIDA!CO149)</f>
        <v/>
      </c>
      <c r="H168" s="1129"/>
      <c r="I168" s="1129"/>
      <c r="J168" s="1129"/>
      <c r="K168" s="1129"/>
      <c r="L168" s="1129"/>
      <c r="M168" s="1129"/>
      <c r="N168" s="1129"/>
      <c r="O168" s="1129"/>
      <c r="P168" s="1129"/>
      <c r="Q168" s="1129"/>
      <c r="R168" s="1129"/>
      <c r="S168" s="1129"/>
      <c r="T168" s="1129"/>
      <c r="U168" s="1129"/>
      <c r="V168" s="1129"/>
      <c r="W168" s="1129"/>
      <c r="X168" s="1129"/>
      <c r="Y168" s="1130"/>
      <c r="Z168" s="1139" t="str">
        <f>IF(CONSOLIDA!CP149="","",CONSOLIDA!CP149)</f>
        <v/>
      </c>
      <c r="AA168" s="1139"/>
      <c r="AB168" s="1139"/>
      <c r="AC168" s="1139"/>
      <c r="AD168" s="1139"/>
      <c r="AE168" s="1139"/>
      <c r="AF168" s="1139" t="str">
        <f>IF(CONSOLIDA!CQ149="","",CONSOLIDA!CQ149)</f>
        <v/>
      </c>
      <c r="AG168" s="1139"/>
      <c r="AH168" s="1139"/>
      <c r="AI168" s="1139"/>
      <c r="AJ168" s="1139"/>
      <c r="AK168" s="1139"/>
      <c r="AL168" s="1139" t="str">
        <f>IF(CONSOLIDA!CR149="","",CONSOLIDA!CR149)</f>
        <v/>
      </c>
      <c r="AM168" s="1139"/>
      <c r="AN168" s="1139"/>
      <c r="AO168" s="1139"/>
      <c r="AP168" s="1139"/>
      <c r="AQ168" s="1139"/>
      <c r="AR168" s="1139" t="str">
        <f>IF(CONSOLIDA!CS149="","",CONSOLIDA!CS149)</f>
        <v/>
      </c>
      <c r="AS168" s="1139"/>
      <c r="AT168" s="1139"/>
      <c r="AU168" s="1139"/>
      <c r="AV168" s="1139"/>
      <c r="AW168" s="1139"/>
      <c r="AX168" s="1140" t="str">
        <f>IF(CONSOLIDA!CT149="","",CONSOLIDA!CT149)</f>
        <v/>
      </c>
      <c r="AY168" s="1140"/>
      <c r="AZ168" s="1140"/>
      <c r="BA168" s="1140"/>
      <c r="BB168" s="1140"/>
      <c r="BC168" s="1140"/>
      <c r="BD168" s="1139" t="str">
        <f>IF(CONSOLIDA!CU149="","",CONSOLIDA!CU149)</f>
        <v/>
      </c>
      <c r="BE168" s="1139"/>
      <c r="BF168" s="1139"/>
      <c r="BG168" s="1139"/>
      <c r="BH168" s="1139"/>
      <c r="BI168" s="1139"/>
      <c r="BJ168" s="1139" t="str">
        <f>IF(CONSOLIDA!CV149="","",CONSOLIDA!CV149)</f>
        <v/>
      </c>
      <c r="BK168" s="1139"/>
      <c r="BL168" s="1139"/>
      <c r="BM168" s="1139"/>
      <c r="BN168" s="1139"/>
      <c r="BO168" s="1139"/>
      <c r="BP168" s="1139" t="str">
        <f>IF(CONSOLIDA!CW149="","",CONSOLIDA!CW149)</f>
        <v/>
      </c>
      <c r="BQ168" s="1139"/>
      <c r="BR168" s="1139"/>
      <c r="BS168" s="1139"/>
      <c r="BT168" s="1139"/>
      <c r="BU168" s="1139"/>
      <c r="BV168" s="1140" t="str">
        <f>IF(CONSOLIDA!CX149="","",CONSOLIDA!CX149)</f>
        <v/>
      </c>
      <c r="BW168" s="1140"/>
      <c r="BX168" s="1140"/>
      <c r="BY168" s="1140"/>
      <c r="BZ168" s="1140"/>
      <c r="CA168" s="1140"/>
      <c r="CB168" s="1139" t="str">
        <f>IF(CONSOLIDA!CY149="","",CONSOLIDA!CY149)</f>
        <v/>
      </c>
      <c r="CC168" s="1139"/>
      <c r="CD168" s="1139"/>
      <c r="CE168" s="1139"/>
      <c r="CF168" s="1139"/>
      <c r="CG168" s="1139"/>
      <c r="CH168" s="486"/>
      <c r="CI168" s="190" t="str">
        <f>IF(CONSOLIDA!CZ149="","",CONSOLIDA!CZ149)</f>
        <v/>
      </c>
      <c r="CJ168" s="190" t="str">
        <f>IF(CONSOLIDA!DA149="","",CONSOLIDA!DA149)</f>
        <v/>
      </c>
    </row>
    <row r="169" spans="1:88" s="3" customFormat="1" hidden="1">
      <c r="A169" s="243" t="str">
        <f t="shared" si="2"/>
        <v>OK</v>
      </c>
      <c r="B169" s="1141" t="str">
        <f>IF(CONSOLIDA!CL150="","",CONSOLIDA!CL150)</f>
        <v/>
      </c>
      <c r="C169" s="1141"/>
      <c r="D169" s="1134" t="str">
        <f>IF(CONSOLIDA!CN150="","",CONSOLIDA!CN150)</f>
        <v/>
      </c>
      <c r="E169" s="1135"/>
      <c r="F169" s="1135"/>
      <c r="G169" s="1129" t="str">
        <f>IF(CONSOLIDA!CO150="","",CONSOLIDA!CO150)</f>
        <v/>
      </c>
      <c r="H169" s="1129"/>
      <c r="I169" s="1129"/>
      <c r="J169" s="1129"/>
      <c r="K169" s="1129"/>
      <c r="L169" s="1129"/>
      <c r="M169" s="1129"/>
      <c r="N169" s="1129"/>
      <c r="O169" s="1129"/>
      <c r="P169" s="1129"/>
      <c r="Q169" s="1129"/>
      <c r="R169" s="1129"/>
      <c r="S169" s="1129"/>
      <c r="T169" s="1129"/>
      <c r="U169" s="1129"/>
      <c r="V169" s="1129"/>
      <c r="W169" s="1129"/>
      <c r="X169" s="1129"/>
      <c r="Y169" s="1130"/>
      <c r="Z169" s="1139" t="str">
        <f>IF(CONSOLIDA!CP150="","",CONSOLIDA!CP150)</f>
        <v/>
      </c>
      <c r="AA169" s="1139"/>
      <c r="AB169" s="1139"/>
      <c r="AC169" s="1139"/>
      <c r="AD169" s="1139"/>
      <c r="AE169" s="1139"/>
      <c r="AF169" s="1139" t="str">
        <f>IF(CONSOLIDA!CQ150="","",CONSOLIDA!CQ150)</f>
        <v/>
      </c>
      <c r="AG169" s="1139"/>
      <c r="AH169" s="1139"/>
      <c r="AI169" s="1139"/>
      <c r="AJ169" s="1139"/>
      <c r="AK169" s="1139"/>
      <c r="AL169" s="1139" t="str">
        <f>IF(CONSOLIDA!CR150="","",CONSOLIDA!CR150)</f>
        <v/>
      </c>
      <c r="AM169" s="1139"/>
      <c r="AN169" s="1139"/>
      <c r="AO169" s="1139"/>
      <c r="AP169" s="1139"/>
      <c r="AQ169" s="1139"/>
      <c r="AR169" s="1139" t="str">
        <f>IF(CONSOLIDA!CS150="","",CONSOLIDA!CS150)</f>
        <v/>
      </c>
      <c r="AS169" s="1139"/>
      <c r="AT169" s="1139"/>
      <c r="AU169" s="1139"/>
      <c r="AV169" s="1139"/>
      <c r="AW169" s="1139"/>
      <c r="AX169" s="1140" t="str">
        <f>IF(CONSOLIDA!CT150="","",CONSOLIDA!CT150)</f>
        <v/>
      </c>
      <c r="AY169" s="1140"/>
      <c r="AZ169" s="1140"/>
      <c r="BA169" s="1140"/>
      <c r="BB169" s="1140"/>
      <c r="BC169" s="1140"/>
      <c r="BD169" s="1139" t="str">
        <f>IF(CONSOLIDA!CU150="","",CONSOLIDA!CU150)</f>
        <v/>
      </c>
      <c r="BE169" s="1139"/>
      <c r="BF169" s="1139"/>
      <c r="BG169" s="1139"/>
      <c r="BH169" s="1139"/>
      <c r="BI169" s="1139"/>
      <c r="BJ169" s="1139" t="str">
        <f>IF(CONSOLIDA!CV150="","",CONSOLIDA!CV150)</f>
        <v/>
      </c>
      <c r="BK169" s="1139"/>
      <c r="BL169" s="1139"/>
      <c r="BM169" s="1139"/>
      <c r="BN169" s="1139"/>
      <c r="BO169" s="1139"/>
      <c r="BP169" s="1139" t="str">
        <f>IF(CONSOLIDA!CW150="","",CONSOLIDA!CW150)</f>
        <v/>
      </c>
      <c r="BQ169" s="1139"/>
      <c r="BR169" s="1139"/>
      <c r="BS169" s="1139"/>
      <c r="BT169" s="1139"/>
      <c r="BU169" s="1139"/>
      <c r="BV169" s="1140" t="str">
        <f>IF(CONSOLIDA!CX150="","",CONSOLIDA!CX150)</f>
        <v/>
      </c>
      <c r="BW169" s="1140"/>
      <c r="BX169" s="1140"/>
      <c r="BY169" s="1140"/>
      <c r="BZ169" s="1140"/>
      <c r="CA169" s="1140"/>
      <c r="CB169" s="1139" t="str">
        <f>IF(CONSOLIDA!CY150="","",CONSOLIDA!CY150)</f>
        <v/>
      </c>
      <c r="CC169" s="1139"/>
      <c r="CD169" s="1139"/>
      <c r="CE169" s="1139"/>
      <c r="CF169" s="1139"/>
      <c r="CG169" s="1139"/>
      <c r="CH169" s="486"/>
      <c r="CI169" s="190" t="str">
        <f>IF(CONSOLIDA!CZ150="","",CONSOLIDA!CZ150)</f>
        <v/>
      </c>
      <c r="CJ169" s="190" t="str">
        <f>IF(CONSOLIDA!DA150="","",CONSOLIDA!DA150)</f>
        <v/>
      </c>
    </row>
    <row r="170" spans="1:88" s="3" customFormat="1" hidden="1">
      <c r="A170" s="243" t="str">
        <f t="shared" si="2"/>
        <v>OK</v>
      </c>
      <c r="B170" s="1141" t="str">
        <f>IF(CONSOLIDA!CL151="","",CONSOLIDA!CL151)</f>
        <v/>
      </c>
      <c r="C170" s="1141"/>
      <c r="D170" s="1134" t="str">
        <f>IF(CONSOLIDA!CN151="","",CONSOLIDA!CN151)</f>
        <v/>
      </c>
      <c r="E170" s="1135"/>
      <c r="F170" s="1135"/>
      <c r="G170" s="1129" t="str">
        <f>IF(CONSOLIDA!CO151="","",CONSOLIDA!CO151)</f>
        <v/>
      </c>
      <c r="H170" s="1129"/>
      <c r="I170" s="1129"/>
      <c r="J170" s="1129"/>
      <c r="K170" s="1129"/>
      <c r="L170" s="1129"/>
      <c r="M170" s="1129"/>
      <c r="N170" s="1129"/>
      <c r="O170" s="1129"/>
      <c r="P170" s="1129"/>
      <c r="Q170" s="1129"/>
      <c r="R170" s="1129"/>
      <c r="S170" s="1129"/>
      <c r="T170" s="1129"/>
      <c r="U170" s="1129"/>
      <c r="V170" s="1129"/>
      <c r="W170" s="1129"/>
      <c r="X170" s="1129"/>
      <c r="Y170" s="1130"/>
      <c r="Z170" s="1139" t="str">
        <f>IF(CONSOLIDA!CP151="","",CONSOLIDA!CP151)</f>
        <v/>
      </c>
      <c r="AA170" s="1139"/>
      <c r="AB170" s="1139"/>
      <c r="AC170" s="1139"/>
      <c r="AD170" s="1139"/>
      <c r="AE170" s="1139"/>
      <c r="AF170" s="1139" t="str">
        <f>IF(CONSOLIDA!CQ151="","",CONSOLIDA!CQ151)</f>
        <v/>
      </c>
      <c r="AG170" s="1139"/>
      <c r="AH170" s="1139"/>
      <c r="AI170" s="1139"/>
      <c r="AJ170" s="1139"/>
      <c r="AK170" s="1139"/>
      <c r="AL170" s="1139" t="str">
        <f>IF(CONSOLIDA!CR151="","",CONSOLIDA!CR151)</f>
        <v/>
      </c>
      <c r="AM170" s="1139"/>
      <c r="AN170" s="1139"/>
      <c r="AO170" s="1139"/>
      <c r="AP170" s="1139"/>
      <c r="AQ170" s="1139"/>
      <c r="AR170" s="1139" t="str">
        <f>IF(CONSOLIDA!CS151="","",CONSOLIDA!CS151)</f>
        <v/>
      </c>
      <c r="AS170" s="1139"/>
      <c r="AT170" s="1139"/>
      <c r="AU170" s="1139"/>
      <c r="AV170" s="1139"/>
      <c r="AW170" s="1139"/>
      <c r="AX170" s="1140" t="str">
        <f>IF(CONSOLIDA!CT151="","",CONSOLIDA!CT151)</f>
        <v/>
      </c>
      <c r="AY170" s="1140"/>
      <c r="AZ170" s="1140"/>
      <c r="BA170" s="1140"/>
      <c r="BB170" s="1140"/>
      <c r="BC170" s="1140"/>
      <c r="BD170" s="1139" t="str">
        <f>IF(CONSOLIDA!CU151="","",CONSOLIDA!CU151)</f>
        <v/>
      </c>
      <c r="BE170" s="1139"/>
      <c r="BF170" s="1139"/>
      <c r="BG170" s="1139"/>
      <c r="BH170" s="1139"/>
      <c r="BI170" s="1139"/>
      <c r="BJ170" s="1139" t="str">
        <f>IF(CONSOLIDA!CV151="","",CONSOLIDA!CV151)</f>
        <v/>
      </c>
      <c r="BK170" s="1139"/>
      <c r="BL170" s="1139"/>
      <c r="BM170" s="1139"/>
      <c r="BN170" s="1139"/>
      <c r="BO170" s="1139"/>
      <c r="BP170" s="1139" t="str">
        <f>IF(CONSOLIDA!CW151="","",CONSOLIDA!CW151)</f>
        <v/>
      </c>
      <c r="BQ170" s="1139"/>
      <c r="BR170" s="1139"/>
      <c r="BS170" s="1139"/>
      <c r="BT170" s="1139"/>
      <c r="BU170" s="1139"/>
      <c r="BV170" s="1140" t="str">
        <f>IF(CONSOLIDA!CX151="","",CONSOLIDA!CX151)</f>
        <v/>
      </c>
      <c r="BW170" s="1140"/>
      <c r="BX170" s="1140"/>
      <c r="BY170" s="1140"/>
      <c r="BZ170" s="1140"/>
      <c r="CA170" s="1140"/>
      <c r="CB170" s="1139" t="str">
        <f>IF(CONSOLIDA!CY151="","",CONSOLIDA!CY151)</f>
        <v/>
      </c>
      <c r="CC170" s="1139"/>
      <c r="CD170" s="1139"/>
      <c r="CE170" s="1139"/>
      <c r="CF170" s="1139"/>
      <c r="CG170" s="1139"/>
      <c r="CH170" s="486"/>
      <c r="CI170" s="190" t="str">
        <f>IF(CONSOLIDA!CZ151="","",CONSOLIDA!CZ151)</f>
        <v/>
      </c>
      <c r="CJ170" s="190" t="str">
        <f>IF(CONSOLIDA!DA151="","",CONSOLIDA!DA151)</f>
        <v/>
      </c>
    </row>
    <row r="171" spans="1:88" s="3" customFormat="1" hidden="1">
      <c r="A171" s="243" t="str">
        <f t="shared" si="2"/>
        <v>OK</v>
      </c>
      <c r="B171" s="1141" t="str">
        <f>IF(CONSOLIDA!CL152="","",CONSOLIDA!CL152)</f>
        <v/>
      </c>
      <c r="C171" s="1141"/>
      <c r="D171" s="1134" t="str">
        <f>IF(CONSOLIDA!CN152="","",CONSOLIDA!CN152)</f>
        <v/>
      </c>
      <c r="E171" s="1135"/>
      <c r="F171" s="1135"/>
      <c r="G171" s="1129" t="str">
        <f>IF(CONSOLIDA!CO152="","",CONSOLIDA!CO152)</f>
        <v/>
      </c>
      <c r="H171" s="1129"/>
      <c r="I171" s="1129"/>
      <c r="J171" s="1129"/>
      <c r="K171" s="1129"/>
      <c r="L171" s="1129"/>
      <c r="M171" s="1129"/>
      <c r="N171" s="1129"/>
      <c r="O171" s="1129"/>
      <c r="P171" s="1129"/>
      <c r="Q171" s="1129"/>
      <c r="R171" s="1129"/>
      <c r="S171" s="1129"/>
      <c r="T171" s="1129"/>
      <c r="U171" s="1129"/>
      <c r="V171" s="1129"/>
      <c r="W171" s="1129"/>
      <c r="X171" s="1129"/>
      <c r="Y171" s="1130"/>
      <c r="Z171" s="1139" t="str">
        <f>IF(CONSOLIDA!CP152="","",CONSOLIDA!CP152)</f>
        <v/>
      </c>
      <c r="AA171" s="1139"/>
      <c r="AB171" s="1139"/>
      <c r="AC171" s="1139"/>
      <c r="AD171" s="1139"/>
      <c r="AE171" s="1139"/>
      <c r="AF171" s="1139" t="str">
        <f>IF(CONSOLIDA!CQ152="","",CONSOLIDA!CQ152)</f>
        <v/>
      </c>
      <c r="AG171" s="1139"/>
      <c r="AH171" s="1139"/>
      <c r="AI171" s="1139"/>
      <c r="AJ171" s="1139"/>
      <c r="AK171" s="1139"/>
      <c r="AL171" s="1139" t="str">
        <f>IF(CONSOLIDA!CR152="","",CONSOLIDA!CR152)</f>
        <v/>
      </c>
      <c r="AM171" s="1139"/>
      <c r="AN171" s="1139"/>
      <c r="AO171" s="1139"/>
      <c r="AP171" s="1139"/>
      <c r="AQ171" s="1139"/>
      <c r="AR171" s="1139" t="str">
        <f>IF(CONSOLIDA!CS152="","",CONSOLIDA!CS152)</f>
        <v/>
      </c>
      <c r="AS171" s="1139"/>
      <c r="AT171" s="1139"/>
      <c r="AU171" s="1139"/>
      <c r="AV171" s="1139"/>
      <c r="AW171" s="1139"/>
      <c r="AX171" s="1140" t="str">
        <f>IF(CONSOLIDA!CT152="","",CONSOLIDA!CT152)</f>
        <v/>
      </c>
      <c r="AY171" s="1140"/>
      <c r="AZ171" s="1140"/>
      <c r="BA171" s="1140"/>
      <c r="BB171" s="1140"/>
      <c r="BC171" s="1140"/>
      <c r="BD171" s="1139" t="str">
        <f>IF(CONSOLIDA!CU152="","",CONSOLIDA!CU152)</f>
        <v/>
      </c>
      <c r="BE171" s="1139"/>
      <c r="BF171" s="1139"/>
      <c r="BG171" s="1139"/>
      <c r="BH171" s="1139"/>
      <c r="BI171" s="1139"/>
      <c r="BJ171" s="1139" t="str">
        <f>IF(CONSOLIDA!CV152="","",CONSOLIDA!CV152)</f>
        <v/>
      </c>
      <c r="BK171" s="1139"/>
      <c r="BL171" s="1139"/>
      <c r="BM171" s="1139"/>
      <c r="BN171" s="1139"/>
      <c r="BO171" s="1139"/>
      <c r="BP171" s="1139" t="str">
        <f>IF(CONSOLIDA!CW152="","",CONSOLIDA!CW152)</f>
        <v/>
      </c>
      <c r="BQ171" s="1139"/>
      <c r="BR171" s="1139"/>
      <c r="BS171" s="1139"/>
      <c r="BT171" s="1139"/>
      <c r="BU171" s="1139"/>
      <c r="BV171" s="1140" t="str">
        <f>IF(CONSOLIDA!CX152="","",CONSOLIDA!CX152)</f>
        <v/>
      </c>
      <c r="BW171" s="1140"/>
      <c r="BX171" s="1140"/>
      <c r="BY171" s="1140"/>
      <c r="BZ171" s="1140"/>
      <c r="CA171" s="1140"/>
      <c r="CB171" s="1139" t="str">
        <f>IF(CONSOLIDA!CY152="","",CONSOLIDA!CY152)</f>
        <v/>
      </c>
      <c r="CC171" s="1139"/>
      <c r="CD171" s="1139"/>
      <c r="CE171" s="1139"/>
      <c r="CF171" s="1139"/>
      <c r="CG171" s="1139"/>
      <c r="CH171" s="486"/>
      <c r="CI171" s="190" t="str">
        <f>IF(CONSOLIDA!CZ152="","",CONSOLIDA!CZ152)</f>
        <v/>
      </c>
      <c r="CJ171" s="190" t="str">
        <f>IF(CONSOLIDA!DA152="","",CONSOLIDA!DA152)</f>
        <v/>
      </c>
    </row>
    <row r="172" spans="1:88" s="3" customFormat="1" hidden="1">
      <c r="A172" s="243" t="str">
        <f t="shared" si="2"/>
        <v>OK</v>
      </c>
      <c r="B172" s="1141" t="str">
        <f>IF(CONSOLIDA!CL153="","",CONSOLIDA!CL153)</f>
        <v/>
      </c>
      <c r="C172" s="1141"/>
      <c r="D172" s="1134" t="str">
        <f>IF(CONSOLIDA!CN153="","",CONSOLIDA!CN153)</f>
        <v/>
      </c>
      <c r="E172" s="1135"/>
      <c r="F172" s="1135"/>
      <c r="G172" s="1129" t="str">
        <f>IF(CONSOLIDA!CO153="","",CONSOLIDA!CO153)</f>
        <v/>
      </c>
      <c r="H172" s="1129"/>
      <c r="I172" s="1129"/>
      <c r="J172" s="1129"/>
      <c r="K172" s="1129"/>
      <c r="L172" s="1129"/>
      <c r="M172" s="1129"/>
      <c r="N172" s="1129"/>
      <c r="O172" s="1129"/>
      <c r="P172" s="1129"/>
      <c r="Q172" s="1129"/>
      <c r="R172" s="1129"/>
      <c r="S172" s="1129"/>
      <c r="T172" s="1129"/>
      <c r="U172" s="1129"/>
      <c r="V172" s="1129"/>
      <c r="W172" s="1129"/>
      <c r="X172" s="1129"/>
      <c r="Y172" s="1130"/>
      <c r="Z172" s="1139" t="str">
        <f>IF(CONSOLIDA!CP153="","",CONSOLIDA!CP153)</f>
        <v/>
      </c>
      <c r="AA172" s="1139"/>
      <c r="AB172" s="1139"/>
      <c r="AC172" s="1139"/>
      <c r="AD172" s="1139"/>
      <c r="AE172" s="1139"/>
      <c r="AF172" s="1139" t="str">
        <f>IF(CONSOLIDA!CQ153="","",CONSOLIDA!CQ153)</f>
        <v/>
      </c>
      <c r="AG172" s="1139"/>
      <c r="AH172" s="1139"/>
      <c r="AI172" s="1139"/>
      <c r="AJ172" s="1139"/>
      <c r="AK172" s="1139"/>
      <c r="AL172" s="1139" t="str">
        <f>IF(CONSOLIDA!CR153="","",CONSOLIDA!CR153)</f>
        <v/>
      </c>
      <c r="AM172" s="1139"/>
      <c r="AN172" s="1139"/>
      <c r="AO172" s="1139"/>
      <c r="AP172" s="1139"/>
      <c r="AQ172" s="1139"/>
      <c r="AR172" s="1139" t="str">
        <f>IF(CONSOLIDA!CS153="","",CONSOLIDA!CS153)</f>
        <v/>
      </c>
      <c r="AS172" s="1139"/>
      <c r="AT172" s="1139"/>
      <c r="AU172" s="1139"/>
      <c r="AV172" s="1139"/>
      <c r="AW172" s="1139"/>
      <c r="AX172" s="1140" t="str">
        <f>IF(CONSOLIDA!CT153="","",CONSOLIDA!CT153)</f>
        <v/>
      </c>
      <c r="AY172" s="1140"/>
      <c r="AZ172" s="1140"/>
      <c r="BA172" s="1140"/>
      <c r="BB172" s="1140"/>
      <c r="BC172" s="1140"/>
      <c r="BD172" s="1139" t="str">
        <f>IF(CONSOLIDA!CU153="","",CONSOLIDA!CU153)</f>
        <v/>
      </c>
      <c r="BE172" s="1139"/>
      <c r="BF172" s="1139"/>
      <c r="BG172" s="1139"/>
      <c r="BH172" s="1139"/>
      <c r="BI172" s="1139"/>
      <c r="BJ172" s="1139" t="str">
        <f>IF(CONSOLIDA!CV153="","",CONSOLIDA!CV153)</f>
        <v/>
      </c>
      <c r="BK172" s="1139"/>
      <c r="BL172" s="1139"/>
      <c r="BM172" s="1139"/>
      <c r="BN172" s="1139"/>
      <c r="BO172" s="1139"/>
      <c r="BP172" s="1139" t="str">
        <f>IF(CONSOLIDA!CW153="","",CONSOLIDA!CW153)</f>
        <v/>
      </c>
      <c r="BQ172" s="1139"/>
      <c r="BR172" s="1139"/>
      <c r="BS172" s="1139"/>
      <c r="BT172" s="1139"/>
      <c r="BU172" s="1139"/>
      <c r="BV172" s="1140" t="str">
        <f>IF(CONSOLIDA!CX153="","",CONSOLIDA!CX153)</f>
        <v/>
      </c>
      <c r="BW172" s="1140"/>
      <c r="BX172" s="1140"/>
      <c r="BY172" s="1140"/>
      <c r="BZ172" s="1140"/>
      <c r="CA172" s="1140"/>
      <c r="CB172" s="1139" t="str">
        <f>IF(CONSOLIDA!CY153="","",CONSOLIDA!CY153)</f>
        <v/>
      </c>
      <c r="CC172" s="1139"/>
      <c r="CD172" s="1139"/>
      <c r="CE172" s="1139"/>
      <c r="CF172" s="1139"/>
      <c r="CG172" s="1139"/>
      <c r="CH172" s="486"/>
      <c r="CI172" s="190" t="str">
        <f>IF(CONSOLIDA!CZ153="","",CONSOLIDA!CZ153)</f>
        <v/>
      </c>
      <c r="CJ172" s="190" t="str">
        <f>IF(CONSOLIDA!DA153="","",CONSOLIDA!DA153)</f>
        <v/>
      </c>
    </row>
    <row r="173" spans="1:88" s="3" customFormat="1" hidden="1">
      <c r="A173" s="243" t="str">
        <f t="shared" si="2"/>
        <v>OK</v>
      </c>
      <c r="B173" s="1141" t="str">
        <f>IF(CONSOLIDA!CL154="","",CONSOLIDA!CL154)</f>
        <v/>
      </c>
      <c r="C173" s="1141"/>
      <c r="D173" s="1134" t="str">
        <f>IF(CONSOLIDA!CN154="","",CONSOLIDA!CN154)</f>
        <v/>
      </c>
      <c r="E173" s="1135"/>
      <c r="F173" s="1135"/>
      <c r="G173" s="1129" t="str">
        <f>IF(CONSOLIDA!CO154="","",CONSOLIDA!CO154)</f>
        <v/>
      </c>
      <c r="H173" s="1129"/>
      <c r="I173" s="1129"/>
      <c r="J173" s="1129"/>
      <c r="K173" s="1129"/>
      <c r="L173" s="1129"/>
      <c r="M173" s="1129"/>
      <c r="N173" s="1129"/>
      <c r="O173" s="1129"/>
      <c r="P173" s="1129"/>
      <c r="Q173" s="1129"/>
      <c r="R173" s="1129"/>
      <c r="S173" s="1129"/>
      <c r="T173" s="1129"/>
      <c r="U173" s="1129"/>
      <c r="V173" s="1129"/>
      <c r="W173" s="1129"/>
      <c r="X173" s="1129"/>
      <c r="Y173" s="1130"/>
      <c r="Z173" s="1139" t="str">
        <f>IF(CONSOLIDA!CP154="","",CONSOLIDA!CP154)</f>
        <v/>
      </c>
      <c r="AA173" s="1139"/>
      <c r="AB173" s="1139"/>
      <c r="AC173" s="1139"/>
      <c r="AD173" s="1139"/>
      <c r="AE173" s="1139"/>
      <c r="AF173" s="1139" t="str">
        <f>IF(CONSOLIDA!CQ154="","",CONSOLIDA!CQ154)</f>
        <v/>
      </c>
      <c r="AG173" s="1139"/>
      <c r="AH173" s="1139"/>
      <c r="AI173" s="1139"/>
      <c r="AJ173" s="1139"/>
      <c r="AK173" s="1139"/>
      <c r="AL173" s="1139" t="str">
        <f>IF(CONSOLIDA!CR154="","",CONSOLIDA!CR154)</f>
        <v/>
      </c>
      <c r="AM173" s="1139"/>
      <c r="AN173" s="1139"/>
      <c r="AO173" s="1139"/>
      <c r="AP173" s="1139"/>
      <c r="AQ173" s="1139"/>
      <c r="AR173" s="1139" t="str">
        <f>IF(CONSOLIDA!CS154="","",CONSOLIDA!CS154)</f>
        <v/>
      </c>
      <c r="AS173" s="1139"/>
      <c r="AT173" s="1139"/>
      <c r="AU173" s="1139"/>
      <c r="AV173" s="1139"/>
      <c r="AW173" s="1139"/>
      <c r="AX173" s="1140" t="str">
        <f>IF(CONSOLIDA!CT154="","",CONSOLIDA!CT154)</f>
        <v/>
      </c>
      <c r="AY173" s="1140"/>
      <c r="AZ173" s="1140"/>
      <c r="BA173" s="1140"/>
      <c r="BB173" s="1140"/>
      <c r="BC173" s="1140"/>
      <c r="BD173" s="1139" t="str">
        <f>IF(CONSOLIDA!CU154="","",CONSOLIDA!CU154)</f>
        <v/>
      </c>
      <c r="BE173" s="1139"/>
      <c r="BF173" s="1139"/>
      <c r="BG173" s="1139"/>
      <c r="BH173" s="1139"/>
      <c r="BI173" s="1139"/>
      <c r="BJ173" s="1139" t="str">
        <f>IF(CONSOLIDA!CV154="","",CONSOLIDA!CV154)</f>
        <v/>
      </c>
      <c r="BK173" s="1139"/>
      <c r="BL173" s="1139"/>
      <c r="BM173" s="1139"/>
      <c r="BN173" s="1139"/>
      <c r="BO173" s="1139"/>
      <c r="BP173" s="1139" t="str">
        <f>IF(CONSOLIDA!CW154="","",CONSOLIDA!CW154)</f>
        <v/>
      </c>
      <c r="BQ173" s="1139"/>
      <c r="BR173" s="1139"/>
      <c r="BS173" s="1139"/>
      <c r="BT173" s="1139"/>
      <c r="BU173" s="1139"/>
      <c r="BV173" s="1140" t="str">
        <f>IF(CONSOLIDA!CX154="","",CONSOLIDA!CX154)</f>
        <v/>
      </c>
      <c r="BW173" s="1140"/>
      <c r="BX173" s="1140"/>
      <c r="BY173" s="1140"/>
      <c r="BZ173" s="1140"/>
      <c r="CA173" s="1140"/>
      <c r="CB173" s="1139" t="str">
        <f>IF(CONSOLIDA!CY154="","",CONSOLIDA!CY154)</f>
        <v/>
      </c>
      <c r="CC173" s="1139"/>
      <c r="CD173" s="1139"/>
      <c r="CE173" s="1139"/>
      <c r="CF173" s="1139"/>
      <c r="CG173" s="1139"/>
      <c r="CH173" s="486"/>
      <c r="CI173" s="190" t="str">
        <f>IF(CONSOLIDA!CZ154="","",CONSOLIDA!CZ154)</f>
        <v/>
      </c>
      <c r="CJ173" s="190" t="str">
        <f>IF(CONSOLIDA!DA154="","",CONSOLIDA!DA154)</f>
        <v/>
      </c>
    </row>
    <row r="174" spans="1:88" s="3" customFormat="1" hidden="1">
      <c r="A174" s="243" t="str">
        <f t="shared" si="2"/>
        <v>OK</v>
      </c>
      <c r="B174" s="1141" t="str">
        <f>IF(CONSOLIDA!CL155="","",CONSOLIDA!CL155)</f>
        <v/>
      </c>
      <c r="C174" s="1141"/>
      <c r="D174" s="1134" t="str">
        <f>IF(CONSOLIDA!CN155="","",CONSOLIDA!CN155)</f>
        <v/>
      </c>
      <c r="E174" s="1135"/>
      <c r="F174" s="1135"/>
      <c r="G174" s="1129" t="str">
        <f>IF(CONSOLIDA!CO155="","",CONSOLIDA!CO155)</f>
        <v/>
      </c>
      <c r="H174" s="1129"/>
      <c r="I174" s="1129"/>
      <c r="J174" s="1129"/>
      <c r="K174" s="1129"/>
      <c r="L174" s="1129"/>
      <c r="M174" s="1129"/>
      <c r="N174" s="1129"/>
      <c r="O174" s="1129"/>
      <c r="P174" s="1129"/>
      <c r="Q174" s="1129"/>
      <c r="R174" s="1129"/>
      <c r="S174" s="1129"/>
      <c r="T174" s="1129"/>
      <c r="U174" s="1129"/>
      <c r="V174" s="1129"/>
      <c r="W174" s="1129"/>
      <c r="X174" s="1129"/>
      <c r="Y174" s="1130"/>
      <c r="Z174" s="1139" t="str">
        <f>IF(CONSOLIDA!CP155="","",CONSOLIDA!CP155)</f>
        <v/>
      </c>
      <c r="AA174" s="1139"/>
      <c r="AB174" s="1139"/>
      <c r="AC174" s="1139"/>
      <c r="AD174" s="1139"/>
      <c r="AE174" s="1139"/>
      <c r="AF174" s="1139" t="str">
        <f>IF(CONSOLIDA!CQ155="","",CONSOLIDA!CQ155)</f>
        <v/>
      </c>
      <c r="AG174" s="1139"/>
      <c r="AH174" s="1139"/>
      <c r="AI174" s="1139"/>
      <c r="AJ174" s="1139"/>
      <c r="AK174" s="1139"/>
      <c r="AL174" s="1139" t="str">
        <f>IF(CONSOLIDA!CR155="","",CONSOLIDA!CR155)</f>
        <v/>
      </c>
      <c r="AM174" s="1139"/>
      <c r="AN174" s="1139"/>
      <c r="AO174" s="1139"/>
      <c r="AP174" s="1139"/>
      <c r="AQ174" s="1139"/>
      <c r="AR174" s="1139" t="str">
        <f>IF(CONSOLIDA!CS155="","",CONSOLIDA!CS155)</f>
        <v/>
      </c>
      <c r="AS174" s="1139"/>
      <c r="AT174" s="1139"/>
      <c r="AU174" s="1139"/>
      <c r="AV174" s="1139"/>
      <c r="AW174" s="1139"/>
      <c r="AX174" s="1140" t="str">
        <f>IF(CONSOLIDA!CT155="","",CONSOLIDA!CT155)</f>
        <v/>
      </c>
      <c r="AY174" s="1140"/>
      <c r="AZ174" s="1140"/>
      <c r="BA174" s="1140"/>
      <c r="BB174" s="1140"/>
      <c r="BC174" s="1140"/>
      <c r="BD174" s="1139" t="str">
        <f>IF(CONSOLIDA!CU155="","",CONSOLIDA!CU155)</f>
        <v/>
      </c>
      <c r="BE174" s="1139"/>
      <c r="BF174" s="1139"/>
      <c r="BG174" s="1139"/>
      <c r="BH174" s="1139"/>
      <c r="BI174" s="1139"/>
      <c r="BJ174" s="1139" t="str">
        <f>IF(CONSOLIDA!CV155="","",CONSOLIDA!CV155)</f>
        <v/>
      </c>
      <c r="BK174" s="1139"/>
      <c r="BL174" s="1139"/>
      <c r="BM174" s="1139"/>
      <c r="BN174" s="1139"/>
      <c r="BO174" s="1139"/>
      <c r="BP174" s="1139" t="str">
        <f>IF(CONSOLIDA!CW155="","",CONSOLIDA!CW155)</f>
        <v/>
      </c>
      <c r="BQ174" s="1139"/>
      <c r="BR174" s="1139"/>
      <c r="BS174" s="1139"/>
      <c r="BT174" s="1139"/>
      <c r="BU174" s="1139"/>
      <c r="BV174" s="1140" t="str">
        <f>IF(CONSOLIDA!CX155="","",CONSOLIDA!CX155)</f>
        <v/>
      </c>
      <c r="BW174" s="1140"/>
      <c r="BX174" s="1140"/>
      <c r="BY174" s="1140"/>
      <c r="BZ174" s="1140"/>
      <c r="CA174" s="1140"/>
      <c r="CB174" s="1139" t="str">
        <f>IF(CONSOLIDA!CY155="","",CONSOLIDA!CY155)</f>
        <v/>
      </c>
      <c r="CC174" s="1139"/>
      <c r="CD174" s="1139"/>
      <c r="CE174" s="1139"/>
      <c r="CF174" s="1139"/>
      <c r="CG174" s="1139"/>
      <c r="CH174" s="486"/>
      <c r="CI174" s="190" t="str">
        <f>IF(CONSOLIDA!CZ155="","",CONSOLIDA!CZ155)</f>
        <v/>
      </c>
      <c r="CJ174" s="190" t="str">
        <f>IF(CONSOLIDA!DA155="","",CONSOLIDA!DA155)</f>
        <v/>
      </c>
    </row>
    <row r="175" spans="1:88" s="3" customFormat="1" hidden="1">
      <c r="A175" s="243" t="str">
        <f t="shared" si="2"/>
        <v>OK</v>
      </c>
      <c r="B175" s="1141" t="str">
        <f>IF(CONSOLIDA!CL156="","",CONSOLIDA!CL156)</f>
        <v/>
      </c>
      <c r="C175" s="1141"/>
      <c r="D175" s="1134" t="str">
        <f>IF(CONSOLIDA!CN156="","",CONSOLIDA!CN156)</f>
        <v/>
      </c>
      <c r="E175" s="1135"/>
      <c r="F175" s="1135"/>
      <c r="G175" s="1129" t="str">
        <f>IF(CONSOLIDA!CO156="","",CONSOLIDA!CO156)</f>
        <v/>
      </c>
      <c r="H175" s="1129"/>
      <c r="I175" s="1129"/>
      <c r="J175" s="1129"/>
      <c r="K175" s="1129"/>
      <c r="L175" s="1129"/>
      <c r="M175" s="1129"/>
      <c r="N175" s="1129"/>
      <c r="O175" s="1129"/>
      <c r="P175" s="1129"/>
      <c r="Q175" s="1129"/>
      <c r="R175" s="1129"/>
      <c r="S175" s="1129"/>
      <c r="T175" s="1129"/>
      <c r="U175" s="1129"/>
      <c r="V175" s="1129"/>
      <c r="W175" s="1129"/>
      <c r="X175" s="1129"/>
      <c r="Y175" s="1130"/>
      <c r="Z175" s="1139" t="str">
        <f>IF(CONSOLIDA!CP156="","",CONSOLIDA!CP156)</f>
        <v/>
      </c>
      <c r="AA175" s="1139"/>
      <c r="AB175" s="1139"/>
      <c r="AC175" s="1139"/>
      <c r="AD175" s="1139"/>
      <c r="AE175" s="1139"/>
      <c r="AF175" s="1139" t="str">
        <f>IF(CONSOLIDA!CQ156="","",CONSOLIDA!CQ156)</f>
        <v/>
      </c>
      <c r="AG175" s="1139"/>
      <c r="AH175" s="1139"/>
      <c r="AI175" s="1139"/>
      <c r="AJ175" s="1139"/>
      <c r="AK175" s="1139"/>
      <c r="AL175" s="1139" t="str">
        <f>IF(CONSOLIDA!CR156="","",CONSOLIDA!CR156)</f>
        <v/>
      </c>
      <c r="AM175" s="1139"/>
      <c r="AN175" s="1139"/>
      <c r="AO175" s="1139"/>
      <c r="AP175" s="1139"/>
      <c r="AQ175" s="1139"/>
      <c r="AR175" s="1139" t="str">
        <f>IF(CONSOLIDA!CS156="","",CONSOLIDA!CS156)</f>
        <v/>
      </c>
      <c r="AS175" s="1139"/>
      <c r="AT175" s="1139"/>
      <c r="AU175" s="1139"/>
      <c r="AV175" s="1139"/>
      <c r="AW175" s="1139"/>
      <c r="AX175" s="1140" t="str">
        <f>IF(CONSOLIDA!CT156="","",CONSOLIDA!CT156)</f>
        <v/>
      </c>
      <c r="AY175" s="1140"/>
      <c r="AZ175" s="1140"/>
      <c r="BA175" s="1140"/>
      <c r="BB175" s="1140"/>
      <c r="BC175" s="1140"/>
      <c r="BD175" s="1139" t="str">
        <f>IF(CONSOLIDA!CU156="","",CONSOLIDA!CU156)</f>
        <v/>
      </c>
      <c r="BE175" s="1139"/>
      <c r="BF175" s="1139"/>
      <c r="BG175" s="1139"/>
      <c r="BH175" s="1139"/>
      <c r="BI175" s="1139"/>
      <c r="BJ175" s="1139" t="str">
        <f>IF(CONSOLIDA!CV156="","",CONSOLIDA!CV156)</f>
        <v/>
      </c>
      <c r="BK175" s="1139"/>
      <c r="BL175" s="1139"/>
      <c r="BM175" s="1139"/>
      <c r="BN175" s="1139"/>
      <c r="BO175" s="1139"/>
      <c r="BP175" s="1139" t="str">
        <f>IF(CONSOLIDA!CW156="","",CONSOLIDA!CW156)</f>
        <v/>
      </c>
      <c r="BQ175" s="1139"/>
      <c r="BR175" s="1139"/>
      <c r="BS175" s="1139"/>
      <c r="BT175" s="1139"/>
      <c r="BU175" s="1139"/>
      <c r="BV175" s="1140" t="str">
        <f>IF(CONSOLIDA!CX156="","",CONSOLIDA!CX156)</f>
        <v/>
      </c>
      <c r="BW175" s="1140"/>
      <c r="BX175" s="1140"/>
      <c r="BY175" s="1140"/>
      <c r="BZ175" s="1140"/>
      <c r="CA175" s="1140"/>
      <c r="CB175" s="1139" t="str">
        <f>IF(CONSOLIDA!CY156="","",CONSOLIDA!CY156)</f>
        <v/>
      </c>
      <c r="CC175" s="1139"/>
      <c r="CD175" s="1139"/>
      <c r="CE175" s="1139"/>
      <c r="CF175" s="1139"/>
      <c r="CG175" s="1139"/>
      <c r="CH175" s="486"/>
      <c r="CI175" s="190" t="str">
        <f>IF(CONSOLIDA!CZ156="","",CONSOLIDA!CZ156)</f>
        <v/>
      </c>
      <c r="CJ175" s="190" t="str">
        <f>IF(CONSOLIDA!DA156="","",CONSOLIDA!DA156)</f>
        <v/>
      </c>
    </row>
    <row r="176" spans="1:88" s="3" customFormat="1" hidden="1">
      <c r="A176" s="243" t="str">
        <f t="shared" si="2"/>
        <v>OK</v>
      </c>
      <c r="B176" s="1141" t="str">
        <f>IF(CONSOLIDA!CL157="","",CONSOLIDA!CL157)</f>
        <v/>
      </c>
      <c r="C176" s="1141"/>
      <c r="D176" s="1134" t="str">
        <f>IF(CONSOLIDA!CN157="","",CONSOLIDA!CN157)</f>
        <v/>
      </c>
      <c r="E176" s="1135"/>
      <c r="F176" s="1135"/>
      <c r="G176" s="1129" t="str">
        <f>IF(CONSOLIDA!CO157="","",CONSOLIDA!CO157)</f>
        <v/>
      </c>
      <c r="H176" s="1129"/>
      <c r="I176" s="1129"/>
      <c r="J176" s="1129"/>
      <c r="K176" s="1129"/>
      <c r="L176" s="1129"/>
      <c r="M176" s="1129"/>
      <c r="N176" s="1129"/>
      <c r="O176" s="1129"/>
      <c r="P176" s="1129"/>
      <c r="Q176" s="1129"/>
      <c r="R176" s="1129"/>
      <c r="S176" s="1129"/>
      <c r="T176" s="1129"/>
      <c r="U176" s="1129"/>
      <c r="V176" s="1129"/>
      <c r="W176" s="1129"/>
      <c r="X176" s="1129"/>
      <c r="Y176" s="1130"/>
      <c r="Z176" s="1139" t="str">
        <f>IF(CONSOLIDA!CP157="","",CONSOLIDA!CP157)</f>
        <v/>
      </c>
      <c r="AA176" s="1139"/>
      <c r="AB176" s="1139"/>
      <c r="AC176" s="1139"/>
      <c r="AD176" s="1139"/>
      <c r="AE176" s="1139"/>
      <c r="AF176" s="1139" t="str">
        <f>IF(CONSOLIDA!CQ157="","",CONSOLIDA!CQ157)</f>
        <v/>
      </c>
      <c r="AG176" s="1139"/>
      <c r="AH176" s="1139"/>
      <c r="AI176" s="1139"/>
      <c r="AJ176" s="1139"/>
      <c r="AK176" s="1139"/>
      <c r="AL176" s="1139" t="str">
        <f>IF(CONSOLIDA!CR157="","",CONSOLIDA!CR157)</f>
        <v/>
      </c>
      <c r="AM176" s="1139"/>
      <c r="AN176" s="1139"/>
      <c r="AO176" s="1139"/>
      <c r="AP176" s="1139"/>
      <c r="AQ176" s="1139"/>
      <c r="AR176" s="1139" t="str">
        <f>IF(CONSOLIDA!CS157="","",CONSOLIDA!CS157)</f>
        <v/>
      </c>
      <c r="AS176" s="1139"/>
      <c r="AT176" s="1139"/>
      <c r="AU176" s="1139"/>
      <c r="AV176" s="1139"/>
      <c r="AW176" s="1139"/>
      <c r="AX176" s="1140" t="str">
        <f>IF(CONSOLIDA!CT157="","",CONSOLIDA!CT157)</f>
        <v/>
      </c>
      <c r="AY176" s="1140"/>
      <c r="AZ176" s="1140"/>
      <c r="BA176" s="1140"/>
      <c r="BB176" s="1140"/>
      <c r="BC176" s="1140"/>
      <c r="BD176" s="1139" t="str">
        <f>IF(CONSOLIDA!CU157="","",CONSOLIDA!CU157)</f>
        <v/>
      </c>
      <c r="BE176" s="1139"/>
      <c r="BF176" s="1139"/>
      <c r="BG176" s="1139"/>
      <c r="BH176" s="1139"/>
      <c r="BI176" s="1139"/>
      <c r="BJ176" s="1139" t="str">
        <f>IF(CONSOLIDA!CV157="","",CONSOLIDA!CV157)</f>
        <v/>
      </c>
      <c r="BK176" s="1139"/>
      <c r="BL176" s="1139"/>
      <c r="BM176" s="1139"/>
      <c r="BN176" s="1139"/>
      <c r="BO176" s="1139"/>
      <c r="BP176" s="1139" t="str">
        <f>IF(CONSOLIDA!CW157="","",CONSOLIDA!CW157)</f>
        <v/>
      </c>
      <c r="BQ176" s="1139"/>
      <c r="BR176" s="1139"/>
      <c r="BS176" s="1139"/>
      <c r="BT176" s="1139"/>
      <c r="BU176" s="1139"/>
      <c r="BV176" s="1140" t="str">
        <f>IF(CONSOLIDA!CX157="","",CONSOLIDA!CX157)</f>
        <v/>
      </c>
      <c r="BW176" s="1140"/>
      <c r="BX176" s="1140"/>
      <c r="BY176" s="1140"/>
      <c r="BZ176" s="1140"/>
      <c r="CA176" s="1140"/>
      <c r="CB176" s="1139" t="str">
        <f>IF(CONSOLIDA!CY157="","",CONSOLIDA!CY157)</f>
        <v/>
      </c>
      <c r="CC176" s="1139"/>
      <c r="CD176" s="1139"/>
      <c r="CE176" s="1139"/>
      <c r="CF176" s="1139"/>
      <c r="CG176" s="1139"/>
      <c r="CH176" s="486"/>
      <c r="CI176" s="190" t="str">
        <f>IF(CONSOLIDA!CZ157="","",CONSOLIDA!CZ157)</f>
        <v/>
      </c>
      <c r="CJ176" s="190" t="str">
        <f>IF(CONSOLIDA!DA157="","",CONSOLIDA!DA157)</f>
        <v/>
      </c>
    </row>
    <row r="177" spans="1:88" s="3" customFormat="1" hidden="1">
      <c r="A177" s="243" t="str">
        <f t="shared" si="2"/>
        <v>OK</v>
      </c>
      <c r="B177" s="1141" t="str">
        <f>IF(CONSOLIDA!CL158="","",CONSOLIDA!CL158)</f>
        <v/>
      </c>
      <c r="C177" s="1141"/>
      <c r="D177" s="1134" t="str">
        <f>IF(CONSOLIDA!CN158="","",CONSOLIDA!CN158)</f>
        <v/>
      </c>
      <c r="E177" s="1135"/>
      <c r="F177" s="1135"/>
      <c r="G177" s="1129" t="str">
        <f>IF(CONSOLIDA!CO158="","",CONSOLIDA!CO158)</f>
        <v/>
      </c>
      <c r="H177" s="1129"/>
      <c r="I177" s="1129"/>
      <c r="J177" s="1129"/>
      <c r="K177" s="1129"/>
      <c r="L177" s="1129"/>
      <c r="M177" s="1129"/>
      <c r="N177" s="1129"/>
      <c r="O177" s="1129"/>
      <c r="P177" s="1129"/>
      <c r="Q177" s="1129"/>
      <c r="R177" s="1129"/>
      <c r="S177" s="1129"/>
      <c r="T177" s="1129"/>
      <c r="U177" s="1129"/>
      <c r="V177" s="1129"/>
      <c r="W177" s="1129"/>
      <c r="X177" s="1129"/>
      <c r="Y177" s="1130"/>
      <c r="Z177" s="1139" t="str">
        <f>IF(CONSOLIDA!CP158="","",CONSOLIDA!CP158)</f>
        <v/>
      </c>
      <c r="AA177" s="1139"/>
      <c r="AB177" s="1139"/>
      <c r="AC177" s="1139"/>
      <c r="AD177" s="1139"/>
      <c r="AE177" s="1139"/>
      <c r="AF177" s="1139" t="str">
        <f>IF(CONSOLIDA!CQ158="","",CONSOLIDA!CQ158)</f>
        <v/>
      </c>
      <c r="AG177" s="1139"/>
      <c r="AH177" s="1139"/>
      <c r="AI177" s="1139"/>
      <c r="AJ177" s="1139"/>
      <c r="AK177" s="1139"/>
      <c r="AL177" s="1139" t="str">
        <f>IF(CONSOLIDA!CR158="","",CONSOLIDA!CR158)</f>
        <v/>
      </c>
      <c r="AM177" s="1139"/>
      <c r="AN177" s="1139"/>
      <c r="AO177" s="1139"/>
      <c r="AP177" s="1139"/>
      <c r="AQ177" s="1139"/>
      <c r="AR177" s="1139" t="str">
        <f>IF(CONSOLIDA!CS158="","",CONSOLIDA!CS158)</f>
        <v/>
      </c>
      <c r="AS177" s="1139"/>
      <c r="AT177" s="1139"/>
      <c r="AU177" s="1139"/>
      <c r="AV177" s="1139"/>
      <c r="AW177" s="1139"/>
      <c r="AX177" s="1140" t="str">
        <f>IF(CONSOLIDA!CT158="","",CONSOLIDA!CT158)</f>
        <v/>
      </c>
      <c r="AY177" s="1140"/>
      <c r="AZ177" s="1140"/>
      <c r="BA177" s="1140"/>
      <c r="BB177" s="1140"/>
      <c r="BC177" s="1140"/>
      <c r="BD177" s="1139" t="str">
        <f>IF(CONSOLIDA!CU158="","",CONSOLIDA!CU158)</f>
        <v/>
      </c>
      <c r="BE177" s="1139"/>
      <c r="BF177" s="1139"/>
      <c r="BG177" s="1139"/>
      <c r="BH177" s="1139"/>
      <c r="BI177" s="1139"/>
      <c r="BJ177" s="1139" t="str">
        <f>IF(CONSOLIDA!CV158="","",CONSOLIDA!CV158)</f>
        <v/>
      </c>
      <c r="BK177" s="1139"/>
      <c r="BL177" s="1139"/>
      <c r="BM177" s="1139"/>
      <c r="BN177" s="1139"/>
      <c r="BO177" s="1139"/>
      <c r="BP177" s="1139" t="str">
        <f>IF(CONSOLIDA!CW158="","",CONSOLIDA!CW158)</f>
        <v/>
      </c>
      <c r="BQ177" s="1139"/>
      <c r="BR177" s="1139"/>
      <c r="BS177" s="1139"/>
      <c r="BT177" s="1139"/>
      <c r="BU177" s="1139"/>
      <c r="BV177" s="1140" t="str">
        <f>IF(CONSOLIDA!CX158="","",CONSOLIDA!CX158)</f>
        <v/>
      </c>
      <c r="BW177" s="1140"/>
      <c r="BX177" s="1140"/>
      <c r="BY177" s="1140"/>
      <c r="BZ177" s="1140"/>
      <c r="CA177" s="1140"/>
      <c r="CB177" s="1139" t="str">
        <f>IF(CONSOLIDA!CY158="","",CONSOLIDA!CY158)</f>
        <v/>
      </c>
      <c r="CC177" s="1139"/>
      <c r="CD177" s="1139"/>
      <c r="CE177" s="1139"/>
      <c r="CF177" s="1139"/>
      <c r="CG177" s="1139"/>
      <c r="CH177" s="486"/>
      <c r="CI177" s="190" t="str">
        <f>IF(CONSOLIDA!CZ158="","",CONSOLIDA!CZ158)</f>
        <v/>
      </c>
      <c r="CJ177" s="190" t="str">
        <f>IF(CONSOLIDA!DA158="","",CONSOLIDA!DA158)</f>
        <v/>
      </c>
    </row>
    <row r="178" spans="1:88" s="3" customFormat="1" hidden="1">
      <c r="A178" s="243" t="str">
        <f t="shared" si="2"/>
        <v>OK</v>
      </c>
      <c r="B178" s="1141" t="str">
        <f>IF(CONSOLIDA!CL159="","",CONSOLIDA!CL159)</f>
        <v/>
      </c>
      <c r="C178" s="1141"/>
      <c r="D178" s="1134" t="str">
        <f>IF(CONSOLIDA!CN159="","",CONSOLIDA!CN159)</f>
        <v/>
      </c>
      <c r="E178" s="1135"/>
      <c r="F178" s="1135"/>
      <c r="G178" s="1129" t="str">
        <f>IF(CONSOLIDA!CO159="","",CONSOLIDA!CO159)</f>
        <v/>
      </c>
      <c r="H178" s="1129"/>
      <c r="I178" s="1129"/>
      <c r="J178" s="1129"/>
      <c r="K178" s="1129"/>
      <c r="L178" s="1129"/>
      <c r="M178" s="1129"/>
      <c r="N178" s="1129"/>
      <c r="O178" s="1129"/>
      <c r="P178" s="1129"/>
      <c r="Q178" s="1129"/>
      <c r="R178" s="1129"/>
      <c r="S178" s="1129"/>
      <c r="T178" s="1129"/>
      <c r="U178" s="1129"/>
      <c r="V178" s="1129"/>
      <c r="W178" s="1129"/>
      <c r="X178" s="1129"/>
      <c r="Y178" s="1130"/>
      <c r="Z178" s="1139" t="str">
        <f>IF(CONSOLIDA!CP159="","",CONSOLIDA!CP159)</f>
        <v/>
      </c>
      <c r="AA178" s="1139"/>
      <c r="AB178" s="1139"/>
      <c r="AC178" s="1139"/>
      <c r="AD178" s="1139"/>
      <c r="AE178" s="1139"/>
      <c r="AF178" s="1139" t="str">
        <f>IF(CONSOLIDA!CQ159="","",CONSOLIDA!CQ159)</f>
        <v/>
      </c>
      <c r="AG178" s="1139"/>
      <c r="AH178" s="1139"/>
      <c r="AI178" s="1139"/>
      <c r="AJ178" s="1139"/>
      <c r="AK178" s="1139"/>
      <c r="AL178" s="1139" t="str">
        <f>IF(CONSOLIDA!CR159="","",CONSOLIDA!CR159)</f>
        <v/>
      </c>
      <c r="AM178" s="1139"/>
      <c r="AN178" s="1139"/>
      <c r="AO178" s="1139"/>
      <c r="AP178" s="1139"/>
      <c r="AQ178" s="1139"/>
      <c r="AR178" s="1139" t="str">
        <f>IF(CONSOLIDA!CS159="","",CONSOLIDA!CS159)</f>
        <v/>
      </c>
      <c r="AS178" s="1139"/>
      <c r="AT178" s="1139"/>
      <c r="AU178" s="1139"/>
      <c r="AV178" s="1139"/>
      <c r="AW178" s="1139"/>
      <c r="AX178" s="1140" t="str">
        <f>IF(CONSOLIDA!CT159="","",CONSOLIDA!CT159)</f>
        <v/>
      </c>
      <c r="AY178" s="1140"/>
      <c r="AZ178" s="1140"/>
      <c r="BA178" s="1140"/>
      <c r="BB178" s="1140"/>
      <c r="BC178" s="1140"/>
      <c r="BD178" s="1139" t="str">
        <f>IF(CONSOLIDA!CU159="","",CONSOLIDA!CU159)</f>
        <v/>
      </c>
      <c r="BE178" s="1139"/>
      <c r="BF178" s="1139"/>
      <c r="BG178" s="1139"/>
      <c r="BH178" s="1139"/>
      <c r="BI178" s="1139"/>
      <c r="BJ178" s="1139" t="str">
        <f>IF(CONSOLIDA!CV159="","",CONSOLIDA!CV159)</f>
        <v/>
      </c>
      <c r="BK178" s="1139"/>
      <c r="BL178" s="1139"/>
      <c r="BM178" s="1139"/>
      <c r="BN178" s="1139"/>
      <c r="BO178" s="1139"/>
      <c r="BP178" s="1139" t="str">
        <f>IF(CONSOLIDA!CW159="","",CONSOLIDA!CW159)</f>
        <v/>
      </c>
      <c r="BQ178" s="1139"/>
      <c r="BR178" s="1139"/>
      <c r="BS178" s="1139"/>
      <c r="BT178" s="1139"/>
      <c r="BU178" s="1139"/>
      <c r="BV178" s="1140" t="str">
        <f>IF(CONSOLIDA!CX159="","",CONSOLIDA!CX159)</f>
        <v/>
      </c>
      <c r="BW178" s="1140"/>
      <c r="BX178" s="1140"/>
      <c r="BY178" s="1140"/>
      <c r="BZ178" s="1140"/>
      <c r="CA178" s="1140"/>
      <c r="CB178" s="1139" t="str">
        <f>IF(CONSOLIDA!CY159="","",CONSOLIDA!CY159)</f>
        <v/>
      </c>
      <c r="CC178" s="1139"/>
      <c r="CD178" s="1139"/>
      <c r="CE178" s="1139"/>
      <c r="CF178" s="1139"/>
      <c r="CG178" s="1139"/>
      <c r="CH178" s="486"/>
      <c r="CI178" s="190" t="str">
        <f>IF(CONSOLIDA!CZ159="","",CONSOLIDA!CZ159)</f>
        <v/>
      </c>
      <c r="CJ178" s="190" t="str">
        <f>IF(CONSOLIDA!DA159="","",CONSOLIDA!DA159)</f>
        <v/>
      </c>
    </row>
    <row r="179" spans="1:88" s="3" customFormat="1" hidden="1">
      <c r="A179" s="243" t="str">
        <f t="shared" si="2"/>
        <v>OK</v>
      </c>
      <c r="B179" s="1141" t="str">
        <f>IF(CONSOLIDA!CL160="","",CONSOLIDA!CL160)</f>
        <v/>
      </c>
      <c r="C179" s="1141"/>
      <c r="D179" s="1134" t="str">
        <f>IF(CONSOLIDA!CN160="","",CONSOLIDA!CN160)</f>
        <v/>
      </c>
      <c r="E179" s="1135"/>
      <c r="F179" s="1135"/>
      <c r="G179" s="1129" t="str">
        <f>IF(CONSOLIDA!CO160="","",CONSOLIDA!CO160)</f>
        <v/>
      </c>
      <c r="H179" s="1129"/>
      <c r="I179" s="1129"/>
      <c r="J179" s="1129"/>
      <c r="K179" s="1129"/>
      <c r="L179" s="1129"/>
      <c r="M179" s="1129"/>
      <c r="N179" s="1129"/>
      <c r="O179" s="1129"/>
      <c r="P179" s="1129"/>
      <c r="Q179" s="1129"/>
      <c r="R179" s="1129"/>
      <c r="S179" s="1129"/>
      <c r="T179" s="1129"/>
      <c r="U179" s="1129"/>
      <c r="V179" s="1129"/>
      <c r="W179" s="1129"/>
      <c r="X179" s="1129"/>
      <c r="Y179" s="1130"/>
      <c r="Z179" s="1139" t="str">
        <f>IF(CONSOLIDA!CP160="","",CONSOLIDA!CP160)</f>
        <v/>
      </c>
      <c r="AA179" s="1139"/>
      <c r="AB179" s="1139"/>
      <c r="AC179" s="1139"/>
      <c r="AD179" s="1139"/>
      <c r="AE179" s="1139"/>
      <c r="AF179" s="1139" t="str">
        <f>IF(CONSOLIDA!CQ160="","",CONSOLIDA!CQ160)</f>
        <v/>
      </c>
      <c r="AG179" s="1139"/>
      <c r="AH179" s="1139"/>
      <c r="AI179" s="1139"/>
      <c r="AJ179" s="1139"/>
      <c r="AK179" s="1139"/>
      <c r="AL179" s="1139" t="str">
        <f>IF(CONSOLIDA!CR160="","",CONSOLIDA!CR160)</f>
        <v/>
      </c>
      <c r="AM179" s="1139"/>
      <c r="AN179" s="1139"/>
      <c r="AO179" s="1139"/>
      <c r="AP179" s="1139"/>
      <c r="AQ179" s="1139"/>
      <c r="AR179" s="1139" t="str">
        <f>IF(CONSOLIDA!CS160="","",CONSOLIDA!CS160)</f>
        <v/>
      </c>
      <c r="AS179" s="1139"/>
      <c r="AT179" s="1139"/>
      <c r="AU179" s="1139"/>
      <c r="AV179" s="1139"/>
      <c r="AW179" s="1139"/>
      <c r="AX179" s="1140" t="str">
        <f>IF(CONSOLIDA!CT160="","",CONSOLIDA!CT160)</f>
        <v/>
      </c>
      <c r="AY179" s="1140"/>
      <c r="AZ179" s="1140"/>
      <c r="BA179" s="1140"/>
      <c r="BB179" s="1140"/>
      <c r="BC179" s="1140"/>
      <c r="BD179" s="1139" t="str">
        <f>IF(CONSOLIDA!CU160="","",CONSOLIDA!CU160)</f>
        <v/>
      </c>
      <c r="BE179" s="1139"/>
      <c r="BF179" s="1139"/>
      <c r="BG179" s="1139"/>
      <c r="BH179" s="1139"/>
      <c r="BI179" s="1139"/>
      <c r="BJ179" s="1139" t="str">
        <f>IF(CONSOLIDA!CV160="","",CONSOLIDA!CV160)</f>
        <v/>
      </c>
      <c r="BK179" s="1139"/>
      <c r="BL179" s="1139"/>
      <c r="BM179" s="1139"/>
      <c r="BN179" s="1139"/>
      <c r="BO179" s="1139"/>
      <c r="BP179" s="1139" t="str">
        <f>IF(CONSOLIDA!CW160="","",CONSOLIDA!CW160)</f>
        <v/>
      </c>
      <c r="BQ179" s="1139"/>
      <c r="BR179" s="1139"/>
      <c r="BS179" s="1139"/>
      <c r="BT179" s="1139"/>
      <c r="BU179" s="1139"/>
      <c r="BV179" s="1140" t="str">
        <f>IF(CONSOLIDA!CX160="","",CONSOLIDA!CX160)</f>
        <v/>
      </c>
      <c r="BW179" s="1140"/>
      <c r="BX179" s="1140"/>
      <c r="BY179" s="1140"/>
      <c r="BZ179" s="1140"/>
      <c r="CA179" s="1140"/>
      <c r="CB179" s="1139" t="str">
        <f>IF(CONSOLIDA!CY160="","",CONSOLIDA!CY160)</f>
        <v/>
      </c>
      <c r="CC179" s="1139"/>
      <c r="CD179" s="1139"/>
      <c r="CE179" s="1139"/>
      <c r="CF179" s="1139"/>
      <c r="CG179" s="1139"/>
      <c r="CH179" s="486"/>
      <c r="CI179" s="190" t="str">
        <f>IF(CONSOLIDA!CZ160="","",CONSOLIDA!CZ160)</f>
        <v/>
      </c>
      <c r="CJ179" s="190" t="str">
        <f>IF(CONSOLIDA!DA160="","",CONSOLIDA!DA160)</f>
        <v/>
      </c>
    </row>
    <row r="180" spans="1:88" s="3" customFormat="1" hidden="1">
      <c r="A180" s="243" t="str">
        <f t="shared" si="2"/>
        <v>OK</v>
      </c>
      <c r="B180" s="1141" t="str">
        <f>IF(CONSOLIDA!CL161="","",CONSOLIDA!CL161)</f>
        <v/>
      </c>
      <c r="C180" s="1141"/>
      <c r="D180" s="1134" t="str">
        <f>IF(CONSOLIDA!CN161="","",CONSOLIDA!CN161)</f>
        <v/>
      </c>
      <c r="E180" s="1135"/>
      <c r="F180" s="1135"/>
      <c r="G180" s="1129" t="str">
        <f>IF(CONSOLIDA!CO161="","",CONSOLIDA!CO161)</f>
        <v/>
      </c>
      <c r="H180" s="1129"/>
      <c r="I180" s="1129"/>
      <c r="J180" s="1129"/>
      <c r="K180" s="1129"/>
      <c r="L180" s="1129"/>
      <c r="M180" s="1129"/>
      <c r="N180" s="1129"/>
      <c r="O180" s="1129"/>
      <c r="P180" s="1129"/>
      <c r="Q180" s="1129"/>
      <c r="R180" s="1129"/>
      <c r="S180" s="1129"/>
      <c r="T180" s="1129"/>
      <c r="U180" s="1129"/>
      <c r="V180" s="1129"/>
      <c r="W180" s="1129"/>
      <c r="X180" s="1129"/>
      <c r="Y180" s="1130"/>
      <c r="Z180" s="1139" t="str">
        <f>IF(CONSOLIDA!CP161="","",CONSOLIDA!CP161)</f>
        <v/>
      </c>
      <c r="AA180" s="1139"/>
      <c r="AB180" s="1139"/>
      <c r="AC180" s="1139"/>
      <c r="AD180" s="1139"/>
      <c r="AE180" s="1139"/>
      <c r="AF180" s="1139" t="str">
        <f>IF(CONSOLIDA!CQ161="","",CONSOLIDA!CQ161)</f>
        <v/>
      </c>
      <c r="AG180" s="1139"/>
      <c r="AH180" s="1139"/>
      <c r="AI180" s="1139"/>
      <c r="AJ180" s="1139"/>
      <c r="AK180" s="1139"/>
      <c r="AL180" s="1139" t="str">
        <f>IF(CONSOLIDA!CR161="","",CONSOLIDA!CR161)</f>
        <v/>
      </c>
      <c r="AM180" s="1139"/>
      <c r="AN180" s="1139"/>
      <c r="AO180" s="1139"/>
      <c r="AP180" s="1139"/>
      <c r="AQ180" s="1139"/>
      <c r="AR180" s="1139" t="str">
        <f>IF(CONSOLIDA!CS161="","",CONSOLIDA!CS161)</f>
        <v/>
      </c>
      <c r="AS180" s="1139"/>
      <c r="AT180" s="1139"/>
      <c r="AU180" s="1139"/>
      <c r="AV180" s="1139"/>
      <c r="AW180" s="1139"/>
      <c r="AX180" s="1140" t="str">
        <f>IF(CONSOLIDA!CT161="","",CONSOLIDA!CT161)</f>
        <v/>
      </c>
      <c r="AY180" s="1140"/>
      <c r="AZ180" s="1140"/>
      <c r="BA180" s="1140"/>
      <c r="BB180" s="1140"/>
      <c r="BC180" s="1140"/>
      <c r="BD180" s="1139" t="str">
        <f>IF(CONSOLIDA!CU161="","",CONSOLIDA!CU161)</f>
        <v/>
      </c>
      <c r="BE180" s="1139"/>
      <c r="BF180" s="1139"/>
      <c r="BG180" s="1139"/>
      <c r="BH180" s="1139"/>
      <c r="BI180" s="1139"/>
      <c r="BJ180" s="1139" t="str">
        <f>IF(CONSOLIDA!CV161="","",CONSOLIDA!CV161)</f>
        <v/>
      </c>
      <c r="BK180" s="1139"/>
      <c r="BL180" s="1139"/>
      <c r="BM180" s="1139"/>
      <c r="BN180" s="1139"/>
      <c r="BO180" s="1139"/>
      <c r="BP180" s="1139" t="str">
        <f>IF(CONSOLIDA!CW161="","",CONSOLIDA!CW161)</f>
        <v/>
      </c>
      <c r="BQ180" s="1139"/>
      <c r="BR180" s="1139"/>
      <c r="BS180" s="1139"/>
      <c r="BT180" s="1139"/>
      <c r="BU180" s="1139"/>
      <c r="BV180" s="1140" t="str">
        <f>IF(CONSOLIDA!CX161="","",CONSOLIDA!CX161)</f>
        <v/>
      </c>
      <c r="BW180" s="1140"/>
      <c r="BX180" s="1140"/>
      <c r="BY180" s="1140"/>
      <c r="BZ180" s="1140"/>
      <c r="CA180" s="1140"/>
      <c r="CB180" s="1139" t="str">
        <f>IF(CONSOLIDA!CY161="","",CONSOLIDA!CY161)</f>
        <v/>
      </c>
      <c r="CC180" s="1139"/>
      <c r="CD180" s="1139"/>
      <c r="CE180" s="1139"/>
      <c r="CF180" s="1139"/>
      <c r="CG180" s="1139"/>
      <c r="CH180" s="486"/>
      <c r="CI180" s="190" t="str">
        <f>IF(CONSOLIDA!CZ161="","",CONSOLIDA!CZ161)</f>
        <v/>
      </c>
      <c r="CJ180" s="190" t="str">
        <f>IF(CONSOLIDA!DA161="","",CONSOLIDA!DA161)</f>
        <v/>
      </c>
    </row>
    <row r="181" spans="1:88" s="3" customFormat="1" hidden="1">
      <c r="A181" s="243" t="str">
        <f t="shared" si="2"/>
        <v>OK</v>
      </c>
      <c r="B181" s="1141" t="str">
        <f>IF(CONSOLIDA!CL162="","",CONSOLIDA!CL162)</f>
        <v/>
      </c>
      <c r="C181" s="1141"/>
      <c r="D181" s="1134" t="str">
        <f>IF(CONSOLIDA!CN162="","",CONSOLIDA!CN162)</f>
        <v/>
      </c>
      <c r="E181" s="1135"/>
      <c r="F181" s="1135"/>
      <c r="G181" s="1129" t="str">
        <f>IF(CONSOLIDA!CO162="","",CONSOLIDA!CO162)</f>
        <v/>
      </c>
      <c r="H181" s="1129"/>
      <c r="I181" s="1129"/>
      <c r="J181" s="1129"/>
      <c r="K181" s="1129"/>
      <c r="L181" s="1129"/>
      <c r="M181" s="1129"/>
      <c r="N181" s="1129"/>
      <c r="O181" s="1129"/>
      <c r="P181" s="1129"/>
      <c r="Q181" s="1129"/>
      <c r="R181" s="1129"/>
      <c r="S181" s="1129"/>
      <c r="T181" s="1129"/>
      <c r="U181" s="1129"/>
      <c r="V181" s="1129"/>
      <c r="W181" s="1129"/>
      <c r="X181" s="1129"/>
      <c r="Y181" s="1130"/>
      <c r="Z181" s="1139" t="str">
        <f>IF(CONSOLIDA!CP162="","",CONSOLIDA!CP162)</f>
        <v/>
      </c>
      <c r="AA181" s="1139"/>
      <c r="AB181" s="1139"/>
      <c r="AC181" s="1139"/>
      <c r="AD181" s="1139"/>
      <c r="AE181" s="1139"/>
      <c r="AF181" s="1139" t="str">
        <f>IF(CONSOLIDA!CQ162="","",CONSOLIDA!CQ162)</f>
        <v/>
      </c>
      <c r="AG181" s="1139"/>
      <c r="AH181" s="1139"/>
      <c r="AI181" s="1139"/>
      <c r="AJ181" s="1139"/>
      <c r="AK181" s="1139"/>
      <c r="AL181" s="1139" t="str">
        <f>IF(CONSOLIDA!CR162="","",CONSOLIDA!CR162)</f>
        <v/>
      </c>
      <c r="AM181" s="1139"/>
      <c r="AN181" s="1139"/>
      <c r="AO181" s="1139"/>
      <c r="AP181" s="1139"/>
      <c r="AQ181" s="1139"/>
      <c r="AR181" s="1139" t="str">
        <f>IF(CONSOLIDA!CS162="","",CONSOLIDA!CS162)</f>
        <v/>
      </c>
      <c r="AS181" s="1139"/>
      <c r="AT181" s="1139"/>
      <c r="AU181" s="1139"/>
      <c r="AV181" s="1139"/>
      <c r="AW181" s="1139"/>
      <c r="AX181" s="1140" t="str">
        <f>IF(CONSOLIDA!CT162="","",CONSOLIDA!CT162)</f>
        <v/>
      </c>
      <c r="AY181" s="1140"/>
      <c r="AZ181" s="1140"/>
      <c r="BA181" s="1140"/>
      <c r="BB181" s="1140"/>
      <c r="BC181" s="1140"/>
      <c r="BD181" s="1139" t="str">
        <f>IF(CONSOLIDA!CU162="","",CONSOLIDA!CU162)</f>
        <v/>
      </c>
      <c r="BE181" s="1139"/>
      <c r="BF181" s="1139"/>
      <c r="BG181" s="1139"/>
      <c r="BH181" s="1139"/>
      <c r="BI181" s="1139"/>
      <c r="BJ181" s="1139" t="str">
        <f>IF(CONSOLIDA!CV162="","",CONSOLIDA!CV162)</f>
        <v/>
      </c>
      <c r="BK181" s="1139"/>
      <c r="BL181" s="1139"/>
      <c r="BM181" s="1139"/>
      <c r="BN181" s="1139"/>
      <c r="BO181" s="1139"/>
      <c r="BP181" s="1139" t="str">
        <f>IF(CONSOLIDA!CW162="","",CONSOLIDA!CW162)</f>
        <v/>
      </c>
      <c r="BQ181" s="1139"/>
      <c r="BR181" s="1139"/>
      <c r="BS181" s="1139"/>
      <c r="BT181" s="1139"/>
      <c r="BU181" s="1139"/>
      <c r="BV181" s="1140" t="str">
        <f>IF(CONSOLIDA!CX162="","",CONSOLIDA!CX162)</f>
        <v/>
      </c>
      <c r="BW181" s="1140"/>
      <c r="BX181" s="1140"/>
      <c r="BY181" s="1140"/>
      <c r="BZ181" s="1140"/>
      <c r="CA181" s="1140"/>
      <c r="CB181" s="1139" t="str">
        <f>IF(CONSOLIDA!CY162="","",CONSOLIDA!CY162)</f>
        <v/>
      </c>
      <c r="CC181" s="1139"/>
      <c r="CD181" s="1139"/>
      <c r="CE181" s="1139"/>
      <c r="CF181" s="1139"/>
      <c r="CG181" s="1139"/>
      <c r="CH181" s="486"/>
      <c r="CI181" s="190" t="str">
        <f>IF(CONSOLIDA!CZ162="","",CONSOLIDA!CZ162)</f>
        <v/>
      </c>
      <c r="CJ181" s="190" t="str">
        <f>IF(CONSOLIDA!DA162="","",CONSOLIDA!DA162)</f>
        <v/>
      </c>
    </row>
    <row r="182" spans="1:88" s="3" customFormat="1" hidden="1">
      <c r="A182" s="243" t="str">
        <f t="shared" si="2"/>
        <v>OK</v>
      </c>
      <c r="B182" s="1141" t="str">
        <f>IF(CONSOLIDA!CL163="","",CONSOLIDA!CL163)</f>
        <v/>
      </c>
      <c r="C182" s="1141"/>
      <c r="D182" s="1134" t="str">
        <f>IF(CONSOLIDA!CN163="","",CONSOLIDA!CN163)</f>
        <v/>
      </c>
      <c r="E182" s="1135"/>
      <c r="F182" s="1135"/>
      <c r="G182" s="1129" t="str">
        <f>IF(CONSOLIDA!CO163="","",CONSOLIDA!CO163)</f>
        <v/>
      </c>
      <c r="H182" s="1129"/>
      <c r="I182" s="1129"/>
      <c r="J182" s="1129"/>
      <c r="K182" s="1129"/>
      <c r="L182" s="1129"/>
      <c r="M182" s="1129"/>
      <c r="N182" s="1129"/>
      <c r="O182" s="1129"/>
      <c r="P182" s="1129"/>
      <c r="Q182" s="1129"/>
      <c r="R182" s="1129"/>
      <c r="S182" s="1129"/>
      <c r="T182" s="1129"/>
      <c r="U182" s="1129"/>
      <c r="V182" s="1129"/>
      <c r="W182" s="1129"/>
      <c r="X182" s="1129"/>
      <c r="Y182" s="1130"/>
      <c r="Z182" s="1139" t="str">
        <f>IF(CONSOLIDA!CP163="","",CONSOLIDA!CP163)</f>
        <v/>
      </c>
      <c r="AA182" s="1139"/>
      <c r="AB182" s="1139"/>
      <c r="AC182" s="1139"/>
      <c r="AD182" s="1139"/>
      <c r="AE182" s="1139"/>
      <c r="AF182" s="1139" t="str">
        <f>IF(CONSOLIDA!CQ163="","",CONSOLIDA!CQ163)</f>
        <v/>
      </c>
      <c r="AG182" s="1139"/>
      <c r="AH182" s="1139"/>
      <c r="AI182" s="1139"/>
      <c r="AJ182" s="1139"/>
      <c r="AK182" s="1139"/>
      <c r="AL182" s="1139" t="str">
        <f>IF(CONSOLIDA!CR163="","",CONSOLIDA!CR163)</f>
        <v/>
      </c>
      <c r="AM182" s="1139"/>
      <c r="AN182" s="1139"/>
      <c r="AO182" s="1139"/>
      <c r="AP182" s="1139"/>
      <c r="AQ182" s="1139"/>
      <c r="AR182" s="1139" t="str">
        <f>IF(CONSOLIDA!CS163="","",CONSOLIDA!CS163)</f>
        <v/>
      </c>
      <c r="AS182" s="1139"/>
      <c r="AT182" s="1139"/>
      <c r="AU182" s="1139"/>
      <c r="AV182" s="1139"/>
      <c r="AW182" s="1139"/>
      <c r="AX182" s="1140" t="str">
        <f>IF(CONSOLIDA!CT163="","",CONSOLIDA!CT163)</f>
        <v/>
      </c>
      <c r="AY182" s="1140"/>
      <c r="AZ182" s="1140"/>
      <c r="BA182" s="1140"/>
      <c r="BB182" s="1140"/>
      <c r="BC182" s="1140"/>
      <c r="BD182" s="1139" t="str">
        <f>IF(CONSOLIDA!CU163="","",CONSOLIDA!CU163)</f>
        <v/>
      </c>
      <c r="BE182" s="1139"/>
      <c r="BF182" s="1139"/>
      <c r="BG182" s="1139"/>
      <c r="BH182" s="1139"/>
      <c r="BI182" s="1139"/>
      <c r="BJ182" s="1139" t="str">
        <f>IF(CONSOLIDA!CV163="","",CONSOLIDA!CV163)</f>
        <v/>
      </c>
      <c r="BK182" s="1139"/>
      <c r="BL182" s="1139"/>
      <c r="BM182" s="1139"/>
      <c r="BN182" s="1139"/>
      <c r="BO182" s="1139"/>
      <c r="BP182" s="1139" t="str">
        <f>IF(CONSOLIDA!CW163="","",CONSOLIDA!CW163)</f>
        <v/>
      </c>
      <c r="BQ182" s="1139"/>
      <c r="BR182" s="1139"/>
      <c r="BS182" s="1139"/>
      <c r="BT182" s="1139"/>
      <c r="BU182" s="1139"/>
      <c r="BV182" s="1140" t="str">
        <f>IF(CONSOLIDA!CX163="","",CONSOLIDA!CX163)</f>
        <v/>
      </c>
      <c r="BW182" s="1140"/>
      <c r="BX182" s="1140"/>
      <c r="BY182" s="1140"/>
      <c r="BZ182" s="1140"/>
      <c r="CA182" s="1140"/>
      <c r="CB182" s="1139" t="str">
        <f>IF(CONSOLIDA!CY163="","",CONSOLIDA!CY163)</f>
        <v/>
      </c>
      <c r="CC182" s="1139"/>
      <c r="CD182" s="1139"/>
      <c r="CE182" s="1139"/>
      <c r="CF182" s="1139"/>
      <c r="CG182" s="1139"/>
      <c r="CH182" s="486"/>
      <c r="CI182" s="190" t="str">
        <f>IF(CONSOLIDA!CZ163="","",CONSOLIDA!CZ163)</f>
        <v/>
      </c>
      <c r="CJ182" s="190" t="str">
        <f>IF(CONSOLIDA!DA163="","",CONSOLIDA!DA163)</f>
        <v/>
      </c>
    </row>
    <row r="183" spans="1:88" s="3" customFormat="1" hidden="1">
      <c r="A183" s="243" t="str">
        <f t="shared" si="2"/>
        <v>OK</v>
      </c>
      <c r="B183" s="1141" t="str">
        <f>IF(CONSOLIDA!CL164="","",CONSOLIDA!CL164)</f>
        <v/>
      </c>
      <c r="C183" s="1141"/>
      <c r="D183" s="1134" t="str">
        <f>IF(CONSOLIDA!CN164="","",CONSOLIDA!CN164)</f>
        <v/>
      </c>
      <c r="E183" s="1135"/>
      <c r="F183" s="1135"/>
      <c r="G183" s="1129" t="str">
        <f>IF(CONSOLIDA!CO164="","",CONSOLIDA!CO164)</f>
        <v/>
      </c>
      <c r="H183" s="1129"/>
      <c r="I183" s="1129"/>
      <c r="J183" s="1129"/>
      <c r="K183" s="1129"/>
      <c r="L183" s="1129"/>
      <c r="M183" s="1129"/>
      <c r="N183" s="1129"/>
      <c r="O183" s="1129"/>
      <c r="P183" s="1129"/>
      <c r="Q183" s="1129"/>
      <c r="R183" s="1129"/>
      <c r="S183" s="1129"/>
      <c r="T183" s="1129"/>
      <c r="U183" s="1129"/>
      <c r="V183" s="1129"/>
      <c r="W183" s="1129"/>
      <c r="X183" s="1129"/>
      <c r="Y183" s="1130"/>
      <c r="Z183" s="1139" t="str">
        <f>IF(CONSOLIDA!CP164="","",CONSOLIDA!CP164)</f>
        <v/>
      </c>
      <c r="AA183" s="1139"/>
      <c r="AB183" s="1139"/>
      <c r="AC183" s="1139"/>
      <c r="AD183" s="1139"/>
      <c r="AE183" s="1139"/>
      <c r="AF183" s="1139" t="str">
        <f>IF(CONSOLIDA!CQ164="","",CONSOLIDA!CQ164)</f>
        <v/>
      </c>
      <c r="AG183" s="1139"/>
      <c r="AH183" s="1139"/>
      <c r="AI183" s="1139"/>
      <c r="AJ183" s="1139"/>
      <c r="AK183" s="1139"/>
      <c r="AL183" s="1139" t="str">
        <f>IF(CONSOLIDA!CR164="","",CONSOLIDA!CR164)</f>
        <v/>
      </c>
      <c r="AM183" s="1139"/>
      <c r="AN183" s="1139"/>
      <c r="AO183" s="1139"/>
      <c r="AP183" s="1139"/>
      <c r="AQ183" s="1139"/>
      <c r="AR183" s="1139" t="str">
        <f>IF(CONSOLIDA!CS164="","",CONSOLIDA!CS164)</f>
        <v/>
      </c>
      <c r="AS183" s="1139"/>
      <c r="AT183" s="1139"/>
      <c r="AU183" s="1139"/>
      <c r="AV183" s="1139"/>
      <c r="AW183" s="1139"/>
      <c r="AX183" s="1140" t="str">
        <f>IF(CONSOLIDA!CT164="","",CONSOLIDA!CT164)</f>
        <v/>
      </c>
      <c r="AY183" s="1140"/>
      <c r="AZ183" s="1140"/>
      <c r="BA183" s="1140"/>
      <c r="BB183" s="1140"/>
      <c r="BC183" s="1140"/>
      <c r="BD183" s="1139" t="str">
        <f>IF(CONSOLIDA!CU164="","",CONSOLIDA!CU164)</f>
        <v/>
      </c>
      <c r="BE183" s="1139"/>
      <c r="BF183" s="1139"/>
      <c r="BG183" s="1139"/>
      <c r="BH183" s="1139"/>
      <c r="BI183" s="1139"/>
      <c r="BJ183" s="1139" t="str">
        <f>IF(CONSOLIDA!CV164="","",CONSOLIDA!CV164)</f>
        <v/>
      </c>
      <c r="BK183" s="1139"/>
      <c r="BL183" s="1139"/>
      <c r="BM183" s="1139"/>
      <c r="BN183" s="1139"/>
      <c r="BO183" s="1139"/>
      <c r="BP183" s="1139" t="str">
        <f>IF(CONSOLIDA!CW164="","",CONSOLIDA!CW164)</f>
        <v/>
      </c>
      <c r="BQ183" s="1139"/>
      <c r="BR183" s="1139"/>
      <c r="BS183" s="1139"/>
      <c r="BT183" s="1139"/>
      <c r="BU183" s="1139"/>
      <c r="BV183" s="1140" t="str">
        <f>IF(CONSOLIDA!CX164="","",CONSOLIDA!CX164)</f>
        <v/>
      </c>
      <c r="BW183" s="1140"/>
      <c r="BX183" s="1140"/>
      <c r="BY183" s="1140"/>
      <c r="BZ183" s="1140"/>
      <c r="CA183" s="1140"/>
      <c r="CB183" s="1139" t="str">
        <f>IF(CONSOLIDA!CY164="","",CONSOLIDA!CY164)</f>
        <v/>
      </c>
      <c r="CC183" s="1139"/>
      <c r="CD183" s="1139"/>
      <c r="CE183" s="1139"/>
      <c r="CF183" s="1139"/>
      <c r="CG183" s="1139"/>
      <c r="CH183" s="486"/>
      <c r="CI183" s="190" t="str">
        <f>IF(CONSOLIDA!CZ164="","",CONSOLIDA!CZ164)</f>
        <v/>
      </c>
      <c r="CJ183" s="190" t="str">
        <f>IF(CONSOLIDA!DA164="","",CONSOLIDA!DA164)</f>
        <v/>
      </c>
    </row>
    <row r="184" spans="1:88" s="3" customFormat="1" hidden="1">
      <c r="A184" s="243" t="str">
        <f t="shared" si="2"/>
        <v>OK</v>
      </c>
      <c r="B184" s="1141" t="str">
        <f>IF(CONSOLIDA!CL165="","",CONSOLIDA!CL165)</f>
        <v/>
      </c>
      <c r="C184" s="1141"/>
      <c r="D184" s="1134" t="str">
        <f>IF(CONSOLIDA!CN165="","",CONSOLIDA!CN165)</f>
        <v/>
      </c>
      <c r="E184" s="1135"/>
      <c r="F184" s="1135"/>
      <c r="G184" s="1129" t="str">
        <f>IF(CONSOLIDA!CO165="","",CONSOLIDA!CO165)</f>
        <v/>
      </c>
      <c r="H184" s="1129"/>
      <c r="I184" s="1129"/>
      <c r="J184" s="1129"/>
      <c r="K184" s="1129"/>
      <c r="L184" s="1129"/>
      <c r="M184" s="1129"/>
      <c r="N184" s="1129"/>
      <c r="O184" s="1129"/>
      <c r="P184" s="1129"/>
      <c r="Q184" s="1129"/>
      <c r="R184" s="1129"/>
      <c r="S184" s="1129"/>
      <c r="T184" s="1129"/>
      <c r="U184" s="1129"/>
      <c r="V184" s="1129"/>
      <c r="W184" s="1129"/>
      <c r="X184" s="1129"/>
      <c r="Y184" s="1130"/>
      <c r="Z184" s="1139" t="str">
        <f>IF(CONSOLIDA!CP165="","",CONSOLIDA!CP165)</f>
        <v/>
      </c>
      <c r="AA184" s="1139"/>
      <c r="AB184" s="1139"/>
      <c r="AC184" s="1139"/>
      <c r="AD184" s="1139"/>
      <c r="AE184" s="1139"/>
      <c r="AF184" s="1139" t="str">
        <f>IF(CONSOLIDA!CQ165="","",CONSOLIDA!CQ165)</f>
        <v/>
      </c>
      <c r="AG184" s="1139"/>
      <c r="AH184" s="1139"/>
      <c r="AI184" s="1139"/>
      <c r="AJ184" s="1139"/>
      <c r="AK184" s="1139"/>
      <c r="AL184" s="1139" t="str">
        <f>IF(CONSOLIDA!CR165="","",CONSOLIDA!CR165)</f>
        <v/>
      </c>
      <c r="AM184" s="1139"/>
      <c r="AN184" s="1139"/>
      <c r="AO184" s="1139"/>
      <c r="AP184" s="1139"/>
      <c r="AQ184" s="1139"/>
      <c r="AR184" s="1139" t="str">
        <f>IF(CONSOLIDA!CS165="","",CONSOLIDA!CS165)</f>
        <v/>
      </c>
      <c r="AS184" s="1139"/>
      <c r="AT184" s="1139"/>
      <c r="AU184" s="1139"/>
      <c r="AV184" s="1139"/>
      <c r="AW184" s="1139"/>
      <c r="AX184" s="1140" t="str">
        <f>IF(CONSOLIDA!CT165="","",CONSOLIDA!CT165)</f>
        <v/>
      </c>
      <c r="AY184" s="1140"/>
      <c r="AZ184" s="1140"/>
      <c r="BA184" s="1140"/>
      <c r="BB184" s="1140"/>
      <c r="BC184" s="1140"/>
      <c r="BD184" s="1139" t="str">
        <f>IF(CONSOLIDA!CU165="","",CONSOLIDA!CU165)</f>
        <v/>
      </c>
      <c r="BE184" s="1139"/>
      <c r="BF184" s="1139"/>
      <c r="BG184" s="1139"/>
      <c r="BH184" s="1139"/>
      <c r="BI184" s="1139"/>
      <c r="BJ184" s="1139" t="str">
        <f>IF(CONSOLIDA!CV165="","",CONSOLIDA!CV165)</f>
        <v/>
      </c>
      <c r="BK184" s="1139"/>
      <c r="BL184" s="1139"/>
      <c r="BM184" s="1139"/>
      <c r="BN184" s="1139"/>
      <c r="BO184" s="1139"/>
      <c r="BP184" s="1139" t="str">
        <f>IF(CONSOLIDA!CW165="","",CONSOLIDA!CW165)</f>
        <v/>
      </c>
      <c r="BQ184" s="1139"/>
      <c r="BR184" s="1139"/>
      <c r="BS184" s="1139"/>
      <c r="BT184" s="1139"/>
      <c r="BU184" s="1139"/>
      <c r="BV184" s="1140" t="str">
        <f>IF(CONSOLIDA!CX165="","",CONSOLIDA!CX165)</f>
        <v/>
      </c>
      <c r="BW184" s="1140"/>
      <c r="BX184" s="1140"/>
      <c r="BY184" s="1140"/>
      <c r="BZ184" s="1140"/>
      <c r="CA184" s="1140"/>
      <c r="CB184" s="1139" t="str">
        <f>IF(CONSOLIDA!CY165="","",CONSOLIDA!CY165)</f>
        <v/>
      </c>
      <c r="CC184" s="1139"/>
      <c r="CD184" s="1139"/>
      <c r="CE184" s="1139"/>
      <c r="CF184" s="1139"/>
      <c r="CG184" s="1139"/>
      <c r="CH184" s="486"/>
      <c r="CI184" s="190" t="str">
        <f>IF(CONSOLIDA!CZ165="","",CONSOLIDA!CZ165)</f>
        <v/>
      </c>
      <c r="CJ184" s="190" t="str">
        <f>IF(CONSOLIDA!DA165="","",CONSOLIDA!DA165)</f>
        <v/>
      </c>
    </row>
    <row r="185" spans="1:88" s="3" customFormat="1" hidden="1">
      <c r="A185" s="243" t="str">
        <f t="shared" si="2"/>
        <v>OK</v>
      </c>
      <c r="B185" s="1141" t="str">
        <f>IF(CONSOLIDA!CL166="","",CONSOLIDA!CL166)</f>
        <v/>
      </c>
      <c r="C185" s="1141"/>
      <c r="D185" s="1134" t="str">
        <f>IF(CONSOLIDA!CN166="","",CONSOLIDA!CN166)</f>
        <v/>
      </c>
      <c r="E185" s="1135"/>
      <c r="F185" s="1135"/>
      <c r="G185" s="1129" t="str">
        <f>IF(CONSOLIDA!CO166="","",CONSOLIDA!CO166)</f>
        <v/>
      </c>
      <c r="H185" s="1129"/>
      <c r="I185" s="1129"/>
      <c r="J185" s="1129"/>
      <c r="K185" s="1129"/>
      <c r="L185" s="1129"/>
      <c r="M185" s="1129"/>
      <c r="N185" s="1129"/>
      <c r="O185" s="1129"/>
      <c r="P185" s="1129"/>
      <c r="Q185" s="1129"/>
      <c r="R185" s="1129"/>
      <c r="S185" s="1129"/>
      <c r="T185" s="1129"/>
      <c r="U185" s="1129"/>
      <c r="V185" s="1129"/>
      <c r="W185" s="1129"/>
      <c r="X185" s="1129"/>
      <c r="Y185" s="1130"/>
      <c r="Z185" s="1139" t="str">
        <f>IF(CONSOLIDA!CP166="","",CONSOLIDA!CP166)</f>
        <v/>
      </c>
      <c r="AA185" s="1139"/>
      <c r="AB185" s="1139"/>
      <c r="AC185" s="1139"/>
      <c r="AD185" s="1139"/>
      <c r="AE185" s="1139"/>
      <c r="AF185" s="1139" t="str">
        <f>IF(CONSOLIDA!CQ166="","",CONSOLIDA!CQ166)</f>
        <v/>
      </c>
      <c r="AG185" s="1139"/>
      <c r="AH185" s="1139"/>
      <c r="AI185" s="1139"/>
      <c r="AJ185" s="1139"/>
      <c r="AK185" s="1139"/>
      <c r="AL185" s="1139" t="str">
        <f>IF(CONSOLIDA!CR166="","",CONSOLIDA!CR166)</f>
        <v/>
      </c>
      <c r="AM185" s="1139"/>
      <c r="AN185" s="1139"/>
      <c r="AO185" s="1139"/>
      <c r="AP185" s="1139"/>
      <c r="AQ185" s="1139"/>
      <c r="AR185" s="1139" t="str">
        <f>IF(CONSOLIDA!CS166="","",CONSOLIDA!CS166)</f>
        <v/>
      </c>
      <c r="AS185" s="1139"/>
      <c r="AT185" s="1139"/>
      <c r="AU185" s="1139"/>
      <c r="AV185" s="1139"/>
      <c r="AW185" s="1139"/>
      <c r="AX185" s="1140" t="str">
        <f>IF(CONSOLIDA!CT166="","",CONSOLIDA!CT166)</f>
        <v/>
      </c>
      <c r="AY185" s="1140"/>
      <c r="AZ185" s="1140"/>
      <c r="BA185" s="1140"/>
      <c r="BB185" s="1140"/>
      <c r="BC185" s="1140"/>
      <c r="BD185" s="1139" t="str">
        <f>IF(CONSOLIDA!CU166="","",CONSOLIDA!CU166)</f>
        <v/>
      </c>
      <c r="BE185" s="1139"/>
      <c r="BF185" s="1139"/>
      <c r="BG185" s="1139"/>
      <c r="BH185" s="1139"/>
      <c r="BI185" s="1139"/>
      <c r="BJ185" s="1139" t="str">
        <f>IF(CONSOLIDA!CV166="","",CONSOLIDA!CV166)</f>
        <v/>
      </c>
      <c r="BK185" s="1139"/>
      <c r="BL185" s="1139"/>
      <c r="BM185" s="1139"/>
      <c r="BN185" s="1139"/>
      <c r="BO185" s="1139"/>
      <c r="BP185" s="1139" t="str">
        <f>IF(CONSOLIDA!CW166="","",CONSOLIDA!CW166)</f>
        <v/>
      </c>
      <c r="BQ185" s="1139"/>
      <c r="BR185" s="1139"/>
      <c r="BS185" s="1139"/>
      <c r="BT185" s="1139"/>
      <c r="BU185" s="1139"/>
      <c r="BV185" s="1140" t="str">
        <f>IF(CONSOLIDA!CX166="","",CONSOLIDA!CX166)</f>
        <v/>
      </c>
      <c r="BW185" s="1140"/>
      <c r="BX185" s="1140"/>
      <c r="BY185" s="1140"/>
      <c r="BZ185" s="1140"/>
      <c r="CA185" s="1140"/>
      <c r="CB185" s="1139" t="str">
        <f>IF(CONSOLIDA!CY166="","",CONSOLIDA!CY166)</f>
        <v/>
      </c>
      <c r="CC185" s="1139"/>
      <c r="CD185" s="1139"/>
      <c r="CE185" s="1139"/>
      <c r="CF185" s="1139"/>
      <c r="CG185" s="1139"/>
      <c r="CH185" s="486"/>
      <c r="CI185" s="190" t="str">
        <f>IF(CONSOLIDA!CZ166="","",CONSOLIDA!CZ166)</f>
        <v/>
      </c>
      <c r="CJ185" s="190" t="str">
        <f>IF(CONSOLIDA!DA166="","",CONSOLIDA!DA166)</f>
        <v/>
      </c>
    </row>
    <row r="186" spans="1:88" s="3" customFormat="1" hidden="1">
      <c r="A186" s="243" t="str">
        <f t="shared" si="2"/>
        <v>OK</v>
      </c>
      <c r="B186" s="1141" t="str">
        <f>IF(CONSOLIDA!CL167="","",CONSOLIDA!CL167)</f>
        <v/>
      </c>
      <c r="C186" s="1141"/>
      <c r="D186" s="1134" t="str">
        <f>IF(CONSOLIDA!CN167="","",CONSOLIDA!CN167)</f>
        <v/>
      </c>
      <c r="E186" s="1135"/>
      <c r="F186" s="1135"/>
      <c r="G186" s="1129" t="str">
        <f>IF(CONSOLIDA!CO167="","",CONSOLIDA!CO167)</f>
        <v/>
      </c>
      <c r="H186" s="1129"/>
      <c r="I186" s="1129"/>
      <c r="J186" s="1129"/>
      <c r="K186" s="1129"/>
      <c r="L186" s="1129"/>
      <c r="M186" s="1129"/>
      <c r="N186" s="1129"/>
      <c r="O186" s="1129"/>
      <c r="P186" s="1129"/>
      <c r="Q186" s="1129"/>
      <c r="R186" s="1129"/>
      <c r="S186" s="1129"/>
      <c r="T186" s="1129"/>
      <c r="U186" s="1129"/>
      <c r="V186" s="1129"/>
      <c r="W186" s="1129"/>
      <c r="X186" s="1129"/>
      <c r="Y186" s="1130"/>
      <c r="Z186" s="1139" t="str">
        <f>IF(CONSOLIDA!CP167="","",CONSOLIDA!CP167)</f>
        <v/>
      </c>
      <c r="AA186" s="1139"/>
      <c r="AB186" s="1139"/>
      <c r="AC186" s="1139"/>
      <c r="AD186" s="1139"/>
      <c r="AE186" s="1139"/>
      <c r="AF186" s="1139" t="str">
        <f>IF(CONSOLIDA!CQ167="","",CONSOLIDA!CQ167)</f>
        <v/>
      </c>
      <c r="AG186" s="1139"/>
      <c r="AH186" s="1139"/>
      <c r="AI186" s="1139"/>
      <c r="AJ186" s="1139"/>
      <c r="AK186" s="1139"/>
      <c r="AL186" s="1139" t="str">
        <f>IF(CONSOLIDA!CR167="","",CONSOLIDA!CR167)</f>
        <v/>
      </c>
      <c r="AM186" s="1139"/>
      <c r="AN186" s="1139"/>
      <c r="AO186" s="1139"/>
      <c r="AP186" s="1139"/>
      <c r="AQ186" s="1139"/>
      <c r="AR186" s="1139" t="str">
        <f>IF(CONSOLIDA!CS167="","",CONSOLIDA!CS167)</f>
        <v/>
      </c>
      <c r="AS186" s="1139"/>
      <c r="AT186" s="1139"/>
      <c r="AU186" s="1139"/>
      <c r="AV186" s="1139"/>
      <c r="AW186" s="1139"/>
      <c r="AX186" s="1140" t="str">
        <f>IF(CONSOLIDA!CT167="","",CONSOLIDA!CT167)</f>
        <v/>
      </c>
      <c r="AY186" s="1140"/>
      <c r="AZ186" s="1140"/>
      <c r="BA186" s="1140"/>
      <c r="BB186" s="1140"/>
      <c r="BC186" s="1140"/>
      <c r="BD186" s="1139" t="str">
        <f>IF(CONSOLIDA!CU167="","",CONSOLIDA!CU167)</f>
        <v/>
      </c>
      <c r="BE186" s="1139"/>
      <c r="BF186" s="1139"/>
      <c r="BG186" s="1139"/>
      <c r="BH186" s="1139"/>
      <c r="BI186" s="1139"/>
      <c r="BJ186" s="1139" t="str">
        <f>IF(CONSOLIDA!CV167="","",CONSOLIDA!CV167)</f>
        <v/>
      </c>
      <c r="BK186" s="1139"/>
      <c r="BL186" s="1139"/>
      <c r="BM186" s="1139"/>
      <c r="BN186" s="1139"/>
      <c r="BO186" s="1139"/>
      <c r="BP186" s="1139" t="str">
        <f>IF(CONSOLIDA!CW167="","",CONSOLIDA!CW167)</f>
        <v/>
      </c>
      <c r="BQ186" s="1139"/>
      <c r="BR186" s="1139"/>
      <c r="BS186" s="1139"/>
      <c r="BT186" s="1139"/>
      <c r="BU186" s="1139"/>
      <c r="BV186" s="1140" t="str">
        <f>IF(CONSOLIDA!CX167="","",CONSOLIDA!CX167)</f>
        <v/>
      </c>
      <c r="BW186" s="1140"/>
      <c r="BX186" s="1140"/>
      <c r="BY186" s="1140"/>
      <c r="BZ186" s="1140"/>
      <c r="CA186" s="1140"/>
      <c r="CB186" s="1139" t="str">
        <f>IF(CONSOLIDA!CY167="","",CONSOLIDA!CY167)</f>
        <v/>
      </c>
      <c r="CC186" s="1139"/>
      <c r="CD186" s="1139"/>
      <c r="CE186" s="1139"/>
      <c r="CF186" s="1139"/>
      <c r="CG186" s="1139"/>
      <c r="CH186" s="486"/>
      <c r="CI186" s="190" t="str">
        <f>IF(CONSOLIDA!CZ167="","",CONSOLIDA!CZ167)</f>
        <v/>
      </c>
      <c r="CJ186" s="190" t="str">
        <f>IF(CONSOLIDA!DA167="","",CONSOLIDA!DA167)</f>
        <v/>
      </c>
    </row>
    <row r="187" spans="1:88" s="3" customFormat="1" hidden="1">
      <c r="A187" s="243" t="str">
        <f t="shared" si="2"/>
        <v>OK</v>
      </c>
      <c r="B187" s="1141" t="str">
        <f>IF(CONSOLIDA!CL168="","",CONSOLIDA!CL168)</f>
        <v/>
      </c>
      <c r="C187" s="1141"/>
      <c r="D187" s="1134" t="str">
        <f>IF(CONSOLIDA!CN168="","",CONSOLIDA!CN168)</f>
        <v/>
      </c>
      <c r="E187" s="1135"/>
      <c r="F187" s="1135"/>
      <c r="G187" s="1129" t="str">
        <f>IF(CONSOLIDA!CO168="","",CONSOLIDA!CO168)</f>
        <v/>
      </c>
      <c r="H187" s="1129"/>
      <c r="I187" s="1129"/>
      <c r="J187" s="1129"/>
      <c r="K187" s="1129"/>
      <c r="L187" s="1129"/>
      <c r="M187" s="1129"/>
      <c r="N187" s="1129"/>
      <c r="O187" s="1129"/>
      <c r="P187" s="1129"/>
      <c r="Q187" s="1129"/>
      <c r="R187" s="1129"/>
      <c r="S187" s="1129"/>
      <c r="T187" s="1129"/>
      <c r="U187" s="1129"/>
      <c r="V187" s="1129"/>
      <c r="W187" s="1129"/>
      <c r="X187" s="1129"/>
      <c r="Y187" s="1130"/>
      <c r="Z187" s="1139" t="str">
        <f>IF(CONSOLIDA!CP168="","",CONSOLIDA!CP168)</f>
        <v/>
      </c>
      <c r="AA187" s="1139"/>
      <c r="AB187" s="1139"/>
      <c r="AC187" s="1139"/>
      <c r="AD187" s="1139"/>
      <c r="AE187" s="1139"/>
      <c r="AF187" s="1139" t="str">
        <f>IF(CONSOLIDA!CQ168="","",CONSOLIDA!CQ168)</f>
        <v/>
      </c>
      <c r="AG187" s="1139"/>
      <c r="AH187" s="1139"/>
      <c r="AI187" s="1139"/>
      <c r="AJ187" s="1139"/>
      <c r="AK187" s="1139"/>
      <c r="AL187" s="1139" t="str">
        <f>IF(CONSOLIDA!CR168="","",CONSOLIDA!CR168)</f>
        <v/>
      </c>
      <c r="AM187" s="1139"/>
      <c r="AN187" s="1139"/>
      <c r="AO187" s="1139"/>
      <c r="AP187" s="1139"/>
      <c r="AQ187" s="1139"/>
      <c r="AR187" s="1139" t="str">
        <f>IF(CONSOLIDA!CS168="","",CONSOLIDA!CS168)</f>
        <v/>
      </c>
      <c r="AS187" s="1139"/>
      <c r="AT187" s="1139"/>
      <c r="AU187" s="1139"/>
      <c r="AV187" s="1139"/>
      <c r="AW187" s="1139"/>
      <c r="AX187" s="1140" t="str">
        <f>IF(CONSOLIDA!CT168="","",CONSOLIDA!CT168)</f>
        <v/>
      </c>
      <c r="AY187" s="1140"/>
      <c r="AZ187" s="1140"/>
      <c r="BA187" s="1140"/>
      <c r="BB187" s="1140"/>
      <c r="BC187" s="1140"/>
      <c r="BD187" s="1139" t="str">
        <f>IF(CONSOLIDA!CU168="","",CONSOLIDA!CU168)</f>
        <v/>
      </c>
      <c r="BE187" s="1139"/>
      <c r="BF187" s="1139"/>
      <c r="BG187" s="1139"/>
      <c r="BH187" s="1139"/>
      <c r="BI187" s="1139"/>
      <c r="BJ187" s="1139" t="str">
        <f>IF(CONSOLIDA!CV168="","",CONSOLIDA!CV168)</f>
        <v/>
      </c>
      <c r="BK187" s="1139"/>
      <c r="BL187" s="1139"/>
      <c r="BM187" s="1139"/>
      <c r="BN187" s="1139"/>
      <c r="BO187" s="1139"/>
      <c r="BP187" s="1139" t="str">
        <f>IF(CONSOLIDA!CW168="","",CONSOLIDA!CW168)</f>
        <v/>
      </c>
      <c r="BQ187" s="1139"/>
      <c r="BR187" s="1139"/>
      <c r="BS187" s="1139"/>
      <c r="BT187" s="1139"/>
      <c r="BU187" s="1139"/>
      <c r="BV187" s="1140" t="str">
        <f>IF(CONSOLIDA!CX168="","",CONSOLIDA!CX168)</f>
        <v/>
      </c>
      <c r="BW187" s="1140"/>
      <c r="BX187" s="1140"/>
      <c r="BY187" s="1140"/>
      <c r="BZ187" s="1140"/>
      <c r="CA187" s="1140"/>
      <c r="CB187" s="1139" t="str">
        <f>IF(CONSOLIDA!CY168="","",CONSOLIDA!CY168)</f>
        <v/>
      </c>
      <c r="CC187" s="1139"/>
      <c r="CD187" s="1139"/>
      <c r="CE187" s="1139"/>
      <c r="CF187" s="1139"/>
      <c r="CG187" s="1139"/>
      <c r="CH187" s="486"/>
      <c r="CI187" s="190" t="str">
        <f>IF(CONSOLIDA!CZ168="","",CONSOLIDA!CZ168)</f>
        <v/>
      </c>
      <c r="CJ187" s="190" t="str">
        <f>IF(CONSOLIDA!DA168="","",CONSOLIDA!DA168)</f>
        <v/>
      </c>
    </row>
    <row r="188" spans="1:88" s="3" customFormat="1" hidden="1">
      <c r="A188" s="243" t="str">
        <f t="shared" si="2"/>
        <v>OK</v>
      </c>
      <c r="B188" s="1141" t="str">
        <f>IF(CONSOLIDA!CL169="","",CONSOLIDA!CL169)</f>
        <v/>
      </c>
      <c r="C188" s="1141"/>
      <c r="D188" s="1134" t="str">
        <f>IF(CONSOLIDA!CN169="","",CONSOLIDA!CN169)</f>
        <v/>
      </c>
      <c r="E188" s="1135"/>
      <c r="F188" s="1135"/>
      <c r="G188" s="1129" t="str">
        <f>IF(CONSOLIDA!CO169="","",CONSOLIDA!CO169)</f>
        <v/>
      </c>
      <c r="H188" s="1129"/>
      <c r="I188" s="1129"/>
      <c r="J188" s="1129"/>
      <c r="K188" s="1129"/>
      <c r="L188" s="1129"/>
      <c r="M188" s="1129"/>
      <c r="N188" s="1129"/>
      <c r="O188" s="1129"/>
      <c r="P188" s="1129"/>
      <c r="Q188" s="1129"/>
      <c r="R188" s="1129"/>
      <c r="S188" s="1129"/>
      <c r="T188" s="1129"/>
      <c r="U188" s="1129"/>
      <c r="V188" s="1129"/>
      <c r="W188" s="1129"/>
      <c r="X188" s="1129"/>
      <c r="Y188" s="1130"/>
      <c r="Z188" s="1139" t="str">
        <f>IF(CONSOLIDA!CP169="","",CONSOLIDA!CP169)</f>
        <v/>
      </c>
      <c r="AA188" s="1139"/>
      <c r="AB188" s="1139"/>
      <c r="AC188" s="1139"/>
      <c r="AD188" s="1139"/>
      <c r="AE188" s="1139"/>
      <c r="AF188" s="1139" t="str">
        <f>IF(CONSOLIDA!CQ169="","",CONSOLIDA!CQ169)</f>
        <v/>
      </c>
      <c r="AG188" s="1139"/>
      <c r="AH188" s="1139"/>
      <c r="AI188" s="1139"/>
      <c r="AJ188" s="1139"/>
      <c r="AK188" s="1139"/>
      <c r="AL188" s="1139" t="str">
        <f>IF(CONSOLIDA!CR169="","",CONSOLIDA!CR169)</f>
        <v/>
      </c>
      <c r="AM188" s="1139"/>
      <c r="AN188" s="1139"/>
      <c r="AO188" s="1139"/>
      <c r="AP188" s="1139"/>
      <c r="AQ188" s="1139"/>
      <c r="AR188" s="1139" t="str">
        <f>IF(CONSOLIDA!CS169="","",CONSOLIDA!CS169)</f>
        <v/>
      </c>
      <c r="AS188" s="1139"/>
      <c r="AT188" s="1139"/>
      <c r="AU188" s="1139"/>
      <c r="AV188" s="1139"/>
      <c r="AW188" s="1139"/>
      <c r="AX188" s="1140" t="str">
        <f>IF(CONSOLIDA!CT169="","",CONSOLIDA!CT169)</f>
        <v/>
      </c>
      <c r="AY188" s="1140"/>
      <c r="AZ188" s="1140"/>
      <c r="BA188" s="1140"/>
      <c r="BB188" s="1140"/>
      <c r="BC188" s="1140"/>
      <c r="BD188" s="1139" t="str">
        <f>IF(CONSOLIDA!CU169="","",CONSOLIDA!CU169)</f>
        <v/>
      </c>
      <c r="BE188" s="1139"/>
      <c r="BF188" s="1139"/>
      <c r="BG188" s="1139"/>
      <c r="BH188" s="1139"/>
      <c r="BI188" s="1139"/>
      <c r="BJ188" s="1139" t="str">
        <f>IF(CONSOLIDA!CV169="","",CONSOLIDA!CV169)</f>
        <v/>
      </c>
      <c r="BK188" s="1139"/>
      <c r="BL188" s="1139"/>
      <c r="BM188" s="1139"/>
      <c r="BN188" s="1139"/>
      <c r="BO188" s="1139"/>
      <c r="BP188" s="1139" t="str">
        <f>IF(CONSOLIDA!CW169="","",CONSOLIDA!CW169)</f>
        <v/>
      </c>
      <c r="BQ188" s="1139"/>
      <c r="BR188" s="1139"/>
      <c r="BS188" s="1139"/>
      <c r="BT188" s="1139"/>
      <c r="BU188" s="1139"/>
      <c r="BV188" s="1140" t="str">
        <f>IF(CONSOLIDA!CX169="","",CONSOLIDA!CX169)</f>
        <v/>
      </c>
      <c r="BW188" s="1140"/>
      <c r="BX188" s="1140"/>
      <c r="BY188" s="1140"/>
      <c r="BZ188" s="1140"/>
      <c r="CA188" s="1140"/>
      <c r="CB188" s="1139" t="str">
        <f>IF(CONSOLIDA!CY169="","",CONSOLIDA!CY169)</f>
        <v/>
      </c>
      <c r="CC188" s="1139"/>
      <c r="CD188" s="1139"/>
      <c r="CE188" s="1139"/>
      <c r="CF188" s="1139"/>
      <c r="CG188" s="1139"/>
      <c r="CH188" s="486"/>
      <c r="CI188" s="190" t="str">
        <f>IF(CONSOLIDA!CZ169="","",CONSOLIDA!CZ169)</f>
        <v/>
      </c>
      <c r="CJ188" s="190" t="str">
        <f>IF(CONSOLIDA!DA169="","",CONSOLIDA!DA169)</f>
        <v/>
      </c>
    </row>
    <row r="189" spans="1:88" s="3" customFormat="1" hidden="1">
      <c r="A189" s="243" t="str">
        <f t="shared" si="2"/>
        <v>OK</v>
      </c>
      <c r="B189" s="1141" t="str">
        <f>IF(CONSOLIDA!CL170="","",CONSOLIDA!CL170)</f>
        <v/>
      </c>
      <c r="C189" s="1141"/>
      <c r="D189" s="1134" t="str">
        <f>IF(CONSOLIDA!CN170="","",CONSOLIDA!CN170)</f>
        <v/>
      </c>
      <c r="E189" s="1135"/>
      <c r="F189" s="1135"/>
      <c r="G189" s="1129" t="str">
        <f>IF(CONSOLIDA!CO170="","",CONSOLIDA!CO170)</f>
        <v/>
      </c>
      <c r="H189" s="1129"/>
      <c r="I189" s="1129"/>
      <c r="J189" s="1129"/>
      <c r="K189" s="1129"/>
      <c r="L189" s="1129"/>
      <c r="M189" s="1129"/>
      <c r="N189" s="1129"/>
      <c r="O189" s="1129"/>
      <c r="P189" s="1129"/>
      <c r="Q189" s="1129"/>
      <c r="R189" s="1129"/>
      <c r="S189" s="1129"/>
      <c r="T189" s="1129"/>
      <c r="U189" s="1129"/>
      <c r="V189" s="1129"/>
      <c r="W189" s="1129"/>
      <c r="X189" s="1129"/>
      <c r="Y189" s="1130"/>
      <c r="Z189" s="1139" t="str">
        <f>IF(CONSOLIDA!CP170="","",CONSOLIDA!CP170)</f>
        <v/>
      </c>
      <c r="AA189" s="1139"/>
      <c r="AB189" s="1139"/>
      <c r="AC189" s="1139"/>
      <c r="AD189" s="1139"/>
      <c r="AE189" s="1139"/>
      <c r="AF189" s="1139" t="str">
        <f>IF(CONSOLIDA!CQ170="","",CONSOLIDA!CQ170)</f>
        <v/>
      </c>
      <c r="AG189" s="1139"/>
      <c r="AH189" s="1139"/>
      <c r="AI189" s="1139"/>
      <c r="AJ189" s="1139"/>
      <c r="AK189" s="1139"/>
      <c r="AL189" s="1139" t="str">
        <f>IF(CONSOLIDA!CR170="","",CONSOLIDA!CR170)</f>
        <v/>
      </c>
      <c r="AM189" s="1139"/>
      <c r="AN189" s="1139"/>
      <c r="AO189" s="1139"/>
      <c r="AP189" s="1139"/>
      <c r="AQ189" s="1139"/>
      <c r="AR189" s="1139" t="str">
        <f>IF(CONSOLIDA!CS170="","",CONSOLIDA!CS170)</f>
        <v/>
      </c>
      <c r="AS189" s="1139"/>
      <c r="AT189" s="1139"/>
      <c r="AU189" s="1139"/>
      <c r="AV189" s="1139"/>
      <c r="AW189" s="1139"/>
      <c r="AX189" s="1140" t="str">
        <f>IF(CONSOLIDA!CT170="","",CONSOLIDA!CT170)</f>
        <v/>
      </c>
      <c r="AY189" s="1140"/>
      <c r="AZ189" s="1140"/>
      <c r="BA189" s="1140"/>
      <c r="BB189" s="1140"/>
      <c r="BC189" s="1140"/>
      <c r="BD189" s="1139" t="str">
        <f>IF(CONSOLIDA!CU170="","",CONSOLIDA!CU170)</f>
        <v/>
      </c>
      <c r="BE189" s="1139"/>
      <c r="BF189" s="1139"/>
      <c r="BG189" s="1139"/>
      <c r="BH189" s="1139"/>
      <c r="BI189" s="1139"/>
      <c r="BJ189" s="1139" t="str">
        <f>IF(CONSOLIDA!CV170="","",CONSOLIDA!CV170)</f>
        <v/>
      </c>
      <c r="BK189" s="1139"/>
      <c r="BL189" s="1139"/>
      <c r="BM189" s="1139"/>
      <c r="BN189" s="1139"/>
      <c r="BO189" s="1139"/>
      <c r="BP189" s="1139" t="str">
        <f>IF(CONSOLIDA!CW170="","",CONSOLIDA!CW170)</f>
        <v/>
      </c>
      <c r="BQ189" s="1139"/>
      <c r="BR189" s="1139"/>
      <c r="BS189" s="1139"/>
      <c r="BT189" s="1139"/>
      <c r="BU189" s="1139"/>
      <c r="BV189" s="1140" t="str">
        <f>IF(CONSOLIDA!CX170="","",CONSOLIDA!CX170)</f>
        <v/>
      </c>
      <c r="BW189" s="1140"/>
      <c r="BX189" s="1140"/>
      <c r="BY189" s="1140"/>
      <c r="BZ189" s="1140"/>
      <c r="CA189" s="1140"/>
      <c r="CB189" s="1139" t="str">
        <f>IF(CONSOLIDA!CY170="","",CONSOLIDA!CY170)</f>
        <v/>
      </c>
      <c r="CC189" s="1139"/>
      <c r="CD189" s="1139"/>
      <c r="CE189" s="1139"/>
      <c r="CF189" s="1139"/>
      <c r="CG189" s="1139"/>
      <c r="CH189" s="486"/>
      <c r="CI189" s="190" t="str">
        <f>IF(CONSOLIDA!CZ170="","",CONSOLIDA!CZ170)</f>
        <v/>
      </c>
      <c r="CJ189" s="190" t="str">
        <f>IF(CONSOLIDA!DA170="","",CONSOLIDA!DA170)</f>
        <v/>
      </c>
    </row>
    <row r="190" spans="1:88" s="3" customFormat="1" hidden="1">
      <c r="A190" s="243" t="str">
        <f t="shared" si="2"/>
        <v>OK</v>
      </c>
      <c r="B190" s="1141" t="str">
        <f>IF(CONSOLIDA!CL171="","",CONSOLIDA!CL171)</f>
        <v/>
      </c>
      <c r="C190" s="1141"/>
      <c r="D190" s="1134" t="str">
        <f>IF(CONSOLIDA!CN171="","",CONSOLIDA!CN171)</f>
        <v/>
      </c>
      <c r="E190" s="1135"/>
      <c r="F190" s="1135"/>
      <c r="G190" s="1129" t="str">
        <f>IF(CONSOLIDA!CO171="","",CONSOLIDA!CO171)</f>
        <v/>
      </c>
      <c r="H190" s="1129"/>
      <c r="I190" s="1129"/>
      <c r="J190" s="1129"/>
      <c r="K190" s="1129"/>
      <c r="L190" s="1129"/>
      <c r="M190" s="1129"/>
      <c r="N190" s="1129"/>
      <c r="O190" s="1129"/>
      <c r="P190" s="1129"/>
      <c r="Q190" s="1129"/>
      <c r="R190" s="1129"/>
      <c r="S190" s="1129"/>
      <c r="T190" s="1129"/>
      <c r="U190" s="1129"/>
      <c r="V190" s="1129"/>
      <c r="W190" s="1129"/>
      <c r="X190" s="1129"/>
      <c r="Y190" s="1130"/>
      <c r="Z190" s="1139" t="str">
        <f>IF(CONSOLIDA!CP171="","",CONSOLIDA!CP171)</f>
        <v/>
      </c>
      <c r="AA190" s="1139"/>
      <c r="AB190" s="1139"/>
      <c r="AC190" s="1139"/>
      <c r="AD190" s="1139"/>
      <c r="AE190" s="1139"/>
      <c r="AF190" s="1139" t="str">
        <f>IF(CONSOLIDA!CQ171="","",CONSOLIDA!CQ171)</f>
        <v/>
      </c>
      <c r="AG190" s="1139"/>
      <c r="AH190" s="1139"/>
      <c r="AI190" s="1139"/>
      <c r="AJ190" s="1139"/>
      <c r="AK190" s="1139"/>
      <c r="AL190" s="1139" t="str">
        <f>IF(CONSOLIDA!CR171="","",CONSOLIDA!CR171)</f>
        <v/>
      </c>
      <c r="AM190" s="1139"/>
      <c r="AN190" s="1139"/>
      <c r="AO190" s="1139"/>
      <c r="AP190" s="1139"/>
      <c r="AQ190" s="1139"/>
      <c r="AR190" s="1139" t="str">
        <f>IF(CONSOLIDA!CS171="","",CONSOLIDA!CS171)</f>
        <v/>
      </c>
      <c r="AS190" s="1139"/>
      <c r="AT190" s="1139"/>
      <c r="AU190" s="1139"/>
      <c r="AV190" s="1139"/>
      <c r="AW190" s="1139"/>
      <c r="AX190" s="1140" t="str">
        <f>IF(CONSOLIDA!CT171="","",CONSOLIDA!CT171)</f>
        <v/>
      </c>
      <c r="AY190" s="1140"/>
      <c r="AZ190" s="1140"/>
      <c r="BA190" s="1140"/>
      <c r="BB190" s="1140"/>
      <c r="BC190" s="1140"/>
      <c r="BD190" s="1139" t="str">
        <f>IF(CONSOLIDA!CU171="","",CONSOLIDA!CU171)</f>
        <v/>
      </c>
      <c r="BE190" s="1139"/>
      <c r="BF190" s="1139"/>
      <c r="BG190" s="1139"/>
      <c r="BH190" s="1139"/>
      <c r="BI190" s="1139"/>
      <c r="BJ190" s="1139" t="str">
        <f>IF(CONSOLIDA!CV171="","",CONSOLIDA!CV171)</f>
        <v/>
      </c>
      <c r="BK190" s="1139"/>
      <c r="BL190" s="1139"/>
      <c r="BM190" s="1139"/>
      <c r="BN190" s="1139"/>
      <c r="BO190" s="1139"/>
      <c r="BP190" s="1139" t="str">
        <f>IF(CONSOLIDA!CW171="","",CONSOLIDA!CW171)</f>
        <v/>
      </c>
      <c r="BQ190" s="1139"/>
      <c r="BR190" s="1139"/>
      <c r="BS190" s="1139"/>
      <c r="BT190" s="1139"/>
      <c r="BU190" s="1139"/>
      <c r="BV190" s="1140" t="str">
        <f>IF(CONSOLIDA!CX171="","",CONSOLIDA!CX171)</f>
        <v/>
      </c>
      <c r="BW190" s="1140"/>
      <c r="BX190" s="1140"/>
      <c r="BY190" s="1140"/>
      <c r="BZ190" s="1140"/>
      <c r="CA190" s="1140"/>
      <c r="CB190" s="1139" t="str">
        <f>IF(CONSOLIDA!CY171="","",CONSOLIDA!CY171)</f>
        <v/>
      </c>
      <c r="CC190" s="1139"/>
      <c r="CD190" s="1139"/>
      <c r="CE190" s="1139"/>
      <c r="CF190" s="1139"/>
      <c r="CG190" s="1139"/>
      <c r="CH190" s="486"/>
      <c r="CI190" s="190" t="str">
        <f>IF(CONSOLIDA!CZ171="","",CONSOLIDA!CZ171)</f>
        <v/>
      </c>
      <c r="CJ190" s="190" t="str">
        <f>IF(CONSOLIDA!DA171="","",CONSOLIDA!DA171)</f>
        <v/>
      </c>
    </row>
    <row r="191" spans="1:88" s="3" customFormat="1" hidden="1">
      <c r="A191" s="243" t="str">
        <f t="shared" si="2"/>
        <v>OK</v>
      </c>
      <c r="B191" s="1141" t="str">
        <f>IF(CONSOLIDA!CL172="","",CONSOLIDA!CL172)</f>
        <v/>
      </c>
      <c r="C191" s="1141"/>
      <c r="D191" s="1134" t="str">
        <f>IF(CONSOLIDA!CN172="","",CONSOLIDA!CN172)</f>
        <v/>
      </c>
      <c r="E191" s="1135"/>
      <c r="F191" s="1135"/>
      <c r="G191" s="1129" t="str">
        <f>IF(CONSOLIDA!CO172="","",CONSOLIDA!CO172)</f>
        <v/>
      </c>
      <c r="H191" s="1129"/>
      <c r="I191" s="1129"/>
      <c r="J191" s="1129"/>
      <c r="K191" s="1129"/>
      <c r="L191" s="1129"/>
      <c r="M191" s="1129"/>
      <c r="N191" s="1129"/>
      <c r="O191" s="1129"/>
      <c r="P191" s="1129"/>
      <c r="Q191" s="1129"/>
      <c r="R191" s="1129"/>
      <c r="S191" s="1129"/>
      <c r="T191" s="1129"/>
      <c r="U191" s="1129"/>
      <c r="V191" s="1129"/>
      <c r="W191" s="1129"/>
      <c r="X191" s="1129"/>
      <c r="Y191" s="1130"/>
      <c r="Z191" s="1139" t="str">
        <f>IF(CONSOLIDA!CP172="","",CONSOLIDA!CP172)</f>
        <v/>
      </c>
      <c r="AA191" s="1139"/>
      <c r="AB191" s="1139"/>
      <c r="AC191" s="1139"/>
      <c r="AD191" s="1139"/>
      <c r="AE191" s="1139"/>
      <c r="AF191" s="1139" t="str">
        <f>IF(CONSOLIDA!CQ172="","",CONSOLIDA!CQ172)</f>
        <v/>
      </c>
      <c r="AG191" s="1139"/>
      <c r="AH191" s="1139"/>
      <c r="AI191" s="1139"/>
      <c r="AJ191" s="1139"/>
      <c r="AK191" s="1139"/>
      <c r="AL191" s="1139" t="str">
        <f>IF(CONSOLIDA!CR172="","",CONSOLIDA!CR172)</f>
        <v/>
      </c>
      <c r="AM191" s="1139"/>
      <c r="AN191" s="1139"/>
      <c r="AO191" s="1139"/>
      <c r="AP191" s="1139"/>
      <c r="AQ191" s="1139"/>
      <c r="AR191" s="1139" t="str">
        <f>IF(CONSOLIDA!CS172="","",CONSOLIDA!CS172)</f>
        <v/>
      </c>
      <c r="AS191" s="1139"/>
      <c r="AT191" s="1139"/>
      <c r="AU191" s="1139"/>
      <c r="AV191" s="1139"/>
      <c r="AW191" s="1139"/>
      <c r="AX191" s="1140" t="str">
        <f>IF(CONSOLIDA!CT172="","",CONSOLIDA!CT172)</f>
        <v/>
      </c>
      <c r="AY191" s="1140"/>
      <c r="AZ191" s="1140"/>
      <c r="BA191" s="1140"/>
      <c r="BB191" s="1140"/>
      <c r="BC191" s="1140"/>
      <c r="BD191" s="1139" t="str">
        <f>IF(CONSOLIDA!CU172="","",CONSOLIDA!CU172)</f>
        <v/>
      </c>
      <c r="BE191" s="1139"/>
      <c r="BF191" s="1139"/>
      <c r="BG191" s="1139"/>
      <c r="BH191" s="1139"/>
      <c r="BI191" s="1139"/>
      <c r="BJ191" s="1139" t="str">
        <f>IF(CONSOLIDA!CV172="","",CONSOLIDA!CV172)</f>
        <v/>
      </c>
      <c r="BK191" s="1139"/>
      <c r="BL191" s="1139"/>
      <c r="BM191" s="1139"/>
      <c r="BN191" s="1139"/>
      <c r="BO191" s="1139"/>
      <c r="BP191" s="1139" t="str">
        <f>IF(CONSOLIDA!CW172="","",CONSOLIDA!CW172)</f>
        <v/>
      </c>
      <c r="BQ191" s="1139"/>
      <c r="BR191" s="1139"/>
      <c r="BS191" s="1139"/>
      <c r="BT191" s="1139"/>
      <c r="BU191" s="1139"/>
      <c r="BV191" s="1140" t="str">
        <f>IF(CONSOLIDA!CX172="","",CONSOLIDA!CX172)</f>
        <v/>
      </c>
      <c r="BW191" s="1140"/>
      <c r="BX191" s="1140"/>
      <c r="BY191" s="1140"/>
      <c r="BZ191" s="1140"/>
      <c r="CA191" s="1140"/>
      <c r="CB191" s="1139" t="str">
        <f>IF(CONSOLIDA!CY172="","",CONSOLIDA!CY172)</f>
        <v/>
      </c>
      <c r="CC191" s="1139"/>
      <c r="CD191" s="1139"/>
      <c r="CE191" s="1139"/>
      <c r="CF191" s="1139"/>
      <c r="CG191" s="1139"/>
      <c r="CH191" s="486"/>
      <c r="CI191" s="190" t="str">
        <f>IF(CONSOLIDA!CZ172="","",CONSOLIDA!CZ172)</f>
        <v/>
      </c>
      <c r="CJ191" s="190" t="str">
        <f>IF(CONSOLIDA!DA172="","",CONSOLIDA!DA172)</f>
        <v/>
      </c>
    </row>
    <row r="192" spans="1:88" s="3" customFormat="1" hidden="1">
      <c r="A192" s="243" t="str">
        <f t="shared" si="2"/>
        <v>OK</v>
      </c>
      <c r="B192" s="1141" t="str">
        <f>IF(CONSOLIDA!CL173="","",CONSOLIDA!CL173)</f>
        <v/>
      </c>
      <c r="C192" s="1141"/>
      <c r="D192" s="1134" t="str">
        <f>IF(CONSOLIDA!CN173="","",CONSOLIDA!CN173)</f>
        <v/>
      </c>
      <c r="E192" s="1135"/>
      <c r="F192" s="1135"/>
      <c r="G192" s="1129" t="str">
        <f>IF(CONSOLIDA!CO173="","",CONSOLIDA!CO173)</f>
        <v/>
      </c>
      <c r="H192" s="1129"/>
      <c r="I192" s="1129"/>
      <c r="J192" s="1129"/>
      <c r="K192" s="1129"/>
      <c r="L192" s="1129"/>
      <c r="M192" s="1129"/>
      <c r="N192" s="1129"/>
      <c r="O192" s="1129"/>
      <c r="P192" s="1129"/>
      <c r="Q192" s="1129"/>
      <c r="R192" s="1129"/>
      <c r="S192" s="1129"/>
      <c r="T192" s="1129"/>
      <c r="U192" s="1129"/>
      <c r="V192" s="1129"/>
      <c r="W192" s="1129"/>
      <c r="X192" s="1129"/>
      <c r="Y192" s="1130"/>
      <c r="Z192" s="1139" t="str">
        <f>IF(CONSOLIDA!CP173="","",CONSOLIDA!CP173)</f>
        <v/>
      </c>
      <c r="AA192" s="1139"/>
      <c r="AB192" s="1139"/>
      <c r="AC192" s="1139"/>
      <c r="AD192" s="1139"/>
      <c r="AE192" s="1139"/>
      <c r="AF192" s="1139" t="str">
        <f>IF(CONSOLIDA!CQ173="","",CONSOLIDA!CQ173)</f>
        <v/>
      </c>
      <c r="AG192" s="1139"/>
      <c r="AH192" s="1139"/>
      <c r="AI192" s="1139"/>
      <c r="AJ192" s="1139"/>
      <c r="AK192" s="1139"/>
      <c r="AL192" s="1139" t="str">
        <f>IF(CONSOLIDA!CR173="","",CONSOLIDA!CR173)</f>
        <v/>
      </c>
      <c r="AM192" s="1139"/>
      <c r="AN192" s="1139"/>
      <c r="AO192" s="1139"/>
      <c r="AP192" s="1139"/>
      <c r="AQ192" s="1139"/>
      <c r="AR192" s="1139" t="str">
        <f>IF(CONSOLIDA!CS173="","",CONSOLIDA!CS173)</f>
        <v/>
      </c>
      <c r="AS192" s="1139"/>
      <c r="AT192" s="1139"/>
      <c r="AU192" s="1139"/>
      <c r="AV192" s="1139"/>
      <c r="AW192" s="1139"/>
      <c r="AX192" s="1140" t="str">
        <f>IF(CONSOLIDA!CT173="","",CONSOLIDA!CT173)</f>
        <v/>
      </c>
      <c r="AY192" s="1140"/>
      <c r="AZ192" s="1140"/>
      <c r="BA192" s="1140"/>
      <c r="BB192" s="1140"/>
      <c r="BC192" s="1140"/>
      <c r="BD192" s="1139" t="str">
        <f>IF(CONSOLIDA!CU173="","",CONSOLIDA!CU173)</f>
        <v/>
      </c>
      <c r="BE192" s="1139"/>
      <c r="BF192" s="1139"/>
      <c r="BG192" s="1139"/>
      <c r="BH192" s="1139"/>
      <c r="BI192" s="1139"/>
      <c r="BJ192" s="1139" t="str">
        <f>IF(CONSOLIDA!CV173="","",CONSOLIDA!CV173)</f>
        <v/>
      </c>
      <c r="BK192" s="1139"/>
      <c r="BL192" s="1139"/>
      <c r="BM192" s="1139"/>
      <c r="BN192" s="1139"/>
      <c r="BO192" s="1139"/>
      <c r="BP192" s="1139" t="str">
        <f>IF(CONSOLIDA!CW173="","",CONSOLIDA!CW173)</f>
        <v/>
      </c>
      <c r="BQ192" s="1139"/>
      <c r="BR192" s="1139"/>
      <c r="BS192" s="1139"/>
      <c r="BT192" s="1139"/>
      <c r="BU192" s="1139"/>
      <c r="BV192" s="1140" t="str">
        <f>IF(CONSOLIDA!CX173="","",CONSOLIDA!CX173)</f>
        <v/>
      </c>
      <c r="BW192" s="1140"/>
      <c r="BX192" s="1140"/>
      <c r="BY192" s="1140"/>
      <c r="BZ192" s="1140"/>
      <c r="CA192" s="1140"/>
      <c r="CB192" s="1139" t="str">
        <f>IF(CONSOLIDA!CY173="","",CONSOLIDA!CY173)</f>
        <v/>
      </c>
      <c r="CC192" s="1139"/>
      <c r="CD192" s="1139"/>
      <c r="CE192" s="1139"/>
      <c r="CF192" s="1139"/>
      <c r="CG192" s="1139"/>
      <c r="CH192" s="486"/>
      <c r="CI192" s="190" t="str">
        <f>IF(CONSOLIDA!CZ173="","",CONSOLIDA!CZ173)</f>
        <v/>
      </c>
      <c r="CJ192" s="190" t="str">
        <f>IF(CONSOLIDA!DA173="","",CONSOLIDA!DA173)</f>
        <v/>
      </c>
    </row>
    <row r="193" spans="1:88" s="3" customFormat="1" hidden="1">
      <c r="A193" s="243" t="str">
        <f t="shared" si="2"/>
        <v>OK</v>
      </c>
      <c r="B193" s="1141" t="str">
        <f>IF(CONSOLIDA!CL174="","",CONSOLIDA!CL174)</f>
        <v/>
      </c>
      <c r="C193" s="1141"/>
      <c r="D193" s="1134" t="str">
        <f>IF(CONSOLIDA!CN174="","",CONSOLIDA!CN174)</f>
        <v/>
      </c>
      <c r="E193" s="1135"/>
      <c r="F193" s="1135"/>
      <c r="G193" s="1129" t="str">
        <f>IF(CONSOLIDA!CO174="","",CONSOLIDA!CO174)</f>
        <v/>
      </c>
      <c r="H193" s="1129"/>
      <c r="I193" s="1129"/>
      <c r="J193" s="1129"/>
      <c r="K193" s="1129"/>
      <c r="L193" s="1129"/>
      <c r="M193" s="1129"/>
      <c r="N193" s="1129"/>
      <c r="O193" s="1129"/>
      <c r="P193" s="1129"/>
      <c r="Q193" s="1129"/>
      <c r="R193" s="1129"/>
      <c r="S193" s="1129"/>
      <c r="T193" s="1129"/>
      <c r="U193" s="1129"/>
      <c r="V193" s="1129"/>
      <c r="W193" s="1129"/>
      <c r="X193" s="1129"/>
      <c r="Y193" s="1130"/>
      <c r="Z193" s="1139" t="str">
        <f>IF(CONSOLIDA!CP174="","",CONSOLIDA!CP174)</f>
        <v/>
      </c>
      <c r="AA193" s="1139"/>
      <c r="AB193" s="1139"/>
      <c r="AC193" s="1139"/>
      <c r="AD193" s="1139"/>
      <c r="AE193" s="1139"/>
      <c r="AF193" s="1139" t="str">
        <f>IF(CONSOLIDA!CQ174="","",CONSOLIDA!CQ174)</f>
        <v/>
      </c>
      <c r="AG193" s="1139"/>
      <c r="AH193" s="1139"/>
      <c r="AI193" s="1139"/>
      <c r="AJ193" s="1139"/>
      <c r="AK193" s="1139"/>
      <c r="AL193" s="1139" t="str">
        <f>IF(CONSOLIDA!CR174="","",CONSOLIDA!CR174)</f>
        <v/>
      </c>
      <c r="AM193" s="1139"/>
      <c r="AN193" s="1139"/>
      <c r="AO193" s="1139"/>
      <c r="AP193" s="1139"/>
      <c r="AQ193" s="1139"/>
      <c r="AR193" s="1139" t="str">
        <f>IF(CONSOLIDA!CS174="","",CONSOLIDA!CS174)</f>
        <v/>
      </c>
      <c r="AS193" s="1139"/>
      <c r="AT193" s="1139"/>
      <c r="AU193" s="1139"/>
      <c r="AV193" s="1139"/>
      <c r="AW193" s="1139"/>
      <c r="AX193" s="1140" t="str">
        <f>IF(CONSOLIDA!CT174="","",CONSOLIDA!CT174)</f>
        <v/>
      </c>
      <c r="AY193" s="1140"/>
      <c r="AZ193" s="1140"/>
      <c r="BA193" s="1140"/>
      <c r="BB193" s="1140"/>
      <c r="BC193" s="1140"/>
      <c r="BD193" s="1139" t="str">
        <f>IF(CONSOLIDA!CU174="","",CONSOLIDA!CU174)</f>
        <v/>
      </c>
      <c r="BE193" s="1139"/>
      <c r="BF193" s="1139"/>
      <c r="BG193" s="1139"/>
      <c r="BH193" s="1139"/>
      <c r="BI193" s="1139"/>
      <c r="BJ193" s="1139" t="str">
        <f>IF(CONSOLIDA!CV174="","",CONSOLIDA!CV174)</f>
        <v/>
      </c>
      <c r="BK193" s="1139"/>
      <c r="BL193" s="1139"/>
      <c r="BM193" s="1139"/>
      <c r="BN193" s="1139"/>
      <c r="BO193" s="1139"/>
      <c r="BP193" s="1139" t="str">
        <f>IF(CONSOLIDA!CW174="","",CONSOLIDA!CW174)</f>
        <v/>
      </c>
      <c r="BQ193" s="1139"/>
      <c r="BR193" s="1139"/>
      <c r="BS193" s="1139"/>
      <c r="BT193" s="1139"/>
      <c r="BU193" s="1139"/>
      <c r="BV193" s="1140" t="str">
        <f>IF(CONSOLIDA!CX174="","",CONSOLIDA!CX174)</f>
        <v/>
      </c>
      <c r="BW193" s="1140"/>
      <c r="BX193" s="1140"/>
      <c r="BY193" s="1140"/>
      <c r="BZ193" s="1140"/>
      <c r="CA193" s="1140"/>
      <c r="CB193" s="1139" t="str">
        <f>IF(CONSOLIDA!CY174="","",CONSOLIDA!CY174)</f>
        <v/>
      </c>
      <c r="CC193" s="1139"/>
      <c r="CD193" s="1139"/>
      <c r="CE193" s="1139"/>
      <c r="CF193" s="1139"/>
      <c r="CG193" s="1139"/>
      <c r="CH193" s="486"/>
      <c r="CI193" s="190" t="str">
        <f>IF(CONSOLIDA!CZ174="","",CONSOLIDA!CZ174)</f>
        <v/>
      </c>
      <c r="CJ193" s="190" t="str">
        <f>IF(CONSOLIDA!DA174="","",CONSOLIDA!DA174)</f>
        <v/>
      </c>
    </row>
    <row r="194" spans="1:88" s="3" customFormat="1" hidden="1">
      <c r="A194" s="243" t="str">
        <f t="shared" si="2"/>
        <v>OK</v>
      </c>
      <c r="B194" s="1141" t="str">
        <f>IF(CONSOLIDA!CL175="","",CONSOLIDA!CL175)</f>
        <v/>
      </c>
      <c r="C194" s="1141"/>
      <c r="D194" s="1134" t="str">
        <f>IF(CONSOLIDA!CN175="","",CONSOLIDA!CN175)</f>
        <v/>
      </c>
      <c r="E194" s="1135"/>
      <c r="F194" s="1135"/>
      <c r="G194" s="1129" t="str">
        <f>IF(CONSOLIDA!CO175="","",CONSOLIDA!CO175)</f>
        <v/>
      </c>
      <c r="H194" s="1129"/>
      <c r="I194" s="1129"/>
      <c r="J194" s="1129"/>
      <c r="K194" s="1129"/>
      <c r="L194" s="1129"/>
      <c r="M194" s="1129"/>
      <c r="N194" s="1129"/>
      <c r="O194" s="1129"/>
      <c r="P194" s="1129"/>
      <c r="Q194" s="1129"/>
      <c r="R194" s="1129"/>
      <c r="S194" s="1129"/>
      <c r="T194" s="1129"/>
      <c r="U194" s="1129"/>
      <c r="V194" s="1129"/>
      <c r="W194" s="1129"/>
      <c r="X194" s="1129"/>
      <c r="Y194" s="1130"/>
      <c r="Z194" s="1139" t="str">
        <f>IF(CONSOLIDA!CP175="","",CONSOLIDA!CP175)</f>
        <v/>
      </c>
      <c r="AA194" s="1139"/>
      <c r="AB194" s="1139"/>
      <c r="AC194" s="1139"/>
      <c r="AD194" s="1139"/>
      <c r="AE194" s="1139"/>
      <c r="AF194" s="1139" t="str">
        <f>IF(CONSOLIDA!CQ175="","",CONSOLIDA!CQ175)</f>
        <v/>
      </c>
      <c r="AG194" s="1139"/>
      <c r="AH194" s="1139"/>
      <c r="AI194" s="1139"/>
      <c r="AJ194" s="1139"/>
      <c r="AK194" s="1139"/>
      <c r="AL194" s="1139" t="str">
        <f>IF(CONSOLIDA!CR175="","",CONSOLIDA!CR175)</f>
        <v/>
      </c>
      <c r="AM194" s="1139"/>
      <c r="AN194" s="1139"/>
      <c r="AO194" s="1139"/>
      <c r="AP194" s="1139"/>
      <c r="AQ194" s="1139"/>
      <c r="AR194" s="1139" t="str">
        <f>IF(CONSOLIDA!CS175="","",CONSOLIDA!CS175)</f>
        <v/>
      </c>
      <c r="AS194" s="1139"/>
      <c r="AT194" s="1139"/>
      <c r="AU194" s="1139"/>
      <c r="AV194" s="1139"/>
      <c r="AW194" s="1139"/>
      <c r="AX194" s="1140" t="str">
        <f>IF(CONSOLIDA!CT175="","",CONSOLIDA!CT175)</f>
        <v/>
      </c>
      <c r="AY194" s="1140"/>
      <c r="AZ194" s="1140"/>
      <c r="BA194" s="1140"/>
      <c r="BB194" s="1140"/>
      <c r="BC194" s="1140"/>
      <c r="BD194" s="1139" t="str">
        <f>IF(CONSOLIDA!CU175="","",CONSOLIDA!CU175)</f>
        <v/>
      </c>
      <c r="BE194" s="1139"/>
      <c r="BF194" s="1139"/>
      <c r="BG194" s="1139"/>
      <c r="BH194" s="1139"/>
      <c r="BI194" s="1139"/>
      <c r="BJ194" s="1139" t="str">
        <f>IF(CONSOLIDA!CV175="","",CONSOLIDA!CV175)</f>
        <v/>
      </c>
      <c r="BK194" s="1139"/>
      <c r="BL194" s="1139"/>
      <c r="BM194" s="1139"/>
      <c r="BN194" s="1139"/>
      <c r="BO194" s="1139"/>
      <c r="BP194" s="1139" t="str">
        <f>IF(CONSOLIDA!CW175="","",CONSOLIDA!CW175)</f>
        <v/>
      </c>
      <c r="BQ194" s="1139"/>
      <c r="BR194" s="1139"/>
      <c r="BS194" s="1139"/>
      <c r="BT194" s="1139"/>
      <c r="BU194" s="1139"/>
      <c r="BV194" s="1140" t="str">
        <f>IF(CONSOLIDA!CX175="","",CONSOLIDA!CX175)</f>
        <v/>
      </c>
      <c r="BW194" s="1140"/>
      <c r="BX194" s="1140"/>
      <c r="BY194" s="1140"/>
      <c r="BZ194" s="1140"/>
      <c r="CA194" s="1140"/>
      <c r="CB194" s="1139" t="str">
        <f>IF(CONSOLIDA!CY175="","",CONSOLIDA!CY175)</f>
        <v/>
      </c>
      <c r="CC194" s="1139"/>
      <c r="CD194" s="1139"/>
      <c r="CE194" s="1139"/>
      <c r="CF194" s="1139"/>
      <c r="CG194" s="1139"/>
      <c r="CH194" s="486"/>
      <c r="CI194" s="190" t="str">
        <f>IF(CONSOLIDA!CZ175="","",CONSOLIDA!CZ175)</f>
        <v/>
      </c>
      <c r="CJ194" s="190" t="str">
        <f>IF(CONSOLIDA!DA175="","",CONSOLIDA!DA175)</f>
        <v/>
      </c>
    </row>
    <row r="195" spans="1:88" s="3" customFormat="1" hidden="1">
      <c r="A195" s="243" t="str">
        <f t="shared" si="2"/>
        <v>OK</v>
      </c>
      <c r="B195" s="1141" t="str">
        <f>IF(CONSOLIDA!CL176="","",CONSOLIDA!CL176)</f>
        <v/>
      </c>
      <c r="C195" s="1141"/>
      <c r="D195" s="1134" t="str">
        <f>IF(CONSOLIDA!CN176="","",CONSOLIDA!CN176)</f>
        <v/>
      </c>
      <c r="E195" s="1135"/>
      <c r="F195" s="1135"/>
      <c r="G195" s="1129" t="str">
        <f>IF(CONSOLIDA!CO176="","",CONSOLIDA!CO176)</f>
        <v/>
      </c>
      <c r="H195" s="1129"/>
      <c r="I195" s="1129"/>
      <c r="J195" s="1129"/>
      <c r="K195" s="1129"/>
      <c r="L195" s="1129"/>
      <c r="M195" s="1129"/>
      <c r="N195" s="1129"/>
      <c r="O195" s="1129"/>
      <c r="P195" s="1129"/>
      <c r="Q195" s="1129"/>
      <c r="R195" s="1129"/>
      <c r="S195" s="1129"/>
      <c r="T195" s="1129"/>
      <c r="U195" s="1129"/>
      <c r="V195" s="1129"/>
      <c r="W195" s="1129"/>
      <c r="X195" s="1129"/>
      <c r="Y195" s="1130"/>
      <c r="Z195" s="1139" t="str">
        <f>IF(CONSOLIDA!CP176="","",CONSOLIDA!CP176)</f>
        <v/>
      </c>
      <c r="AA195" s="1139"/>
      <c r="AB195" s="1139"/>
      <c r="AC195" s="1139"/>
      <c r="AD195" s="1139"/>
      <c r="AE195" s="1139"/>
      <c r="AF195" s="1139" t="str">
        <f>IF(CONSOLIDA!CQ176="","",CONSOLIDA!CQ176)</f>
        <v/>
      </c>
      <c r="AG195" s="1139"/>
      <c r="AH195" s="1139"/>
      <c r="AI195" s="1139"/>
      <c r="AJ195" s="1139"/>
      <c r="AK195" s="1139"/>
      <c r="AL195" s="1139" t="str">
        <f>IF(CONSOLIDA!CR176="","",CONSOLIDA!CR176)</f>
        <v/>
      </c>
      <c r="AM195" s="1139"/>
      <c r="AN195" s="1139"/>
      <c r="AO195" s="1139"/>
      <c r="AP195" s="1139"/>
      <c r="AQ195" s="1139"/>
      <c r="AR195" s="1139" t="str">
        <f>IF(CONSOLIDA!CS176="","",CONSOLIDA!CS176)</f>
        <v/>
      </c>
      <c r="AS195" s="1139"/>
      <c r="AT195" s="1139"/>
      <c r="AU195" s="1139"/>
      <c r="AV195" s="1139"/>
      <c r="AW195" s="1139"/>
      <c r="AX195" s="1140" t="str">
        <f>IF(CONSOLIDA!CT176="","",CONSOLIDA!CT176)</f>
        <v/>
      </c>
      <c r="AY195" s="1140"/>
      <c r="AZ195" s="1140"/>
      <c r="BA195" s="1140"/>
      <c r="BB195" s="1140"/>
      <c r="BC195" s="1140"/>
      <c r="BD195" s="1139" t="str">
        <f>IF(CONSOLIDA!CU176="","",CONSOLIDA!CU176)</f>
        <v/>
      </c>
      <c r="BE195" s="1139"/>
      <c r="BF195" s="1139"/>
      <c r="BG195" s="1139"/>
      <c r="BH195" s="1139"/>
      <c r="BI195" s="1139"/>
      <c r="BJ195" s="1139" t="str">
        <f>IF(CONSOLIDA!CV176="","",CONSOLIDA!CV176)</f>
        <v/>
      </c>
      <c r="BK195" s="1139"/>
      <c r="BL195" s="1139"/>
      <c r="BM195" s="1139"/>
      <c r="BN195" s="1139"/>
      <c r="BO195" s="1139"/>
      <c r="BP195" s="1139" t="str">
        <f>IF(CONSOLIDA!CW176="","",CONSOLIDA!CW176)</f>
        <v/>
      </c>
      <c r="BQ195" s="1139"/>
      <c r="BR195" s="1139"/>
      <c r="BS195" s="1139"/>
      <c r="BT195" s="1139"/>
      <c r="BU195" s="1139"/>
      <c r="BV195" s="1140" t="str">
        <f>IF(CONSOLIDA!CX176="","",CONSOLIDA!CX176)</f>
        <v/>
      </c>
      <c r="BW195" s="1140"/>
      <c r="BX195" s="1140"/>
      <c r="BY195" s="1140"/>
      <c r="BZ195" s="1140"/>
      <c r="CA195" s="1140"/>
      <c r="CB195" s="1139" t="str">
        <f>IF(CONSOLIDA!CY176="","",CONSOLIDA!CY176)</f>
        <v/>
      </c>
      <c r="CC195" s="1139"/>
      <c r="CD195" s="1139"/>
      <c r="CE195" s="1139"/>
      <c r="CF195" s="1139"/>
      <c r="CG195" s="1139"/>
      <c r="CH195" s="486"/>
      <c r="CI195" s="190" t="str">
        <f>IF(CONSOLIDA!CZ176="","",CONSOLIDA!CZ176)</f>
        <v/>
      </c>
      <c r="CJ195" s="190" t="str">
        <f>IF(CONSOLIDA!DA176="","",CONSOLIDA!DA176)</f>
        <v/>
      </c>
    </row>
    <row r="196" spans="1:88" s="3" customFormat="1" hidden="1">
      <c r="A196" s="243" t="str">
        <f t="shared" si="2"/>
        <v>OK</v>
      </c>
      <c r="B196" s="1141" t="str">
        <f>IF(CONSOLIDA!CL177="","",CONSOLIDA!CL177)</f>
        <v/>
      </c>
      <c r="C196" s="1141"/>
      <c r="D196" s="1134" t="str">
        <f>IF(CONSOLIDA!CN177="","",CONSOLIDA!CN177)</f>
        <v/>
      </c>
      <c r="E196" s="1135"/>
      <c r="F196" s="1135"/>
      <c r="G196" s="1129" t="str">
        <f>IF(CONSOLIDA!CO177="","",CONSOLIDA!CO177)</f>
        <v/>
      </c>
      <c r="H196" s="1129"/>
      <c r="I196" s="1129"/>
      <c r="J196" s="1129"/>
      <c r="K196" s="1129"/>
      <c r="L196" s="1129"/>
      <c r="M196" s="1129"/>
      <c r="N196" s="1129"/>
      <c r="O196" s="1129"/>
      <c r="P196" s="1129"/>
      <c r="Q196" s="1129"/>
      <c r="R196" s="1129"/>
      <c r="S196" s="1129"/>
      <c r="T196" s="1129"/>
      <c r="U196" s="1129"/>
      <c r="V196" s="1129"/>
      <c r="W196" s="1129"/>
      <c r="X196" s="1129"/>
      <c r="Y196" s="1130"/>
      <c r="Z196" s="1139" t="str">
        <f>IF(CONSOLIDA!CP177="","",CONSOLIDA!CP177)</f>
        <v/>
      </c>
      <c r="AA196" s="1139"/>
      <c r="AB196" s="1139"/>
      <c r="AC196" s="1139"/>
      <c r="AD196" s="1139"/>
      <c r="AE196" s="1139"/>
      <c r="AF196" s="1139" t="str">
        <f>IF(CONSOLIDA!CQ177="","",CONSOLIDA!CQ177)</f>
        <v/>
      </c>
      <c r="AG196" s="1139"/>
      <c r="AH196" s="1139"/>
      <c r="AI196" s="1139"/>
      <c r="AJ196" s="1139"/>
      <c r="AK196" s="1139"/>
      <c r="AL196" s="1139" t="str">
        <f>IF(CONSOLIDA!CR177="","",CONSOLIDA!CR177)</f>
        <v/>
      </c>
      <c r="AM196" s="1139"/>
      <c r="AN196" s="1139"/>
      <c r="AO196" s="1139"/>
      <c r="AP196" s="1139"/>
      <c r="AQ196" s="1139"/>
      <c r="AR196" s="1139" t="str">
        <f>IF(CONSOLIDA!CS177="","",CONSOLIDA!CS177)</f>
        <v/>
      </c>
      <c r="AS196" s="1139"/>
      <c r="AT196" s="1139"/>
      <c r="AU196" s="1139"/>
      <c r="AV196" s="1139"/>
      <c r="AW196" s="1139"/>
      <c r="AX196" s="1140" t="str">
        <f>IF(CONSOLIDA!CT177="","",CONSOLIDA!CT177)</f>
        <v/>
      </c>
      <c r="AY196" s="1140"/>
      <c r="AZ196" s="1140"/>
      <c r="BA196" s="1140"/>
      <c r="BB196" s="1140"/>
      <c r="BC196" s="1140"/>
      <c r="BD196" s="1139" t="str">
        <f>IF(CONSOLIDA!CU177="","",CONSOLIDA!CU177)</f>
        <v/>
      </c>
      <c r="BE196" s="1139"/>
      <c r="BF196" s="1139"/>
      <c r="BG196" s="1139"/>
      <c r="BH196" s="1139"/>
      <c r="BI196" s="1139"/>
      <c r="BJ196" s="1139" t="str">
        <f>IF(CONSOLIDA!CV177="","",CONSOLIDA!CV177)</f>
        <v/>
      </c>
      <c r="BK196" s="1139"/>
      <c r="BL196" s="1139"/>
      <c r="BM196" s="1139"/>
      <c r="BN196" s="1139"/>
      <c r="BO196" s="1139"/>
      <c r="BP196" s="1139" t="str">
        <f>IF(CONSOLIDA!CW177="","",CONSOLIDA!CW177)</f>
        <v/>
      </c>
      <c r="BQ196" s="1139"/>
      <c r="BR196" s="1139"/>
      <c r="BS196" s="1139"/>
      <c r="BT196" s="1139"/>
      <c r="BU196" s="1139"/>
      <c r="BV196" s="1140" t="str">
        <f>IF(CONSOLIDA!CX177="","",CONSOLIDA!CX177)</f>
        <v/>
      </c>
      <c r="BW196" s="1140"/>
      <c r="BX196" s="1140"/>
      <c r="BY196" s="1140"/>
      <c r="BZ196" s="1140"/>
      <c r="CA196" s="1140"/>
      <c r="CB196" s="1139" t="str">
        <f>IF(CONSOLIDA!CY177="","",CONSOLIDA!CY177)</f>
        <v/>
      </c>
      <c r="CC196" s="1139"/>
      <c r="CD196" s="1139"/>
      <c r="CE196" s="1139"/>
      <c r="CF196" s="1139"/>
      <c r="CG196" s="1139"/>
      <c r="CH196" s="486"/>
      <c r="CI196" s="190" t="str">
        <f>IF(CONSOLIDA!CZ177="","",CONSOLIDA!CZ177)</f>
        <v/>
      </c>
      <c r="CJ196" s="190" t="str">
        <f>IF(CONSOLIDA!DA177="","",CONSOLIDA!DA177)</f>
        <v/>
      </c>
    </row>
    <row r="197" spans="1:88" s="3" customFormat="1" hidden="1">
      <c r="A197" s="243" t="str">
        <f t="shared" si="2"/>
        <v>OK</v>
      </c>
      <c r="B197" s="1141" t="str">
        <f>IF(CONSOLIDA!CL178="","",CONSOLIDA!CL178)</f>
        <v/>
      </c>
      <c r="C197" s="1141"/>
      <c r="D197" s="1134" t="str">
        <f>IF(CONSOLIDA!CN178="","",CONSOLIDA!CN178)</f>
        <v/>
      </c>
      <c r="E197" s="1135"/>
      <c r="F197" s="1135"/>
      <c r="G197" s="1129" t="str">
        <f>IF(CONSOLIDA!CO178="","",CONSOLIDA!CO178)</f>
        <v/>
      </c>
      <c r="H197" s="1129"/>
      <c r="I197" s="1129"/>
      <c r="J197" s="1129"/>
      <c r="K197" s="1129"/>
      <c r="L197" s="1129"/>
      <c r="M197" s="1129"/>
      <c r="N197" s="1129"/>
      <c r="O197" s="1129"/>
      <c r="P197" s="1129"/>
      <c r="Q197" s="1129"/>
      <c r="R197" s="1129"/>
      <c r="S197" s="1129"/>
      <c r="T197" s="1129"/>
      <c r="U197" s="1129"/>
      <c r="V197" s="1129"/>
      <c r="W197" s="1129"/>
      <c r="X197" s="1129"/>
      <c r="Y197" s="1130"/>
      <c r="Z197" s="1139" t="str">
        <f>IF(CONSOLIDA!CP178="","",CONSOLIDA!CP178)</f>
        <v/>
      </c>
      <c r="AA197" s="1139"/>
      <c r="AB197" s="1139"/>
      <c r="AC197" s="1139"/>
      <c r="AD197" s="1139"/>
      <c r="AE197" s="1139"/>
      <c r="AF197" s="1139" t="str">
        <f>IF(CONSOLIDA!CQ178="","",CONSOLIDA!CQ178)</f>
        <v/>
      </c>
      <c r="AG197" s="1139"/>
      <c r="AH197" s="1139"/>
      <c r="AI197" s="1139"/>
      <c r="AJ197" s="1139"/>
      <c r="AK197" s="1139"/>
      <c r="AL197" s="1139" t="str">
        <f>IF(CONSOLIDA!CR178="","",CONSOLIDA!CR178)</f>
        <v/>
      </c>
      <c r="AM197" s="1139"/>
      <c r="AN197" s="1139"/>
      <c r="AO197" s="1139"/>
      <c r="AP197" s="1139"/>
      <c r="AQ197" s="1139"/>
      <c r="AR197" s="1139" t="str">
        <f>IF(CONSOLIDA!CS178="","",CONSOLIDA!CS178)</f>
        <v/>
      </c>
      <c r="AS197" s="1139"/>
      <c r="AT197" s="1139"/>
      <c r="AU197" s="1139"/>
      <c r="AV197" s="1139"/>
      <c r="AW197" s="1139"/>
      <c r="AX197" s="1140" t="str">
        <f>IF(CONSOLIDA!CT178="","",CONSOLIDA!CT178)</f>
        <v/>
      </c>
      <c r="AY197" s="1140"/>
      <c r="AZ197" s="1140"/>
      <c r="BA197" s="1140"/>
      <c r="BB197" s="1140"/>
      <c r="BC197" s="1140"/>
      <c r="BD197" s="1139" t="str">
        <f>IF(CONSOLIDA!CU178="","",CONSOLIDA!CU178)</f>
        <v/>
      </c>
      <c r="BE197" s="1139"/>
      <c r="BF197" s="1139"/>
      <c r="BG197" s="1139"/>
      <c r="BH197" s="1139"/>
      <c r="BI197" s="1139"/>
      <c r="BJ197" s="1139" t="str">
        <f>IF(CONSOLIDA!CV178="","",CONSOLIDA!CV178)</f>
        <v/>
      </c>
      <c r="BK197" s="1139"/>
      <c r="BL197" s="1139"/>
      <c r="BM197" s="1139"/>
      <c r="BN197" s="1139"/>
      <c r="BO197" s="1139"/>
      <c r="BP197" s="1139" t="str">
        <f>IF(CONSOLIDA!CW178="","",CONSOLIDA!CW178)</f>
        <v/>
      </c>
      <c r="BQ197" s="1139"/>
      <c r="BR197" s="1139"/>
      <c r="BS197" s="1139"/>
      <c r="BT197" s="1139"/>
      <c r="BU197" s="1139"/>
      <c r="BV197" s="1140" t="str">
        <f>IF(CONSOLIDA!CX178="","",CONSOLIDA!CX178)</f>
        <v/>
      </c>
      <c r="BW197" s="1140"/>
      <c r="BX197" s="1140"/>
      <c r="BY197" s="1140"/>
      <c r="BZ197" s="1140"/>
      <c r="CA197" s="1140"/>
      <c r="CB197" s="1139" t="str">
        <f>IF(CONSOLIDA!CY178="","",CONSOLIDA!CY178)</f>
        <v/>
      </c>
      <c r="CC197" s="1139"/>
      <c r="CD197" s="1139"/>
      <c r="CE197" s="1139"/>
      <c r="CF197" s="1139"/>
      <c r="CG197" s="1139"/>
      <c r="CH197" s="486"/>
      <c r="CI197" s="190" t="str">
        <f>IF(CONSOLIDA!CZ178="","",CONSOLIDA!CZ178)</f>
        <v/>
      </c>
      <c r="CJ197" s="190" t="str">
        <f>IF(CONSOLIDA!DA178="","",CONSOLIDA!DA178)</f>
        <v/>
      </c>
    </row>
    <row r="198" spans="1:88" s="3" customFormat="1" hidden="1">
      <c r="A198" s="243" t="str">
        <f t="shared" si="2"/>
        <v>OK</v>
      </c>
      <c r="B198" s="1141" t="str">
        <f>IF(CONSOLIDA!CL179="","",CONSOLIDA!CL179)</f>
        <v/>
      </c>
      <c r="C198" s="1141"/>
      <c r="D198" s="1134" t="str">
        <f>IF(CONSOLIDA!CN179="","",CONSOLIDA!CN179)</f>
        <v/>
      </c>
      <c r="E198" s="1135"/>
      <c r="F198" s="1135"/>
      <c r="G198" s="1129" t="str">
        <f>IF(CONSOLIDA!CO179="","",CONSOLIDA!CO179)</f>
        <v/>
      </c>
      <c r="H198" s="1129"/>
      <c r="I198" s="1129"/>
      <c r="J198" s="1129"/>
      <c r="K198" s="1129"/>
      <c r="L198" s="1129"/>
      <c r="M198" s="1129"/>
      <c r="N198" s="1129"/>
      <c r="O198" s="1129"/>
      <c r="P198" s="1129"/>
      <c r="Q198" s="1129"/>
      <c r="R198" s="1129"/>
      <c r="S198" s="1129"/>
      <c r="T198" s="1129"/>
      <c r="U198" s="1129"/>
      <c r="V198" s="1129"/>
      <c r="W198" s="1129"/>
      <c r="X198" s="1129"/>
      <c r="Y198" s="1130"/>
      <c r="Z198" s="1139" t="str">
        <f>IF(CONSOLIDA!CP179="","",CONSOLIDA!CP179)</f>
        <v/>
      </c>
      <c r="AA198" s="1139"/>
      <c r="AB198" s="1139"/>
      <c r="AC198" s="1139"/>
      <c r="AD198" s="1139"/>
      <c r="AE198" s="1139"/>
      <c r="AF198" s="1139" t="str">
        <f>IF(CONSOLIDA!CQ179="","",CONSOLIDA!CQ179)</f>
        <v/>
      </c>
      <c r="AG198" s="1139"/>
      <c r="AH198" s="1139"/>
      <c r="AI198" s="1139"/>
      <c r="AJ198" s="1139"/>
      <c r="AK198" s="1139"/>
      <c r="AL198" s="1139" t="str">
        <f>IF(CONSOLIDA!CR179="","",CONSOLIDA!CR179)</f>
        <v/>
      </c>
      <c r="AM198" s="1139"/>
      <c r="AN198" s="1139"/>
      <c r="AO198" s="1139"/>
      <c r="AP198" s="1139"/>
      <c r="AQ198" s="1139"/>
      <c r="AR198" s="1139" t="str">
        <f>IF(CONSOLIDA!CS179="","",CONSOLIDA!CS179)</f>
        <v/>
      </c>
      <c r="AS198" s="1139"/>
      <c r="AT198" s="1139"/>
      <c r="AU198" s="1139"/>
      <c r="AV198" s="1139"/>
      <c r="AW198" s="1139"/>
      <c r="AX198" s="1140" t="str">
        <f>IF(CONSOLIDA!CT179="","",CONSOLIDA!CT179)</f>
        <v/>
      </c>
      <c r="AY198" s="1140"/>
      <c r="AZ198" s="1140"/>
      <c r="BA198" s="1140"/>
      <c r="BB198" s="1140"/>
      <c r="BC198" s="1140"/>
      <c r="BD198" s="1139" t="str">
        <f>IF(CONSOLIDA!CU179="","",CONSOLIDA!CU179)</f>
        <v/>
      </c>
      <c r="BE198" s="1139"/>
      <c r="BF198" s="1139"/>
      <c r="BG198" s="1139"/>
      <c r="BH198" s="1139"/>
      <c r="BI198" s="1139"/>
      <c r="BJ198" s="1139" t="str">
        <f>IF(CONSOLIDA!CV179="","",CONSOLIDA!CV179)</f>
        <v/>
      </c>
      <c r="BK198" s="1139"/>
      <c r="BL198" s="1139"/>
      <c r="BM198" s="1139"/>
      <c r="BN198" s="1139"/>
      <c r="BO198" s="1139"/>
      <c r="BP198" s="1139" t="str">
        <f>IF(CONSOLIDA!CW179="","",CONSOLIDA!CW179)</f>
        <v/>
      </c>
      <c r="BQ198" s="1139"/>
      <c r="BR198" s="1139"/>
      <c r="BS198" s="1139"/>
      <c r="BT198" s="1139"/>
      <c r="BU198" s="1139"/>
      <c r="BV198" s="1140" t="str">
        <f>IF(CONSOLIDA!CX179="","",CONSOLIDA!CX179)</f>
        <v/>
      </c>
      <c r="BW198" s="1140"/>
      <c r="BX198" s="1140"/>
      <c r="BY198" s="1140"/>
      <c r="BZ198" s="1140"/>
      <c r="CA198" s="1140"/>
      <c r="CB198" s="1139" t="str">
        <f>IF(CONSOLIDA!CY179="","",CONSOLIDA!CY179)</f>
        <v/>
      </c>
      <c r="CC198" s="1139"/>
      <c r="CD198" s="1139"/>
      <c r="CE198" s="1139"/>
      <c r="CF198" s="1139"/>
      <c r="CG198" s="1139"/>
      <c r="CH198" s="486"/>
      <c r="CI198" s="190" t="str">
        <f>IF(CONSOLIDA!CZ179="","",CONSOLIDA!CZ179)</f>
        <v/>
      </c>
      <c r="CJ198" s="190" t="str">
        <f>IF(CONSOLIDA!DA179="","",CONSOLIDA!DA179)</f>
        <v/>
      </c>
    </row>
    <row r="199" spans="1:88" s="3" customFormat="1" hidden="1">
      <c r="A199" s="243" t="str">
        <f t="shared" si="2"/>
        <v>OK</v>
      </c>
      <c r="B199" s="1141" t="str">
        <f>IF(CONSOLIDA!CL180="","",CONSOLIDA!CL180)</f>
        <v/>
      </c>
      <c r="C199" s="1141"/>
      <c r="D199" s="1134" t="str">
        <f>IF(CONSOLIDA!CN180="","",CONSOLIDA!CN180)</f>
        <v/>
      </c>
      <c r="E199" s="1135"/>
      <c r="F199" s="1135"/>
      <c r="G199" s="1129" t="str">
        <f>IF(CONSOLIDA!CO180="","",CONSOLIDA!CO180)</f>
        <v/>
      </c>
      <c r="H199" s="1129"/>
      <c r="I199" s="1129"/>
      <c r="J199" s="1129"/>
      <c r="K199" s="1129"/>
      <c r="L199" s="1129"/>
      <c r="M199" s="1129"/>
      <c r="N199" s="1129"/>
      <c r="O199" s="1129"/>
      <c r="P199" s="1129"/>
      <c r="Q199" s="1129"/>
      <c r="R199" s="1129"/>
      <c r="S199" s="1129"/>
      <c r="T199" s="1129"/>
      <c r="U199" s="1129"/>
      <c r="V199" s="1129"/>
      <c r="W199" s="1129"/>
      <c r="X199" s="1129"/>
      <c r="Y199" s="1130"/>
      <c r="Z199" s="1139" t="str">
        <f>IF(CONSOLIDA!CP180="","",CONSOLIDA!CP180)</f>
        <v/>
      </c>
      <c r="AA199" s="1139"/>
      <c r="AB199" s="1139"/>
      <c r="AC199" s="1139"/>
      <c r="AD199" s="1139"/>
      <c r="AE199" s="1139"/>
      <c r="AF199" s="1139" t="str">
        <f>IF(CONSOLIDA!CQ180="","",CONSOLIDA!CQ180)</f>
        <v/>
      </c>
      <c r="AG199" s="1139"/>
      <c r="AH199" s="1139"/>
      <c r="AI199" s="1139"/>
      <c r="AJ199" s="1139"/>
      <c r="AK199" s="1139"/>
      <c r="AL199" s="1139" t="str">
        <f>IF(CONSOLIDA!CR180="","",CONSOLIDA!CR180)</f>
        <v/>
      </c>
      <c r="AM199" s="1139"/>
      <c r="AN199" s="1139"/>
      <c r="AO199" s="1139"/>
      <c r="AP199" s="1139"/>
      <c r="AQ199" s="1139"/>
      <c r="AR199" s="1139" t="str">
        <f>IF(CONSOLIDA!CS180="","",CONSOLIDA!CS180)</f>
        <v/>
      </c>
      <c r="AS199" s="1139"/>
      <c r="AT199" s="1139"/>
      <c r="AU199" s="1139"/>
      <c r="AV199" s="1139"/>
      <c r="AW199" s="1139"/>
      <c r="AX199" s="1140" t="str">
        <f>IF(CONSOLIDA!CT180="","",CONSOLIDA!CT180)</f>
        <v/>
      </c>
      <c r="AY199" s="1140"/>
      <c r="AZ199" s="1140"/>
      <c r="BA199" s="1140"/>
      <c r="BB199" s="1140"/>
      <c r="BC199" s="1140"/>
      <c r="BD199" s="1139" t="str">
        <f>IF(CONSOLIDA!CU180="","",CONSOLIDA!CU180)</f>
        <v/>
      </c>
      <c r="BE199" s="1139"/>
      <c r="BF199" s="1139"/>
      <c r="BG199" s="1139"/>
      <c r="BH199" s="1139"/>
      <c r="BI199" s="1139"/>
      <c r="BJ199" s="1139" t="str">
        <f>IF(CONSOLIDA!CV180="","",CONSOLIDA!CV180)</f>
        <v/>
      </c>
      <c r="BK199" s="1139"/>
      <c r="BL199" s="1139"/>
      <c r="BM199" s="1139"/>
      <c r="BN199" s="1139"/>
      <c r="BO199" s="1139"/>
      <c r="BP199" s="1139" t="str">
        <f>IF(CONSOLIDA!CW180="","",CONSOLIDA!CW180)</f>
        <v/>
      </c>
      <c r="BQ199" s="1139"/>
      <c r="BR199" s="1139"/>
      <c r="BS199" s="1139"/>
      <c r="BT199" s="1139"/>
      <c r="BU199" s="1139"/>
      <c r="BV199" s="1140" t="str">
        <f>IF(CONSOLIDA!CX180="","",CONSOLIDA!CX180)</f>
        <v/>
      </c>
      <c r="BW199" s="1140"/>
      <c r="BX199" s="1140"/>
      <c r="BY199" s="1140"/>
      <c r="BZ199" s="1140"/>
      <c r="CA199" s="1140"/>
      <c r="CB199" s="1139" t="str">
        <f>IF(CONSOLIDA!CY180="","",CONSOLIDA!CY180)</f>
        <v/>
      </c>
      <c r="CC199" s="1139"/>
      <c r="CD199" s="1139"/>
      <c r="CE199" s="1139"/>
      <c r="CF199" s="1139"/>
      <c r="CG199" s="1139"/>
      <c r="CH199" s="486"/>
      <c r="CI199" s="190" t="str">
        <f>IF(CONSOLIDA!CZ180="","",CONSOLIDA!CZ180)</f>
        <v/>
      </c>
      <c r="CJ199" s="190" t="str">
        <f>IF(CONSOLIDA!DA180="","",CONSOLIDA!DA180)</f>
        <v/>
      </c>
    </row>
    <row r="200" spans="1:88" s="3" customFormat="1" ht="12.75" hidden="1" customHeight="1">
      <c r="A200" s="243" t="str">
        <f t="shared" si="2"/>
        <v>OK</v>
      </c>
      <c r="B200" s="1141" t="str">
        <f>IF(CONSOLIDA!CL181="","",CONSOLIDA!CL181)</f>
        <v/>
      </c>
      <c r="C200" s="1141"/>
      <c r="D200" s="1134" t="str">
        <f>IF(CONSOLIDA!CN181="","",CONSOLIDA!CN181)</f>
        <v/>
      </c>
      <c r="E200" s="1135"/>
      <c r="F200" s="1135"/>
      <c r="G200" s="1129" t="str">
        <f>IF(CONSOLIDA!CO181="","",CONSOLIDA!CO181)</f>
        <v/>
      </c>
      <c r="H200" s="1129"/>
      <c r="I200" s="1129"/>
      <c r="J200" s="1129"/>
      <c r="K200" s="1129"/>
      <c r="L200" s="1129"/>
      <c r="M200" s="1129"/>
      <c r="N200" s="1129"/>
      <c r="O200" s="1129"/>
      <c r="P200" s="1129"/>
      <c r="Q200" s="1129"/>
      <c r="R200" s="1129"/>
      <c r="S200" s="1129"/>
      <c r="T200" s="1129"/>
      <c r="U200" s="1129"/>
      <c r="V200" s="1129"/>
      <c r="W200" s="1129"/>
      <c r="X200" s="1129"/>
      <c r="Y200" s="1130"/>
      <c r="Z200" s="1139" t="str">
        <f>IF(CONSOLIDA!CP181="","",CONSOLIDA!CP181)</f>
        <v/>
      </c>
      <c r="AA200" s="1139"/>
      <c r="AB200" s="1139"/>
      <c r="AC200" s="1139"/>
      <c r="AD200" s="1139"/>
      <c r="AE200" s="1139"/>
      <c r="AF200" s="1139" t="str">
        <f>IF(CONSOLIDA!CQ181="","",CONSOLIDA!CQ181)</f>
        <v/>
      </c>
      <c r="AG200" s="1139"/>
      <c r="AH200" s="1139"/>
      <c r="AI200" s="1139"/>
      <c r="AJ200" s="1139"/>
      <c r="AK200" s="1139"/>
      <c r="AL200" s="1139" t="str">
        <f>IF(CONSOLIDA!CR181="","",CONSOLIDA!CR181)</f>
        <v/>
      </c>
      <c r="AM200" s="1139"/>
      <c r="AN200" s="1139"/>
      <c r="AO200" s="1139"/>
      <c r="AP200" s="1139"/>
      <c r="AQ200" s="1139"/>
      <c r="AR200" s="1139" t="str">
        <f>IF(CONSOLIDA!CS181="","",CONSOLIDA!CS181)</f>
        <v/>
      </c>
      <c r="AS200" s="1139"/>
      <c r="AT200" s="1139"/>
      <c r="AU200" s="1139"/>
      <c r="AV200" s="1139"/>
      <c r="AW200" s="1139"/>
      <c r="AX200" s="1140" t="str">
        <f>IF(CONSOLIDA!CT181="","",CONSOLIDA!CT181)</f>
        <v/>
      </c>
      <c r="AY200" s="1140"/>
      <c r="AZ200" s="1140"/>
      <c r="BA200" s="1140"/>
      <c r="BB200" s="1140"/>
      <c r="BC200" s="1140"/>
      <c r="BD200" s="1139" t="str">
        <f>IF(CONSOLIDA!CU181="","",CONSOLIDA!CU181)</f>
        <v/>
      </c>
      <c r="BE200" s="1139"/>
      <c r="BF200" s="1139"/>
      <c r="BG200" s="1139"/>
      <c r="BH200" s="1139"/>
      <c r="BI200" s="1139"/>
      <c r="BJ200" s="1139" t="str">
        <f>IF(CONSOLIDA!CV181="","",CONSOLIDA!CV181)</f>
        <v/>
      </c>
      <c r="BK200" s="1139"/>
      <c r="BL200" s="1139"/>
      <c r="BM200" s="1139"/>
      <c r="BN200" s="1139"/>
      <c r="BO200" s="1139"/>
      <c r="BP200" s="1139" t="str">
        <f>IF(CONSOLIDA!CW181="","",CONSOLIDA!CW181)</f>
        <v/>
      </c>
      <c r="BQ200" s="1139"/>
      <c r="BR200" s="1139"/>
      <c r="BS200" s="1139"/>
      <c r="BT200" s="1139"/>
      <c r="BU200" s="1139"/>
      <c r="BV200" s="1140" t="str">
        <f>IF(CONSOLIDA!CX181="","",CONSOLIDA!CX181)</f>
        <v/>
      </c>
      <c r="BW200" s="1140"/>
      <c r="BX200" s="1140"/>
      <c r="BY200" s="1140"/>
      <c r="BZ200" s="1140"/>
      <c r="CA200" s="1140"/>
      <c r="CB200" s="1139" t="str">
        <f>IF(CONSOLIDA!CY181="","",CONSOLIDA!CY181)</f>
        <v/>
      </c>
      <c r="CC200" s="1139"/>
      <c r="CD200" s="1139"/>
      <c r="CE200" s="1139"/>
      <c r="CF200" s="1139"/>
      <c r="CG200" s="1139"/>
      <c r="CH200" s="486"/>
      <c r="CI200" s="190" t="str">
        <f>IF(CONSOLIDA!CZ181="","",CONSOLIDA!CZ181)</f>
        <v/>
      </c>
      <c r="CJ200" s="190" t="str">
        <f>IF(CONSOLIDA!DA181="","",CONSOLIDA!DA181)</f>
        <v/>
      </c>
    </row>
    <row r="201" spans="1:88" s="3" customFormat="1" hidden="1">
      <c r="A201" s="243" t="str">
        <f t="shared" si="2"/>
        <v>OK</v>
      </c>
      <c r="B201" s="1141" t="str">
        <f>IF(CONSOLIDA!CL182="","",CONSOLIDA!CL182)</f>
        <v/>
      </c>
      <c r="C201" s="1141"/>
      <c r="D201" s="1134" t="str">
        <f>IF(CONSOLIDA!CN182="","",CONSOLIDA!CN182)</f>
        <v/>
      </c>
      <c r="E201" s="1135"/>
      <c r="F201" s="1135"/>
      <c r="G201" s="1129" t="str">
        <f>IF(CONSOLIDA!CO182="","",CONSOLIDA!CO182)</f>
        <v/>
      </c>
      <c r="H201" s="1129"/>
      <c r="I201" s="1129"/>
      <c r="J201" s="1129"/>
      <c r="K201" s="1129"/>
      <c r="L201" s="1129"/>
      <c r="M201" s="1129"/>
      <c r="N201" s="1129"/>
      <c r="O201" s="1129"/>
      <c r="P201" s="1129"/>
      <c r="Q201" s="1129"/>
      <c r="R201" s="1129"/>
      <c r="S201" s="1129"/>
      <c r="T201" s="1129"/>
      <c r="U201" s="1129"/>
      <c r="V201" s="1129"/>
      <c r="W201" s="1129"/>
      <c r="X201" s="1129"/>
      <c r="Y201" s="1130"/>
      <c r="Z201" s="1139" t="str">
        <f>IF(CONSOLIDA!CP182="","",CONSOLIDA!CP182)</f>
        <v/>
      </c>
      <c r="AA201" s="1139"/>
      <c r="AB201" s="1139"/>
      <c r="AC201" s="1139"/>
      <c r="AD201" s="1139"/>
      <c r="AE201" s="1139"/>
      <c r="AF201" s="1139" t="str">
        <f>IF(CONSOLIDA!CQ182="","",CONSOLIDA!CQ182)</f>
        <v/>
      </c>
      <c r="AG201" s="1139"/>
      <c r="AH201" s="1139"/>
      <c r="AI201" s="1139"/>
      <c r="AJ201" s="1139"/>
      <c r="AK201" s="1139"/>
      <c r="AL201" s="1139" t="str">
        <f>IF(CONSOLIDA!CR182="","",CONSOLIDA!CR182)</f>
        <v/>
      </c>
      <c r="AM201" s="1139"/>
      <c r="AN201" s="1139"/>
      <c r="AO201" s="1139"/>
      <c r="AP201" s="1139"/>
      <c r="AQ201" s="1139"/>
      <c r="AR201" s="1139" t="str">
        <f>IF(CONSOLIDA!CS182="","",CONSOLIDA!CS182)</f>
        <v/>
      </c>
      <c r="AS201" s="1139"/>
      <c r="AT201" s="1139"/>
      <c r="AU201" s="1139"/>
      <c r="AV201" s="1139"/>
      <c r="AW201" s="1139"/>
      <c r="AX201" s="1140" t="str">
        <f>IF(CONSOLIDA!CT182="","",CONSOLIDA!CT182)</f>
        <v/>
      </c>
      <c r="AY201" s="1140"/>
      <c r="AZ201" s="1140"/>
      <c r="BA201" s="1140"/>
      <c r="BB201" s="1140"/>
      <c r="BC201" s="1140"/>
      <c r="BD201" s="1139" t="str">
        <f>IF(CONSOLIDA!CU182="","",CONSOLIDA!CU182)</f>
        <v/>
      </c>
      <c r="BE201" s="1139"/>
      <c r="BF201" s="1139"/>
      <c r="BG201" s="1139"/>
      <c r="BH201" s="1139"/>
      <c r="BI201" s="1139"/>
      <c r="BJ201" s="1139" t="str">
        <f>IF(CONSOLIDA!CV182="","",CONSOLIDA!CV182)</f>
        <v/>
      </c>
      <c r="BK201" s="1139"/>
      <c r="BL201" s="1139"/>
      <c r="BM201" s="1139"/>
      <c r="BN201" s="1139"/>
      <c r="BO201" s="1139"/>
      <c r="BP201" s="1139" t="str">
        <f>IF(CONSOLIDA!CW182="","",CONSOLIDA!CW182)</f>
        <v/>
      </c>
      <c r="BQ201" s="1139"/>
      <c r="BR201" s="1139"/>
      <c r="BS201" s="1139"/>
      <c r="BT201" s="1139"/>
      <c r="BU201" s="1139"/>
      <c r="BV201" s="1140" t="str">
        <f>IF(CONSOLIDA!CX182="","",CONSOLIDA!CX182)</f>
        <v/>
      </c>
      <c r="BW201" s="1140"/>
      <c r="BX201" s="1140"/>
      <c r="BY201" s="1140"/>
      <c r="BZ201" s="1140"/>
      <c r="CA201" s="1140"/>
      <c r="CB201" s="1139" t="str">
        <f>IF(CONSOLIDA!CY182="","",CONSOLIDA!CY182)</f>
        <v/>
      </c>
      <c r="CC201" s="1139"/>
      <c r="CD201" s="1139"/>
      <c r="CE201" s="1139"/>
      <c r="CF201" s="1139"/>
      <c r="CG201" s="1139"/>
      <c r="CH201" s="486"/>
      <c r="CI201" s="190" t="str">
        <f>IF(CONSOLIDA!CZ182="","",CONSOLIDA!CZ182)</f>
        <v/>
      </c>
      <c r="CJ201" s="190" t="str">
        <f>IF(CONSOLIDA!DA182="","",CONSOLIDA!DA182)</f>
        <v/>
      </c>
    </row>
    <row r="202" spans="1:88" s="3" customFormat="1" hidden="1">
      <c r="A202" s="243" t="str">
        <f t="shared" si="2"/>
        <v>OK</v>
      </c>
      <c r="B202" s="1141" t="str">
        <f>IF(CONSOLIDA!CL183="","",CONSOLIDA!CL183)</f>
        <v/>
      </c>
      <c r="C202" s="1141"/>
      <c r="D202" s="1134" t="str">
        <f>IF(CONSOLIDA!CN183="","",CONSOLIDA!CN183)</f>
        <v/>
      </c>
      <c r="E202" s="1135"/>
      <c r="F202" s="1135"/>
      <c r="G202" s="1129" t="str">
        <f>IF(CONSOLIDA!CO183="","",CONSOLIDA!CO183)</f>
        <v/>
      </c>
      <c r="H202" s="1129"/>
      <c r="I202" s="1129"/>
      <c r="J202" s="1129"/>
      <c r="K202" s="1129"/>
      <c r="L202" s="1129"/>
      <c r="M202" s="1129"/>
      <c r="N202" s="1129"/>
      <c r="O202" s="1129"/>
      <c r="P202" s="1129"/>
      <c r="Q202" s="1129"/>
      <c r="R202" s="1129"/>
      <c r="S202" s="1129"/>
      <c r="T202" s="1129"/>
      <c r="U202" s="1129"/>
      <c r="V202" s="1129"/>
      <c r="W202" s="1129"/>
      <c r="X202" s="1129"/>
      <c r="Y202" s="1130"/>
      <c r="Z202" s="1139" t="str">
        <f>IF(CONSOLIDA!CP183="","",CONSOLIDA!CP183)</f>
        <v/>
      </c>
      <c r="AA202" s="1139"/>
      <c r="AB202" s="1139"/>
      <c r="AC202" s="1139"/>
      <c r="AD202" s="1139"/>
      <c r="AE202" s="1139"/>
      <c r="AF202" s="1139" t="str">
        <f>IF(CONSOLIDA!CQ183="","",CONSOLIDA!CQ183)</f>
        <v/>
      </c>
      <c r="AG202" s="1139"/>
      <c r="AH202" s="1139"/>
      <c r="AI202" s="1139"/>
      <c r="AJ202" s="1139"/>
      <c r="AK202" s="1139"/>
      <c r="AL202" s="1139" t="str">
        <f>IF(CONSOLIDA!CR183="","",CONSOLIDA!CR183)</f>
        <v/>
      </c>
      <c r="AM202" s="1139"/>
      <c r="AN202" s="1139"/>
      <c r="AO202" s="1139"/>
      <c r="AP202" s="1139"/>
      <c r="AQ202" s="1139"/>
      <c r="AR202" s="1139" t="str">
        <f>IF(CONSOLIDA!CS183="","",CONSOLIDA!CS183)</f>
        <v/>
      </c>
      <c r="AS202" s="1139"/>
      <c r="AT202" s="1139"/>
      <c r="AU202" s="1139"/>
      <c r="AV202" s="1139"/>
      <c r="AW202" s="1139"/>
      <c r="AX202" s="1140" t="str">
        <f>IF(CONSOLIDA!CT183="","",CONSOLIDA!CT183)</f>
        <v/>
      </c>
      <c r="AY202" s="1140"/>
      <c r="AZ202" s="1140"/>
      <c r="BA202" s="1140"/>
      <c r="BB202" s="1140"/>
      <c r="BC202" s="1140"/>
      <c r="BD202" s="1139" t="str">
        <f>IF(CONSOLIDA!CU183="","",CONSOLIDA!CU183)</f>
        <v/>
      </c>
      <c r="BE202" s="1139"/>
      <c r="BF202" s="1139"/>
      <c r="BG202" s="1139"/>
      <c r="BH202" s="1139"/>
      <c r="BI202" s="1139"/>
      <c r="BJ202" s="1139" t="str">
        <f>IF(CONSOLIDA!CV183="","",CONSOLIDA!CV183)</f>
        <v/>
      </c>
      <c r="BK202" s="1139"/>
      <c r="BL202" s="1139"/>
      <c r="BM202" s="1139"/>
      <c r="BN202" s="1139"/>
      <c r="BO202" s="1139"/>
      <c r="BP202" s="1139" t="str">
        <f>IF(CONSOLIDA!CW183="","",CONSOLIDA!CW183)</f>
        <v/>
      </c>
      <c r="BQ202" s="1139"/>
      <c r="BR202" s="1139"/>
      <c r="BS202" s="1139"/>
      <c r="BT202" s="1139"/>
      <c r="BU202" s="1139"/>
      <c r="BV202" s="1140" t="str">
        <f>IF(CONSOLIDA!CX183="","",CONSOLIDA!CX183)</f>
        <v/>
      </c>
      <c r="BW202" s="1140"/>
      <c r="BX202" s="1140"/>
      <c r="BY202" s="1140"/>
      <c r="BZ202" s="1140"/>
      <c r="CA202" s="1140"/>
      <c r="CB202" s="1139" t="str">
        <f>IF(CONSOLIDA!CY183="","",CONSOLIDA!CY183)</f>
        <v/>
      </c>
      <c r="CC202" s="1139"/>
      <c r="CD202" s="1139"/>
      <c r="CE202" s="1139"/>
      <c r="CF202" s="1139"/>
      <c r="CG202" s="1139"/>
      <c r="CH202" s="486"/>
      <c r="CI202" s="190" t="str">
        <f>IF(CONSOLIDA!CZ183="","",CONSOLIDA!CZ183)</f>
        <v/>
      </c>
      <c r="CJ202" s="190" t="str">
        <f>IF(CONSOLIDA!DA183="","",CONSOLIDA!DA183)</f>
        <v/>
      </c>
    </row>
    <row r="203" spans="1:88" s="3" customFormat="1" hidden="1">
      <c r="A203" s="243" t="str">
        <f t="shared" si="2"/>
        <v>OK</v>
      </c>
      <c r="B203" s="1141" t="str">
        <f>IF(CONSOLIDA!CL184="","",CONSOLIDA!CL184)</f>
        <v/>
      </c>
      <c r="C203" s="1141"/>
      <c r="D203" s="1134" t="str">
        <f>IF(CONSOLIDA!CN184="","",CONSOLIDA!CN184)</f>
        <v/>
      </c>
      <c r="E203" s="1135"/>
      <c r="F203" s="1135"/>
      <c r="G203" s="1129" t="str">
        <f>IF(CONSOLIDA!CO184="","",CONSOLIDA!CO184)</f>
        <v/>
      </c>
      <c r="H203" s="1129"/>
      <c r="I203" s="1129"/>
      <c r="J203" s="1129"/>
      <c r="K203" s="1129"/>
      <c r="L203" s="1129"/>
      <c r="M203" s="1129"/>
      <c r="N203" s="1129"/>
      <c r="O203" s="1129"/>
      <c r="P203" s="1129"/>
      <c r="Q203" s="1129"/>
      <c r="R203" s="1129"/>
      <c r="S203" s="1129"/>
      <c r="T203" s="1129"/>
      <c r="U203" s="1129"/>
      <c r="V203" s="1129"/>
      <c r="W203" s="1129"/>
      <c r="X203" s="1129"/>
      <c r="Y203" s="1130"/>
      <c r="Z203" s="1139" t="str">
        <f>IF(CONSOLIDA!CP184="","",CONSOLIDA!CP184)</f>
        <v/>
      </c>
      <c r="AA203" s="1139"/>
      <c r="AB203" s="1139"/>
      <c r="AC203" s="1139"/>
      <c r="AD203" s="1139"/>
      <c r="AE203" s="1139"/>
      <c r="AF203" s="1139" t="str">
        <f>IF(CONSOLIDA!CQ184="","",CONSOLIDA!CQ184)</f>
        <v/>
      </c>
      <c r="AG203" s="1139"/>
      <c r="AH203" s="1139"/>
      <c r="AI203" s="1139"/>
      <c r="AJ203" s="1139"/>
      <c r="AK203" s="1139"/>
      <c r="AL203" s="1139" t="str">
        <f>IF(CONSOLIDA!CR184="","",CONSOLIDA!CR184)</f>
        <v/>
      </c>
      <c r="AM203" s="1139"/>
      <c r="AN203" s="1139"/>
      <c r="AO203" s="1139"/>
      <c r="AP203" s="1139"/>
      <c r="AQ203" s="1139"/>
      <c r="AR203" s="1139" t="str">
        <f>IF(CONSOLIDA!CS184="","",CONSOLIDA!CS184)</f>
        <v/>
      </c>
      <c r="AS203" s="1139"/>
      <c r="AT203" s="1139"/>
      <c r="AU203" s="1139"/>
      <c r="AV203" s="1139"/>
      <c r="AW203" s="1139"/>
      <c r="AX203" s="1140" t="str">
        <f>IF(CONSOLIDA!CT184="","",CONSOLIDA!CT184)</f>
        <v/>
      </c>
      <c r="AY203" s="1140"/>
      <c r="AZ203" s="1140"/>
      <c r="BA203" s="1140"/>
      <c r="BB203" s="1140"/>
      <c r="BC203" s="1140"/>
      <c r="BD203" s="1139" t="str">
        <f>IF(CONSOLIDA!CU184="","",CONSOLIDA!CU184)</f>
        <v/>
      </c>
      <c r="BE203" s="1139"/>
      <c r="BF203" s="1139"/>
      <c r="BG203" s="1139"/>
      <c r="BH203" s="1139"/>
      <c r="BI203" s="1139"/>
      <c r="BJ203" s="1139" t="str">
        <f>IF(CONSOLIDA!CV184="","",CONSOLIDA!CV184)</f>
        <v/>
      </c>
      <c r="BK203" s="1139"/>
      <c r="BL203" s="1139"/>
      <c r="BM203" s="1139"/>
      <c r="BN203" s="1139"/>
      <c r="BO203" s="1139"/>
      <c r="BP203" s="1139" t="str">
        <f>IF(CONSOLIDA!CW184="","",CONSOLIDA!CW184)</f>
        <v/>
      </c>
      <c r="BQ203" s="1139"/>
      <c r="BR203" s="1139"/>
      <c r="BS203" s="1139"/>
      <c r="BT203" s="1139"/>
      <c r="BU203" s="1139"/>
      <c r="BV203" s="1140" t="str">
        <f>IF(CONSOLIDA!CX184="","",CONSOLIDA!CX184)</f>
        <v/>
      </c>
      <c r="BW203" s="1140"/>
      <c r="BX203" s="1140"/>
      <c r="BY203" s="1140"/>
      <c r="BZ203" s="1140"/>
      <c r="CA203" s="1140"/>
      <c r="CB203" s="1139" t="str">
        <f>IF(CONSOLIDA!CY184="","",CONSOLIDA!CY184)</f>
        <v/>
      </c>
      <c r="CC203" s="1139"/>
      <c r="CD203" s="1139"/>
      <c r="CE203" s="1139"/>
      <c r="CF203" s="1139"/>
      <c r="CG203" s="1139"/>
      <c r="CH203" s="486"/>
      <c r="CI203" s="190" t="str">
        <f>IF(CONSOLIDA!CZ184="","",CONSOLIDA!CZ184)</f>
        <v/>
      </c>
      <c r="CJ203" s="190" t="str">
        <f>IF(CONSOLIDA!DA184="","",CONSOLIDA!DA184)</f>
        <v/>
      </c>
    </row>
    <row r="204" spans="1:88" s="3" customFormat="1" hidden="1">
      <c r="A204" s="243" t="str">
        <f t="shared" si="2"/>
        <v>OK</v>
      </c>
      <c r="B204" s="1141" t="str">
        <f>IF(CONSOLIDA!CL185="","",CONSOLIDA!CL185)</f>
        <v/>
      </c>
      <c r="C204" s="1141"/>
      <c r="D204" s="1134" t="str">
        <f>IF(CONSOLIDA!CN185="","",CONSOLIDA!CN185)</f>
        <v/>
      </c>
      <c r="E204" s="1135"/>
      <c r="F204" s="1135"/>
      <c r="G204" s="1129" t="str">
        <f>IF(CONSOLIDA!CO185="","",CONSOLIDA!CO185)</f>
        <v/>
      </c>
      <c r="H204" s="1129"/>
      <c r="I204" s="1129"/>
      <c r="J204" s="1129"/>
      <c r="K204" s="1129"/>
      <c r="L204" s="1129"/>
      <c r="M204" s="1129"/>
      <c r="N204" s="1129"/>
      <c r="O204" s="1129"/>
      <c r="P204" s="1129"/>
      <c r="Q204" s="1129"/>
      <c r="R204" s="1129"/>
      <c r="S204" s="1129"/>
      <c r="T204" s="1129"/>
      <c r="U204" s="1129"/>
      <c r="V204" s="1129"/>
      <c r="W204" s="1129"/>
      <c r="X204" s="1129"/>
      <c r="Y204" s="1130"/>
      <c r="Z204" s="1139" t="str">
        <f>IF(CONSOLIDA!CP185="","",CONSOLIDA!CP185)</f>
        <v/>
      </c>
      <c r="AA204" s="1139"/>
      <c r="AB204" s="1139"/>
      <c r="AC204" s="1139"/>
      <c r="AD204" s="1139"/>
      <c r="AE204" s="1139"/>
      <c r="AF204" s="1139" t="str">
        <f>IF(CONSOLIDA!CQ185="","",CONSOLIDA!CQ185)</f>
        <v/>
      </c>
      <c r="AG204" s="1139"/>
      <c r="AH204" s="1139"/>
      <c r="AI204" s="1139"/>
      <c r="AJ204" s="1139"/>
      <c r="AK204" s="1139"/>
      <c r="AL204" s="1139" t="str">
        <f>IF(CONSOLIDA!CR185="","",CONSOLIDA!CR185)</f>
        <v/>
      </c>
      <c r="AM204" s="1139"/>
      <c r="AN204" s="1139"/>
      <c r="AO204" s="1139"/>
      <c r="AP204" s="1139"/>
      <c r="AQ204" s="1139"/>
      <c r="AR204" s="1139" t="str">
        <f>IF(CONSOLIDA!CS185="","",CONSOLIDA!CS185)</f>
        <v/>
      </c>
      <c r="AS204" s="1139"/>
      <c r="AT204" s="1139"/>
      <c r="AU204" s="1139"/>
      <c r="AV204" s="1139"/>
      <c r="AW204" s="1139"/>
      <c r="AX204" s="1140" t="str">
        <f>IF(CONSOLIDA!CT185="","",CONSOLIDA!CT185)</f>
        <v/>
      </c>
      <c r="AY204" s="1140"/>
      <c r="AZ204" s="1140"/>
      <c r="BA204" s="1140"/>
      <c r="BB204" s="1140"/>
      <c r="BC204" s="1140"/>
      <c r="BD204" s="1139" t="str">
        <f>IF(CONSOLIDA!CU185="","",CONSOLIDA!CU185)</f>
        <v/>
      </c>
      <c r="BE204" s="1139"/>
      <c r="BF204" s="1139"/>
      <c r="BG204" s="1139"/>
      <c r="BH204" s="1139"/>
      <c r="BI204" s="1139"/>
      <c r="BJ204" s="1139" t="str">
        <f>IF(CONSOLIDA!CV185="","",CONSOLIDA!CV185)</f>
        <v/>
      </c>
      <c r="BK204" s="1139"/>
      <c r="BL204" s="1139"/>
      <c r="BM204" s="1139"/>
      <c r="BN204" s="1139"/>
      <c r="BO204" s="1139"/>
      <c r="BP204" s="1139" t="str">
        <f>IF(CONSOLIDA!CW185="","",CONSOLIDA!CW185)</f>
        <v/>
      </c>
      <c r="BQ204" s="1139"/>
      <c r="BR204" s="1139"/>
      <c r="BS204" s="1139"/>
      <c r="BT204" s="1139"/>
      <c r="BU204" s="1139"/>
      <c r="BV204" s="1140" t="str">
        <f>IF(CONSOLIDA!CX185="","",CONSOLIDA!CX185)</f>
        <v/>
      </c>
      <c r="BW204" s="1140"/>
      <c r="BX204" s="1140"/>
      <c r="BY204" s="1140"/>
      <c r="BZ204" s="1140"/>
      <c r="CA204" s="1140"/>
      <c r="CB204" s="1139" t="str">
        <f>IF(CONSOLIDA!CY185="","",CONSOLIDA!CY185)</f>
        <v/>
      </c>
      <c r="CC204" s="1139"/>
      <c r="CD204" s="1139"/>
      <c r="CE204" s="1139"/>
      <c r="CF204" s="1139"/>
      <c r="CG204" s="1139"/>
      <c r="CH204" s="486"/>
      <c r="CI204" s="190" t="str">
        <f>IF(CONSOLIDA!CZ185="","",CONSOLIDA!CZ185)</f>
        <v/>
      </c>
      <c r="CJ204" s="190" t="str">
        <f>IF(CONSOLIDA!DA185="","",CONSOLIDA!DA185)</f>
        <v/>
      </c>
    </row>
    <row r="205" spans="1:88" s="3" customFormat="1" hidden="1">
      <c r="A205" s="243" t="str">
        <f t="shared" si="2"/>
        <v>OK</v>
      </c>
      <c r="B205" s="1141" t="str">
        <f>IF(CONSOLIDA!CL186="","",CONSOLIDA!CL186)</f>
        <v/>
      </c>
      <c r="C205" s="1141"/>
      <c r="D205" s="1134" t="str">
        <f>IF(CONSOLIDA!CN186="","",CONSOLIDA!CN186)</f>
        <v/>
      </c>
      <c r="E205" s="1135"/>
      <c r="F205" s="1135"/>
      <c r="G205" s="1129" t="str">
        <f>IF(CONSOLIDA!CO186="","",CONSOLIDA!CO186)</f>
        <v/>
      </c>
      <c r="H205" s="1129"/>
      <c r="I205" s="1129"/>
      <c r="J205" s="1129"/>
      <c r="K205" s="1129"/>
      <c r="L205" s="1129"/>
      <c r="M205" s="1129"/>
      <c r="N205" s="1129"/>
      <c r="O205" s="1129"/>
      <c r="P205" s="1129"/>
      <c r="Q205" s="1129"/>
      <c r="R205" s="1129"/>
      <c r="S205" s="1129"/>
      <c r="T205" s="1129"/>
      <c r="U205" s="1129"/>
      <c r="V205" s="1129"/>
      <c r="W205" s="1129"/>
      <c r="X205" s="1129"/>
      <c r="Y205" s="1130"/>
      <c r="Z205" s="1139" t="str">
        <f>IF(CONSOLIDA!CP186="","",CONSOLIDA!CP186)</f>
        <v/>
      </c>
      <c r="AA205" s="1139"/>
      <c r="AB205" s="1139"/>
      <c r="AC205" s="1139"/>
      <c r="AD205" s="1139"/>
      <c r="AE205" s="1139"/>
      <c r="AF205" s="1139" t="str">
        <f>IF(CONSOLIDA!CQ186="","",CONSOLIDA!CQ186)</f>
        <v/>
      </c>
      <c r="AG205" s="1139"/>
      <c r="AH205" s="1139"/>
      <c r="AI205" s="1139"/>
      <c r="AJ205" s="1139"/>
      <c r="AK205" s="1139"/>
      <c r="AL205" s="1139" t="str">
        <f>IF(CONSOLIDA!CR186="","",CONSOLIDA!CR186)</f>
        <v/>
      </c>
      <c r="AM205" s="1139"/>
      <c r="AN205" s="1139"/>
      <c r="AO205" s="1139"/>
      <c r="AP205" s="1139"/>
      <c r="AQ205" s="1139"/>
      <c r="AR205" s="1139" t="str">
        <f>IF(CONSOLIDA!CS186="","",CONSOLIDA!CS186)</f>
        <v/>
      </c>
      <c r="AS205" s="1139"/>
      <c r="AT205" s="1139"/>
      <c r="AU205" s="1139"/>
      <c r="AV205" s="1139"/>
      <c r="AW205" s="1139"/>
      <c r="AX205" s="1140" t="str">
        <f>IF(CONSOLIDA!CT186="","",CONSOLIDA!CT186)</f>
        <v/>
      </c>
      <c r="AY205" s="1140"/>
      <c r="AZ205" s="1140"/>
      <c r="BA205" s="1140"/>
      <c r="BB205" s="1140"/>
      <c r="BC205" s="1140"/>
      <c r="BD205" s="1139" t="str">
        <f>IF(CONSOLIDA!CU186="","",CONSOLIDA!CU186)</f>
        <v/>
      </c>
      <c r="BE205" s="1139"/>
      <c r="BF205" s="1139"/>
      <c r="BG205" s="1139"/>
      <c r="BH205" s="1139"/>
      <c r="BI205" s="1139"/>
      <c r="BJ205" s="1139" t="str">
        <f>IF(CONSOLIDA!CV186="","",CONSOLIDA!CV186)</f>
        <v/>
      </c>
      <c r="BK205" s="1139"/>
      <c r="BL205" s="1139"/>
      <c r="BM205" s="1139"/>
      <c r="BN205" s="1139"/>
      <c r="BO205" s="1139"/>
      <c r="BP205" s="1139" t="str">
        <f>IF(CONSOLIDA!CW186="","",CONSOLIDA!CW186)</f>
        <v/>
      </c>
      <c r="BQ205" s="1139"/>
      <c r="BR205" s="1139"/>
      <c r="BS205" s="1139"/>
      <c r="BT205" s="1139"/>
      <c r="BU205" s="1139"/>
      <c r="BV205" s="1140" t="str">
        <f>IF(CONSOLIDA!CX186="","",CONSOLIDA!CX186)</f>
        <v/>
      </c>
      <c r="BW205" s="1140"/>
      <c r="BX205" s="1140"/>
      <c r="BY205" s="1140"/>
      <c r="BZ205" s="1140"/>
      <c r="CA205" s="1140"/>
      <c r="CB205" s="1139" t="str">
        <f>IF(CONSOLIDA!CY186="","",CONSOLIDA!CY186)</f>
        <v/>
      </c>
      <c r="CC205" s="1139"/>
      <c r="CD205" s="1139"/>
      <c r="CE205" s="1139"/>
      <c r="CF205" s="1139"/>
      <c r="CG205" s="1139"/>
      <c r="CH205" s="486"/>
      <c r="CI205" s="190" t="str">
        <f>IF(CONSOLIDA!CZ186="","",CONSOLIDA!CZ186)</f>
        <v/>
      </c>
      <c r="CJ205" s="190" t="str">
        <f>IF(CONSOLIDA!DA186="","",CONSOLIDA!DA186)</f>
        <v/>
      </c>
    </row>
    <row r="206" spans="1:88" s="3" customFormat="1" hidden="1">
      <c r="A206" s="243" t="str">
        <f t="shared" si="2"/>
        <v>OK</v>
      </c>
      <c r="B206" s="1141" t="str">
        <f>IF(CONSOLIDA!CL187="","",CONSOLIDA!CL187)</f>
        <v/>
      </c>
      <c r="C206" s="1141"/>
      <c r="D206" s="1134" t="str">
        <f>IF(CONSOLIDA!CN187="","",CONSOLIDA!CN187)</f>
        <v/>
      </c>
      <c r="E206" s="1135"/>
      <c r="F206" s="1135"/>
      <c r="G206" s="1129" t="str">
        <f>IF(CONSOLIDA!CO187="","",CONSOLIDA!CO187)</f>
        <v/>
      </c>
      <c r="H206" s="1129"/>
      <c r="I206" s="1129"/>
      <c r="J206" s="1129"/>
      <c r="K206" s="1129"/>
      <c r="L206" s="1129"/>
      <c r="M206" s="1129"/>
      <c r="N206" s="1129"/>
      <c r="O206" s="1129"/>
      <c r="P206" s="1129"/>
      <c r="Q206" s="1129"/>
      <c r="R206" s="1129"/>
      <c r="S206" s="1129"/>
      <c r="T206" s="1129"/>
      <c r="U206" s="1129"/>
      <c r="V206" s="1129"/>
      <c r="W206" s="1129"/>
      <c r="X206" s="1129"/>
      <c r="Y206" s="1130"/>
      <c r="Z206" s="1139" t="str">
        <f>IF(CONSOLIDA!CP187="","",CONSOLIDA!CP187)</f>
        <v/>
      </c>
      <c r="AA206" s="1139"/>
      <c r="AB206" s="1139"/>
      <c r="AC206" s="1139"/>
      <c r="AD206" s="1139"/>
      <c r="AE206" s="1139"/>
      <c r="AF206" s="1139" t="str">
        <f>IF(CONSOLIDA!CQ187="","",CONSOLIDA!CQ187)</f>
        <v/>
      </c>
      <c r="AG206" s="1139"/>
      <c r="AH206" s="1139"/>
      <c r="AI206" s="1139"/>
      <c r="AJ206" s="1139"/>
      <c r="AK206" s="1139"/>
      <c r="AL206" s="1139" t="str">
        <f>IF(CONSOLIDA!CR187="","",CONSOLIDA!CR187)</f>
        <v/>
      </c>
      <c r="AM206" s="1139"/>
      <c r="AN206" s="1139"/>
      <c r="AO206" s="1139"/>
      <c r="AP206" s="1139"/>
      <c r="AQ206" s="1139"/>
      <c r="AR206" s="1139" t="str">
        <f>IF(CONSOLIDA!CS187="","",CONSOLIDA!CS187)</f>
        <v/>
      </c>
      <c r="AS206" s="1139"/>
      <c r="AT206" s="1139"/>
      <c r="AU206" s="1139"/>
      <c r="AV206" s="1139"/>
      <c r="AW206" s="1139"/>
      <c r="AX206" s="1140" t="str">
        <f>IF(CONSOLIDA!CT187="","",CONSOLIDA!CT187)</f>
        <v/>
      </c>
      <c r="AY206" s="1140"/>
      <c r="AZ206" s="1140"/>
      <c r="BA206" s="1140"/>
      <c r="BB206" s="1140"/>
      <c r="BC206" s="1140"/>
      <c r="BD206" s="1139" t="str">
        <f>IF(CONSOLIDA!CU187="","",CONSOLIDA!CU187)</f>
        <v/>
      </c>
      <c r="BE206" s="1139"/>
      <c r="BF206" s="1139"/>
      <c r="BG206" s="1139"/>
      <c r="BH206" s="1139"/>
      <c r="BI206" s="1139"/>
      <c r="BJ206" s="1139" t="str">
        <f>IF(CONSOLIDA!CV187="","",CONSOLIDA!CV187)</f>
        <v/>
      </c>
      <c r="BK206" s="1139"/>
      <c r="BL206" s="1139"/>
      <c r="BM206" s="1139"/>
      <c r="BN206" s="1139"/>
      <c r="BO206" s="1139"/>
      <c r="BP206" s="1139" t="str">
        <f>IF(CONSOLIDA!CW187="","",CONSOLIDA!CW187)</f>
        <v/>
      </c>
      <c r="BQ206" s="1139"/>
      <c r="BR206" s="1139"/>
      <c r="BS206" s="1139"/>
      <c r="BT206" s="1139"/>
      <c r="BU206" s="1139"/>
      <c r="BV206" s="1140" t="str">
        <f>IF(CONSOLIDA!CX187="","",CONSOLIDA!CX187)</f>
        <v/>
      </c>
      <c r="BW206" s="1140"/>
      <c r="BX206" s="1140"/>
      <c r="BY206" s="1140"/>
      <c r="BZ206" s="1140"/>
      <c r="CA206" s="1140"/>
      <c r="CB206" s="1139" t="str">
        <f>IF(CONSOLIDA!CY187="","",CONSOLIDA!CY187)</f>
        <v/>
      </c>
      <c r="CC206" s="1139"/>
      <c r="CD206" s="1139"/>
      <c r="CE206" s="1139"/>
      <c r="CF206" s="1139"/>
      <c r="CG206" s="1139"/>
      <c r="CH206" s="486"/>
      <c r="CI206" s="190" t="str">
        <f>IF(CONSOLIDA!CZ187="","",CONSOLIDA!CZ187)</f>
        <v/>
      </c>
      <c r="CJ206" s="190" t="str">
        <f>IF(CONSOLIDA!DA187="","",CONSOLIDA!DA187)</f>
        <v/>
      </c>
    </row>
    <row r="207" spans="1:88" s="3" customFormat="1" hidden="1">
      <c r="A207" s="243" t="str">
        <f t="shared" si="2"/>
        <v>OK</v>
      </c>
      <c r="B207" s="1141" t="str">
        <f>IF(CONSOLIDA!CL188="","",CONSOLIDA!CL188)</f>
        <v/>
      </c>
      <c r="C207" s="1141"/>
      <c r="D207" s="1134" t="str">
        <f>IF(CONSOLIDA!CN188="","",CONSOLIDA!CN188)</f>
        <v/>
      </c>
      <c r="E207" s="1135"/>
      <c r="F207" s="1135"/>
      <c r="G207" s="1129" t="str">
        <f>IF(CONSOLIDA!CO188="","",CONSOLIDA!CO188)</f>
        <v/>
      </c>
      <c r="H207" s="1129"/>
      <c r="I207" s="1129"/>
      <c r="J207" s="1129"/>
      <c r="K207" s="1129"/>
      <c r="L207" s="1129"/>
      <c r="M207" s="1129"/>
      <c r="N207" s="1129"/>
      <c r="O207" s="1129"/>
      <c r="P207" s="1129"/>
      <c r="Q207" s="1129"/>
      <c r="R207" s="1129"/>
      <c r="S207" s="1129"/>
      <c r="T207" s="1129"/>
      <c r="U207" s="1129"/>
      <c r="V207" s="1129"/>
      <c r="W207" s="1129"/>
      <c r="X207" s="1129"/>
      <c r="Y207" s="1130"/>
      <c r="Z207" s="1139" t="str">
        <f>IF(CONSOLIDA!CP188="","",CONSOLIDA!CP188)</f>
        <v/>
      </c>
      <c r="AA207" s="1139"/>
      <c r="AB207" s="1139"/>
      <c r="AC207" s="1139"/>
      <c r="AD207" s="1139"/>
      <c r="AE207" s="1139"/>
      <c r="AF207" s="1139" t="str">
        <f>IF(CONSOLIDA!CQ188="","",CONSOLIDA!CQ188)</f>
        <v/>
      </c>
      <c r="AG207" s="1139"/>
      <c r="AH207" s="1139"/>
      <c r="AI207" s="1139"/>
      <c r="AJ207" s="1139"/>
      <c r="AK207" s="1139"/>
      <c r="AL207" s="1139" t="str">
        <f>IF(CONSOLIDA!CR188="","",CONSOLIDA!CR188)</f>
        <v/>
      </c>
      <c r="AM207" s="1139"/>
      <c r="AN207" s="1139"/>
      <c r="AO207" s="1139"/>
      <c r="AP207" s="1139"/>
      <c r="AQ207" s="1139"/>
      <c r="AR207" s="1139" t="str">
        <f>IF(CONSOLIDA!CS188="","",CONSOLIDA!CS188)</f>
        <v/>
      </c>
      <c r="AS207" s="1139"/>
      <c r="AT207" s="1139"/>
      <c r="AU207" s="1139"/>
      <c r="AV207" s="1139"/>
      <c r="AW207" s="1139"/>
      <c r="AX207" s="1140" t="str">
        <f>IF(CONSOLIDA!CT188="","",CONSOLIDA!CT188)</f>
        <v/>
      </c>
      <c r="AY207" s="1140"/>
      <c r="AZ207" s="1140"/>
      <c r="BA207" s="1140"/>
      <c r="BB207" s="1140"/>
      <c r="BC207" s="1140"/>
      <c r="BD207" s="1139" t="str">
        <f>IF(CONSOLIDA!CU188="","",CONSOLIDA!CU188)</f>
        <v/>
      </c>
      <c r="BE207" s="1139"/>
      <c r="BF207" s="1139"/>
      <c r="BG207" s="1139"/>
      <c r="BH207" s="1139"/>
      <c r="BI207" s="1139"/>
      <c r="BJ207" s="1139" t="str">
        <f>IF(CONSOLIDA!CV188="","",CONSOLIDA!CV188)</f>
        <v/>
      </c>
      <c r="BK207" s="1139"/>
      <c r="BL207" s="1139"/>
      <c r="BM207" s="1139"/>
      <c r="BN207" s="1139"/>
      <c r="BO207" s="1139"/>
      <c r="BP207" s="1139" t="str">
        <f>IF(CONSOLIDA!CW188="","",CONSOLIDA!CW188)</f>
        <v/>
      </c>
      <c r="BQ207" s="1139"/>
      <c r="BR207" s="1139"/>
      <c r="BS207" s="1139"/>
      <c r="BT207" s="1139"/>
      <c r="BU207" s="1139"/>
      <c r="BV207" s="1140" t="str">
        <f>IF(CONSOLIDA!CX188="","",CONSOLIDA!CX188)</f>
        <v/>
      </c>
      <c r="BW207" s="1140"/>
      <c r="BX207" s="1140"/>
      <c r="BY207" s="1140"/>
      <c r="BZ207" s="1140"/>
      <c r="CA207" s="1140"/>
      <c r="CB207" s="1139" t="str">
        <f>IF(CONSOLIDA!CY188="","",CONSOLIDA!CY188)</f>
        <v/>
      </c>
      <c r="CC207" s="1139"/>
      <c r="CD207" s="1139"/>
      <c r="CE207" s="1139"/>
      <c r="CF207" s="1139"/>
      <c r="CG207" s="1139"/>
      <c r="CH207" s="486"/>
      <c r="CI207" s="190" t="str">
        <f>IF(CONSOLIDA!CZ188="","",CONSOLIDA!CZ188)</f>
        <v/>
      </c>
      <c r="CJ207" s="190" t="str">
        <f>IF(CONSOLIDA!DA188="","",CONSOLIDA!DA188)</f>
        <v/>
      </c>
    </row>
    <row r="208" spans="1:88" s="3" customFormat="1" hidden="1">
      <c r="A208" s="243" t="str">
        <f t="shared" si="2"/>
        <v>OK</v>
      </c>
      <c r="B208" s="1141" t="str">
        <f>IF(CONSOLIDA!CL189="","",CONSOLIDA!CL189)</f>
        <v/>
      </c>
      <c r="C208" s="1141"/>
      <c r="D208" s="1134" t="str">
        <f>IF(CONSOLIDA!CN189="","",CONSOLIDA!CN189)</f>
        <v/>
      </c>
      <c r="E208" s="1135"/>
      <c r="F208" s="1135"/>
      <c r="G208" s="1129" t="str">
        <f>IF(CONSOLIDA!CO189="","",CONSOLIDA!CO189)</f>
        <v/>
      </c>
      <c r="H208" s="1129"/>
      <c r="I208" s="1129"/>
      <c r="J208" s="1129"/>
      <c r="K208" s="1129"/>
      <c r="L208" s="1129"/>
      <c r="M208" s="1129"/>
      <c r="N208" s="1129"/>
      <c r="O208" s="1129"/>
      <c r="P208" s="1129"/>
      <c r="Q208" s="1129"/>
      <c r="R208" s="1129"/>
      <c r="S208" s="1129"/>
      <c r="T208" s="1129"/>
      <c r="U208" s="1129"/>
      <c r="V208" s="1129"/>
      <c r="W208" s="1129"/>
      <c r="X208" s="1129"/>
      <c r="Y208" s="1130"/>
      <c r="Z208" s="1139" t="str">
        <f>IF(CONSOLIDA!CP189="","",CONSOLIDA!CP189)</f>
        <v/>
      </c>
      <c r="AA208" s="1139"/>
      <c r="AB208" s="1139"/>
      <c r="AC208" s="1139"/>
      <c r="AD208" s="1139"/>
      <c r="AE208" s="1139"/>
      <c r="AF208" s="1139" t="str">
        <f>IF(CONSOLIDA!CQ189="","",CONSOLIDA!CQ189)</f>
        <v/>
      </c>
      <c r="AG208" s="1139"/>
      <c r="AH208" s="1139"/>
      <c r="AI208" s="1139"/>
      <c r="AJ208" s="1139"/>
      <c r="AK208" s="1139"/>
      <c r="AL208" s="1139" t="str">
        <f>IF(CONSOLIDA!CR189="","",CONSOLIDA!CR189)</f>
        <v/>
      </c>
      <c r="AM208" s="1139"/>
      <c r="AN208" s="1139"/>
      <c r="AO208" s="1139"/>
      <c r="AP208" s="1139"/>
      <c r="AQ208" s="1139"/>
      <c r="AR208" s="1139" t="str">
        <f>IF(CONSOLIDA!CS189="","",CONSOLIDA!CS189)</f>
        <v/>
      </c>
      <c r="AS208" s="1139"/>
      <c r="AT208" s="1139"/>
      <c r="AU208" s="1139"/>
      <c r="AV208" s="1139"/>
      <c r="AW208" s="1139"/>
      <c r="AX208" s="1140" t="str">
        <f>IF(CONSOLIDA!CT189="","",CONSOLIDA!CT189)</f>
        <v/>
      </c>
      <c r="AY208" s="1140"/>
      <c r="AZ208" s="1140"/>
      <c r="BA208" s="1140"/>
      <c r="BB208" s="1140"/>
      <c r="BC208" s="1140"/>
      <c r="BD208" s="1139" t="str">
        <f>IF(CONSOLIDA!CU189="","",CONSOLIDA!CU189)</f>
        <v/>
      </c>
      <c r="BE208" s="1139"/>
      <c r="BF208" s="1139"/>
      <c r="BG208" s="1139"/>
      <c r="BH208" s="1139"/>
      <c r="BI208" s="1139"/>
      <c r="BJ208" s="1139" t="str">
        <f>IF(CONSOLIDA!CV189="","",CONSOLIDA!CV189)</f>
        <v/>
      </c>
      <c r="BK208" s="1139"/>
      <c r="BL208" s="1139"/>
      <c r="BM208" s="1139"/>
      <c r="BN208" s="1139"/>
      <c r="BO208" s="1139"/>
      <c r="BP208" s="1139" t="str">
        <f>IF(CONSOLIDA!CW189="","",CONSOLIDA!CW189)</f>
        <v/>
      </c>
      <c r="BQ208" s="1139"/>
      <c r="BR208" s="1139"/>
      <c r="BS208" s="1139"/>
      <c r="BT208" s="1139"/>
      <c r="BU208" s="1139"/>
      <c r="BV208" s="1140" t="str">
        <f>IF(CONSOLIDA!CX189="","",CONSOLIDA!CX189)</f>
        <v/>
      </c>
      <c r="BW208" s="1140"/>
      <c r="BX208" s="1140"/>
      <c r="BY208" s="1140"/>
      <c r="BZ208" s="1140"/>
      <c r="CA208" s="1140"/>
      <c r="CB208" s="1139" t="str">
        <f>IF(CONSOLIDA!CY189="","",CONSOLIDA!CY189)</f>
        <v/>
      </c>
      <c r="CC208" s="1139"/>
      <c r="CD208" s="1139"/>
      <c r="CE208" s="1139"/>
      <c r="CF208" s="1139"/>
      <c r="CG208" s="1139"/>
      <c r="CH208" s="486"/>
      <c r="CI208" s="190" t="str">
        <f>IF(CONSOLIDA!CZ189="","",CONSOLIDA!CZ189)</f>
        <v/>
      </c>
      <c r="CJ208" s="190" t="str">
        <f>IF(CONSOLIDA!DA189="","",CONSOLIDA!DA189)</f>
        <v/>
      </c>
    </row>
    <row r="209" spans="1:88" s="3" customFormat="1" hidden="1">
      <c r="A209" s="243" t="str">
        <f t="shared" si="2"/>
        <v>OK</v>
      </c>
      <c r="B209" s="1141" t="str">
        <f>IF(CONSOLIDA!CL190="","",CONSOLIDA!CL190)</f>
        <v/>
      </c>
      <c r="C209" s="1141"/>
      <c r="D209" s="1134" t="str">
        <f>IF(CONSOLIDA!CN190="","",CONSOLIDA!CN190)</f>
        <v/>
      </c>
      <c r="E209" s="1135"/>
      <c r="F209" s="1135"/>
      <c r="G209" s="1129" t="str">
        <f>IF(CONSOLIDA!CO190="","",CONSOLIDA!CO190)</f>
        <v/>
      </c>
      <c r="H209" s="1129"/>
      <c r="I209" s="1129"/>
      <c r="J209" s="1129"/>
      <c r="K209" s="1129"/>
      <c r="L209" s="1129"/>
      <c r="M209" s="1129"/>
      <c r="N209" s="1129"/>
      <c r="O209" s="1129"/>
      <c r="P209" s="1129"/>
      <c r="Q209" s="1129"/>
      <c r="R209" s="1129"/>
      <c r="S209" s="1129"/>
      <c r="T209" s="1129"/>
      <c r="U209" s="1129"/>
      <c r="V209" s="1129"/>
      <c r="W209" s="1129"/>
      <c r="X209" s="1129"/>
      <c r="Y209" s="1130"/>
      <c r="Z209" s="1139" t="str">
        <f>IF(CONSOLIDA!CP190="","",CONSOLIDA!CP190)</f>
        <v/>
      </c>
      <c r="AA209" s="1139"/>
      <c r="AB209" s="1139"/>
      <c r="AC209" s="1139"/>
      <c r="AD209" s="1139"/>
      <c r="AE209" s="1139"/>
      <c r="AF209" s="1139" t="str">
        <f>IF(CONSOLIDA!CQ190="","",CONSOLIDA!CQ190)</f>
        <v/>
      </c>
      <c r="AG209" s="1139"/>
      <c r="AH209" s="1139"/>
      <c r="AI209" s="1139"/>
      <c r="AJ209" s="1139"/>
      <c r="AK209" s="1139"/>
      <c r="AL209" s="1139" t="str">
        <f>IF(CONSOLIDA!CR190="","",CONSOLIDA!CR190)</f>
        <v/>
      </c>
      <c r="AM209" s="1139"/>
      <c r="AN209" s="1139"/>
      <c r="AO209" s="1139"/>
      <c r="AP209" s="1139"/>
      <c r="AQ209" s="1139"/>
      <c r="AR209" s="1139" t="str">
        <f>IF(CONSOLIDA!CS190="","",CONSOLIDA!CS190)</f>
        <v/>
      </c>
      <c r="AS209" s="1139"/>
      <c r="AT209" s="1139"/>
      <c r="AU209" s="1139"/>
      <c r="AV209" s="1139"/>
      <c r="AW209" s="1139"/>
      <c r="AX209" s="1140" t="str">
        <f>IF(CONSOLIDA!CT190="","",CONSOLIDA!CT190)</f>
        <v/>
      </c>
      <c r="AY209" s="1140"/>
      <c r="AZ209" s="1140"/>
      <c r="BA209" s="1140"/>
      <c r="BB209" s="1140"/>
      <c r="BC209" s="1140"/>
      <c r="BD209" s="1139" t="str">
        <f>IF(CONSOLIDA!CU190="","",CONSOLIDA!CU190)</f>
        <v/>
      </c>
      <c r="BE209" s="1139"/>
      <c r="BF209" s="1139"/>
      <c r="BG209" s="1139"/>
      <c r="BH209" s="1139"/>
      <c r="BI209" s="1139"/>
      <c r="BJ209" s="1139" t="str">
        <f>IF(CONSOLIDA!CV190="","",CONSOLIDA!CV190)</f>
        <v/>
      </c>
      <c r="BK209" s="1139"/>
      <c r="BL209" s="1139"/>
      <c r="BM209" s="1139"/>
      <c r="BN209" s="1139"/>
      <c r="BO209" s="1139"/>
      <c r="BP209" s="1139" t="str">
        <f>IF(CONSOLIDA!CW190="","",CONSOLIDA!CW190)</f>
        <v/>
      </c>
      <c r="BQ209" s="1139"/>
      <c r="BR209" s="1139"/>
      <c r="BS209" s="1139"/>
      <c r="BT209" s="1139"/>
      <c r="BU209" s="1139"/>
      <c r="BV209" s="1140" t="str">
        <f>IF(CONSOLIDA!CX190="","",CONSOLIDA!CX190)</f>
        <v/>
      </c>
      <c r="BW209" s="1140"/>
      <c r="BX209" s="1140"/>
      <c r="BY209" s="1140"/>
      <c r="BZ209" s="1140"/>
      <c r="CA209" s="1140"/>
      <c r="CB209" s="1139" t="str">
        <f>IF(CONSOLIDA!CY190="","",CONSOLIDA!CY190)</f>
        <v/>
      </c>
      <c r="CC209" s="1139"/>
      <c r="CD209" s="1139"/>
      <c r="CE209" s="1139"/>
      <c r="CF209" s="1139"/>
      <c r="CG209" s="1139"/>
      <c r="CH209" s="486"/>
      <c r="CI209" s="190" t="str">
        <f>IF(CONSOLIDA!CZ190="","",CONSOLIDA!CZ190)</f>
        <v/>
      </c>
      <c r="CJ209" s="190" t="str">
        <f>IF(CONSOLIDA!DA190="","",CONSOLIDA!DA190)</f>
        <v/>
      </c>
    </row>
    <row r="210" spans="1:88" s="3" customFormat="1" hidden="1">
      <c r="A210" s="243" t="str">
        <f t="shared" si="2"/>
        <v>OK</v>
      </c>
      <c r="B210" s="1141" t="str">
        <f>IF(CONSOLIDA!CL191="","",CONSOLIDA!CL191)</f>
        <v/>
      </c>
      <c r="C210" s="1141"/>
      <c r="D210" s="1134" t="str">
        <f>IF(CONSOLIDA!CN191="","",CONSOLIDA!CN191)</f>
        <v/>
      </c>
      <c r="E210" s="1135"/>
      <c r="F210" s="1135"/>
      <c r="G210" s="1129" t="str">
        <f>IF(CONSOLIDA!CO191="","",CONSOLIDA!CO191)</f>
        <v/>
      </c>
      <c r="H210" s="1129"/>
      <c r="I210" s="1129"/>
      <c r="J210" s="1129"/>
      <c r="K210" s="1129"/>
      <c r="L210" s="1129"/>
      <c r="M210" s="1129"/>
      <c r="N210" s="1129"/>
      <c r="O210" s="1129"/>
      <c r="P210" s="1129"/>
      <c r="Q210" s="1129"/>
      <c r="R210" s="1129"/>
      <c r="S210" s="1129"/>
      <c r="T210" s="1129"/>
      <c r="U210" s="1129"/>
      <c r="V210" s="1129"/>
      <c r="W210" s="1129"/>
      <c r="X210" s="1129"/>
      <c r="Y210" s="1130"/>
      <c r="Z210" s="1139" t="str">
        <f>IF(CONSOLIDA!CP191="","",CONSOLIDA!CP191)</f>
        <v/>
      </c>
      <c r="AA210" s="1139"/>
      <c r="AB210" s="1139"/>
      <c r="AC210" s="1139"/>
      <c r="AD210" s="1139"/>
      <c r="AE210" s="1139"/>
      <c r="AF210" s="1139" t="str">
        <f>IF(CONSOLIDA!CQ191="","",CONSOLIDA!CQ191)</f>
        <v/>
      </c>
      <c r="AG210" s="1139"/>
      <c r="AH210" s="1139"/>
      <c r="AI210" s="1139"/>
      <c r="AJ210" s="1139"/>
      <c r="AK210" s="1139"/>
      <c r="AL210" s="1139" t="str">
        <f>IF(CONSOLIDA!CR191="","",CONSOLIDA!CR191)</f>
        <v/>
      </c>
      <c r="AM210" s="1139"/>
      <c r="AN210" s="1139"/>
      <c r="AO210" s="1139"/>
      <c r="AP210" s="1139"/>
      <c r="AQ210" s="1139"/>
      <c r="AR210" s="1139" t="str">
        <f>IF(CONSOLIDA!CS191="","",CONSOLIDA!CS191)</f>
        <v/>
      </c>
      <c r="AS210" s="1139"/>
      <c r="AT210" s="1139"/>
      <c r="AU210" s="1139"/>
      <c r="AV210" s="1139"/>
      <c r="AW210" s="1139"/>
      <c r="AX210" s="1140" t="str">
        <f>IF(CONSOLIDA!CT191="","",CONSOLIDA!CT191)</f>
        <v/>
      </c>
      <c r="AY210" s="1140"/>
      <c r="AZ210" s="1140"/>
      <c r="BA210" s="1140"/>
      <c r="BB210" s="1140"/>
      <c r="BC210" s="1140"/>
      <c r="BD210" s="1139" t="str">
        <f>IF(CONSOLIDA!CU191="","",CONSOLIDA!CU191)</f>
        <v/>
      </c>
      <c r="BE210" s="1139"/>
      <c r="BF210" s="1139"/>
      <c r="BG210" s="1139"/>
      <c r="BH210" s="1139"/>
      <c r="BI210" s="1139"/>
      <c r="BJ210" s="1139" t="str">
        <f>IF(CONSOLIDA!CV191="","",CONSOLIDA!CV191)</f>
        <v/>
      </c>
      <c r="BK210" s="1139"/>
      <c r="BL210" s="1139"/>
      <c r="BM210" s="1139"/>
      <c r="BN210" s="1139"/>
      <c r="BO210" s="1139"/>
      <c r="BP210" s="1139" t="str">
        <f>IF(CONSOLIDA!CW191="","",CONSOLIDA!CW191)</f>
        <v/>
      </c>
      <c r="BQ210" s="1139"/>
      <c r="BR210" s="1139"/>
      <c r="BS210" s="1139"/>
      <c r="BT210" s="1139"/>
      <c r="BU210" s="1139"/>
      <c r="BV210" s="1140" t="str">
        <f>IF(CONSOLIDA!CX191="","",CONSOLIDA!CX191)</f>
        <v/>
      </c>
      <c r="BW210" s="1140"/>
      <c r="BX210" s="1140"/>
      <c r="BY210" s="1140"/>
      <c r="BZ210" s="1140"/>
      <c r="CA210" s="1140"/>
      <c r="CB210" s="1139" t="str">
        <f>IF(CONSOLIDA!CY191="","",CONSOLIDA!CY191)</f>
        <v/>
      </c>
      <c r="CC210" s="1139"/>
      <c r="CD210" s="1139"/>
      <c r="CE210" s="1139"/>
      <c r="CF210" s="1139"/>
      <c r="CG210" s="1139"/>
      <c r="CH210" s="486"/>
      <c r="CI210" s="190" t="str">
        <f>IF(CONSOLIDA!CZ191="","",CONSOLIDA!CZ191)</f>
        <v/>
      </c>
      <c r="CJ210" s="190" t="str">
        <f>IF(CONSOLIDA!DA191="","",CONSOLIDA!DA191)</f>
        <v/>
      </c>
    </row>
    <row r="211" spans="1:88" s="3" customFormat="1" hidden="1">
      <c r="A211" s="243" t="str">
        <f t="shared" si="2"/>
        <v>OK</v>
      </c>
      <c r="B211" s="1141" t="str">
        <f>IF(CONSOLIDA!CL192="","",CONSOLIDA!CL192)</f>
        <v/>
      </c>
      <c r="C211" s="1141"/>
      <c r="D211" s="1134" t="str">
        <f>IF(CONSOLIDA!CN192="","",CONSOLIDA!CN192)</f>
        <v/>
      </c>
      <c r="E211" s="1135"/>
      <c r="F211" s="1135"/>
      <c r="G211" s="1129" t="str">
        <f>IF(CONSOLIDA!CO192="","",CONSOLIDA!CO192)</f>
        <v/>
      </c>
      <c r="H211" s="1129"/>
      <c r="I211" s="1129"/>
      <c r="J211" s="1129"/>
      <c r="K211" s="1129"/>
      <c r="L211" s="1129"/>
      <c r="M211" s="1129"/>
      <c r="N211" s="1129"/>
      <c r="O211" s="1129"/>
      <c r="P211" s="1129"/>
      <c r="Q211" s="1129"/>
      <c r="R211" s="1129"/>
      <c r="S211" s="1129"/>
      <c r="T211" s="1129"/>
      <c r="U211" s="1129"/>
      <c r="V211" s="1129"/>
      <c r="W211" s="1129"/>
      <c r="X211" s="1129"/>
      <c r="Y211" s="1130"/>
      <c r="Z211" s="1139" t="str">
        <f>IF(CONSOLIDA!CP192="","",CONSOLIDA!CP192)</f>
        <v/>
      </c>
      <c r="AA211" s="1139"/>
      <c r="AB211" s="1139"/>
      <c r="AC211" s="1139"/>
      <c r="AD211" s="1139"/>
      <c r="AE211" s="1139"/>
      <c r="AF211" s="1139" t="str">
        <f>IF(CONSOLIDA!CQ192="","",CONSOLIDA!CQ192)</f>
        <v/>
      </c>
      <c r="AG211" s="1139"/>
      <c r="AH211" s="1139"/>
      <c r="AI211" s="1139"/>
      <c r="AJ211" s="1139"/>
      <c r="AK211" s="1139"/>
      <c r="AL211" s="1139" t="str">
        <f>IF(CONSOLIDA!CR192="","",CONSOLIDA!CR192)</f>
        <v/>
      </c>
      <c r="AM211" s="1139"/>
      <c r="AN211" s="1139"/>
      <c r="AO211" s="1139"/>
      <c r="AP211" s="1139"/>
      <c r="AQ211" s="1139"/>
      <c r="AR211" s="1139" t="str">
        <f>IF(CONSOLIDA!CS192="","",CONSOLIDA!CS192)</f>
        <v/>
      </c>
      <c r="AS211" s="1139"/>
      <c r="AT211" s="1139"/>
      <c r="AU211" s="1139"/>
      <c r="AV211" s="1139"/>
      <c r="AW211" s="1139"/>
      <c r="AX211" s="1140" t="str">
        <f>IF(CONSOLIDA!CT192="","",CONSOLIDA!CT192)</f>
        <v/>
      </c>
      <c r="AY211" s="1140"/>
      <c r="AZ211" s="1140"/>
      <c r="BA211" s="1140"/>
      <c r="BB211" s="1140"/>
      <c r="BC211" s="1140"/>
      <c r="BD211" s="1139" t="str">
        <f>IF(CONSOLIDA!CU192="","",CONSOLIDA!CU192)</f>
        <v/>
      </c>
      <c r="BE211" s="1139"/>
      <c r="BF211" s="1139"/>
      <c r="BG211" s="1139"/>
      <c r="BH211" s="1139"/>
      <c r="BI211" s="1139"/>
      <c r="BJ211" s="1139" t="str">
        <f>IF(CONSOLIDA!CV192="","",CONSOLIDA!CV192)</f>
        <v/>
      </c>
      <c r="BK211" s="1139"/>
      <c r="BL211" s="1139"/>
      <c r="BM211" s="1139"/>
      <c r="BN211" s="1139"/>
      <c r="BO211" s="1139"/>
      <c r="BP211" s="1139" t="str">
        <f>IF(CONSOLIDA!CW192="","",CONSOLIDA!CW192)</f>
        <v/>
      </c>
      <c r="BQ211" s="1139"/>
      <c r="BR211" s="1139"/>
      <c r="BS211" s="1139"/>
      <c r="BT211" s="1139"/>
      <c r="BU211" s="1139"/>
      <c r="BV211" s="1140" t="str">
        <f>IF(CONSOLIDA!CX192="","",CONSOLIDA!CX192)</f>
        <v/>
      </c>
      <c r="BW211" s="1140"/>
      <c r="BX211" s="1140"/>
      <c r="BY211" s="1140"/>
      <c r="BZ211" s="1140"/>
      <c r="CA211" s="1140"/>
      <c r="CB211" s="1139" t="str">
        <f>IF(CONSOLIDA!CY192="","",CONSOLIDA!CY192)</f>
        <v/>
      </c>
      <c r="CC211" s="1139"/>
      <c r="CD211" s="1139"/>
      <c r="CE211" s="1139"/>
      <c r="CF211" s="1139"/>
      <c r="CG211" s="1139"/>
      <c r="CH211" s="486"/>
      <c r="CI211" s="190" t="str">
        <f>IF(CONSOLIDA!CZ192="","",CONSOLIDA!CZ192)</f>
        <v/>
      </c>
      <c r="CJ211" s="190" t="str">
        <f>IF(CONSOLIDA!DA192="","",CONSOLIDA!DA192)</f>
        <v/>
      </c>
    </row>
    <row r="212" spans="1:88" s="3" customFormat="1" hidden="1">
      <c r="A212" s="243" t="str">
        <f t="shared" si="2"/>
        <v>OK</v>
      </c>
      <c r="B212" s="1141" t="str">
        <f>IF(CONSOLIDA!CL193="","",CONSOLIDA!CL193)</f>
        <v/>
      </c>
      <c r="C212" s="1141"/>
      <c r="D212" s="1134" t="str">
        <f>IF(CONSOLIDA!CN193="","",CONSOLIDA!CN193)</f>
        <v/>
      </c>
      <c r="E212" s="1135"/>
      <c r="F212" s="1135"/>
      <c r="G212" s="1129" t="str">
        <f>IF(CONSOLIDA!CO193="","",CONSOLIDA!CO193)</f>
        <v/>
      </c>
      <c r="H212" s="1129"/>
      <c r="I212" s="1129"/>
      <c r="J212" s="1129"/>
      <c r="K212" s="1129"/>
      <c r="L212" s="1129"/>
      <c r="M212" s="1129"/>
      <c r="N212" s="1129"/>
      <c r="O212" s="1129"/>
      <c r="P212" s="1129"/>
      <c r="Q212" s="1129"/>
      <c r="R212" s="1129"/>
      <c r="S212" s="1129"/>
      <c r="T212" s="1129"/>
      <c r="U212" s="1129"/>
      <c r="V212" s="1129"/>
      <c r="W212" s="1129"/>
      <c r="X212" s="1129"/>
      <c r="Y212" s="1130"/>
      <c r="Z212" s="1139" t="str">
        <f>IF(CONSOLIDA!CP193="","",CONSOLIDA!CP193)</f>
        <v/>
      </c>
      <c r="AA212" s="1139"/>
      <c r="AB212" s="1139"/>
      <c r="AC212" s="1139"/>
      <c r="AD212" s="1139"/>
      <c r="AE212" s="1139"/>
      <c r="AF212" s="1139" t="str">
        <f>IF(CONSOLIDA!CQ193="","",CONSOLIDA!CQ193)</f>
        <v/>
      </c>
      <c r="AG212" s="1139"/>
      <c r="AH212" s="1139"/>
      <c r="AI212" s="1139"/>
      <c r="AJ212" s="1139"/>
      <c r="AK212" s="1139"/>
      <c r="AL212" s="1139" t="str">
        <f>IF(CONSOLIDA!CR193="","",CONSOLIDA!CR193)</f>
        <v/>
      </c>
      <c r="AM212" s="1139"/>
      <c r="AN212" s="1139"/>
      <c r="AO212" s="1139"/>
      <c r="AP212" s="1139"/>
      <c r="AQ212" s="1139"/>
      <c r="AR212" s="1139" t="str">
        <f>IF(CONSOLIDA!CS193="","",CONSOLIDA!CS193)</f>
        <v/>
      </c>
      <c r="AS212" s="1139"/>
      <c r="AT212" s="1139"/>
      <c r="AU212" s="1139"/>
      <c r="AV212" s="1139"/>
      <c r="AW212" s="1139"/>
      <c r="AX212" s="1140" t="str">
        <f>IF(CONSOLIDA!CT193="","",CONSOLIDA!CT193)</f>
        <v/>
      </c>
      <c r="AY212" s="1140"/>
      <c r="AZ212" s="1140"/>
      <c r="BA212" s="1140"/>
      <c r="BB212" s="1140"/>
      <c r="BC212" s="1140"/>
      <c r="BD212" s="1139" t="str">
        <f>IF(CONSOLIDA!CU193="","",CONSOLIDA!CU193)</f>
        <v/>
      </c>
      <c r="BE212" s="1139"/>
      <c r="BF212" s="1139"/>
      <c r="BG212" s="1139"/>
      <c r="BH212" s="1139"/>
      <c r="BI212" s="1139"/>
      <c r="BJ212" s="1139" t="str">
        <f>IF(CONSOLIDA!CV193="","",CONSOLIDA!CV193)</f>
        <v/>
      </c>
      <c r="BK212" s="1139"/>
      <c r="BL212" s="1139"/>
      <c r="BM212" s="1139"/>
      <c r="BN212" s="1139"/>
      <c r="BO212" s="1139"/>
      <c r="BP212" s="1139" t="str">
        <f>IF(CONSOLIDA!CW193="","",CONSOLIDA!CW193)</f>
        <v/>
      </c>
      <c r="BQ212" s="1139"/>
      <c r="BR212" s="1139"/>
      <c r="BS212" s="1139"/>
      <c r="BT212" s="1139"/>
      <c r="BU212" s="1139"/>
      <c r="BV212" s="1140" t="str">
        <f>IF(CONSOLIDA!CX193="","",CONSOLIDA!CX193)</f>
        <v/>
      </c>
      <c r="BW212" s="1140"/>
      <c r="BX212" s="1140"/>
      <c r="BY212" s="1140"/>
      <c r="BZ212" s="1140"/>
      <c r="CA212" s="1140"/>
      <c r="CB212" s="1139" t="str">
        <f>IF(CONSOLIDA!CY193="","",CONSOLIDA!CY193)</f>
        <v/>
      </c>
      <c r="CC212" s="1139"/>
      <c r="CD212" s="1139"/>
      <c r="CE212" s="1139"/>
      <c r="CF212" s="1139"/>
      <c r="CG212" s="1139"/>
      <c r="CH212" s="486"/>
      <c r="CI212" s="190" t="str">
        <f>IF(CONSOLIDA!CZ193="","",CONSOLIDA!CZ193)</f>
        <v/>
      </c>
      <c r="CJ212" s="190" t="str">
        <f>IF(CONSOLIDA!DA193="","",CONSOLIDA!DA193)</f>
        <v/>
      </c>
    </row>
    <row r="213" spans="1:88" s="3" customFormat="1" hidden="1">
      <c r="A213" s="243" t="str">
        <f t="shared" si="2"/>
        <v>OK</v>
      </c>
      <c r="B213" s="1141" t="str">
        <f>IF(CONSOLIDA!CL194="","",CONSOLIDA!CL194)</f>
        <v/>
      </c>
      <c r="C213" s="1141"/>
      <c r="D213" s="1134" t="str">
        <f>IF(CONSOLIDA!CN194="","",CONSOLIDA!CN194)</f>
        <v/>
      </c>
      <c r="E213" s="1135"/>
      <c r="F213" s="1135"/>
      <c r="G213" s="1129" t="str">
        <f>IF(CONSOLIDA!CO194="","",CONSOLIDA!CO194)</f>
        <v/>
      </c>
      <c r="H213" s="1129"/>
      <c r="I213" s="1129"/>
      <c r="J213" s="1129"/>
      <c r="K213" s="1129"/>
      <c r="L213" s="1129"/>
      <c r="M213" s="1129"/>
      <c r="N213" s="1129"/>
      <c r="O213" s="1129"/>
      <c r="P213" s="1129"/>
      <c r="Q213" s="1129"/>
      <c r="R213" s="1129"/>
      <c r="S213" s="1129"/>
      <c r="T213" s="1129"/>
      <c r="U213" s="1129"/>
      <c r="V213" s="1129"/>
      <c r="W213" s="1129"/>
      <c r="X213" s="1129"/>
      <c r="Y213" s="1130"/>
      <c r="Z213" s="1139" t="str">
        <f>IF(CONSOLIDA!CP194="","",CONSOLIDA!CP194)</f>
        <v/>
      </c>
      <c r="AA213" s="1139"/>
      <c r="AB213" s="1139"/>
      <c r="AC213" s="1139"/>
      <c r="AD213" s="1139"/>
      <c r="AE213" s="1139"/>
      <c r="AF213" s="1139" t="str">
        <f>IF(CONSOLIDA!CQ194="","",CONSOLIDA!CQ194)</f>
        <v/>
      </c>
      <c r="AG213" s="1139"/>
      <c r="AH213" s="1139"/>
      <c r="AI213" s="1139"/>
      <c r="AJ213" s="1139"/>
      <c r="AK213" s="1139"/>
      <c r="AL213" s="1139" t="str">
        <f>IF(CONSOLIDA!CR194="","",CONSOLIDA!CR194)</f>
        <v/>
      </c>
      <c r="AM213" s="1139"/>
      <c r="AN213" s="1139"/>
      <c r="AO213" s="1139"/>
      <c r="AP213" s="1139"/>
      <c r="AQ213" s="1139"/>
      <c r="AR213" s="1139" t="str">
        <f>IF(CONSOLIDA!CS194="","",CONSOLIDA!CS194)</f>
        <v/>
      </c>
      <c r="AS213" s="1139"/>
      <c r="AT213" s="1139"/>
      <c r="AU213" s="1139"/>
      <c r="AV213" s="1139"/>
      <c r="AW213" s="1139"/>
      <c r="AX213" s="1140" t="str">
        <f>IF(CONSOLIDA!CT194="","",CONSOLIDA!CT194)</f>
        <v/>
      </c>
      <c r="AY213" s="1140"/>
      <c r="AZ213" s="1140"/>
      <c r="BA213" s="1140"/>
      <c r="BB213" s="1140"/>
      <c r="BC213" s="1140"/>
      <c r="BD213" s="1139" t="str">
        <f>IF(CONSOLIDA!CU194="","",CONSOLIDA!CU194)</f>
        <v/>
      </c>
      <c r="BE213" s="1139"/>
      <c r="BF213" s="1139"/>
      <c r="BG213" s="1139"/>
      <c r="BH213" s="1139"/>
      <c r="BI213" s="1139"/>
      <c r="BJ213" s="1139" t="str">
        <f>IF(CONSOLIDA!CV194="","",CONSOLIDA!CV194)</f>
        <v/>
      </c>
      <c r="BK213" s="1139"/>
      <c r="BL213" s="1139"/>
      <c r="BM213" s="1139"/>
      <c r="BN213" s="1139"/>
      <c r="BO213" s="1139"/>
      <c r="BP213" s="1139" t="str">
        <f>IF(CONSOLIDA!CW194="","",CONSOLIDA!CW194)</f>
        <v/>
      </c>
      <c r="BQ213" s="1139"/>
      <c r="BR213" s="1139"/>
      <c r="BS213" s="1139"/>
      <c r="BT213" s="1139"/>
      <c r="BU213" s="1139"/>
      <c r="BV213" s="1140" t="str">
        <f>IF(CONSOLIDA!CX194="","",CONSOLIDA!CX194)</f>
        <v/>
      </c>
      <c r="BW213" s="1140"/>
      <c r="BX213" s="1140"/>
      <c r="BY213" s="1140"/>
      <c r="BZ213" s="1140"/>
      <c r="CA213" s="1140"/>
      <c r="CB213" s="1139" t="str">
        <f>IF(CONSOLIDA!CY194="","",CONSOLIDA!CY194)</f>
        <v/>
      </c>
      <c r="CC213" s="1139"/>
      <c r="CD213" s="1139"/>
      <c r="CE213" s="1139"/>
      <c r="CF213" s="1139"/>
      <c r="CG213" s="1139"/>
      <c r="CH213" s="486"/>
      <c r="CI213" s="190" t="str">
        <f>IF(CONSOLIDA!CZ194="","",CONSOLIDA!CZ194)</f>
        <v/>
      </c>
      <c r="CJ213" s="190" t="str">
        <f>IF(CONSOLIDA!DA194="","",CONSOLIDA!DA194)</f>
        <v/>
      </c>
    </row>
    <row r="214" spans="1:88" s="3" customFormat="1" hidden="1">
      <c r="A214" s="243" t="str">
        <f t="shared" si="2"/>
        <v>OK</v>
      </c>
      <c r="B214" s="1141" t="str">
        <f>IF(CONSOLIDA!CL195="","",CONSOLIDA!CL195)</f>
        <v/>
      </c>
      <c r="C214" s="1141"/>
      <c r="D214" s="1134" t="str">
        <f>IF(CONSOLIDA!CN195="","",CONSOLIDA!CN195)</f>
        <v/>
      </c>
      <c r="E214" s="1135"/>
      <c r="F214" s="1135"/>
      <c r="G214" s="1129" t="str">
        <f>IF(CONSOLIDA!CO195="","",CONSOLIDA!CO195)</f>
        <v/>
      </c>
      <c r="H214" s="1129"/>
      <c r="I214" s="1129"/>
      <c r="J214" s="1129"/>
      <c r="K214" s="1129"/>
      <c r="L214" s="1129"/>
      <c r="M214" s="1129"/>
      <c r="N214" s="1129"/>
      <c r="O214" s="1129"/>
      <c r="P214" s="1129"/>
      <c r="Q214" s="1129"/>
      <c r="R214" s="1129"/>
      <c r="S214" s="1129"/>
      <c r="T214" s="1129"/>
      <c r="U214" s="1129"/>
      <c r="V214" s="1129"/>
      <c r="W214" s="1129"/>
      <c r="X214" s="1129"/>
      <c r="Y214" s="1130"/>
      <c r="Z214" s="1139" t="str">
        <f>IF(CONSOLIDA!CP195="","",CONSOLIDA!CP195)</f>
        <v/>
      </c>
      <c r="AA214" s="1139"/>
      <c r="AB214" s="1139"/>
      <c r="AC214" s="1139"/>
      <c r="AD214" s="1139"/>
      <c r="AE214" s="1139"/>
      <c r="AF214" s="1139" t="str">
        <f>IF(CONSOLIDA!CQ195="","",CONSOLIDA!CQ195)</f>
        <v/>
      </c>
      <c r="AG214" s="1139"/>
      <c r="AH214" s="1139"/>
      <c r="AI214" s="1139"/>
      <c r="AJ214" s="1139"/>
      <c r="AK214" s="1139"/>
      <c r="AL214" s="1139" t="str">
        <f>IF(CONSOLIDA!CR195="","",CONSOLIDA!CR195)</f>
        <v/>
      </c>
      <c r="AM214" s="1139"/>
      <c r="AN214" s="1139"/>
      <c r="AO214" s="1139"/>
      <c r="AP214" s="1139"/>
      <c r="AQ214" s="1139"/>
      <c r="AR214" s="1139" t="str">
        <f>IF(CONSOLIDA!CS195="","",CONSOLIDA!CS195)</f>
        <v/>
      </c>
      <c r="AS214" s="1139"/>
      <c r="AT214" s="1139"/>
      <c r="AU214" s="1139"/>
      <c r="AV214" s="1139"/>
      <c r="AW214" s="1139"/>
      <c r="AX214" s="1140" t="str">
        <f>IF(CONSOLIDA!CT195="","",CONSOLIDA!CT195)</f>
        <v/>
      </c>
      <c r="AY214" s="1140"/>
      <c r="AZ214" s="1140"/>
      <c r="BA214" s="1140"/>
      <c r="BB214" s="1140"/>
      <c r="BC214" s="1140"/>
      <c r="BD214" s="1139" t="str">
        <f>IF(CONSOLIDA!CU195="","",CONSOLIDA!CU195)</f>
        <v/>
      </c>
      <c r="BE214" s="1139"/>
      <c r="BF214" s="1139"/>
      <c r="BG214" s="1139"/>
      <c r="BH214" s="1139"/>
      <c r="BI214" s="1139"/>
      <c r="BJ214" s="1139" t="str">
        <f>IF(CONSOLIDA!CV195="","",CONSOLIDA!CV195)</f>
        <v/>
      </c>
      <c r="BK214" s="1139"/>
      <c r="BL214" s="1139"/>
      <c r="BM214" s="1139"/>
      <c r="BN214" s="1139"/>
      <c r="BO214" s="1139"/>
      <c r="BP214" s="1139" t="str">
        <f>IF(CONSOLIDA!CW195="","",CONSOLIDA!CW195)</f>
        <v/>
      </c>
      <c r="BQ214" s="1139"/>
      <c r="BR214" s="1139"/>
      <c r="BS214" s="1139"/>
      <c r="BT214" s="1139"/>
      <c r="BU214" s="1139"/>
      <c r="BV214" s="1140" t="str">
        <f>IF(CONSOLIDA!CX195="","",CONSOLIDA!CX195)</f>
        <v/>
      </c>
      <c r="BW214" s="1140"/>
      <c r="BX214" s="1140"/>
      <c r="BY214" s="1140"/>
      <c r="BZ214" s="1140"/>
      <c r="CA214" s="1140"/>
      <c r="CB214" s="1139" t="str">
        <f>IF(CONSOLIDA!CY195="","",CONSOLIDA!CY195)</f>
        <v/>
      </c>
      <c r="CC214" s="1139"/>
      <c r="CD214" s="1139"/>
      <c r="CE214" s="1139"/>
      <c r="CF214" s="1139"/>
      <c r="CG214" s="1139"/>
      <c r="CH214" s="486"/>
      <c r="CI214" s="190" t="str">
        <f>IF(CONSOLIDA!CZ195="","",CONSOLIDA!CZ195)</f>
        <v/>
      </c>
      <c r="CJ214" s="190" t="str">
        <f>IF(CONSOLIDA!DA195="","",CONSOLIDA!DA195)</f>
        <v/>
      </c>
    </row>
    <row r="215" spans="1:88" s="3" customFormat="1" hidden="1">
      <c r="A215" s="243" t="str">
        <f t="shared" si="2"/>
        <v>OK</v>
      </c>
      <c r="B215" s="1141" t="str">
        <f>IF(CONSOLIDA!CL196="","",CONSOLIDA!CL196)</f>
        <v/>
      </c>
      <c r="C215" s="1141"/>
      <c r="D215" s="1134" t="str">
        <f>IF(CONSOLIDA!CN196="","",CONSOLIDA!CN196)</f>
        <v/>
      </c>
      <c r="E215" s="1135"/>
      <c r="F215" s="1135"/>
      <c r="G215" s="1129" t="str">
        <f>IF(CONSOLIDA!CO196="","",CONSOLIDA!CO196)</f>
        <v/>
      </c>
      <c r="H215" s="1129"/>
      <c r="I215" s="1129"/>
      <c r="J215" s="1129"/>
      <c r="K215" s="1129"/>
      <c r="L215" s="1129"/>
      <c r="M215" s="1129"/>
      <c r="N215" s="1129"/>
      <c r="O215" s="1129"/>
      <c r="P215" s="1129"/>
      <c r="Q215" s="1129"/>
      <c r="R215" s="1129"/>
      <c r="S215" s="1129"/>
      <c r="T215" s="1129"/>
      <c r="U215" s="1129"/>
      <c r="V215" s="1129"/>
      <c r="W215" s="1129"/>
      <c r="X215" s="1129"/>
      <c r="Y215" s="1130"/>
      <c r="Z215" s="1139" t="str">
        <f>IF(CONSOLIDA!CP196="","",CONSOLIDA!CP196)</f>
        <v/>
      </c>
      <c r="AA215" s="1139"/>
      <c r="AB215" s="1139"/>
      <c r="AC215" s="1139"/>
      <c r="AD215" s="1139"/>
      <c r="AE215" s="1139"/>
      <c r="AF215" s="1139" t="str">
        <f>IF(CONSOLIDA!CQ196="","",CONSOLIDA!CQ196)</f>
        <v/>
      </c>
      <c r="AG215" s="1139"/>
      <c r="AH215" s="1139"/>
      <c r="AI215" s="1139"/>
      <c r="AJ215" s="1139"/>
      <c r="AK215" s="1139"/>
      <c r="AL215" s="1139" t="str">
        <f>IF(CONSOLIDA!CR196="","",CONSOLIDA!CR196)</f>
        <v/>
      </c>
      <c r="AM215" s="1139"/>
      <c r="AN215" s="1139"/>
      <c r="AO215" s="1139"/>
      <c r="AP215" s="1139"/>
      <c r="AQ215" s="1139"/>
      <c r="AR215" s="1139" t="str">
        <f>IF(CONSOLIDA!CS196="","",CONSOLIDA!CS196)</f>
        <v/>
      </c>
      <c r="AS215" s="1139"/>
      <c r="AT215" s="1139"/>
      <c r="AU215" s="1139"/>
      <c r="AV215" s="1139"/>
      <c r="AW215" s="1139"/>
      <c r="AX215" s="1140" t="str">
        <f>IF(CONSOLIDA!CT196="","",CONSOLIDA!CT196)</f>
        <v/>
      </c>
      <c r="AY215" s="1140"/>
      <c r="AZ215" s="1140"/>
      <c r="BA215" s="1140"/>
      <c r="BB215" s="1140"/>
      <c r="BC215" s="1140"/>
      <c r="BD215" s="1139" t="str">
        <f>IF(CONSOLIDA!CU196="","",CONSOLIDA!CU196)</f>
        <v/>
      </c>
      <c r="BE215" s="1139"/>
      <c r="BF215" s="1139"/>
      <c r="BG215" s="1139"/>
      <c r="BH215" s="1139"/>
      <c r="BI215" s="1139"/>
      <c r="BJ215" s="1139" t="str">
        <f>IF(CONSOLIDA!CV196="","",CONSOLIDA!CV196)</f>
        <v/>
      </c>
      <c r="BK215" s="1139"/>
      <c r="BL215" s="1139"/>
      <c r="BM215" s="1139"/>
      <c r="BN215" s="1139"/>
      <c r="BO215" s="1139"/>
      <c r="BP215" s="1139" t="str">
        <f>IF(CONSOLIDA!CW196="","",CONSOLIDA!CW196)</f>
        <v/>
      </c>
      <c r="BQ215" s="1139"/>
      <c r="BR215" s="1139"/>
      <c r="BS215" s="1139"/>
      <c r="BT215" s="1139"/>
      <c r="BU215" s="1139"/>
      <c r="BV215" s="1140" t="str">
        <f>IF(CONSOLIDA!CX196="","",CONSOLIDA!CX196)</f>
        <v/>
      </c>
      <c r="BW215" s="1140"/>
      <c r="BX215" s="1140"/>
      <c r="BY215" s="1140"/>
      <c r="BZ215" s="1140"/>
      <c r="CA215" s="1140"/>
      <c r="CB215" s="1139" t="str">
        <f>IF(CONSOLIDA!CY196="","",CONSOLIDA!CY196)</f>
        <v/>
      </c>
      <c r="CC215" s="1139"/>
      <c r="CD215" s="1139"/>
      <c r="CE215" s="1139"/>
      <c r="CF215" s="1139"/>
      <c r="CG215" s="1139"/>
      <c r="CH215" s="486"/>
      <c r="CI215" s="190" t="str">
        <f>IF(CONSOLIDA!CZ196="","",CONSOLIDA!CZ196)</f>
        <v/>
      </c>
      <c r="CJ215" s="190" t="str">
        <f>IF(CONSOLIDA!DA196="","",CONSOLIDA!DA196)</f>
        <v/>
      </c>
    </row>
    <row r="216" spans="1:88" s="3" customFormat="1" hidden="1">
      <c r="A216" s="243" t="str">
        <f t="shared" ref="A216:A226" si="3">IF(D216="","OK","")</f>
        <v>OK</v>
      </c>
      <c r="B216" s="1141" t="str">
        <f>IF(CONSOLIDA!CL197="","",CONSOLIDA!CL197)</f>
        <v/>
      </c>
      <c r="C216" s="1141"/>
      <c r="D216" s="1134" t="str">
        <f>IF(CONSOLIDA!CN197="","",CONSOLIDA!CN197)</f>
        <v/>
      </c>
      <c r="E216" s="1135"/>
      <c r="F216" s="1135"/>
      <c r="G216" s="1129" t="str">
        <f>IF(CONSOLIDA!CO197="","",CONSOLIDA!CO197)</f>
        <v/>
      </c>
      <c r="H216" s="1129"/>
      <c r="I216" s="1129"/>
      <c r="J216" s="1129"/>
      <c r="K216" s="1129"/>
      <c r="L216" s="1129"/>
      <c r="M216" s="1129"/>
      <c r="N216" s="1129"/>
      <c r="O216" s="1129"/>
      <c r="P216" s="1129"/>
      <c r="Q216" s="1129"/>
      <c r="R216" s="1129"/>
      <c r="S216" s="1129"/>
      <c r="T216" s="1129"/>
      <c r="U216" s="1129"/>
      <c r="V216" s="1129"/>
      <c r="W216" s="1129"/>
      <c r="X216" s="1129"/>
      <c r="Y216" s="1130"/>
      <c r="Z216" s="1139" t="str">
        <f>IF(CONSOLIDA!CP197="","",CONSOLIDA!CP197)</f>
        <v/>
      </c>
      <c r="AA216" s="1139"/>
      <c r="AB216" s="1139"/>
      <c r="AC216" s="1139"/>
      <c r="AD216" s="1139"/>
      <c r="AE216" s="1139"/>
      <c r="AF216" s="1139" t="str">
        <f>IF(CONSOLIDA!CQ197="","",CONSOLIDA!CQ197)</f>
        <v/>
      </c>
      <c r="AG216" s="1139"/>
      <c r="AH216" s="1139"/>
      <c r="AI216" s="1139"/>
      <c r="AJ216" s="1139"/>
      <c r="AK216" s="1139"/>
      <c r="AL216" s="1139" t="str">
        <f>IF(CONSOLIDA!CR197="","",CONSOLIDA!CR197)</f>
        <v/>
      </c>
      <c r="AM216" s="1139"/>
      <c r="AN216" s="1139"/>
      <c r="AO216" s="1139"/>
      <c r="AP216" s="1139"/>
      <c r="AQ216" s="1139"/>
      <c r="AR216" s="1139" t="str">
        <f>IF(CONSOLIDA!CS197="","",CONSOLIDA!CS197)</f>
        <v/>
      </c>
      <c r="AS216" s="1139"/>
      <c r="AT216" s="1139"/>
      <c r="AU216" s="1139"/>
      <c r="AV216" s="1139"/>
      <c r="AW216" s="1139"/>
      <c r="AX216" s="1140" t="str">
        <f>IF(CONSOLIDA!CT197="","",CONSOLIDA!CT197)</f>
        <v/>
      </c>
      <c r="AY216" s="1140"/>
      <c r="AZ216" s="1140"/>
      <c r="BA216" s="1140"/>
      <c r="BB216" s="1140"/>
      <c r="BC216" s="1140"/>
      <c r="BD216" s="1139" t="str">
        <f>IF(CONSOLIDA!CU197="","",CONSOLIDA!CU197)</f>
        <v/>
      </c>
      <c r="BE216" s="1139"/>
      <c r="BF216" s="1139"/>
      <c r="BG216" s="1139"/>
      <c r="BH216" s="1139"/>
      <c r="BI216" s="1139"/>
      <c r="BJ216" s="1139" t="str">
        <f>IF(CONSOLIDA!CV197="","",CONSOLIDA!CV197)</f>
        <v/>
      </c>
      <c r="BK216" s="1139"/>
      <c r="BL216" s="1139"/>
      <c r="BM216" s="1139"/>
      <c r="BN216" s="1139"/>
      <c r="BO216" s="1139"/>
      <c r="BP216" s="1139" t="str">
        <f>IF(CONSOLIDA!CW197="","",CONSOLIDA!CW197)</f>
        <v/>
      </c>
      <c r="BQ216" s="1139"/>
      <c r="BR216" s="1139"/>
      <c r="BS216" s="1139"/>
      <c r="BT216" s="1139"/>
      <c r="BU216" s="1139"/>
      <c r="BV216" s="1140" t="str">
        <f>IF(CONSOLIDA!CX197="","",CONSOLIDA!CX197)</f>
        <v/>
      </c>
      <c r="BW216" s="1140"/>
      <c r="BX216" s="1140"/>
      <c r="BY216" s="1140"/>
      <c r="BZ216" s="1140"/>
      <c r="CA216" s="1140"/>
      <c r="CB216" s="1139" t="str">
        <f>IF(CONSOLIDA!CY197="","",CONSOLIDA!CY197)</f>
        <v/>
      </c>
      <c r="CC216" s="1139"/>
      <c r="CD216" s="1139"/>
      <c r="CE216" s="1139"/>
      <c r="CF216" s="1139"/>
      <c r="CG216" s="1139"/>
      <c r="CH216" s="486"/>
      <c r="CI216" s="190" t="str">
        <f>IF(CONSOLIDA!CZ197="","",CONSOLIDA!CZ197)</f>
        <v/>
      </c>
      <c r="CJ216" s="190" t="str">
        <f>IF(CONSOLIDA!DA197="","",CONSOLIDA!DA197)</f>
        <v/>
      </c>
    </row>
    <row r="217" spans="1:88" s="3" customFormat="1" hidden="1">
      <c r="A217" s="243" t="str">
        <f t="shared" si="3"/>
        <v>OK</v>
      </c>
      <c r="B217" s="1141" t="str">
        <f>IF(CONSOLIDA!CL198="","",CONSOLIDA!CL198)</f>
        <v/>
      </c>
      <c r="C217" s="1141"/>
      <c r="D217" s="1134" t="str">
        <f>IF(CONSOLIDA!CN198="","",CONSOLIDA!CN198)</f>
        <v/>
      </c>
      <c r="E217" s="1135"/>
      <c r="F217" s="1135"/>
      <c r="G217" s="1129" t="str">
        <f>IF(CONSOLIDA!CO198="","",CONSOLIDA!CO198)</f>
        <v/>
      </c>
      <c r="H217" s="1129"/>
      <c r="I217" s="1129"/>
      <c r="J217" s="1129"/>
      <c r="K217" s="1129"/>
      <c r="L217" s="1129"/>
      <c r="M217" s="1129"/>
      <c r="N217" s="1129"/>
      <c r="O217" s="1129"/>
      <c r="P217" s="1129"/>
      <c r="Q217" s="1129"/>
      <c r="R217" s="1129"/>
      <c r="S217" s="1129"/>
      <c r="T217" s="1129"/>
      <c r="U217" s="1129"/>
      <c r="V217" s="1129"/>
      <c r="W217" s="1129"/>
      <c r="X217" s="1129"/>
      <c r="Y217" s="1130"/>
      <c r="Z217" s="1139" t="str">
        <f>IF(CONSOLIDA!CP198="","",CONSOLIDA!CP198)</f>
        <v/>
      </c>
      <c r="AA217" s="1139"/>
      <c r="AB217" s="1139"/>
      <c r="AC217" s="1139"/>
      <c r="AD217" s="1139"/>
      <c r="AE217" s="1139"/>
      <c r="AF217" s="1139" t="str">
        <f>IF(CONSOLIDA!CQ198="","",CONSOLIDA!CQ198)</f>
        <v/>
      </c>
      <c r="AG217" s="1139"/>
      <c r="AH217" s="1139"/>
      <c r="AI217" s="1139"/>
      <c r="AJ217" s="1139"/>
      <c r="AK217" s="1139"/>
      <c r="AL217" s="1139" t="str">
        <f>IF(CONSOLIDA!CR198="","",CONSOLIDA!CR198)</f>
        <v/>
      </c>
      <c r="AM217" s="1139"/>
      <c r="AN217" s="1139"/>
      <c r="AO217" s="1139"/>
      <c r="AP217" s="1139"/>
      <c r="AQ217" s="1139"/>
      <c r="AR217" s="1139" t="str">
        <f>IF(CONSOLIDA!CS198="","",CONSOLIDA!CS198)</f>
        <v/>
      </c>
      <c r="AS217" s="1139"/>
      <c r="AT217" s="1139"/>
      <c r="AU217" s="1139"/>
      <c r="AV217" s="1139"/>
      <c r="AW217" s="1139"/>
      <c r="AX217" s="1140" t="str">
        <f>IF(CONSOLIDA!CT198="","",CONSOLIDA!CT198)</f>
        <v/>
      </c>
      <c r="AY217" s="1140"/>
      <c r="AZ217" s="1140"/>
      <c r="BA217" s="1140"/>
      <c r="BB217" s="1140"/>
      <c r="BC217" s="1140"/>
      <c r="BD217" s="1139" t="str">
        <f>IF(CONSOLIDA!CU198="","",CONSOLIDA!CU198)</f>
        <v/>
      </c>
      <c r="BE217" s="1139"/>
      <c r="BF217" s="1139"/>
      <c r="BG217" s="1139"/>
      <c r="BH217" s="1139"/>
      <c r="BI217" s="1139"/>
      <c r="BJ217" s="1139" t="str">
        <f>IF(CONSOLIDA!CV198="","",CONSOLIDA!CV198)</f>
        <v/>
      </c>
      <c r="BK217" s="1139"/>
      <c r="BL217" s="1139"/>
      <c r="BM217" s="1139"/>
      <c r="BN217" s="1139"/>
      <c r="BO217" s="1139"/>
      <c r="BP217" s="1139" t="str">
        <f>IF(CONSOLIDA!CW198="","",CONSOLIDA!CW198)</f>
        <v/>
      </c>
      <c r="BQ217" s="1139"/>
      <c r="BR217" s="1139"/>
      <c r="BS217" s="1139"/>
      <c r="BT217" s="1139"/>
      <c r="BU217" s="1139"/>
      <c r="BV217" s="1140" t="str">
        <f>IF(CONSOLIDA!CX198="","",CONSOLIDA!CX198)</f>
        <v/>
      </c>
      <c r="BW217" s="1140"/>
      <c r="BX217" s="1140"/>
      <c r="BY217" s="1140"/>
      <c r="BZ217" s="1140"/>
      <c r="CA217" s="1140"/>
      <c r="CB217" s="1139" t="str">
        <f>IF(CONSOLIDA!CY198="","",CONSOLIDA!CY198)</f>
        <v/>
      </c>
      <c r="CC217" s="1139"/>
      <c r="CD217" s="1139"/>
      <c r="CE217" s="1139"/>
      <c r="CF217" s="1139"/>
      <c r="CG217" s="1139"/>
      <c r="CH217" s="486"/>
      <c r="CI217" s="190" t="str">
        <f>IF(CONSOLIDA!CZ198="","",CONSOLIDA!CZ198)</f>
        <v/>
      </c>
      <c r="CJ217" s="190" t="str">
        <f>IF(CONSOLIDA!DA198="","",CONSOLIDA!DA198)</f>
        <v/>
      </c>
    </row>
    <row r="218" spans="1:88" s="3" customFormat="1" hidden="1">
      <c r="A218" s="243" t="str">
        <f t="shared" si="3"/>
        <v>OK</v>
      </c>
      <c r="B218" s="1141" t="str">
        <f>IF(CONSOLIDA!CL199="","",CONSOLIDA!CL199)</f>
        <v/>
      </c>
      <c r="C218" s="1141"/>
      <c r="D218" s="1134" t="str">
        <f>IF(CONSOLIDA!CN199="","",CONSOLIDA!CN199)</f>
        <v/>
      </c>
      <c r="E218" s="1135"/>
      <c r="F218" s="1135"/>
      <c r="G218" s="1129" t="str">
        <f>IF(CONSOLIDA!CO199="","",CONSOLIDA!CO199)</f>
        <v/>
      </c>
      <c r="H218" s="1129"/>
      <c r="I218" s="1129"/>
      <c r="J218" s="1129"/>
      <c r="K218" s="1129"/>
      <c r="L218" s="1129"/>
      <c r="M218" s="1129"/>
      <c r="N218" s="1129"/>
      <c r="O218" s="1129"/>
      <c r="P218" s="1129"/>
      <c r="Q218" s="1129"/>
      <c r="R218" s="1129"/>
      <c r="S218" s="1129"/>
      <c r="T218" s="1129"/>
      <c r="U218" s="1129"/>
      <c r="V218" s="1129"/>
      <c r="W218" s="1129"/>
      <c r="X218" s="1129"/>
      <c r="Y218" s="1130"/>
      <c r="Z218" s="1139" t="str">
        <f>IF(CONSOLIDA!CP199="","",CONSOLIDA!CP199)</f>
        <v/>
      </c>
      <c r="AA218" s="1139"/>
      <c r="AB218" s="1139"/>
      <c r="AC218" s="1139"/>
      <c r="AD218" s="1139"/>
      <c r="AE218" s="1139"/>
      <c r="AF218" s="1139" t="str">
        <f>IF(CONSOLIDA!CQ199="","",CONSOLIDA!CQ199)</f>
        <v/>
      </c>
      <c r="AG218" s="1139"/>
      <c r="AH218" s="1139"/>
      <c r="AI218" s="1139"/>
      <c r="AJ218" s="1139"/>
      <c r="AK218" s="1139"/>
      <c r="AL218" s="1139" t="str">
        <f>IF(CONSOLIDA!CR199="","",CONSOLIDA!CR199)</f>
        <v/>
      </c>
      <c r="AM218" s="1139"/>
      <c r="AN218" s="1139"/>
      <c r="AO218" s="1139"/>
      <c r="AP218" s="1139"/>
      <c r="AQ218" s="1139"/>
      <c r="AR218" s="1139" t="str">
        <f>IF(CONSOLIDA!CS199="","",CONSOLIDA!CS199)</f>
        <v/>
      </c>
      <c r="AS218" s="1139"/>
      <c r="AT218" s="1139"/>
      <c r="AU218" s="1139"/>
      <c r="AV218" s="1139"/>
      <c r="AW218" s="1139"/>
      <c r="AX218" s="1140" t="str">
        <f>IF(CONSOLIDA!CT199="","",CONSOLIDA!CT199)</f>
        <v/>
      </c>
      <c r="AY218" s="1140"/>
      <c r="AZ218" s="1140"/>
      <c r="BA218" s="1140"/>
      <c r="BB218" s="1140"/>
      <c r="BC218" s="1140"/>
      <c r="BD218" s="1139" t="str">
        <f>IF(CONSOLIDA!CU199="","",CONSOLIDA!CU199)</f>
        <v/>
      </c>
      <c r="BE218" s="1139"/>
      <c r="BF218" s="1139"/>
      <c r="BG218" s="1139"/>
      <c r="BH218" s="1139"/>
      <c r="BI218" s="1139"/>
      <c r="BJ218" s="1139" t="str">
        <f>IF(CONSOLIDA!CV199="","",CONSOLIDA!CV199)</f>
        <v/>
      </c>
      <c r="BK218" s="1139"/>
      <c r="BL218" s="1139"/>
      <c r="BM218" s="1139"/>
      <c r="BN218" s="1139"/>
      <c r="BO218" s="1139"/>
      <c r="BP218" s="1139" t="str">
        <f>IF(CONSOLIDA!CW199="","",CONSOLIDA!CW199)</f>
        <v/>
      </c>
      <c r="BQ218" s="1139"/>
      <c r="BR218" s="1139"/>
      <c r="BS218" s="1139"/>
      <c r="BT218" s="1139"/>
      <c r="BU218" s="1139"/>
      <c r="BV218" s="1140" t="str">
        <f>IF(CONSOLIDA!CX199="","",CONSOLIDA!CX199)</f>
        <v/>
      </c>
      <c r="BW218" s="1140"/>
      <c r="BX218" s="1140"/>
      <c r="BY218" s="1140"/>
      <c r="BZ218" s="1140"/>
      <c r="CA218" s="1140"/>
      <c r="CB218" s="1139" t="str">
        <f>IF(CONSOLIDA!CY199="","",CONSOLIDA!CY199)</f>
        <v/>
      </c>
      <c r="CC218" s="1139"/>
      <c r="CD218" s="1139"/>
      <c r="CE218" s="1139"/>
      <c r="CF218" s="1139"/>
      <c r="CG218" s="1139"/>
      <c r="CH218" s="486"/>
      <c r="CI218" s="190" t="str">
        <f>IF(CONSOLIDA!CZ199="","",CONSOLIDA!CZ199)</f>
        <v/>
      </c>
      <c r="CJ218" s="190" t="str">
        <f>IF(CONSOLIDA!DA199="","",CONSOLIDA!DA199)</f>
        <v/>
      </c>
    </row>
    <row r="219" spans="1:88" s="3" customFormat="1" hidden="1">
      <c r="A219" s="243" t="str">
        <f t="shared" si="3"/>
        <v>OK</v>
      </c>
      <c r="B219" s="1141" t="str">
        <f>IF(CONSOLIDA!CL200="","",CONSOLIDA!CL200)</f>
        <v/>
      </c>
      <c r="C219" s="1141"/>
      <c r="D219" s="1134" t="str">
        <f>IF(CONSOLIDA!CN200="","",CONSOLIDA!CN200)</f>
        <v/>
      </c>
      <c r="E219" s="1135"/>
      <c r="F219" s="1135"/>
      <c r="G219" s="1129" t="str">
        <f>IF(CONSOLIDA!CO200="","",CONSOLIDA!CO200)</f>
        <v/>
      </c>
      <c r="H219" s="1129"/>
      <c r="I219" s="1129"/>
      <c r="J219" s="1129"/>
      <c r="K219" s="1129"/>
      <c r="L219" s="1129"/>
      <c r="M219" s="1129"/>
      <c r="N219" s="1129"/>
      <c r="O219" s="1129"/>
      <c r="P219" s="1129"/>
      <c r="Q219" s="1129"/>
      <c r="R219" s="1129"/>
      <c r="S219" s="1129"/>
      <c r="T219" s="1129"/>
      <c r="U219" s="1129"/>
      <c r="V219" s="1129"/>
      <c r="W219" s="1129"/>
      <c r="X219" s="1129"/>
      <c r="Y219" s="1130"/>
      <c r="Z219" s="1139" t="str">
        <f>IF(CONSOLIDA!CP200="","",CONSOLIDA!CP200)</f>
        <v/>
      </c>
      <c r="AA219" s="1139"/>
      <c r="AB219" s="1139"/>
      <c r="AC219" s="1139"/>
      <c r="AD219" s="1139"/>
      <c r="AE219" s="1139"/>
      <c r="AF219" s="1139" t="str">
        <f>IF(CONSOLIDA!CQ200="","",CONSOLIDA!CQ200)</f>
        <v/>
      </c>
      <c r="AG219" s="1139"/>
      <c r="AH219" s="1139"/>
      <c r="AI219" s="1139"/>
      <c r="AJ219" s="1139"/>
      <c r="AK219" s="1139"/>
      <c r="AL219" s="1139" t="str">
        <f>IF(CONSOLIDA!CR200="","",CONSOLIDA!CR200)</f>
        <v/>
      </c>
      <c r="AM219" s="1139"/>
      <c r="AN219" s="1139"/>
      <c r="AO219" s="1139"/>
      <c r="AP219" s="1139"/>
      <c r="AQ219" s="1139"/>
      <c r="AR219" s="1139" t="str">
        <f>IF(CONSOLIDA!CS200="","",CONSOLIDA!CS200)</f>
        <v/>
      </c>
      <c r="AS219" s="1139"/>
      <c r="AT219" s="1139"/>
      <c r="AU219" s="1139"/>
      <c r="AV219" s="1139"/>
      <c r="AW219" s="1139"/>
      <c r="AX219" s="1140" t="str">
        <f>IF(CONSOLIDA!CT200="","",CONSOLIDA!CT200)</f>
        <v/>
      </c>
      <c r="AY219" s="1140"/>
      <c r="AZ219" s="1140"/>
      <c r="BA219" s="1140"/>
      <c r="BB219" s="1140"/>
      <c r="BC219" s="1140"/>
      <c r="BD219" s="1139" t="str">
        <f>IF(CONSOLIDA!CU200="","",CONSOLIDA!CU200)</f>
        <v/>
      </c>
      <c r="BE219" s="1139"/>
      <c r="BF219" s="1139"/>
      <c r="BG219" s="1139"/>
      <c r="BH219" s="1139"/>
      <c r="BI219" s="1139"/>
      <c r="BJ219" s="1139" t="str">
        <f>IF(CONSOLIDA!CV200="","",CONSOLIDA!CV200)</f>
        <v/>
      </c>
      <c r="BK219" s="1139"/>
      <c r="BL219" s="1139"/>
      <c r="BM219" s="1139"/>
      <c r="BN219" s="1139"/>
      <c r="BO219" s="1139"/>
      <c r="BP219" s="1139" t="str">
        <f>IF(CONSOLIDA!CW200="","",CONSOLIDA!CW200)</f>
        <v/>
      </c>
      <c r="BQ219" s="1139"/>
      <c r="BR219" s="1139"/>
      <c r="BS219" s="1139"/>
      <c r="BT219" s="1139"/>
      <c r="BU219" s="1139"/>
      <c r="BV219" s="1140" t="str">
        <f>IF(CONSOLIDA!CX200="","",CONSOLIDA!CX200)</f>
        <v/>
      </c>
      <c r="BW219" s="1140"/>
      <c r="BX219" s="1140"/>
      <c r="BY219" s="1140"/>
      <c r="BZ219" s="1140"/>
      <c r="CA219" s="1140"/>
      <c r="CB219" s="1139" t="str">
        <f>IF(CONSOLIDA!CY200="","",CONSOLIDA!CY200)</f>
        <v/>
      </c>
      <c r="CC219" s="1139"/>
      <c r="CD219" s="1139"/>
      <c r="CE219" s="1139"/>
      <c r="CF219" s="1139"/>
      <c r="CG219" s="1139"/>
      <c r="CH219" s="486"/>
      <c r="CI219" s="190" t="str">
        <f>IF(CONSOLIDA!CZ200="","",CONSOLIDA!CZ200)</f>
        <v/>
      </c>
      <c r="CJ219" s="190" t="str">
        <f>IF(CONSOLIDA!DA200="","",CONSOLIDA!DA200)</f>
        <v/>
      </c>
    </row>
    <row r="220" spans="1:88" s="3" customFormat="1" hidden="1">
      <c r="A220" s="243" t="str">
        <f t="shared" si="3"/>
        <v>OK</v>
      </c>
      <c r="B220" s="1141" t="str">
        <f>IF(CONSOLIDA!CL201="","",CONSOLIDA!CL201)</f>
        <v/>
      </c>
      <c r="C220" s="1141"/>
      <c r="D220" s="1134" t="str">
        <f>IF(CONSOLIDA!CN201="","",CONSOLIDA!CN201)</f>
        <v/>
      </c>
      <c r="E220" s="1135"/>
      <c r="F220" s="1135"/>
      <c r="G220" s="1129" t="str">
        <f>IF(CONSOLIDA!CO201="","",CONSOLIDA!CO201)</f>
        <v/>
      </c>
      <c r="H220" s="1129"/>
      <c r="I220" s="1129"/>
      <c r="J220" s="1129"/>
      <c r="K220" s="1129"/>
      <c r="L220" s="1129"/>
      <c r="M220" s="1129"/>
      <c r="N220" s="1129"/>
      <c r="O220" s="1129"/>
      <c r="P220" s="1129"/>
      <c r="Q220" s="1129"/>
      <c r="R220" s="1129"/>
      <c r="S220" s="1129"/>
      <c r="T220" s="1129"/>
      <c r="U220" s="1129"/>
      <c r="V220" s="1129"/>
      <c r="W220" s="1129"/>
      <c r="X220" s="1129"/>
      <c r="Y220" s="1130"/>
      <c r="Z220" s="1139" t="str">
        <f>IF(CONSOLIDA!CP201="","",CONSOLIDA!CP201)</f>
        <v/>
      </c>
      <c r="AA220" s="1139"/>
      <c r="AB220" s="1139"/>
      <c r="AC220" s="1139"/>
      <c r="AD220" s="1139"/>
      <c r="AE220" s="1139"/>
      <c r="AF220" s="1139" t="str">
        <f>IF(CONSOLIDA!CQ201="","",CONSOLIDA!CQ201)</f>
        <v/>
      </c>
      <c r="AG220" s="1139"/>
      <c r="AH220" s="1139"/>
      <c r="AI220" s="1139"/>
      <c r="AJ220" s="1139"/>
      <c r="AK220" s="1139"/>
      <c r="AL220" s="1139" t="str">
        <f>IF(CONSOLIDA!CR201="","",CONSOLIDA!CR201)</f>
        <v/>
      </c>
      <c r="AM220" s="1139"/>
      <c r="AN220" s="1139"/>
      <c r="AO220" s="1139"/>
      <c r="AP220" s="1139"/>
      <c r="AQ220" s="1139"/>
      <c r="AR220" s="1139" t="str">
        <f>IF(CONSOLIDA!CS201="","",CONSOLIDA!CS201)</f>
        <v/>
      </c>
      <c r="AS220" s="1139"/>
      <c r="AT220" s="1139"/>
      <c r="AU220" s="1139"/>
      <c r="AV220" s="1139"/>
      <c r="AW220" s="1139"/>
      <c r="AX220" s="1140" t="str">
        <f>IF(CONSOLIDA!CT201="","",CONSOLIDA!CT201)</f>
        <v/>
      </c>
      <c r="AY220" s="1140"/>
      <c r="AZ220" s="1140"/>
      <c r="BA220" s="1140"/>
      <c r="BB220" s="1140"/>
      <c r="BC220" s="1140"/>
      <c r="BD220" s="1139" t="str">
        <f>IF(CONSOLIDA!CU201="","",CONSOLIDA!CU201)</f>
        <v/>
      </c>
      <c r="BE220" s="1139"/>
      <c r="BF220" s="1139"/>
      <c r="BG220" s="1139"/>
      <c r="BH220" s="1139"/>
      <c r="BI220" s="1139"/>
      <c r="BJ220" s="1139" t="str">
        <f>IF(CONSOLIDA!CV201="","",CONSOLIDA!CV201)</f>
        <v/>
      </c>
      <c r="BK220" s="1139"/>
      <c r="BL220" s="1139"/>
      <c r="BM220" s="1139"/>
      <c r="BN220" s="1139"/>
      <c r="BO220" s="1139"/>
      <c r="BP220" s="1139" t="str">
        <f>IF(CONSOLIDA!CW201="","",CONSOLIDA!CW201)</f>
        <v/>
      </c>
      <c r="BQ220" s="1139"/>
      <c r="BR220" s="1139"/>
      <c r="BS220" s="1139"/>
      <c r="BT220" s="1139"/>
      <c r="BU220" s="1139"/>
      <c r="BV220" s="1140" t="str">
        <f>IF(CONSOLIDA!CX201="","",CONSOLIDA!CX201)</f>
        <v/>
      </c>
      <c r="BW220" s="1140"/>
      <c r="BX220" s="1140"/>
      <c r="BY220" s="1140"/>
      <c r="BZ220" s="1140"/>
      <c r="CA220" s="1140"/>
      <c r="CB220" s="1139" t="str">
        <f>IF(CONSOLIDA!CY201="","",CONSOLIDA!CY201)</f>
        <v/>
      </c>
      <c r="CC220" s="1139"/>
      <c r="CD220" s="1139"/>
      <c r="CE220" s="1139"/>
      <c r="CF220" s="1139"/>
      <c r="CG220" s="1139"/>
      <c r="CH220" s="486"/>
      <c r="CI220" s="190" t="str">
        <f>IF(CONSOLIDA!CZ201="","",CONSOLIDA!CZ201)</f>
        <v/>
      </c>
      <c r="CJ220" s="190" t="str">
        <f>IF(CONSOLIDA!DA201="","",CONSOLIDA!DA201)</f>
        <v/>
      </c>
    </row>
    <row r="221" spans="1:88" s="3" customFormat="1" hidden="1">
      <c r="A221" s="243" t="str">
        <f t="shared" si="3"/>
        <v>OK</v>
      </c>
      <c r="B221" s="1141" t="str">
        <f>IF(CONSOLIDA!CL202="","",CONSOLIDA!CL202)</f>
        <v/>
      </c>
      <c r="C221" s="1141"/>
      <c r="D221" s="1134" t="str">
        <f>IF(CONSOLIDA!CN202="","",CONSOLIDA!CN202)</f>
        <v/>
      </c>
      <c r="E221" s="1135"/>
      <c r="F221" s="1135"/>
      <c r="G221" s="1129" t="str">
        <f>IF(CONSOLIDA!CO202="","",CONSOLIDA!CO202)</f>
        <v/>
      </c>
      <c r="H221" s="1129"/>
      <c r="I221" s="1129"/>
      <c r="J221" s="1129"/>
      <c r="K221" s="1129"/>
      <c r="L221" s="1129"/>
      <c r="M221" s="1129"/>
      <c r="N221" s="1129"/>
      <c r="O221" s="1129"/>
      <c r="P221" s="1129"/>
      <c r="Q221" s="1129"/>
      <c r="R221" s="1129"/>
      <c r="S221" s="1129"/>
      <c r="T221" s="1129"/>
      <c r="U221" s="1129"/>
      <c r="V221" s="1129"/>
      <c r="W221" s="1129"/>
      <c r="X221" s="1129"/>
      <c r="Y221" s="1130"/>
      <c r="Z221" s="1139" t="str">
        <f>IF(CONSOLIDA!CP202="","",CONSOLIDA!CP202)</f>
        <v/>
      </c>
      <c r="AA221" s="1139"/>
      <c r="AB221" s="1139"/>
      <c r="AC221" s="1139"/>
      <c r="AD221" s="1139"/>
      <c r="AE221" s="1139"/>
      <c r="AF221" s="1139" t="str">
        <f>IF(CONSOLIDA!CQ202="","",CONSOLIDA!CQ202)</f>
        <v/>
      </c>
      <c r="AG221" s="1139"/>
      <c r="AH221" s="1139"/>
      <c r="AI221" s="1139"/>
      <c r="AJ221" s="1139"/>
      <c r="AK221" s="1139"/>
      <c r="AL221" s="1139" t="str">
        <f>IF(CONSOLIDA!CR202="","",CONSOLIDA!CR202)</f>
        <v/>
      </c>
      <c r="AM221" s="1139"/>
      <c r="AN221" s="1139"/>
      <c r="AO221" s="1139"/>
      <c r="AP221" s="1139"/>
      <c r="AQ221" s="1139"/>
      <c r="AR221" s="1139" t="str">
        <f>IF(CONSOLIDA!CS202="","",CONSOLIDA!CS202)</f>
        <v/>
      </c>
      <c r="AS221" s="1139"/>
      <c r="AT221" s="1139"/>
      <c r="AU221" s="1139"/>
      <c r="AV221" s="1139"/>
      <c r="AW221" s="1139"/>
      <c r="AX221" s="1140" t="str">
        <f>IF(CONSOLIDA!CT202="","",CONSOLIDA!CT202)</f>
        <v/>
      </c>
      <c r="AY221" s="1140"/>
      <c r="AZ221" s="1140"/>
      <c r="BA221" s="1140"/>
      <c r="BB221" s="1140"/>
      <c r="BC221" s="1140"/>
      <c r="BD221" s="1139" t="str">
        <f>IF(CONSOLIDA!CU202="","",CONSOLIDA!CU202)</f>
        <v/>
      </c>
      <c r="BE221" s="1139"/>
      <c r="BF221" s="1139"/>
      <c r="BG221" s="1139"/>
      <c r="BH221" s="1139"/>
      <c r="BI221" s="1139"/>
      <c r="BJ221" s="1139" t="str">
        <f>IF(CONSOLIDA!CV202="","",CONSOLIDA!CV202)</f>
        <v/>
      </c>
      <c r="BK221" s="1139"/>
      <c r="BL221" s="1139"/>
      <c r="BM221" s="1139"/>
      <c r="BN221" s="1139"/>
      <c r="BO221" s="1139"/>
      <c r="BP221" s="1139" t="str">
        <f>IF(CONSOLIDA!CW202="","",CONSOLIDA!CW202)</f>
        <v/>
      </c>
      <c r="BQ221" s="1139"/>
      <c r="BR221" s="1139"/>
      <c r="BS221" s="1139"/>
      <c r="BT221" s="1139"/>
      <c r="BU221" s="1139"/>
      <c r="BV221" s="1140" t="str">
        <f>IF(CONSOLIDA!CX202="","",CONSOLIDA!CX202)</f>
        <v/>
      </c>
      <c r="BW221" s="1140"/>
      <c r="BX221" s="1140"/>
      <c r="BY221" s="1140"/>
      <c r="BZ221" s="1140"/>
      <c r="CA221" s="1140"/>
      <c r="CB221" s="1139" t="str">
        <f>IF(CONSOLIDA!CY202="","",CONSOLIDA!CY202)</f>
        <v/>
      </c>
      <c r="CC221" s="1139"/>
      <c r="CD221" s="1139"/>
      <c r="CE221" s="1139"/>
      <c r="CF221" s="1139"/>
      <c r="CG221" s="1139"/>
      <c r="CH221" s="486"/>
      <c r="CI221" s="190" t="str">
        <f>IF(CONSOLIDA!CZ202="","",CONSOLIDA!CZ202)</f>
        <v/>
      </c>
      <c r="CJ221" s="190" t="str">
        <f>IF(CONSOLIDA!DA202="","",CONSOLIDA!DA202)</f>
        <v/>
      </c>
    </row>
    <row r="222" spans="1:88" s="3" customFormat="1" hidden="1">
      <c r="A222" s="243" t="str">
        <f t="shared" si="3"/>
        <v>OK</v>
      </c>
      <c r="B222" s="1141" t="str">
        <f>IF(CONSOLIDA!CL203="","",CONSOLIDA!CL203)</f>
        <v/>
      </c>
      <c r="C222" s="1141"/>
      <c r="D222" s="1134" t="str">
        <f>IF(CONSOLIDA!CN203="","",CONSOLIDA!CN203)</f>
        <v/>
      </c>
      <c r="E222" s="1135"/>
      <c r="F222" s="1135"/>
      <c r="G222" s="1129" t="str">
        <f>IF(CONSOLIDA!CO203="","",CONSOLIDA!CO203)</f>
        <v/>
      </c>
      <c r="H222" s="1129"/>
      <c r="I222" s="1129"/>
      <c r="J222" s="1129"/>
      <c r="K222" s="1129"/>
      <c r="L222" s="1129"/>
      <c r="M222" s="1129"/>
      <c r="N222" s="1129"/>
      <c r="O222" s="1129"/>
      <c r="P222" s="1129"/>
      <c r="Q222" s="1129"/>
      <c r="R222" s="1129"/>
      <c r="S222" s="1129"/>
      <c r="T222" s="1129"/>
      <c r="U222" s="1129"/>
      <c r="V222" s="1129"/>
      <c r="W222" s="1129"/>
      <c r="X222" s="1129"/>
      <c r="Y222" s="1130"/>
      <c r="Z222" s="1139" t="str">
        <f>IF(CONSOLIDA!CP203="","",CONSOLIDA!CP203)</f>
        <v/>
      </c>
      <c r="AA222" s="1139"/>
      <c r="AB222" s="1139"/>
      <c r="AC222" s="1139"/>
      <c r="AD222" s="1139"/>
      <c r="AE222" s="1139"/>
      <c r="AF222" s="1139" t="str">
        <f>IF(CONSOLIDA!CQ203="","",CONSOLIDA!CQ203)</f>
        <v/>
      </c>
      <c r="AG222" s="1139"/>
      <c r="AH222" s="1139"/>
      <c r="AI222" s="1139"/>
      <c r="AJ222" s="1139"/>
      <c r="AK222" s="1139"/>
      <c r="AL222" s="1139" t="str">
        <f>IF(CONSOLIDA!CR203="","",CONSOLIDA!CR203)</f>
        <v/>
      </c>
      <c r="AM222" s="1139"/>
      <c r="AN222" s="1139"/>
      <c r="AO222" s="1139"/>
      <c r="AP222" s="1139"/>
      <c r="AQ222" s="1139"/>
      <c r="AR222" s="1139" t="str">
        <f>IF(CONSOLIDA!CS203="","",CONSOLIDA!CS203)</f>
        <v/>
      </c>
      <c r="AS222" s="1139"/>
      <c r="AT222" s="1139"/>
      <c r="AU222" s="1139"/>
      <c r="AV222" s="1139"/>
      <c r="AW222" s="1139"/>
      <c r="AX222" s="1140" t="str">
        <f>IF(CONSOLIDA!CT203="","",CONSOLIDA!CT203)</f>
        <v/>
      </c>
      <c r="AY222" s="1140"/>
      <c r="AZ222" s="1140"/>
      <c r="BA222" s="1140"/>
      <c r="BB222" s="1140"/>
      <c r="BC222" s="1140"/>
      <c r="BD222" s="1139" t="str">
        <f>IF(CONSOLIDA!CU203="","",CONSOLIDA!CU203)</f>
        <v/>
      </c>
      <c r="BE222" s="1139"/>
      <c r="BF222" s="1139"/>
      <c r="BG222" s="1139"/>
      <c r="BH222" s="1139"/>
      <c r="BI222" s="1139"/>
      <c r="BJ222" s="1139" t="str">
        <f>IF(CONSOLIDA!CV203="","",CONSOLIDA!CV203)</f>
        <v/>
      </c>
      <c r="BK222" s="1139"/>
      <c r="BL222" s="1139"/>
      <c r="BM222" s="1139"/>
      <c r="BN222" s="1139"/>
      <c r="BO222" s="1139"/>
      <c r="BP222" s="1139" t="str">
        <f>IF(CONSOLIDA!CW203="","",CONSOLIDA!CW203)</f>
        <v/>
      </c>
      <c r="BQ222" s="1139"/>
      <c r="BR222" s="1139"/>
      <c r="BS222" s="1139"/>
      <c r="BT222" s="1139"/>
      <c r="BU222" s="1139"/>
      <c r="BV222" s="1140" t="str">
        <f>IF(CONSOLIDA!CX203="","",CONSOLIDA!CX203)</f>
        <v/>
      </c>
      <c r="BW222" s="1140"/>
      <c r="BX222" s="1140"/>
      <c r="BY222" s="1140"/>
      <c r="BZ222" s="1140"/>
      <c r="CA222" s="1140"/>
      <c r="CB222" s="1139" t="str">
        <f>IF(CONSOLIDA!CY203="","",CONSOLIDA!CY203)</f>
        <v/>
      </c>
      <c r="CC222" s="1139"/>
      <c r="CD222" s="1139"/>
      <c r="CE222" s="1139"/>
      <c r="CF222" s="1139"/>
      <c r="CG222" s="1139"/>
      <c r="CH222" s="486"/>
      <c r="CI222" s="190" t="str">
        <f>IF(CONSOLIDA!CZ203="","",CONSOLIDA!CZ203)</f>
        <v/>
      </c>
      <c r="CJ222" s="190" t="str">
        <f>IF(CONSOLIDA!DA203="","",CONSOLIDA!DA203)</f>
        <v/>
      </c>
    </row>
    <row r="223" spans="1:88" s="3" customFormat="1" hidden="1">
      <c r="A223" s="243" t="str">
        <f t="shared" si="3"/>
        <v>OK</v>
      </c>
      <c r="B223" s="1141" t="str">
        <f>IF(CONSOLIDA!CL204="","",CONSOLIDA!CL204)</f>
        <v/>
      </c>
      <c r="C223" s="1141"/>
      <c r="D223" s="1134" t="str">
        <f>IF(CONSOLIDA!CN204="","",CONSOLIDA!CN204)</f>
        <v/>
      </c>
      <c r="E223" s="1135"/>
      <c r="F223" s="1135"/>
      <c r="G223" s="1129" t="str">
        <f>IF(CONSOLIDA!CO204="","",CONSOLIDA!CO204)</f>
        <v/>
      </c>
      <c r="H223" s="1129"/>
      <c r="I223" s="1129"/>
      <c r="J223" s="1129"/>
      <c r="K223" s="1129"/>
      <c r="L223" s="1129"/>
      <c r="M223" s="1129"/>
      <c r="N223" s="1129"/>
      <c r="O223" s="1129"/>
      <c r="P223" s="1129"/>
      <c r="Q223" s="1129"/>
      <c r="R223" s="1129"/>
      <c r="S223" s="1129"/>
      <c r="T223" s="1129"/>
      <c r="U223" s="1129"/>
      <c r="V223" s="1129"/>
      <c r="W223" s="1129"/>
      <c r="X223" s="1129"/>
      <c r="Y223" s="1130"/>
      <c r="Z223" s="1139" t="str">
        <f>IF(CONSOLIDA!CP204="","",CONSOLIDA!CP204)</f>
        <v/>
      </c>
      <c r="AA223" s="1139"/>
      <c r="AB223" s="1139"/>
      <c r="AC223" s="1139"/>
      <c r="AD223" s="1139"/>
      <c r="AE223" s="1139"/>
      <c r="AF223" s="1139" t="str">
        <f>IF(CONSOLIDA!CQ204="","",CONSOLIDA!CQ204)</f>
        <v/>
      </c>
      <c r="AG223" s="1139"/>
      <c r="AH223" s="1139"/>
      <c r="AI223" s="1139"/>
      <c r="AJ223" s="1139"/>
      <c r="AK223" s="1139"/>
      <c r="AL223" s="1139" t="str">
        <f>IF(CONSOLIDA!CR204="","",CONSOLIDA!CR204)</f>
        <v/>
      </c>
      <c r="AM223" s="1139"/>
      <c r="AN223" s="1139"/>
      <c r="AO223" s="1139"/>
      <c r="AP223" s="1139"/>
      <c r="AQ223" s="1139"/>
      <c r="AR223" s="1139" t="str">
        <f>IF(CONSOLIDA!CS204="","",CONSOLIDA!CS204)</f>
        <v/>
      </c>
      <c r="AS223" s="1139"/>
      <c r="AT223" s="1139"/>
      <c r="AU223" s="1139"/>
      <c r="AV223" s="1139"/>
      <c r="AW223" s="1139"/>
      <c r="AX223" s="1140" t="str">
        <f>IF(CONSOLIDA!CT204="","",CONSOLIDA!CT204)</f>
        <v/>
      </c>
      <c r="AY223" s="1140"/>
      <c r="AZ223" s="1140"/>
      <c r="BA223" s="1140"/>
      <c r="BB223" s="1140"/>
      <c r="BC223" s="1140"/>
      <c r="BD223" s="1139" t="str">
        <f>IF(CONSOLIDA!CU204="","",CONSOLIDA!CU204)</f>
        <v/>
      </c>
      <c r="BE223" s="1139"/>
      <c r="BF223" s="1139"/>
      <c r="BG223" s="1139"/>
      <c r="BH223" s="1139"/>
      <c r="BI223" s="1139"/>
      <c r="BJ223" s="1139" t="str">
        <f>IF(CONSOLIDA!CV204="","",CONSOLIDA!CV204)</f>
        <v/>
      </c>
      <c r="BK223" s="1139"/>
      <c r="BL223" s="1139"/>
      <c r="BM223" s="1139"/>
      <c r="BN223" s="1139"/>
      <c r="BO223" s="1139"/>
      <c r="BP223" s="1139" t="str">
        <f>IF(CONSOLIDA!CW204="","",CONSOLIDA!CW204)</f>
        <v/>
      </c>
      <c r="BQ223" s="1139"/>
      <c r="BR223" s="1139"/>
      <c r="BS223" s="1139"/>
      <c r="BT223" s="1139"/>
      <c r="BU223" s="1139"/>
      <c r="BV223" s="1140" t="str">
        <f>IF(CONSOLIDA!CX204="","",CONSOLIDA!CX204)</f>
        <v/>
      </c>
      <c r="BW223" s="1140"/>
      <c r="BX223" s="1140"/>
      <c r="BY223" s="1140"/>
      <c r="BZ223" s="1140"/>
      <c r="CA223" s="1140"/>
      <c r="CB223" s="1139" t="str">
        <f>IF(CONSOLIDA!CY204="","",CONSOLIDA!CY204)</f>
        <v/>
      </c>
      <c r="CC223" s="1139"/>
      <c r="CD223" s="1139"/>
      <c r="CE223" s="1139"/>
      <c r="CF223" s="1139"/>
      <c r="CG223" s="1139"/>
      <c r="CH223" s="486"/>
      <c r="CI223" s="190" t="str">
        <f>IF(CONSOLIDA!CZ204="","",CONSOLIDA!CZ204)</f>
        <v/>
      </c>
      <c r="CJ223" s="190" t="str">
        <f>IF(CONSOLIDA!DA204="","",CONSOLIDA!DA204)</f>
        <v/>
      </c>
    </row>
    <row r="224" spans="1:88" s="3" customFormat="1" hidden="1">
      <c r="A224" s="243" t="str">
        <f t="shared" si="3"/>
        <v>OK</v>
      </c>
      <c r="B224" s="1141" t="str">
        <f>IF(CONSOLIDA!CL205="","",CONSOLIDA!CL205)</f>
        <v/>
      </c>
      <c r="C224" s="1141"/>
      <c r="D224" s="1134" t="str">
        <f>IF(CONSOLIDA!CN205="","",CONSOLIDA!CN205)</f>
        <v/>
      </c>
      <c r="E224" s="1135"/>
      <c r="F224" s="1135"/>
      <c r="G224" s="1129" t="str">
        <f>IF(CONSOLIDA!CO205="","",CONSOLIDA!CO205)</f>
        <v/>
      </c>
      <c r="H224" s="1129"/>
      <c r="I224" s="1129"/>
      <c r="J224" s="1129"/>
      <c r="K224" s="1129"/>
      <c r="L224" s="1129"/>
      <c r="M224" s="1129"/>
      <c r="N224" s="1129"/>
      <c r="O224" s="1129"/>
      <c r="P224" s="1129"/>
      <c r="Q224" s="1129"/>
      <c r="R224" s="1129"/>
      <c r="S224" s="1129"/>
      <c r="T224" s="1129"/>
      <c r="U224" s="1129"/>
      <c r="V224" s="1129"/>
      <c r="W224" s="1129"/>
      <c r="X224" s="1129"/>
      <c r="Y224" s="1130"/>
      <c r="Z224" s="1139" t="str">
        <f>IF(CONSOLIDA!CP205="","",CONSOLIDA!CP205)</f>
        <v/>
      </c>
      <c r="AA224" s="1139"/>
      <c r="AB224" s="1139"/>
      <c r="AC224" s="1139"/>
      <c r="AD224" s="1139"/>
      <c r="AE224" s="1139"/>
      <c r="AF224" s="1139" t="str">
        <f>IF(CONSOLIDA!CQ205="","",CONSOLIDA!CQ205)</f>
        <v/>
      </c>
      <c r="AG224" s="1139"/>
      <c r="AH224" s="1139"/>
      <c r="AI224" s="1139"/>
      <c r="AJ224" s="1139"/>
      <c r="AK224" s="1139"/>
      <c r="AL224" s="1139" t="str">
        <f>IF(CONSOLIDA!CR205="","",CONSOLIDA!CR205)</f>
        <v/>
      </c>
      <c r="AM224" s="1139"/>
      <c r="AN224" s="1139"/>
      <c r="AO224" s="1139"/>
      <c r="AP224" s="1139"/>
      <c r="AQ224" s="1139"/>
      <c r="AR224" s="1139" t="str">
        <f>IF(CONSOLIDA!CS205="","",CONSOLIDA!CS205)</f>
        <v/>
      </c>
      <c r="AS224" s="1139"/>
      <c r="AT224" s="1139"/>
      <c r="AU224" s="1139"/>
      <c r="AV224" s="1139"/>
      <c r="AW224" s="1139"/>
      <c r="AX224" s="1140" t="str">
        <f>IF(CONSOLIDA!CT205="","",CONSOLIDA!CT205)</f>
        <v/>
      </c>
      <c r="AY224" s="1140"/>
      <c r="AZ224" s="1140"/>
      <c r="BA224" s="1140"/>
      <c r="BB224" s="1140"/>
      <c r="BC224" s="1140"/>
      <c r="BD224" s="1139" t="str">
        <f>IF(CONSOLIDA!CU205="","",CONSOLIDA!CU205)</f>
        <v/>
      </c>
      <c r="BE224" s="1139"/>
      <c r="BF224" s="1139"/>
      <c r="BG224" s="1139"/>
      <c r="BH224" s="1139"/>
      <c r="BI224" s="1139"/>
      <c r="BJ224" s="1139" t="str">
        <f>IF(CONSOLIDA!CV205="","",CONSOLIDA!CV205)</f>
        <v/>
      </c>
      <c r="BK224" s="1139"/>
      <c r="BL224" s="1139"/>
      <c r="BM224" s="1139"/>
      <c r="BN224" s="1139"/>
      <c r="BO224" s="1139"/>
      <c r="BP224" s="1139" t="str">
        <f>IF(CONSOLIDA!CW205="","",CONSOLIDA!CW205)</f>
        <v/>
      </c>
      <c r="BQ224" s="1139"/>
      <c r="BR224" s="1139"/>
      <c r="BS224" s="1139"/>
      <c r="BT224" s="1139"/>
      <c r="BU224" s="1139"/>
      <c r="BV224" s="1140" t="str">
        <f>IF(CONSOLIDA!CX205="","",CONSOLIDA!CX205)</f>
        <v/>
      </c>
      <c r="BW224" s="1140"/>
      <c r="BX224" s="1140"/>
      <c r="BY224" s="1140"/>
      <c r="BZ224" s="1140"/>
      <c r="CA224" s="1140"/>
      <c r="CB224" s="1139" t="str">
        <f>IF(CONSOLIDA!CY205="","",CONSOLIDA!CY205)</f>
        <v/>
      </c>
      <c r="CC224" s="1139"/>
      <c r="CD224" s="1139"/>
      <c r="CE224" s="1139"/>
      <c r="CF224" s="1139"/>
      <c r="CG224" s="1139"/>
      <c r="CH224" s="486"/>
      <c r="CI224" s="190" t="str">
        <f>IF(CONSOLIDA!CZ205="","",CONSOLIDA!CZ205)</f>
        <v/>
      </c>
      <c r="CJ224" s="190" t="str">
        <f>IF(CONSOLIDA!DA205="","",CONSOLIDA!DA205)</f>
        <v/>
      </c>
    </row>
    <row r="225" spans="1:88" s="3" customFormat="1" hidden="1">
      <c r="A225" s="243" t="str">
        <f t="shared" si="3"/>
        <v>OK</v>
      </c>
      <c r="B225" s="1141" t="str">
        <f>IF(CONSOLIDA!CL206="","",CONSOLIDA!CL206)</f>
        <v/>
      </c>
      <c r="C225" s="1141"/>
      <c r="D225" s="1134" t="str">
        <f>IF(CONSOLIDA!CN206="","",CONSOLIDA!CN206)</f>
        <v/>
      </c>
      <c r="E225" s="1135"/>
      <c r="F225" s="1135"/>
      <c r="G225" s="1129" t="str">
        <f>IF(CONSOLIDA!CO206="","",CONSOLIDA!CO206)</f>
        <v/>
      </c>
      <c r="H225" s="1129"/>
      <c r="I225" s="1129"/>
      <c r="J225" s="1129"/>
      <c r="K225" s="1129"/>
      <c r="L225" s="1129"/>
      <c r="M225" s="1129"/>
      <c r="N225" s="1129"/>
      <c r="O225" s="1129"/>
      <c r="P225" s="1129"/>
      <c r="Q225" s="1129"/>
      <c r="R225" s="1129"/>
      <c r="S225" s="1129"/>
      <c r="T225" s="1129"/>
      <c r="U225" s="1129"/>
      <c r="V225" s="1129"/>
      <c r="W225" s="1129"/>
      <c r="X225" s="1129"/>
      <c r="Y225" s="1130"/>
      <c r="Z225" s="1139" t="str">
        <f>IF(CONSOLIDA!CP206="","",CONSOLIDA!CP206)</f>
        <v/>
      </c>
      <c r="AA225" s="1139"/>
      <c r="AB225" s="1139"/>
      <c r="AC225" s="1139"/>
      <c r="AD225" s="1139"/>
      <c r="AE225" s="1139"/>
      <c r="AF225" s="1139" t="str">
        <f>IF(CONSOLIDA!CQ206="","",CONSOLIDA!CQ206)</f>
        <v/>
      </c>
      <c r="AG225" s="1139"/>
      <c r="AH225" s="1139"/>
      <c r="AI225" s="1139"/>
      <c r="AJ225" s="1139"/>
      <c r="AK225" s="1139"/>
      <c r="AL225" s="1139" t="str">
        <f>IF(CONSOLIDA!CR206="","",CONSOLIDA!CR206)</f>
        <v/>
      </c>
      <c r="AM225" s="1139"/>
      <c r="AN225" s="1139"/>
      <c r="AO225" s="1139"/>
      <c r="AP225" s="1139"/>
      <c r="AQ225" s="1139"/>
      <c r="AR225" s="1139" t="str">
        <f>IF(CONSOLIDA!CS206="","",CONSOLIDA!CS206)</f>
        <v/>
      </c>
      <c r="AS225" s="1139"/>
      <c r="AT225" s="1139"/>
      <c r="AU225" s="1139"/>
      <c r="AV225" s="1139"/>
      <c r="AW225" s="1139"/>
      <c r="AX225" s="1140" t="str">
        <f>IF(CONSOLIDA!CT206="","",CONSOLIDA!CT206)</f>
        <v/>
      </c>
      <c r="AY225" s="1140"/>
      <c r="AZ225" s="1140"/>
      <c r="BA225" s="1140"/>
      <c r="BB225" s="1140"/>
      <c r="BC225" s="1140"/>
      <c r="BD225" s="1139" t="str">
        <f>IF(CONSOLIDA!CU206="","",CONSOLIDA!CU206)</f>
        <v/>
      </c>
      <c r="BE225" s="1139"/>
      <c r="BF225" s="1139"/>
      <c r="BG225" s="1139"/>
      <c r="BH225" s="1139"/>
      <c r="BI225" s="1139"/>
      <c r="BJ225" s="1139" t="str">
        <f>IF(CONSOLIDA!CV206="","",CONSOLIDA!CV206)</f>
        <v/>
      </c>
      <c r="BK225" s="1139"/>
      <c r="BL225" s="1139"/>
      <c r="BM225" s="1139"/>
      <c r="BN225" s="1139"/>
      <c r="BO225" s="1139"/>
      <c r="BP225" s="1139" t="str">
        <f>IF(CONSOLIDA!CW206="","",CONSOLIDA!CW206)</f>
        <v/>
      </c>
      <c r="BQ225" s="1139"/>
      <c r="BR225" s="1139"/>
      <c r="BS225" s="1139"/>
      <c r="BT225" s="1139"/>
      <c r="BU225" s="1139"/>
      <c r="BV225" s="1140" t="str">
        <f>IF(CONSOLIDA!CX206="","",CONSOLIDA!CX206)</f>
        <v/>
      </c>
      <c r="BW225" s="1140"/>
      <c r="BX225" s="1140"/>
      <c r="BY225" s="1140"/>
      <c r="BZ225" s="1140"/>
      <c r="CA225" s="1140"/>
      <c r="CB225" s="1139" t="str">
        <f>IF(CONSOLIDA!CY206="","",CONSOLIDA!CY206)</f>
        <v/>
      </c>
      <c r="CC225" s="1139"/>
      <c r="CD225" s="1139"/>
      <c r="CE225" s="1139"/>
      <c r="CF225" s="1139"/>
      <c r="CG225" s="1139"/>
      <c r="CH225" s="486"/>
      <c r="CI225" s="190" t="str">
        <f>IF(CONSOLIDA!CZ206="","",CONSOLIDA!CZ206)</f>
        <v/>
      </c>
      <c r="CJ225" s="190" t="str">
        <f>IF(CONSOLIDA!DA206="","",CONSOLIDA!DA206)</f>
        <v/>
      </c>
    </row>
    <row r="226" spans="1:88" s="3" customFormat="1" hidden="1">
      <c r="A226" s="243" t="str">
        <f t="shared" si="3"/>
        <v>OK</v>
      </c>
      <c r="B226" s="1141" t="str">
        <f>IF(CONSOLIDA!CL207="","",CONSOLIDA!CL207)</f>
        <v/>
      </c>
      <c r="C226" s="1141"/>
      <c r="D226" s="1134" t="str">
        <f>IF(CONSOLIDA!CN207="","",CONSOLIDA!CN207)</f>
        <v/>
      </c>
      <c r="E226" s="1135"/>
      <c r="F226" s="1135"/>
      <c r="G226" s="1129" t="str">
        <f>IF(CONSOLIDA!CO207="","",CONSOLIDA!CO207)</f>
        <v/>
      </c>
      <c r="H226" s="1129"/>
      <c r="I226" s="1129"/>
      <c r="J226" s="1129"/>
      <c r="K226" s="1129"/>
      <c r="L226" s="1129"/>
      <c r="M226" s="1129"/>
      <c r="N226" s="1129"/>
      <c r="O226" s="1129"/>
      <c r="P226" s="1129"/>
      <c r="Q226" s="1129"/>
      <c r="R226" s="1129"/>
      <c r="S226" s="1129"/>
      <c r="T226" s="1129"/>
      <c r="U226" s="1129"/>
      <c r="V226" s="1129"/>
      <c r="W226" s="1129"/>
      <c r="X226" s="1129"/>
      <c r="Y226" s="1130"/>
      <c r="Z226" s="1139" t="str">
        <f>IF(CONSOLIDA!CP207="","",CONSOLIDA!CP207)</f>
        <v/>
      </c>
      <c r="AA226" s="1139"/>
      <c r="AB226" s="1139"/>
      <c r="AC226" s="1139"/>
      <c r="AD226" s="1139"/>
      <c r="AE226" s="1139"/>
      <c r="AF226" s="1139" t="str">
        <f>IF(CONSOLIDA!CQ207="","",CONSOLIDA!CQ207)</f>
        <v/>
      </c>
      <c r="AG226" s="1139"/>
      <c r="AH226" s="1139"/>
      <c r="AI226" s="1139"/>
      <c r="AJ226" s="1139"/>
      <c r="AK226" s="1139"/>
      <c r="AL226" s="1139" t="str">
        <f>IF(CONSOLIDA!CR207="","",CONSOLIDA!CR207)</f>
        <v/>
      </c>
      <c r="AM226" s="1139"/>
      <c r="AN226" s="1139"/>
      <c r="AO226" s="1139"/>
      <c r="AP226" s="1139"/>
      <c r="AQ226" s="1139"/>
      <c r="AR226" s="1139" t="str">
        <f>IF(CONSOLIDA!CS207="","",CONSOLIDA!CS207)</f>
        <v/>
      </c>
      <c r="AS226" s="1139"/>
      <c r="AT226" s="1139"/>
      <c r="AU226" s="1139"/>
      <c r="AV226" s="1139"/>
      <c r="AW226" s="1139"/>
      <c r="AX226" s="1140" t="str">
        <f>IF(CONSOLIDA!CT207="","",CONSOLIDA!CT207)</f>
        <v/>
      </c>
      <c r="AY226" s="1140"/>
      <c r="AZ226" s="1140"/>
      <c r="BA226" s="1140"/>
      <c r="BB226" s="1140"/>
      <c r="BC226" s="1140"/>
      <c r="BD226" s="1139" t="str">
        <f>IF(CONSOLIDA!CU207="","",CONSOLIDA!CU207)</f>
        <v/>
      </c>
      <c r="BE226" s="1139"/>
      <c r="BF226" s="1139"/>
      <c r="BG226" s="1139"/>
      <c r="BH226" s="1139"/>
      <c r="BI226" s="1139"/>
      <c r="BJ226" s="1139" t="str">
        <f>IF(CONSOLIDA!CV207="","",CONSOLIDA!CV207)</f>
        <v/>
      </c>
      <c r="BK226" s="1139"/>
      <c r="BL226" s="1139"/>
      <c r="BM226" s="1139"/>
      <c r="BN226" s="1139"/>
      <c r="BO226" s="1139"/>
      <c r="BP226" s="1139" t="str">
        <f>IF(CONSOLIDA!CW207="","",CONSOLIDA!CW207)</f>
        <v/>
      </c>
      <c r="BQ226" s="1139"/>
      <c r="BR226" s="1139"/>
      <c r="BS226" s="1139"/>
      <c r="BT226" s="1139"/>
      <c r="BU226" s="1139"/>
      <c r="BV226" s="1140" t="str">
        <f>IF(CONSOLIDA!CX207="","",CONSOLIDA!CX207)</f>
        <v/>
      </c>
      <c r="BW226" s="1140"/>
      <c r="BX226" s="1140"/>
      <c r="BY226" s="1140"/>
      <c r="BZ226" s="1140"/>
      <c r="CA226" s="1140"/>
      <c r="CB226" s="1139" t="str">
        <f>IF(CONSOLIDA!CY207="","",CONSOLIDA!CY207)</f>
        <v/>
      </c>
      <c r="CC226" s="1139"/>
      <c r="CD226" s="1139"/>
      <c r="CE226" s="1139"/>
      <c r="CF226" s="1139"/>
      <c r="CG226" s="1139"/>
      <c r="CH226" s="486"/>
      <c r="CI226" s="190" t="str">
        <f>IF(CONSOLIDA!CZ207="","",CONSOLIDA!CZ207)</f>
        <v/>
      </c>
      <c r="CJ226" s="190" t="str">
        <f>IF(CONSOLIDA!DA207="","",CONSOLIDA!DA207)</f>
        <v/>
      </c>
    </row>
    <row r="227" spans="1:88" s="3" customFormat="1" hidden="1">
      <c r="A227" s="243" t="str">
        <f>IF(D23="","OK","")</f>
        <v>OK</v>
      </c>
      <c r="B227" s="1181" t="s">
        <v>69</v>
      </c>
      <c r="C227" s="1181"/>
      <c r="D227" s="1181"/>
      <c r="E227" s="1181"/>
      <c r="F227" s="1181"/>
      <c r="G227" s="1181"/>
      <c r="H227" s="1181"/>
      <c r="I227" s="1181"/>
      <c r="J227" s="1181"/>
      <c r="K227" s="1181"/>
      <c r="L227" s="1181"/>
      <c r="M227" s="1181"/>
      <c r="N227" s="1181"/>
      <c r="O227" s="1181"/>
      <c r="P227" s="1181"/>
      <c r="Q227" s="1181"/>
      <c r="R227" s="1181"/>
      <c r="S227" s="1181"/>
      <c r="T227" s="1181"/>
      <c r="U227" s="1181"/>
      <c r="V227" s="1181"/>
      <c r="W227" s="1181"/>
      <c r="X227" s="1181"/>
      <c r="Y227" s="1182"/>
      <c r="Z227" s="1139">
        <f>SUM(Z23:AE226)</f>
        <v>0</v>
      </c>
      <c r="AA227" s="1139"/>
      <c r="AB227" s="1139"/>
      <c r="AC227" s="1139"/>
      <c r="AD227" s="1139"/>
      <c r="AE227" s="1139"/>
      <c r="AF227" s="1139">
        <f>SUM(AF23:AK226)</f>
        <v>0</v>
      </c>
      <c r="AG227" s="1139"/>
      <c r="AH227" s="1139"/>
      <c r="AI227" s="1139"/>
      <c r="AJ227" s="1139"/>
      <c r="AK227" s="1139"/>
      <c r="AL227" s="1139">
        <f>SUM(AL23:AQ226)</f>
        <v>0</v>
      </c>
      <c r="AM227" s="1139"/>
      <c r="AN227" s="1139"/>
      <c r="AO227" s="1139"/>
      <c r="AP227" s="1139"/>
      <c r="AQ227" s="1139"/>
      <c r="AR227" s="1139">
        <f>SUM(AR23:AW226)</f>
        <v>0</v>
      </c>
      <c r="AS227" s="1139"/>
      <c r="AT227" s="1139"/>
      <c r="AU227" s="1139"/>
      <c r="AV227" s="1139"/>
      <c r="AW227" s="1139"/>
      <c r="AX227" s="1140">
        <f>SUM(AX23:BC226)</f>
        <v>0</v>
      </c>
      <c r="AY227" s="1140"/>
      <c r="AZ227" s="1140"/>
      <c r="BA227" s="1140"/>
      <c r="BB227" s="1140"/>
      <c r="BC227" s="1140"/>
      <c r="BD227" s="1139">
        <f>SUM(BD23:BI226)</f>
        <v>0</v>
      </c>
      <c r="BE227" s="1139"/>
      <c r="BF227" s="1139"/>
      <c r="BG227" s="1139"/>
      <c r="BH227" s="1139"/>
      <c r="BI227" s="1139"/>
      <c r="BJ227" s="1139">
        <f>SUM(BJ23:BO226)</f>
        <v>0</v>
      </c>
      <c r="BK227" s="1139"/>
      <c r="BL227" s="1139"/>
      <c r="BM227" s="1139"/>
      <c r="BN227" s="1139"/>
      <c r="BO227" s="1139"/>
      <c r="BP227" s="1139">
        <f>SUM(BP23:BU226)</f>
        <v>0</v>
      </c>
      <c r="BQ227" s="1139"/>
      <c r="BR227" s="1139"/>
      <c r="BS227" s="1139"/>
      <c r="BT227" s="1139"/>
      <c r="BU227" s="1139"/>
      <c r="BV227" s="1140">
        <f>SUM(BV23:CA226)</f>
        <v>0</v>
      </c>
      <c r="BW227" s="1140"/>
      <c r="BX227" s="1140"/>
      <c r="BY227" s="1140"/>
      <c r="BZ227" s="1140"/>
      <c r="CA227" s="1140"/>
      <c r="CB227" s="1139">
        <f>SUM(CB23:CG226)</f>
        <v>0</v>
      </c>
      <c r="CC227" s="1139"/>
      <c r="CD227" s="1139"/>
      <c r="CE227" s="1139"/>
      <c r="CF227" s="1139"/>
      <c r="CG227" s="1139"/>
      <c r="CH227" s="29"/>
      <c r="CI227" s="185"/>
      <c r="CJ227" s="17"/>
    </row>
    <row r="228" spans="1:88" s="3" customFormat="1" hidden="1">
      <c r="A228" s="243" t="str">
        <f>IF(B231=0,"OK","")</f>
        <v>OK</v>
      </c>
      <c r="B228" s="455"/>
      <c r="C228" s="455"/>
      <c r="D228" s="455"/>
      <c r="E228" s="455"/>
      <c r="F228" s="455"/>
      <c r="G228" s="455"/>
      <c r="H228" s="455"/>
      <c r="I228" s="455"/>
      <c r="J228" s="455"/>
      <c r="K228" s="455"/>
      <c r="L228" s="455"/>
      <c r="M228" s="455"/>
      <c r="N228" s="455"/>
      <c r="O228" s="455"/>
      <c r="P228" s="455"/>
      <c r="Q228" s="455"/>
      <c r="R228" s="455"/>
      <c r="S228" s="455"/>
      <c r="T228" s="455"/>
      <c r="U228" s="455"/>
      <c r="V228" s="455"/>
      <c r="W228" s="455"/>
      <c r="X228" s="455"/>
      <c r="Y228" s="455"/>
      <c r="Z228" s="455"/>
      <c r="AA228" s="455"/>
      <c r="AB228" s="455"/>
      <c r="AC228" s="455"/>
      <c r="AD228" s="455"/>
      <c r="AE228" s="455"/>
      <c r="AF228" s="455"/>
      <c r="AG228" s="455"/>
      <c r="AH228" s="455"/>
      <c r="AI228" s="455"/>
      <c r="AJ228" s="455"/>
      <c r="AK228" s="455"/>
      <c r="AL228" s="455"/>
      <c r="AM228" s="455"/>
      <c r="AN228" s="455"/>
      <c r="AO228" s="455"/>
      <c r="AP228" s="455"/>
      <c r="AQ228" s="455"/>
      <c r="AR228" s="455"/>
      <c r="AS228" s="455"/>
      <c r="AT228" s="455"/>
      <c r="AU228" s="455"/>
      <c r="AV228" s="455"/>
      <c r="AW228" s="455"/>
      <c r="AX228" s="455"/>
      <c r="AY228" s="455"/>
      <c r="AZ228" s="455"/>
      <c r="BA228" s="455"/>
      <c r="BB228" s="455"/>
      <c r="BC228" s="455"/>
      <c r="BD228" s="455"/>
      <c r="BE228" s="455"/>
      <c r="BF228" s="455"/>
      <c r="BG228" s="455"/>
      <c r="BH228" s="455"/>
      <c r="BI228" s="455"/>
      <c r="BJ228" s="455"/>
      <c r="BK228" s="455"/>
      <c r="BL228" s="455"/>
      <c r="BM228" s="455"/>
      <c r="BN228" s="455"/>
      <c r="BO228" s="455"/>
      <c r="BP228" s="455"/>
      <c r="BQ228" s="455"/>
      <c r="BR228" s="455"/>
      <c r="BS228" s="455"/>
      <c r="BT228" s="455"/>
      <c r="BU228" s="455"/>
      <c r="BV228" s="455"/>
      <c r="BW228" s="455"/>
      <c r="BX228" s="455"/>
      <c r="BY228" s="455"/>
      <c r="BZ228" s="455"/>
      <c r="CA228" s="455"/>
      <c r="CB228" s="455"/>
      <c r="CC228" s="455"/>
      <c r="CD228" s="455"/>
      <c r="CE228" s="455"/>
      <c r="CF228" s="455"/>
      <c r="CG228" s="455"/>
      <c r="CH228" s="29"/>
      <c r="CI228" s="185"/>
      <c r="CJ228" s="17"/>
    </row>
    <row r="229" spans="1:88" s="3" customFormat="1" hidden="1">
      <c r="A229" s="243" t="str">
        <f>IF(B231=0,"OK","")</f>
        <v>OK</v>
      </c>
      <c r="B229" s="110"/>
      <c r="C229" s="110"/>
      <c r="D229" s="1132" t="str">
        <f>IF(B231&gt;1,"B) REJEITAR as prestações de contas das APM, pelos motivos exposto abaixo:","B) REJEITAR a prestação de contas da APM, pelo motivo exposto abaixo:")</f>
        <v>B) REJEITAR a prestação de contas da APM, pelo motivo exposto abaixo:</v>
      </c>
      <c r="E229" s="1132"/>
      <c r="F229" s="1132"/>
      <c r="G229" s="1132"/>
      <c r="H229" s="1132"/>
      <c r="I229" s="1132"/>
      <c r="J229" s="1132"/>
      <c r="K229" s="1132"/>
      <c r="L229" s="1132"/>
      <c r="M229" s="1132"/>
      <c r="N229" s="1132"/>
      <c r="O229" s="1132"/>
      <c r="P229" s="1132"/>
      <c r="Q229" s="1132"/>
      <c r="R229" s="1132"/>
      <c r="S229" s="1132"/>
      <c r="T229" s="1132"/>
      <c r="U229" s="1132"/>
      <c r="V229" s="1132"/>
      <c r="W229" s="1132"/>
      <c r="X229" s="1132"/>
      <c r="Y229" s="1132"/>
      <c r="Z229" s="1132"/>
      <c r="AA229" s="1132"/>
      <c r="AB229" s="1132"/>
      <c r="AC229" s="1132"/>
      <c r="AD229" s="1132"/>
      <c r="AE229" s="1132"/>
      <c r="AF229" s="1132"/>
      <c r="AG229" s="1132"/>
      <c r="AH229" s="1132"/>
      <c r="AI229" s="1132"/>
      <c r="AJ229" s="1132"/>
      <c r="AK229" s="1132"/>
      <c r="AL229" s="1132"/>
      <c r="AM229" s="1132"/>
      <c r="AN229" s="1132"/>
      <c r="AO229" s="1132"/>
      <c r="AP229" s="1132"/>
      <c r="AQ229" s="1132"/>
      <c r="AR229" s="1132"/>
      <c r="AS229" s="1132"/>
      <c r="AT229" s="1132"/>
      <c r="AU229" s="1132"/>
      <c r="AV229" s="1132"/>
      <c r="AW229" s="1132"/>
      <c r="AX229" s="1132"/>
      <c r="AY229" s="1132"/>
      <c r="AZ229" s="1132"/>
      <c r="BA229" s="1132"/>
      <c r="BB229" s="1132"/>
      <c r="BC229" s="1132"/>
      <c r="BD229" s="1132"/>
      <c r="BE229" s="1132"/>
      <c r="BF229" s="1132"/>
      <c r="BG229" s="1132"/>
      <c r="BH229" s="1132"/>
      <c r="BI229" s="1132"/>
      <c r="BJ229" s="1132"/>
      <c r="BK229" s="1132"/>
      <c r="BL229" s="1132"/>
      <c r="BM229" s="1132"/>
      <c r="BN229" s="1132"/>
      <c r="BO229" s="1132"/>
      <c r="BP229" s="1132"/>
      <c r="BQ229" s="1132"/>
      <c r="BR229" s="1132"/>
      <c r="BS229" s="1132"/>
      <c r="BT229" s="1132"/>
      <c r="BU229" s="1132"/>
      <c r="BV229" s="1132"/>
      <c r="BW229" s="1132"/>
      <c r="BX229" s="1132"/>
      <c r="BY229" s="1132"/>
      <c r="BZ229" s="1132"/>
      <c r="CA229" s="1132"/>
      <c r="CB229" s="1132"/>
      <c r="CC229" s="1132"/>
      <c r="CD229" s="1132"/>
      <c r="CE229" s="1132"/>
      <c r="CF229" s="1132"/>
      <c r="CG229" s="1132"/>
      <c r="CH229" s="105"/>
      <c r="CI229" s="191"/>
      <c r="CJ229" s="17"/>
    </row>
    <row r="230" spans="1:88" s="3" customFormat="1" hidden="1">
      <c r="A230" s="243" t="str">
        <f>IF(B231=0,"OK","")</f>
        <v>OK</v>
      </c>
      <c r="B230" s="897"/>
      <c r="C230" s="897"/>
      <c r="D230" s="897"/>
      <c r="E230" s="897"/>
      <c r="F230" s="897"/>
      <c r="G230" s="897"/>
      <c r="H230" s="897"/>
      <c r="I230" s="897"/>
      <c r="J230" s="897"/>
      <c r="K230" s="897"/>
      <c r="L230" s="897"/>
      <c r="M230" s="897"/>
      <c r="N230" s="897"/>
      <c r="O230" s="897"/>
      <c r="P230" s="897"/>
      <c r="Q230" s="897"/>
      <c r="R230" s="897"/>
      <c r="S230" s="897"/>
      <c r="T230" s="897"/>
      <c r="U230" s="897"/>
      <c r="V230" s="897"/>
      <c r="W230" s="897"/>
      <c r="X230" s="897"/>
      <c r="Y230" s="897"/>
      <c r="Z230" s="897"/>
      <c r="AA230" s="897"/>
      <c r="AB230" s="897"/>
      <c r="AC230" s="897"/>
      <c r="AD230" s="897"/>
      <c r="AE230" s="897"/>
      <c r="AF230" s="897"/>
      <c r="AG230" s="897"/>
      <c r="AH230" s="897"/>
      <c r="AI230" s="897"/>
      <c r="AJ230" s="897"/>
      <c r="AK230" s="897"/>
      <c r="AL230" s="897"/>
      <c r="AM230" s="897"/>
      <c r="AN230" s="897"/>
      <c r="AO230" s="897"/>
      <c r="AP230" s="897"/>
      <c r="AQ230" s="897"/>
      <c r="AR230" s="897"/>
      <c r="AS230" s="897"/>
      <c r="AT230" s="897"/>
      <c r="AU230" s="897"/>
      <c r="AV230" s="897"/>
      <c r="AW230" s="897"/>
      <c r="AX230" s="897"/>
      <c r="AY230" s="897"/>
      <c r="AZ230" s="897"/>
      <c r="BA230" s="897"/>
      <c r="BB230" s="897"/>
      <c r="BC230" s="897"/>
      <c r="BD230" s="897"/>
      <c r="BE230" s="897"/>
      <c r="BF230" s="897"/>
      <c r="BG230" s="897"/>
      <c r="BH230" s="897"/>
      <c r="BI230" s="897"/>
      <c r="BJ230" s="897"/>
      <c r="BK230" s="897"/>
      <c r="BL230" s="897"/>
      <c r="BM230" s="897"/>
      <c r="BN230" s="897"/>
      <c r="BO230" s="897"/>
      <c r="BP230" s="897"/>
      <c r="BQ230" s="897"/>
      <c r="BR230" s="897"/>
      <c r="BS230" s="897"/>
      <c r="BT230" s="897"/>
      <c r="BU230" s="897"/>
      <c r="BV230" s="897"/>
      <c r="BW230" s="897"/>
      <c r="BX230" s="897"/>
      <c r="BY230" s="897"/>
      <c r="BZ230" s="897"/>
      <c r="CA230" s="897"/>
      <c r="CB230" s="897"/>
      <c r="CC230" s="897"/>
      <c r="CD230" s="897"/>
      <c r="CE230" s="897"/>
      <c r="CF230" s="897"/>
      <c r="CG230" s="897"/>
      <c r="CH230" s="105"/>
      <c r="CI230" s="191"/>
      <c r="CJ230" s="17"/>
    </row>
    <row r="231" spans="1:88" s="3" customFormat="1" hidden="1">
      <c r="A231" s="243" t="str">
        <f>IF(B231=0,"OK","")</f>
        <v>OK</v>
      </c>
      <c r="B231" s="1177">
        <f>MAX(B232:C435)</f>
        <v>0</v>
      </c>
      <c r="C231" s="1178"/>
      <c r="D231" s="1136" t="s">
        <v>140</v>
      </c>
      <c r="E231" s="1137"/>
      <c r="F231" s="1137"/>
      <c r="G231" s="1137"/>
      <c r="H231" s="1137"/>
      <c r="I231" s="1137"/>
      <c r="J231" s="1137"/>
      <c r="K231" s="1137"/>
      <c r="L231" s="1137"/>
      <c r="M231" s="1137"/>
      <c r="N231" s="1137"/>
      <c r="O231" s="1137"/>
      <c r="P231" s="1137"/>
      <c r="Q231" s="1137"/>
      <c r="R231" s="1137"/>
      <c r="S231" s="1137"/>
      <c r="T231" s="1137"/>
      <c r="U231" s="1137"/>
      <c r="V231" s="1137"/>
      <c r="W231" s="1137"/>
      <c r="X231" s="1137"/>
      <c r="Y231" s="1137"/>
      <c r="Z231" s="1137"/>
      <c r="AA231" s="1137"/>
      <c r="AB231" s="1137"/>
      <c r="AC231" s="1137"/>
      <c r="AD231" s="1137"/>
      <c r="AE231" s="1138"/>
      <c r="AF231" s="1179" t="s">
        <v>141</v>
      </c>
      <c r="AG231" s="1179"/>
      <c r="AH231" s="1179"/>
      <c r="AI231" s="1179"/>
      <c r="AJ231" s="1179"/>
      <c r="AK231" s="1179"/>
      <c r="AL231" s="1179"/>
      <c r="AM231" s="1179"/>
      <c r="AN231" s="1179"/>
      <c r="AO231" s="1179"/>
      <c r="AP231" s="1179"/>
      <c r="AQ231" s="1179"/>
      <c r="AR231" s="1179"/>
      <c r="AS231" s="1179"/>
      <c r="AT231" s="1179"/>
      <c r="AU231" s="1179"/>
      <c r="AV231" s="1179"/>
      <c r="AW231" s="1179"/>
      <c r="AX231" s="1179"/>
      <c r="AY231" s="1179"/>
      <c r="AZ231" s="1179"/>
      <c r="BA231" s="1179"/>
      <c r="BB231" s="1179"/>
      <c r="BC231" s="1179"/>
      <c r="BD231" s="1179"/>
      <c r="BE231" s="1179"/>
      <c r="BF231" s="1179"/>
      <c r="BG231" s="1179"/>
      <c r="BH231" s="1179"/>
      <c r="BI231" s="1179"/>
      <c r="BJ231" s="1179"/>
      <c r="BK231" s="1179"/>
      <c r="BL231" s="1179"/>
      <c r="BM231" s="1179"/>
      <c r="BN231" s="1179"/>
      <c r="BO231" s="1179"/>
      <c r="BP231" s="1179"/>
      <c r="BQ231" s="1179"/>
      <c r="BR231" s="1179"/>
      <c r="BS231" s="1179"/>
      <c r="BT231" s="1179"/>
      <c r="BU231" s="1179"/>
      <c r="BV231" s="1179"/>
      <c r="BW231" s="1179"/>
      <c r="BX231" s="1179"/>
      <c r="BY231" s="1179"/>
      <c r="BZ231" s="1179"/>
      <c r="CA231" s="1179"/>
      <c r="CB231" s="1179"/>
      <c r="CC231" s="1179"/>
      <c r="CD231" s="1179"/>
      <c r="CE231" s="1179"/>
      <c r="CF231" s="1179"/>
      <c r="CG231" s="1179"/>
      <c r="CH231" s="29"/>
      <c r="CI231" s="185"/>
      <c r="CJ231" s="17"/>
    </row>
    <row r="232" spans="1:88" s="3" customFormat="1" hidden="1">
      <c r="A232" s="243" t="str">
        <f t="shared" ref="A232:A295" si="4">IF(D232="","OK","")</f>
        <v>OK</v>
      </c>
      <c r="B232" s="1126" t="str">
        <f>IF(CONSOLIDA!BH4="","",CONSOLIDA!BH4)</f>
        <v/>
      </c>
      <c r="C232" s="1126"/>
      <c r="D232" s="1134" t="str">
        <f>IF(CONSOLIDA!BJ4="","",CONSOLIDA!BJ4)</f>
        <v/>
      </c>
      <c r="E232" s="1135"/>
      <c r="F232" s="1135"/>
      <c r="G232" s="1129" t="str">
        <f>IF(CONSOLIDA!BK4="","",CONSOLIDA!BK4)</f>
        <v/>
      </c>
      <c r="H232" s="1129"/>
      <c r="I232" s="1129"/>
      <c r="J232" s="1129"/>
      <c r="K232" s="1129"/>
      <c r="L232" s="1129"/>
      <c r="M232" s="1129"/>
      <c r="N232" s="1129"/>
      <c r="O232" s="1129"/>
      <c r="P232" s="1129"/>
      <c r="Q232" s="1129"/>
      <c r="R232" s="1129"/>
      <c r="S232" s="1129"/>
      <c r="T232" s="1129"/>
      <c r="U232" s="1129"/>
      <c r="V232" s="1129"/>
      <c r="W232" s="1129"/>
      <c r="X232" s="1129"/>
      <c r="Y232" s="1129"/>
      <c r="Z232" s="1129"/>
      <c r="AA232" s="1129"/>
      <c r="AB232" s="1129"/>
      <c r="AC232" s="1129"/>
      <c r="AD232" s="1129"/>
      <c r="AE232" s="1130"/>
      <c r="AF232" s="1131"/>
      <c r="AG232" s="1131"/>
      <c r="AH232" s="1131"/>
      <c r="AI232" s="1131"/>
      <c r="AJ232" s="1131"/>
      <c r="AK232" s="1131"/>
      <c r="AL232" s="1131"/>
      <c r="AM232" s="1131"/>
      <c r="AN232" s="1131"/>
      <c r="AO232" s="1131"/>
      <c r="AP232" s="1131"/>
      <c r="AQ232" s="1131"/>
      <c r="AR232" s="1131"/>
      <c r="AS232" s="1131"/>
      <c r="AT232" s="1131"/>
      <c r="AU232" s="1131"/>
      <c r="AV232" s="1131"/>
      <c r="AW232" s="1131"/>
      <c r="AX232" s="1131"/>
      <c r="AY232" s="1131"/>
      <c r="AZ232" s="1131"/>
      <c r="BA232" s="1131"/>
      <c r="BB232" s="1131"/>
      <c r="BC232" s="1131"/>
      <c r="BD232" s="1131"/>
      <c r="BE232" s="1131"/>
      <c r="BF232" s="1131"/>
      <c r="BG232" s="1131"/>
      <c r="BH232" s="1131"/>
      <c r="BI232" s="1131"/>
      <c r="BJ232" s="1131"/>
      <c r="BK232" s="1131"/>
      <c r="BL232" s="1131"/>
      <c r="BM232" s="1131"/>
      <c r="BN232" s="1131"/>
      <c r="BO232" s="1131"/>
      <c r="BP232" s="1131"/>
      <c r="BQ232" s="1131"/>
      <c r="BR232" s="1131"/>
      <c r="BS232" s="1131"/>
      <c r="BT232" s="1131"/>
      <c r="BU232" s="1131"/>
      <c r="BV232" s="1131"/>
      <c r="BW232" s="1131"/>
      <c r="BX232" s="1131"/>
      <c r="BY232" s="1131"/>
      <c r="BZ232" s="1131"/>
      <c r="CA232" s="1131"/>
      <c r="CB232" s="1131"/>
      <c r="CC232" s="1131"/>
      <c r="CD232" s="1131"/>
      <c r="CE232" s="1131"/>
      <c r="CF232" s="1131"/>
      <c r="CG232" s="1131"/>
      <c r="CH232" s="29"/>
      <c r="CI232" s="185"/>
      <c r="CJ232" s="17"/>
    </row>
    <row r="233" spans="1:88" s="3" customFormat="1" hidden="1">
      <c r="A233" s="243" t="str">
        <f t="shared" si="4"/>
        <v>OK</v>
      </c>
      <c r="B233" s="1126" t="str">
        <f>IF(CONSOLIDA!BH5="","",CONSOLIDA!BH5)</f>
        <v/>
      </c>
      <c r="C233" s="1126"/>
      <c r="D233" s="1134" t="str">
        <f>IF(CONSOLIDA!BJ5="","",CONSOLIDA!BJ5)</f>
        <v/>
      </c>
      <c r="E233" s="1135"/>
      <c r="F233" s="1135"/>
      <c r="G233" s="1129" t="str">
        <f>IF(CONSOLIDA!BK5="","",CONSOLIDA!BK5)</f>
        <v/>
      </c>
      <c r="H233" s="1129"/>
      <c r="I233" s="1129"/>
      <c r="J233" s="1129"/>
      <c r="K233" s="1129"/>
      <c r="L233" s="1129"/>
      <c r="M233" s="1129"/>
      <c r="N233" s="1129"/>
      <c r="O233" s="1129"/>
      <c r="P233" s="1129"/>
      <c r="Q233" s="1129"/>
      <c r="R233" s="1129"/>
      <c r="S233" s="1129"/>
      <c r="T233" s="1129"/>
      <c r="U233" s="1129"/>
      <c r="V233" s="1129"/>
      <c r="W233" s="1129"/>
      <c r="X233" s="1129"/>
      <c r="Y233" s="1129"/>
      <c r="Z233" s="1129"/>
      <c r="AA233" s="1129"/>
      <c r="AB233" s="1129"/>
      <c r="AC233" s="1129"/>
      <c r="AD233" s="1129"/>
      <c r="AE233" s="1130"/>
      <c r="AF233" s="1131"/>
      <c r="AG233" s="1131"/>
      <c r="AH233" s="1131"/>
      <c r="AI233" s="1131"/>
      <c r="AJ233" s="1131"/>
      <c r="AK233" s="1131"/>
      <c r="AL233" s="1131"/>
      <c r="AM233" s="1131"/>
      <c r="AN233" s="1131"/>
      <c r="AO233" s="1131"/>
      <c r="AP233" s="1131"/>
      <c r="AQ233" s="1131"/>
      <c r="AR233" s="1131"/>
      <c r="AS233" s="1131"/>
      <c r="AT233" s="1131"/>
      <c r="AU233" s="1131"/>
      <c r="AV233" s="1131"/>
      <c r="AW233" s="1131"/>
      <c r="AX233" s="1131"/>
      <c r="AY233" s="1131"/>
      <c r="AZ233" s="1131"/>
      <c r="BA233" s="1131"/>
      <c r="BB233" s="1131"/>
      <c r="BC233" s="1131"/>
      <c r="BD233" s="1131"/>
      <c r="BE233" s="1131"/>
      <c r="BF233" s="1131"/>
      <c r="BG233" s="1131"/>
      <c r="BH233" s="1131"/>
      <c r="BI233" s="1131"/>
      <c r="BJ233" s="1131"/>
      <c r="BK233" s="1131"/>
      <c r="BL233" s="1131"/>
      <c r="BM233" s="1131"/>
      <c r="BN233" s="1131"/>
      <c r="BO233" s="1131"/>
      <c r="BP233" s="1131"/>
      <c r="BQ233" s="1131"/>
      <c r="BR233" s="1131"/>
      <c r="BS233" s="1131"/>
      <c r="BT233" s="1131"/>
      <c r="BU233" s="1131"/>
      <c r="BV233" s="1131"/>
      <c r="BW233" s="1131"/>
      <c r="BX233" s="1131"/>
      <c r="BY233" s="1131"/>
      <c r="BZ233" s="1131"/>
      <c r="CA233" s="1131"/>
      <c r="CB233" s="1131"/>
      <c r="CC233" s="1131"/>
      <c r="CD233" s="1131"/>
      <c r="CE233" s="1131"/>
      <c r="CF233" s="1131"/>
      <c r="CG233" s="1131"/>
      <c r="CH233" s="29"/>
      <c r="CI233" s="185"/>
      <c r="CJ233" s="17"/>
    </row>
    <row r="234" spans="1:88" s="3" customFormat="1" hidden="1">
      <c r="A234" s="243" t="str">
        <f t="shared" si="4"/>
        <v>OK</v>
      </c>
      <c r="B234" s="1126" t="str">
        <f>IF(CONSOLIDA!BH6="","",CONSOLIDA!BH6)</f>
        <v/>
      </c>
      <c r="C234" s="1126"/>
      <c r="D234" s="1134" t="str">
        <f>IF(CONSOLIDA!BJ6="","",CONSOLIDA!BJ6)</f>
        <v/>
      </c>
      <c r="E234" s="1135"/>
      <c r="F234" s="1135"/>
      <c r="G234" s="1129" t="str">
        <f>IF(CONSOLIDA!BK6="","",CONSOLIDA!BK6)</f>
        <v/>
      </c>
      <c r="H234" s="1129"/>
      <c r="I234" s="1129"/>
      <c r="J234" s="1129"/>
      <c r="K234" s="1129"/>
      <c r="L234" s="1129"/>
      <c r="M234" s="1129"/>
      <c r="N234" s="1129"/>
      <c r="O234" s="1129"/>
      <c r="P234" s="1129"/>
      <c r="Q234" s="1129"/>
      <c r="R234" s="1129"/>
      <c r="S234" s="1129"/>
      <c r="T234" s="1129"/>
      <c r="U234" s="1129"/>
      <c r="V234" s="1129"/>
      <c r="W234" s="1129"/>
      <c r="X234" s="1129"/>
      <c r="Y234" s="1129"/>
      <c r="Z234" s="1129"/>
      <c r="AA234" s="1129"/>
      <c r="AB234" s="1129"/>
      <c r="AC234" s="1129"/>
      <c r="AD234" s="1129"/>
      <c r="AE234" s="1130"/>
      <c r="AF234" s="1131"/>
      <c r="AG234" s="1131"/>
      <c r="AH234" s="1131"/>
      <c r="AI234" s="1131"/>
      <c r="AJ234" s="1131"/>
      <c r="AK234" s="1131"/>
      <c r="AL234" s="1131"/>
      <c r="AM234" s="1131"/>
      <c r="AN234" s="1131"/>
      <c r="AO234" s="1131"/>
      <c r="AP234" s="1131"/>
      <c r="AQ234" s="1131"/>
      <c r="AR234" s="1131"/>
      <c r="AS234" s="1131"/>
      <c r="AT234" s="1131"/>
      <c r="AU234" s="1131"/>
      <c r="AV234" s="1131"/>
      <c r="AW234" s="1131"/>
      <c r="AX234" s="1131"/>
      <c r="AY234" s="1131"/>
      <c r="AZ234" s="1131"/>
      <c r="BA234" s="1131"/>
      <c r="BB234" s="1131"/>
      <c r="BC234" s="1131"/>
      <c r="BD234" s="1131"/>
      <c r="BE234" s="1131"/>
      <c r="BF234" s="1131"/>
      <c r="BG234" s="1131"/>
      <c r="BH234" s="1131"/>
      <c r="BI234" s="1131"/>
      <c r="BJ234" s="1131"/>
      <c r="BK234" s="1131"/>
      <c r="BL234" s="1131"/>
      <c r="BM234" s="1131"/>
      <c r="BN234" s="1131"/>
      <c r="BO234" s="1131"/>
      <c r="BP234" s="1131"/>
      <c r="BQ234" s="1131"/>
      <c r="BR234" s="1131"/>
      <c r="BS234" s="1131"/>
      <c r="BT234" s="1131"/>
      <c r="BU234" s="1131"/>
      <c r="BV234" s="1131"/>
      <c r="BW234" s="1131"/>
      <c r="BX234" s="1131"/>
      <c r="BY234" s="1131"/>
      <c r="BZ234" s="1131"/>
      <c r="CA234" s="1131"/>
      <c r="CB234" s="1131"/>
      <c r="CC234" s="1131"/>
      <c r="CD234" s="1131"/>
      <c r="CE234" s="1131"/>
      <c r="CF234" s="1131"/>
      <c r="CG234" s="1131"/>
      <c r="CH234" s="29"/>
      <c r="CI234" s="185"/>
      <c r="CJ234" s="17"/>
    </row>
    <row r="235" spans="1:88" s="3" customFormat="1" hidden="1">
      <c r="A235" s="243" t="str">
        <f t="shared" si="4"/>
        <v>OK</v>
      </c>
      <c r="B235" s="1126" t="str">
        <f>IF(CONSOLIDA!BH7="","",CONSOLIDA!BH7)</f>
        <v/>
      </c>
      <c r="C235" s="1126"/>
      <c r="D235" s="1134" t="str">
        <f>IF(CONSOLIDA!BJ7="","",CONSOLIDA!BJ7)</f>
        <v/>
      </c>
      <c r="E235" s="1135"/>
      <c r="F235" s="1135"/>
      <c r="G235" s="1129" t="str">
        <f>IF(CONSOLIDA!BK7="","",CONSOLIDA!BK7)</f>
        <v/>
      </c>
      <c r="H235" s="1129"/>
      <c r="I235" s="1129"/>
      <c r="J235" s="1129"/>
      <c r="K235" s="1129"/>
      <c r="L235" s="1129"/>
      <c r="M235" s="1129"/>
      <c r="N235" s="1129"/>
      <c r="O235" s="1129"/>
      <c r="P235" s="1129"/>
      <c r="Q235" s="1129"/>
      <c r="R235" s="1129"/>
      <c r="S235" s="1129"/>
      <c r="T235" s="1129"/>
      <c r="U235" s="1129"/>
      <c r="V235" s="1129"/>
      <c r="W235" s="1129"/>
      <c r="X235" s="1129"/>
      <c r="Y235" s="1129"/>
      <c r="Z235" s="1129"/>
      <c r="AA235" s="1129"/>
      <c r="AB235" s="1129"/>
      <c r="AC235" s="1129"/>
      <c r="AD235" s="1129"/>
      <c r="AE235" s="1130"/>
      <c r="AF235" s="1131"/>
      <c r="AG235" s="1131"/>
      <c r="AH235" s="1131"/>
      <c r="AI235" s="1131"/>
      <c r="AJ235" s="1131"/>
      <c r="AK235" s="1131"/>
      <c r="AL235" s="1131"/>
      <c r="AM235" s="1131"/>
      <c r="AN235" s="1131"/>
      <c r="AO235" s="1131"/>
      <c r="AP235" s="1131"/>
      <c r="AQ235" s="1131"/>
      <c r="AR235" s="1131"/>
      <c r="AS235" s="1131"/>
      <c r="AT235" s="1131"/>
      <c r="AU235" s="1131"/>
      <c r="AV235" s="1131"/>
      <c r="AW235" s="1131"/>
      <c r="AX235" s="1131"/>
      <c r="AY235" s="1131"/>
      <c r="AZ235" s="1131"/>
      <c r="BA235" s="1131"/>
      <c r="BB235" s="1131"/>
      <c r="BC235" s="1131"/>
      <c r="BD235" s="1131"/>
      <c r="BE235" s="1131"/>
      <c r="BF235" s="1131"/>
      <c r="BG235" s="1131"/>
      <c r="BH235" s="1131"/>
      <c r="BI235" s="1131"/>
      <c r="BJ235" s="1131"/>
      <c r="BK235" s="1131"/>
      <c r="BL235" s="1131"/>
      <c r="BM235" s="1131"/>
      <c r="BN235" s="1131"/>
      <c r="BO235" s="1131"/>
      <c r="BP235" s="1131"/>
      <c r="BQ235" s="1131"/>
      <c r="BR235" s="1131"/>
      <c r="BS235" s="1131"/>
      <c r="BT235" s="1131"/>
      <c r="BU235" s="1131"/>
      <c r="BV235" s="1131"/>
      <c r="BW235" s="1131"/>
      <c r="BX235" s="1131"/>
      <c r="BY235" s="1131"/>
      <c r="BZ235" s="1131"/>
      <c r="CA235" s="1131"/>
      <c r="CB235" s="1131"/>
      <c r="CC235" s="1131"/>
      <c r="CD235" s="1131"/>
      <c r="CE235" s="1131"/>
      <c r="CF235" s="1131"/>
      <c r="CG235" s="1131"/>
      <c r="CH235" s="29"/>
      <c r="CI235" s="185"/>
      <c r="CJ235" s="17"/>
    </row>
    <row r="236" spans="1:88" s="3" customFormat="1" hidden="1">
      <c r="A236" s="243" t="str">
        <f t="shared" si="4"/>
        <v>OK</v>
      </c>
      <c r="B236" s="1126" t="str">
        <f>IF(CONSOLIDA!BH8="","",CONSOLIDA!BH8)</f>
        <v/>
      </c>
      <c r="C236" s="1126"/>
      <c r="D236" s="1134" t="str">
        <f>IF(CONSOLIDA!BJ8="","",CONSOLIDA!BJ8)</f>
        <v/>
      </c>
      <c r="E236" s="1135"/>
      <c r="F236" s="1135"/>
      <c r="G236" s="1129" t="str">
        <f>IF(CONSOLIDA!BK8="","",CONSOLIDA!BK8)</f>
        <v/>
      </c>
      <c r="H236" s="1129"/>
      <c r="I236" s="1129"/>
      <c r="J236" s="1129"/>
      <c r="K236" s="1129"/>
      <c r="L236" s="1129"/>
      <c r="M236" s="1129"/>
      <c r="N236" s="1129"/>
      <c r="O236" s="1129"/>
      <c r="P236" s="1129"/>
      <c r="Q236" s="1129"/>
      <c r="R236" s="1129"/>
      <c r="S236" s="1129"/>
      <c r="T236" s="1129"/>
      <c r="U236" s="1129"/>
      <c r="V236" s="1129"/>
      <c r="W236" s="1129"/>
      <c r="X236" s="1129"/>
      <c r="Y236" s="1129"/>
      <c r="Z236" s="1129"/>
      <c r="AA236" s="1129"/>
      <c r="AB236" s="1129"/>
      <c r="AC236" s="1129"/>
      <c r="AD236" s="1129"/>
      <c r="AE236" s="1130"/>
      <c r="AF236" s="1131"/>
      <c r="AG236" s="1131"/>
      <c r="AH236" s="1131"/>
      <c r="AI236" s="1131"/>
      <c r="AJ236" s="1131"/>
      <c r="AK236" s="1131"/>
      <c r="AL236" s="1131"/>
      <c r="AM236" s="1131"/>
      <c r="AN236" s="1131"/>
      <c r="AO236" s="1131"/>
      <c r="AP236" s="1131"/>
      <c r="AQ236" s="1131"/>
      <c r="AR236" s="1131"/>
      <c r="AS236" s="1131"/>
      <c r="AT236" s="1131"/>
      <c r="AU236" s="1131"/>
      <c r="AV236" s="1131"/>
      <c r="AW236" s="1131"/>
      <c r="AX236" s="1131"/>
      <c r="AY236" s="1131"/>
      <c r="AZ236" s="1131"/>
      <c r="BA236" s="1131"/>
      <c r="BB236" s="1131"/>
      <c r="BC236" s="1131"/>
      <c r="BD236" s="1131"/>
      <c r="BE236" s="1131"/>
      <c r="BF236" s="1131"/>
      <c r="BG236" s="1131"/>
      <c r="BH236" s="1131"/>
      <c r="BI236" s="1131"/>
      <c r="BJ236" s="1131"/>
      <c r="BK236" s="1131"/>
      <c r="BL236" s="1131"/>
      <c r="BM236" s="1131"/>
      <c r="BN236" s="1131"/>
      <c r="BO236" s="1131"/>
      <c r="BP236" s="1131"/>
      <c r="BQ236" s="1131"/>
      <c r="BR236" s="1131"/>
      <c r="BS236" s="1131"/>
      <c r="BT236" s="1131"/>
      <c r="BU236" s="1131"/>
      <c r="BV236" s="1131"/>
      <c r="BW236" s="1131"/>
      <c r="BX236" s="1131"/>
      <c r="BY236" s="1131"/>
      <c r="BZ236" s="1131"/>
      <c r="CA236" s="1131"/>
      <c r="CB236" s="1131"/>
      <c r="CC236" s="1131"/>
      <c r="CD236" s="1131"/>
      <c r="CE236" s="1131"/>
      <c r="CF236" s="1131"/>
      <c r="CG236" s="1131"/>
      <c r="CH236" s="29"/>
      <c r="CI236" s="185"/>
      <c r="CJ236" s="17"/>
    </row>
    <row r="237" spans="1:88" s="3" customFormat="1" hidden="1">
      <c r="A237" s="243" t="str">
        <f t="shared" si="4"/>
        <v>OK</v>
      </c>
      <c r="B237" s="1126" t="str">
        <f>IF(CONSOLIDA!BH9="","",CONSOLIDA!BH9)</f>
        <v/>
      </c>
      <c r="C237" s="1126"/>
      <c r="D237" s="1134" t="str">
        <f>IF(CONSOLIDA!BJ9="","",CONSOLIDA!BJ9)</f>
        <v/>
      </c>
      <c r="E237" s="1135"/>
      <c r="F237" s="1135"/>
      <c r="G237" s="1129" t="str">
        <f>IF(CONSOLIDA!BK9="","",CONSOLIDA!BK9)</f>
        <v/>
      </c>
      <c r="H237" s="1129"/>
      <c r="I237" s="1129"/>
      <c r="J237" s="1129"/>
      <c r="K237" s="1129"/>
      <c r="L237" s="1129"/>
      <c r="M237" s="1129"/>
      <c r="N237" s="1129"/>
      <c r="O237" s="1129"/>
      <c r="P237" s="1129"/>
      <c r="Q237" s="1129"/>
      <c r="R237" s="1129"/>
      <c r="S237" s="1129"/>
      <c r="T237" s="1129"/>
      <c r="U237" s="1129"/>
      <c r="V237" s="1129"/>
      <c r="W237" s="1129"/>
      <c r="X237" s="1129"/>
      <c r="Y237" s="1129"/>
      <c r="Z237" s="1129"/>
      <c r="AA237" s="1129"/>
      <c r="AB237" s="1129"/>
      <c r="AC237" s="1129"/>
      <c r="AD237" s="1129"/>
      <c r="AE237" s="1130"/>
      <c r="AF237" s="1131"/>
      <c r="AG237" s="1131"/>
      <c r="AH237" s="1131"/>
      <c r="AI237" s="1131"/>
      <c r="AJ237" s="1131"/>
      <c r="AK237" s="1131"/>
      <c r="AL237" s="1131"/>
      <c r="AM237" s="1131"/>
      <c r="AN237" s="1131"/>
      <c r="AO237" s="1131"/>
      <c r="AP237" s="1131"/>
      <c r="AQ237" s="1131"/>
      <c r="AR237" s="1131"/>
      <c r="AS237" s="1131"/>
      <c r="AT237" s="1131"/>
      <c r="AU237" s="1131"/>
      <c r="AV237" s="1131"/>
      <c r="AW237" s="1131"/>
      <c r="AX237" s="1131"/>
      <c r="AY237" s="1131"/>
      <c r="AZ237" s="1131"/>
      <c r="BA237" s="1131"/>
      <c r="BB237" s="1131"/>
      <c r="BC237" s="1131"/>
      <c r="BD237" s="1131"/>
      <c r="BE237" s="1131"/>
      <c r="BF237" s="1131"/>
      <c r="BG237" s="1131"/>
      <c r="BH237" s="1131"/>
      <c r="BI237" s="1131"/>
      <c r="BJ237" s="1131"/>
      <c r="BK237" s="1131"/>
      <c r="BL237" s="1131"/>
      <c r="BM237" s="1131"/>
      <c r="BN237" s="1131"/>
      <c r="BO237" s="1131"/>
      <c r="BP237" s="1131"/>
      <c r="BQ237" s="1131"/>
      <c r="BR237" s="1131"/>
      <c r="BS237" s="1131"/>
      <c r="BT237" s="1131"/>
      <c r="BU237" s="1131"/>
      <c r="BV237" s="1131"/>
      <c r="BW237" s="1131"/>
      <c r="BX237" s="1131"/>
      <c r="BY237" s="1131"/>
      <c r="BZ237" s="1131"/>
      <c r="CA237" s="1131"/>
      <c r="CB237" s="1131"/>
      <c r="CC237" s="1131"/>
      <c r="CD237" s="1131"/>
      <c r="CE237" s="1131"/>
      <c r="CF237" s="1131"/>
      <c r="CG237" s="1131"/>
      <c r="CH237" s="29"/>
      <c r="CI237" s="185"/>
      <c r="CJ237" s="17"/>
    </row>
    <row r="238" spans="1:88" s="3" customFormat="1" hidden="1">
      <c r="A238" s="243" t="str">
        <f t="shared" si="4"/>
        <v>OK</v>
      </c>
      <c r="B238" s="1126" t="str">
        <f>IF(CONSOLIDA!BH10="","",CONSOLIDA!BH10)</f>
        <v/>
      </c>
      <c r="C238" s="1126"/>
      <c r="D238" s="1134" t="str">
        <f>IF(CONSOLIDA!BJ10="","",CONSOLIDA!BJ10)</f>
        <v/>
      </c>
      <c r="E238" s="1135"/>
      <c r="F238" s="1135"/>
      <c r="G238" s="1129" t="str">
        <f>IF(CONSOLIDA!BK10="","",CONSOLIDA!BK10)</f>
        <v/>
      </c>
      <c r="H238" s="1129"/>
      <c r="I238" s="1129"/>
      <c r="J238" s="1129"/>
      <c r="K238" s="1129"/>
      <c r="L238" s="1129"/>
      <c r="M238" s="1129"/>
      <c r="N238" s="1129"/>
      <c r="O238" s="1129"/>
      <c r="P238" s="1129"/>
      <c r="Q238" s="1129"/>
      <c r="R238" s="1129"/>
      <c r="S238" s="1129"/>
      <c r="T238" s="1129"/>
      <c r="U238" s="1129"/>
      <c r="V238" s="1129"/>
      <c r="W238" s="1129"/>
      <c r="X238" s="1129"/>
      <c r="Y238" s="1129"/>
      <c r="Z238" s="1129"/>
      <c r="AA238" s="1129"/>
      <c r="AB238" s="1129"/>
      <c r="AC238" s="1129"/>
      <c r="AD238" s="1129"/>
      <c r="AE238" s="1130"/>
      <c r="AF238" s="1131"/>
      <c r="AG238" s="1131"/>
      <c r="AH238" s="1131"/>
      <c r="AI238" s="1131"/>
      <c r="AJ238" s="1131"/>
      <c r="AK238" s="1131"/>
      <c r="AL238" s="1131"/>
      <c r="AM238" s="1131"/>
      <c r="AN238" s="1131"/>
      <c r="AO238" s="1131"/>
      <c r="AP238" s="1131"/>
      <c r="AQ238" s="1131"/>
      <c r="AR238" s="1131"/>
      <c r="AS238" s="1131"/>
      <c r="AT238" s="1131"/>
      <c r="AU238" s="1131"/>
      <c r="AV238" s="1131"/>
      <c r="AW238" s="1131"/>
      <c r="AX238" s="1131"/>
      <c r="AY238" s="1131"/>
      <c r="AZ238" s="1131"/>
      <c r="BA238" s="1131"/>
      <c r="BB238" s="1131"/>
      <c r="BC238" s="1131"/>
      <c r="BD238" s="1131"/>
      <c r="BE238" s="1131"/>
      <c r="BF238" s="1131"/>
      <c r="BG238" s="1131"/>
      <c r="BH238" s="1131"/>
      <c r="BI238" s="1131"/>
      <c r="BJ238" s="1131"/>
      <c r="BK238" s="1131"/>
      <c r="BL238" s="1131"/>
      <c r="BM238" s="1131"/>
      <c r="BN238" s="1131"/>
      <c r="BO238" s="1131"/>
      <c r="BP238" s="1131"/>
      <c r="BQ238" s="1131"/>
      <c r="BR238" s="1131"/>
      <c r="BS238" s="1131"/>
      <c r="BT238" s="1131"/>
      <c r="BU238" s="1131"/>
      <c r="BV238" s="1131"/>
      <c r="BW238" s="1131"/>
      <c r="BX238" s="1131"/>
      <c r="BY238" s="1131"/>
      <c r="BZ238" s="1131"/>
      <c r="CA238" s="1131"/>
      <c r="CB238" s="1131"/>
      <c r="CC238" s="1131"/>
      <c r="CD238" s="1131"/>
      <c r="CE238" s="1131"/>
      <c r="CF238" s="1131"/>
      <c r="CG238" s="1131"/>
      <c r="CH238" s="29"/>
      <c r="CI238" s="185"/>
      <c r="CJ238" s="17"/>
    </row>
    <row r="239" spans="1:88" s="3" customFormat="1" hidden="1">
      <c r="A239" s="243" t="str">
        <f t="shared" si="4"/>
        <v>OK</v>
      </c>
      <c r="B239" s="1126" t="str">
        <f>IF(CONSOLIDA!BH11="","",CONSOLIDA!BH11)</f>
        <v/>
      </c>
      <c r="C239" s="1126"/>
      <c r="D239" s="1134" t="str">
        <f>IF(CONSOLIDA!BJ11="","",CONSOLIDA!BJ11)</f>
        <v/>
      </c>
      <c r="E239" s="1135"/>
      <c r="F239" s="1135"/>
      <c r="G239" s="1129" t="str">
        <f>IF(CONSOLIDA!BK11="","",CONSOLIDA!BK11)</f>
        <v/>
      </c>
      <c r="H239" s="1129"/>
      <c r="I239" s="1129"/>
      <c r="J239" s="1129"/>
      <c r="K239" s="1129"/>
      <c r="L239" s="1129"/>
      <c r="M239" s="1129"/>
      <c r="N239" s="1129"/>
      <c r="O239" s="1129"/>
      <c r="P239" s="1129"/>
      <c r="Q239" s="1129"/>
      <c r="R239" s="1129"/>
      <c r="S239" s="1129"/>
      <c r="T239" s="1129"/>
      <c r="U239" s="1129"/>
      <c r="V239" s="1129"/>
      <c r="W239" s="1129"/>
      <c r="X239" s="1129"/>
      <c r="Y239" s="1129"/>
      <c r="Z239" s="1129"/>
      <c r="AA239" s="1129"/>
      <c r="AB239" s="1129"/>
      <c r="AC239" s="1129"/>
      <c r="AD239" s="1129"/>
      <c r="AE239" s="1130"/>
      <c r="AF239" s="1131"/>
      <c r="AG239" s="1131"/>
      <c r="AH239" s="1131"/>
      <c r="AI239" s="1131"/>
      <c r="AJ239" s="1131"/>
      <c r="AK239" s="1131"/>
      <c r="AL239" s="1131"/>
      <c r="AM239" s="1131"/>
      <c r="AN239" s="1131"/>
      <c r="AO239" s="1131"/>
      <c r="AP239" s="1131"/>
      <c r="AQ239" s="1131"/>
      <c r="AR239" s="1131"/>
      <c r="AS239" s="1131"/>
      <c r="AT239" s="1131"/>
      <c r="AU239" s="1131"/>
      <c r="AV239" s="1131"/>
      <c r="AW239" s="1131"/>
      <c r="AX239" s="1131"/>
      <c r="AY239" s="1131"/>
      <c r="AZ239" s="1131"/>
      <c r="BA239" s="1131"/>
      <c r="BB239" s="1131"/>
      <c r="BC239" s="1131"/>
      <c r="BD239" s="1131"/>
      <c r="BE239" s="1131"/>
      <c r="BF239" s="1131"/>
      <c r="BG239" s="1131"/>
      <c r="BH239" s="1131"/>
      <c r="BI239" s="1131"/>
      <c r="BJ239" s="1131"/>
      <c r="BK239" s="1131"/>
      <c r="BL239" s="1131"/>
      <c r="BM239" s="1131"/>
      <c r="BN239" s="1131"/>
      <c r="BO239" s="1131"/>
      <c r="BP239" s="1131"/>
      <c r="BQ239" s="1131"/>
      <c r="BR239" s="1131"/>
      <c r="BS239" s="1131"/>
      <c r="BT239" s="1131"/>
      <c r="BU239" s="1131"/>
      <c r="BV239" s="1131"/>
      <c r="BW239" s="1131"/>
      <c r="BX239" s="1131"/>
      <c r="BY239" s="1131"/>
      <c r="BZ239" s="1131"/>
      <c r="CA239" s="1131"/>
      <c r="CB239" s="1131"/>
      <c r="CC239" s="1131"/>
      <c r="CD239" s="1131"/>
      <c r="CE239" s="1131"/>
      <c r="CF239" s="1131"/>
      <c r="CG239" s="1131"/>
      <c r="CH239" s="29"/>
      <c r="CI239" s="185"/>
      <c r="CJ239" s="17"/>
    </row>
    <row r="240" spans="1:88" s="3" customFormat="1" hidden="1">
      <c r="A240" s="243" t="str">
        <f t="shared" si="4"/>
        <v>OK</v>
      </c>
      <c r="B240" s="1126" t="str">
        <f>IF(CONSOLIDA!BH12="","",CONSOLIDA!BH12)</f>
        <v/>
      </c>
      <c r="C240" s="1126"/>
      <c r="D240" s="1134" t="str">
        <f>IF(CONSOLIDA!BJ12="","",CONSOLIDA!BJ12)</f>
        <v/>
      </c>
      <c r="E240" s="1135"/>
      <c r="F240" s="1135"/>
      <c r="G240" s="1129" t="str">
        <f>IF(CONSOLIDA!BK12="","",CONSOLIDA!BK12)</f>
        <v/>
      </c>
      <c r="H240" s="1129"/>
      <c r="I240" s="1129"/>
      <c r="J240" s="1129"/>
      <c r="K240" s="1129"/>
      <c r="L240" s="1129"/>
      <c r="M240" s="1129"/>
      <c r="N240" s="1129"/>
      <c r="O240" s="1129"/>
      <c r="P240" s="1129"/>
      <c r="Q240" s="1129"/>
      <c r="R240" s="1129"/>
      <c r="S240" s="1129"/>
      <c r="T240" s="1129"/>
      <c r="U240" s="1129"/>
      <c r="V240" s="1129"/>
      <c r="W240" s="1129"/>
      <c r="X240" s="1129"/>
      <c r="Y240" s="1129"/>
      <c r="Z240" s="1129"/>
      <c r="AA240" s="1129"/>
      <c r="AB240" s="1129"/>
      <c r="AC240" s="1129"/>
      <c r="AD240" s="1129"/>
      <c r="AE240" s="1130"/>
      <c r="AF240" s="1131"/>
      <c r="AG240" s="1131"/>
      <c r="AH240" s="1131"/>
      <c r="AI240" s="1131"/>
      <c r="AJ240" s="1131"/>
      <c r="AK240" s="1131"/>
      <c r="AL240" s="1131"/>
      <c r="AM240" s="1131"/>
      <c r="AN240" s="1131"/>
      <c r="AO240" s="1131"/>
      <c r="AP240" s="1131"/>
      <c r="AQ240" s="1131"/>
      <c r="AR240" s="1131"/>
      <c r="AS240" s="1131"/>
      <c r="AT240" s="1131"/>
      <c r="AU240" s="1131"/>
      <c r="AV240" s="1131"/>
      <c r="AW240" s="1131"/>
      <c r="AX240" s="1131"/>
      <c r="AY240" s="1131"/>
      <c r="AZ240" s="1131"/>
      <c r="BA240" s="1131"/>
      <c r="BB240" s="1131"/>
      <c r="BC240" s="1131"/>
      <c r="BD240" s="1131"/>
      <c r="BE240" s="1131"/>
      <c r="BF240" s="1131"/>
      <c r="BG240" s="1131"/>
      <c r="BH240" s="1131"/>
      <c r="BI240" s="1131"/>
      <c r="BJ240" s="1131"/>
      <c r="BK240" s="1131"/>
      <c r="BL240" s="1131"/>
      <c r="BM240" s="1131"/>
      <c r="BN240" s="1131"/>
      <c r="BO240" s="1131"/>
      <c r="BP240" s="1131"/>
      <c r="BQ240" s="1131"/>
      <c r="BR240" s="1131"/>
      <c r="BS240" s="1131"/>
      <c r="BT240" s="1131"/>
      <c r="BU240" s="1131"/>
      <c r="BV240" s="1131"/>
      <c r="BW240" s="1131"/>
      <c r="BX240" s="1131"/>
      <c r="BY240" s="1131"/>
      <c r="BZ240" s="1131"/>
      <c r="CA240" s="1131"/>
      <c r="CB240" s="1131"/>
      <c r="CC240" s="1131"/>
      <c r="CD240" s="1131"/>
      <c r="CE240" s="1131"/>
      <c r="CF240" s="1131"/>
      <c r="CG240" s="1131"/>
      <c r="CH240" s="29"/>
      <c r="CI240" s="185"/>
      <c r="CJ240" s="17"/>
    </row>
    <row r="241" spans="1:88" s="3" customFormat="1" hidden="1">
      <c r="A241" s="243" t="str">
        <f t="shared" si="4"/>
        <v>OK</v>
      </c>
      <c r="B241" s="1126" t="str">
        <f>IF(CONSOLIDA!BH13="","",CONSOLIDA!BH13)</f>
        <v/>
      </c>
      <c r="C241" s="1126"/>
      <c r="D241" s="1134" t="str">
        <f>IF(CONSOLIDA!BJ13="","",CONSOLIDA!BJ13)</f>
        <v/>
      </c>
      <c r="E241" s="1135"/>
      <c r="F241" s="1135"/>
      <c r="G241" s="1129" t="str">
        <f>IF(CONSOLIDA!BK13="","",CONSOLIDA!BK13)</f>
        <v/>
      </c>
      <c r="H241" s="1129"/>
      <c r="I241" s="1129"/>
      <c r="J241" s="1129"/>
      <c r="K241" s="1129"/>
      <c r="L241" s="1129"/>
      <c r="M241" s="1129"/>
      <c r="N241" s="1129"/>
      <c r="O241" s="1129"/>
      <c r="P241" s="1129"/>
      <c r="Q241" s="1129"/>
      <c r="R241" s="1129"/>
      <c r="S241" s="1129"/>
      <c r="T241" s="1129"/>
      <c r="U241" s="1129"/>
      <c r="V241" s="1129"/>
      <c r="W241" s="1129"/>
      <c r="X241" s="1129"/>
      <c r="Y241" s="1129"/>
      <c r="Z241" s="1129"/>
      <c r="AA241" s="1129"/>
      <c r="AB241" s="1129"/>
      <c r="AC241" s="1129"/>
      <c r="AD241" s="1129"/>
      <c r="AE241" s="1130"/>
      <c r="AF241" s="1131"/>
      <c r="AG241" s="1131"/>
      <c r="AH241" s="1131"/>
      <c r="AI241" s="1131"/>
      <c r="AJ241" s="1131"/>
      <c r="AK241" s="1131"/>
      <c r="AL241" s="1131"/>
      <c r="AM241" s="1131"/>
      <c r="AN241" s="1131"/>
      <c r="AO241" s="1131"/>
      <c r="AP241" s="1131"/>
      <c r="AQ241" s="1131"/>
      <c r="AR241" s="1131"/>
      <c r="AS241" s="1131"/>
      <c r="AT241" s="1131"/>
      <c r="AU241" s="1131"/>
      <c r="AV241" s="1131"/>
      <c r="AW241" s="1131"/>
      <c r="AX241" s="1131"/>
      <c r="AY241" s="1131"/>
      <c r="AZ241" s="1131"/>
      <c r="BA241" s="1131"/>
      <c r="BB241" s="1131"/>
      <c r="BC241" s="1131"/>
      <c r="BD241" s="1131"/>
      <c r="BE241" s="1131"/>
      <c r="BF241" s="1131"/>
      <c r="BG241" s="1131"/>
      <c r="BH241" s="1131"/>
      <c r="BI241" s="1131"/>
      <c r="BJ241" s="1131"/>
      <c r="BK241" s="1131"/>
      <c r="BL241" s="1131"/>
      <c r="BM241" s="1131"/>
      <c r="BN241" s="1131"/>
      <c r="BO241" s="1131"/>
      <c r="BP241" s="1131"/>
      <c r="BQ241" s="1131"/>
      <c r="BR241" s="1131"/>
      <c r="BS241" s="1131"/>
      <c r="BT241" s="1131"/>
      <c r="BU241" s="1131"/>
      <c r="BV241" s="1131"/>
      <c r="BW241" s="1131"/>
      <c r="BX241" s="1131"/>
      <c r="BY241" s="1131"/>
      <c r="BZ241" s="1131"/>
      <c r="CA241" s="1131"/>
      <c r="CB241" s="1131"/>
      <c r="CC241" s="1131"/>
      <c r="CD241" s="1131"/>
      <c r="CE241" s="1131"/>
      <c r="CF241" s="1131"/>
      <c r="CG241" s="1131"/>
      <c r="CH241" s="29"/>
      <c r="CI241" s="185"/>
      <c r="CJ241" s="17"/>
    </row>
    <row r="242" spans="1:88" s="3" customFormat="1" hidden="1">
      <c r="A242" s="243" t="str">
        <f t="shared" si="4"/>
        <v>OK</v>
      </c>
      <c r="B242" s="1126" t="str">
        <f>IF(CONSOLIDA!BH14="","",CONSOLIDA!BH14)</f>
        <v/>
      </c>
      <c r="C242" s="1126"/>
      <c r="D242" s="1134" t="str">
        <f>IF(CONSOLIDA!BJ14="","",CONSOLIDA!BJ14)</f>
        <v/>
      </c>
      <c r="E242" s="1135"/>
      <c r="F242" s="1135"/>
      <c r="G242" s="1129" t="str">
        <f>IF(CONSOLIDA!BK14="","",CONSOLIDA!BK14)</f>
        <v/>
      </c>
      <c r="H242" s="1129"/>
      <c r="I242" s="1129"/>
      <c r="J242" s="1129"/>
      <c r="K242" s="1129"/>
      <c r="L242" s="1129"/>
      <c r="M242" s="1129"/>
      <c r="N242" s="1129"/>
      <c r="O242" s="1129"/>
      <c r="P242" s="1129"/>
      <c r="Q242" s="1129"/>
      <c r="R242" s="1129"/>
      <c r="S242" s="1129"/>
      <c r="T242" s="1129"/>
      <c r="U242" s="1129"/>
      <c r="V242" s="1129"/>
      <c r="W242" s="1129"/>
      <c r="X242" s="1129"/>
      <c r="Y242" s="1129"/>
      <c r="Z242" s="1129"/>
      <c r="AA242" s="1129"/>
      <c r="AB242" s="1129"/>
      <c r="AC242" s="1129"/>
      <c r="AD242" s="1129"/>
      <c r="AE242" s="1130"/>
      <c r="AF242" s="1131"/>
      <c r="AG242" s="1131"/>
      <c r="AH242" s="1131"/>
      <c r="AI242" s="1131"/>
      <c r="AJ242" s="1131"/>
      <c r="AK242" s="1131"/>
      <c r="AL242" s="1131"/>
      <c r="AM242" s="1131"/>
      <c r="AN242" s="1131"/>
      <c r="AO242" s="1131"/>
      <c r="AP242" s="1131"/>
      <c r="AQ242" s="1131"/>
      <c r="AR242" s="1131"/>
      <c r="AS242" s="1131"/>
      <c r="AT242" s="1131"/>
      <c r="AU242" s="1131"/>
      <c r="AV242" s="1131"/>
      <c r="AW242" s="1131"/>
      <c r="AX242" s="1131"/>
      <c r="AY242" s="1131"/>
      <c r="AZ242" s="1131"/>
      <c r="BA242" s="1131"/>
      <c r="BB242" s="1131"/>
      <c r="BC242" s="1131"/>
      <c r="BD242" s="1131"/>
      <c r="BE242" s="1131"/>
      <c r="BF242" s="1131"/>
      <c r="BG242" s="1131"/>
      <c r="BH242" s="1131"/>
      <c r="BI242" s="1131"/>
      <c r="BJ242" s="1131"/>
      <c r="BK242" s="1131"/>
      <c r="BL242" s="1131"/>
      <c r="BM242" s="1131"/>
      <c r="BN242" s="1131"/>
      <c r="BO242" s="1131"/>
      <c r="BP242" s="1131"/>
      <c r="BQ242" s="1131"/>
      <c r="BR242" s="1131"/>
      <c r="BS242" s="1131"/>
      <c r="BT242" s="1131"/>
      <c r="BU242" s="1131"/>
      <c r="BV242" s="1131"/>
      <c r="BW242" s="1131"/>
      <c r="BX242" s="1131"/>
      <c r="BY242" s="1131"/>
      <c r="BZ242" s="1131"/>
      <c r="CA242" s="1131"/>
      <c r="CB242" s="1131"/>
      <c r="CC242" s="1131"/>
      <c r="CD242" s="1131"/>
      <c r="CE242" s="1131"/>
      <c r="CF242" s="1131"/>
      <c r="CG242" s="1131"/>
      <c r="CH242" s="29"/>
      <c r="CI242" s="185"/>
      <c r="CJ242" s="17"/>
    </row>
    <row r="243" spans="1:88" s="3" customFormat="1" hidden="1">
      <c r="A243" s="243" t="str">
        <f t="shared" si="4"/>
        <v>OK</v>
      </c>
      <c r="B243" s="1126" t="str">
        <f>IF(CONSOLIDA!BH15="","",CONSOLIDA!BH15)</f>
        <v/>
      </c>
      <c r="C243" s="1126"/>
      <c r="D243" s="1134" t="str">
        <f>IF(CONSOLIDA!BJ15="","",CONSOLIDA!BJ15)</f>
        <v/>
      </c>
      <c r="E243" s="1135"/>
      <c r="F243" s="1135"/>
      <c r="G243" s="1129" t="str">
        <f>IF(CONSOLIDA!BK15="","",CONSOLIDA!BK15)</f>
        <v/>
      </c>
      <c r="H243" s="1129"/>
      <c r="I243" s="1129"/>
      <c r="J243" s="1129"/>
      <c r="K243" s="1129"/>
      <c r="L243" s="1129"/>
      <c r="M243" s="1129"/>
      <c r="N243" s="1129"/>
      <c r="O243" s="1129"/>
      <c r="P243" s="1129"/>
      <c r="Q243" s="1129"/>
      <c r="R243" s="1129"/>
      <c r="S243" s="1129"/>
      <c r="T243" s="1129"/>
      <c r="U243" s="1129"/>
      <c r="V243" s="1129"/>
      <c r="W243" s="1129"/>
      <c r="X243" s="1129"/>
      <c r="Y243" s="1129"/>
      <c r="Z243" s="1129"/>
      <c r="AA243" s="1129"/>
      <c r="AB243" s="1129"/>
      <c r="AC243" s="1129"/>
      <c r="AD243" s="1129"/>
      <c r="AE243" s="1130"/>
      <c r="AF243" s="1131"/>
      <c r="AG243" s="1131"/>
      <c r="AH243" s="1131"/>
      <c r="AI243" s="1131"/>
      <c r="AJ243" s="1131"/>
      <c r="AK243" s="1131"/>
      <c r="AL243" s="1131"/>
      <c r="AM243" s="1131"/>
      <c r="AN243" s="1131"/>
      <c r="AO243" s="1131"/>
      <c r="AP243" s="1131"/>
      <c r="AQ243" s="1131"/>
      <c r="AR243" s="1131"/>
      <c r="AS243" s="1131"/>
      <c r="AT243" s="1131"/>
      <c r="AU243" s="1131"/>
      <c r="AV243" s="1131"/>
      <c r="AW243" s="1131"/>
      <c r="AX243" s="1131"/>
      <c r="AY243" s="1131"/>
      <c r="AZ243" s="1131"/>
      <c r="BA243" s="1131"/>
      <c r="BB243" s="1131"/>
      <c r="BC243" s="1131"/>
      <c r="BD243" s="1131"/>
      <c r="BE243" s="1131"/>
      <c r="BF243" s="1131"/>
      <c r="BG243" s="1131"/>
      <c r="BH243" s="1131"/>
      <c r="BI243" s="1131"/>
      <c r="BJ243" s="1131"/>
      <c r="BK243" s="1131"/>
      <c r="BL243" s="1131"/>
      <c r="BM243" s="1131"/>
      <c r="BN243" s="1131"/>
      <c r="BO243" s="1131"/>
      <c r="BP243" s="1131"/>
      <c r="BQ243" s="1131"/>
      <c r="BR243" s="1131"/>
      <c r="BS243" s="1131"/>
      <c r="BT243" s="1131"/>
      <c r="BU243" s="1131"/>
      <c r="BV243" s="1131"/>
      <c r="BW243" s="1131"/>
      <c r="BX243" s="1131"/>
      <c r="BY243" s="1131"/>
      <c r="BZ243" s="1131"/>
      <c r="CA243" s="1131"/>
      <c r="CB243" s="1131"/>
      <c r="CC243" s="1131"/>
      <c r="CD243" s="1131"/>
      <c r="CE243" s="1131"/>
      <c r="CF243" s="1131"/>
      <c r="CG243" s="1131"/>
      <c r="CH243" s="29"/>
      <c r="CI243" s="185"/>
      <c r="CJ243" s="17"/>
    </row>
    <row r="244" spans="1:88" s="3" customFormat="1" hidden="1">
      <c r="A244" s="243" t="str">
        <f t="shared" si="4"/>
        <v>OK</v>
      </c>
      <c r="B244" s="1126" t="str">
        <f>IF(CONSOLIDA!BH16="","",CONSOLIDA!BH16)</f>
        <v/>
      </c>
      <c r="C244" s="1126"/>
      <c r="D244" s="1134" t="str">
        <f>IF(CONSOLIDA!BJ16="","",CONSOLIDA!BJ16)</f>
        <v/>
      </c>
      <c r="E244" s="1135"/>
      <c r="F244" s="1135"/>
      <c r="G244" s="1129" t="str">
        <f>IF(CONSOLIDA!BK16="","",CONSOLIDA!BK16)</f>
        <v/>
      </c>
      <c r="H244" s="1129"/>
      <c r="I244" s="1129"/>
      <c r="J244" s="1129"/>
      <c r="K244" s="1129"/>
      <c r="L244" s="1129"/>
      <c r="M244" s="1129"/>
      <c r="N244" s="1129"/>
      <c r="O244" s="1129"/>
      <c r="P244" s="1129"/>
      <c r="Q244" s="1129"/>
      <c r="R244" s="1129"/>
      <c r="S244" s="1129"/>
      <c r="T244" s="1129"/>
      <c r="U244" s="1129"/>
      <c r="V244" s="1129"/>
      <c r="W244" s="1129"/>
      <c r="X244" s="1129"/>
      <c r="Y244" s="1129"/>
      <c r="Z244" s="1129"/>
      <c r="AA244" s="1129"/>
      <c r="AB244" s="1129"/>
      <c r="AC244" s="1129"/>
      <c r="AD244" s="1129"/>
      <c r="AE244" s="1130"/>
      <c r="AF244" s="1131"/>
      <c r="AG244" s="1131"/>
      <c r="AH244" s="1131"/>
      <c r="AI244" s="1131"/>
      <c r="AJ244" s="1131"/>
      <c r="AK244" s="1131"/>
      <c r="AL244" s="1131"/>
      <c r="AM244" s="1131"/>
      <c r="AN244" s="1131"/>
      <c r="AO244" s="1131"/>
      <c r="AP244" s="1131"/>
      <c r="AQ244" s="1131"/>
      <c r="AR244" s="1131"/>
      <c r="AS244" s="1131"/>
      <c r="AT244" s="1131"/>
      <c r="AU244" s="1131"/>
      <c r="AV244" s="1131"/>
      <c r="AW244" s="1131"/>
      <c r="AX244" s="1131"/>
      <c r="AY244" s="1131"/>
      <c r="AZ244" s="1131"/>
      <c r="BA244" s="1131"/>
      <c r="BB244" s="1131"/>
      <c r="BC244" s="1131"/>
      <c r="BD244" s="1131"/>
      <c r="BE244" s="1131"/>
      <c r="BF244" s="1131"/>
      <c r="BG244" s="1131"/>
      <c r="BH244" s="1131"/>
      <c r="BI244" s="1131"/>
      <c r="BJ244" s="1131"/>
      <c r="BK244" s="1131"/>
      <c r="BL244" s="1131"/>
      <c r="BM244" s="1131"/>
      <c r="BN244" s="1131"/>
      <c r="BO244" s="1131"/>
      <c r="BP244" s="1131"/>
      <c r="BQ244" s="1131"/>
      <c r="BR244" s="1131"/>
      <c r="BS244" s="1131"/>
      <c r="BT244" s="1131"/>
      <c r="BU244" s="1131"/>
      <c r="BV244" s="1131"/>
      <c r="BW244" s="1131"/>
      <c r="BX244" s="1131"/>
      <c r="BY244" s="1131"/>
      <c r="BZ244" s="1131"/>
      <c r="CA244" s="1131"/>
      <c r="CB244" s="1131"/>
      <c r="CC244" s="1131"/>
      <c r="CD244" s="1131"/>
      <c r="CE244" s="1131"/>
      <c r="CF244" s="1131"/>
      <c r="CG244" s="1131"/>
      <c r="CH244" s="29"/>
      <c r="CI244" s="185"/>
      <c r="CJ244" s="17"/>
    </row>
    <row r="245" spans="1:88" s="3" customFormat="1" hidden="1">
      <c r="A245" s="243" t="str">
        <f t="shared" si="4"/>
        <v>OK</v>
      </c>
      <c r="B245" s="1126" t="str">
        <f>IF(CONSOLIDA!BH17="","",CONSOLIDA!BH17)</f>
        <v/>
      </c>
      <c r="C245" s="1126"/>
      <c r="D245" s="1134" t="str">
        <f>IF(CONSOLIDA!BJ17="","",CONSOLIDA!BJ17)</f>
        <v/>
      </c>
      <c r="E245" s="1135"/>
      <c r="F245" s="1135"/>
      <c r="G245" s="1129" t="str">
        <f>IF(CONSOLIDA!BK17="","",CONSOLIDA!BK17)</f>
        <v/>
      </c>
      <c r="H245" s="1129"/>
      <c r="I245" s="1129"/>
      <c r="J245" s="1129"/>
      <c r="K245" s="1129"/>
      <c r="L245" s="1129"/>
      <c r="M245" s="1129"/>
      <c r="N245" s="1129"/>
      <c r="O245" s="1129"/>
      <c r="P245" s="1129"/>
      <c r="Q245" s="1129"/>
      <c r="R245" s="1129"/>
      <c r="S245" s="1129"/>
      <c r="T245" s="1129"/>
      <c r="U245" s="1129"/>
      <c r="V245" s="1129"/>
      <c r="W245" s="1129"/>
      <c r="X245" s="1129"/>
      <c r="Y245" s="1129"/>
      <c r="Z245" s="1129"/>
      <c r="AA245" s="1129"/>
      <c r="AB245" s="1129"/>
      <c r="AC245" s="1129"/>
      <c r="AD245" s="1129"/>
      <c r="AE245" s="1130"/>
      <c r="AF245" s="1131"/>
      <c r="AG245" s="1131"/>
      <c r="AH245" s="1131"/>
      <c r="AI245" s="1131"/>
      <c r="AJ245" s="1131"/>
      <c r="AK245" s="1131"/>
      <c r="AL245" s="1131"/>
      <c r="AM245" s="1131"/>
      <c r="AN245" s="1131"/>
      <c r="AO245" s="1131"/>
      <c r="AP245" s="1131"/>
      <c r="AQ245" s="1131"/>
      <c r="AR245" s="1131"/>
      <c r="AS245" s="1131"/>
      <c r="AT245" s="1131"/>
      <c r="AU245" s="1131"/>
      <c r="AV245" s="1131"/>
      <c r="AW245" s="1131"/>
      <c r="AX245" s="1131"/>
      <c r="AY245" s="1131"/>
      <c r="AZ245" s="1131"/>
      <c r="BA245" s="1131"/>
      <c r="BB245" s="1131"/>
      <c r="BC245" s="1131"/>
      <c r="BD245" s="1131"/>
      <c r="BE245" s="1131"/>
      <c r="BF245" s="1131"/>
      <c r="BG245" s="1131"/>
      <c r="BH245" s="1131"/>
      <c r="BI245" s="1131"/>
      <c r="BJ245" s="1131"/>
      <c r="BK245" s="1131"/>
      <c r="BL245" s="1131"/>
      <c r="BM245" s="1131"/>
      <c r="BN245" s="1131"/>
      <c r="BO245" s="1131"/>
      <c r="BP245" s="1131"/>
      <c r="BQ245" s="1131"/>
      <c r="BR245" s="1131"/>
      <c r="BS245" s="1131"/>
      <c r="BT245" s="1131"/>
      <c r="BU245" s="1131"/>
      <c r="BV245" s="1131"/>
      <c r="BW245" s="1131"/>
      <c r="BX245" s="1131"/>
      <c r="BY245" s="1131"/>
      <c r="BZ245" s="1131"/>
      <c r="CA245" s="1131"/>
      <c r="CB245" s="1131"/>
      <c r="CC245" s="1131"/>
      <c r="CD245" s="1131"/>
      <c r="CE245" s="1131"/>
      <c r="CF245" s="1131"/>
      <c r="CG245" s="1131"/>
      <c r="CH245" s="29"/>
      <c r="CI245" s="185"/>
      <c r="CJ245" s="17"/>
    </row>
    <row r="246" spans="1:88" s="3" customFormat="1" hidden="1">
      <c r="A246" s="243" t="str">
        <f t="shared" si="4"/>
        <v>OK</v>
      </c>
      <c r="B246" s="1126" t="str">
        <f>IF(CONSOLIDA!BH18="","",CONSOLIDA!BH18)</f>
        <v/>
      </c>
      <c r="C246" s="1126"/>
      <c r="D246" s="1134" t="str">
        <f>IF(CONSOLIDA!BJ18="","",CONSOLIDA!BJ18)</f>
        <v/>
      </c>
      <c r="E246" s="1135"/>
      <c r="F246" s="1135"/>
      <c r="G246" s="1129" t="str">
        <f>IF(CONSOLIDA!BK18="","",CONSOLIDA!BK18)</f>
        <v/>
      </c>
      <c r="H246" s="1129"/>
      <c r="I246" s="1129"/>
      <c r="J246" s="1129"/>
      <c r="K246" s="1129"/>
      <c r="L246" s="1129"/>
      <c r="M246" s="1129"/>
      <c r="N246" s="1129"/>
      <c r="O246" s="1129"/>
      <c r="P246" s="1129"/>
      <c r="Q246" s="1129"/>
      <c r="R246" s="1129"/>
      <c r="S246" s="1129"/>
      <c r="T246" s="1129"/>
      <c r="U246" s="1129"/>
      <c r="V246" s="1129"/>
      <c r="W246" s="1129"/>
      <c r="X246" s="1129"/>
      <c r="Y246" s="1129"/>
      <c r="Z246" s="1129"/>
      <c r="AA246" s="1129"/>
      <c r="AB246" s="1129"/>
      <c r="AC246" s="1129"/>
      <c r="AD246" s="1129"/>
      <c r="AE246" s="1130"/>
      <c r="AF246" s="1131"/>
      <c r="AG246" s="1131"/>
      <c r="AH246" s="1131"/>
      <c r="AI246" s="1131"/>
      <c r="AJ246" s="1131"/>
      <c r="AK246" s="1131"/>
      <c r="AL246" s="1131"/>
      <c r="AM246" s="1131"/>
      <c r="AN246" s="1131"/>
      <c r="AO246" s="1131"/>
      <c r="AP246" s="1131"/>
      <c r="AQ246" s="1131"/>
      <c r="AR246" s="1131"/>
      <c r="AS246" s="1131"/>
      <c r="AT246" s="1131"/>
      <c r="AU246" s="1131"/>
      <c r="AV246" s="1131"/>
      <c r="AW246" s="1131"/>
      <c r="AX246" s="1131"/>
      <c r="AY246" s="1131"/>
      <c r="AZ246" s="1131"/>
      <c r="BA246" s="1131"/>
      <c r="BB246" s="1131"/>
      <c r="BC246" s="1131"/>
      <c r="BD246" s="1131"/>
      <c r="BE246" s="1131"/>
      <c r="BF246" s="1131"/>
      <c r="BG246" s="1131"/>
      <c r="BH246" s="1131"/>
      <c r="BI246" s="1131"/>
      <c r="BJ246" s="1131"/>
      <c r="BK246" s="1131"/>
      <c r="BL246" s="1131"/>
      <c r="BM246" s="1131"/>
      <c r="BN246" s="1131"/>
      <c r="BO246" s="1131"/>
      <c r="BP246" s="1131"/>
      <c r="BQ246" s="1131"/>
      <c r="BR246" s="1131"/>
      <c r="BS246" s="1131"/>
      <c r="BT246" s="1131"/>
      <c r="BU246" s="1131"/>
      <c r="BV246" s="1131"/>
      <c r="BW246" s="1131"/>
      <c r="BX246" s="1131"/>
      <c r="BY246" s="1131"/>
      <c r="BZ246" s="1131"/>
      <c r="CA246" s="1131"/>
      <c r="CB246" s="1131"/>
      <c r="CC246" s="1131"/>
      <c r="CD246" s="1131"/>
      <c r="CE246" s="1131"/>
      <c r="CF246" s="1131"/>
      <c r="CG246" s="1131"/>
      <c r="CH246" s="29"/>
      <c r="CI246" s="185"/>
      <c r="CJ246" s="17"/>
    </row>
    <row r="247" spans="1:88" s="3" customFormat="1" hidden="1">
      <c r="A247" s="243" t="str">
        <f t="shared" si="4"/>
        <v>OK</v>
      </c>
      <c r="B247" s="1126" t="str">
        <f>IF(CONSOLIDA!BH19="","",CONSOLIDA!BH19)</f>
        <v/>
      </c>
      <c r="C247" s="1126"/>
      <c r="D247" s="1134" t="str">
        <f>IF(CONSOLIDA!BJ19="","",CONSOLIDA!BJ19)</f>
        <v/>
      </c>
      <c r="E247" s="1135"/>
      <c r="F247" s="1135"/>
      <c r="G247" s="1129" t="str">
        <f>IF(CONSOLIDA!BK19="","",CONSOLIDA!BK19)</f>
        <v/>
      </c>
      <c r="H247" s="1129"/>
      <c r="I247" s="1129"/>
      <c r="J247" s="1129"/>
      <c r="K247" s="1129"/>
      <c r="L247" s="1129"/>
      <c r="M247" s="1129"/>
      <c r="N247" s="1129"/>
      <c r="O247" s="1129"/>
      <c r="P247" s="1129"/>
      <c r="Q247" s="1129"/>
      <c r="R247" s="1129"/>
      <c r="S247" s="1129"/>
      <c r="T247" s="1129"/>
      <c r="U247" s="1129"/>
      <c r="V247" s="1129"/>
      <c r="W247" s="1129"/>
      <c r="X247" s="1129"/>
      <c r="Y247" s="1129"/>
      <c r="Z247" s="1129"/>
      <c r="AA247" s="1129"/>
      <c r="AB247" s="1129"/>
      <c r="AC247" s="1129"/>
      <c r="AD247" s="1129"/>
      <c r="AE247" s="1130"/>
      <c r="AF247" s="1131"/>
      <c r="AG247" s="1131"/>
      <c r="AH247" s="1131"/>
      <c r="AI247" s="1131"/>
      <c r="AJ247" s="1131"/>
      <c r="AK247" s="1131"/>
      <c r="AL247" s="1131"/>
      <c r="AM247" s="1131"/>
      <c r="AN247" s="1131"/>
      <c r="AO247" s="1131"/>
      <c r="AP247" s="1131"/>
      <c r="AQ247" s="1131"/>
      <c r="AR247" s="1131"/>
      <c r="AS247" s="1131"/>
      <c r="AT247" s="1131"/>
      <c r="AU247" s="1131"/>
      <c r="AV247" s="1131"/>
      <c r="AW247" s="1131"/>
      <c r="AX247" s="1131"/>
      <c r="AY247" s="1131"/>
      <c r="AZ247" s="1131"/>
      <c r="BA247" s="1131"/>
      <c r="BB247" s="1131"/>
      <c r="BC247" s="1131"/>
      <c r="BD247" s="1131"/>
      <c r="BE247" s="1131"/>
      <c r="BF247" s="1131"/>
      <c r="BG247" s="1131"/>
      <c r="BH247" s="1131"/>
      <c r="BI247" s="1131"/>
      <c r="BJ247" s="1131"/>
      <c r="BK247" s="1131"/>
      <c r="BL247" s="1131"/>
      <c r="BM247" s="1131"/>
      <c r="BN247" s="1131"/>
      <c r="BO247" s="1131"/>
      <c r="BP247" s="1131"/>
      <c r="BQ247" s="1131"/>
      <c r="BR247" s="1131"/>
      <c r="BS247" s="1131"/>
      <c r="BT247" s="1131"/>
      <c r="BU247" s="1131"/>
      <c r="BV247" s="1131"/>
      <c r="BW247" s="1131"/>
      <c r="BX247" s="1131"/>
      <c r="BY247" s="1131"/>
      <c r="BZ247" s="1131"/>
      <c r="CA247" s="1131"/>
      <c r="CB247" s="1131"/>
      <c r="CC247" s="1131"/>
      <c r="CD247" s="1131"/>
      <c r="CE247" s="1131"/>
      <c r="CF247" s="1131"/>
      <c r="CG247" s="1131"/>
      <c r="CH247" s="29"/>
      <c r="CI247" s="185"/>
      <c r="CJ247" s="17"/>
    </row>
    <row r="248" spans="1:88" s="3" customFormat="1" hidden="1">
      <c r="A248" s="243" t="str">
        <f t="shared" si="4"/>
        <v>OK</v>
      </c>
      <c r="B248" s="1126" t="str">
        <f>IF(CONSOLIDA!BH20="","",CONSOLIDA!BH20)</f>
        <v/>
      </c>
      <c r="C248" s="1126"/>
      <c r="D248" s="1134" t="str">
        <f>IF(CONSOLIDA!BJ20="","",CONSOLIDA!BJ20)</f>
        <v/>
      </c>
      <c r="E248" s="1135"/>
      <c r="F248" s="1135"/>
      <c r="G248" s="1129" t="str">
        <f>IF(CONSOLIDA!BK20="","",CONSOLIDA!BK20)</f>
        <v/>
      </c>
      <c r="H248" s="1129"/>
      <c r="I248" s="1129"/>
      <c r="J248" s="1129"/>
      <c r="K248" s="1129"/>
      <c r="L248" s="1129"/>
      <c r="M248" s="1129"/>
      <c r="N248" s="1129"/>
      <c r="O248" s="1129"/>
      <c r="P248" s="1129"/>
      <c r="Q248" s="1129"/>
      <c r="R248" s="1129"/>
      <c r="S248" s="1129"/>
      <c r="T248" s="1129"/>
      <c r="U248" s="1129"/>
      <c r="V248" s="1129"/>
      <c r="W248" s="1129"/>
      <c r="X248" s="1129"/>
      <c r="Y248" s="1129"/>
      <c r="Z248" s="1129"/>
      <c r="AA248" s="1129"/>
      <c r="AB248" s="1129"/>
      <c r="AC248" s="1129"/>
      <c r="AD248" s="1129"/>
      <c r="AE248" s="1130"/>
      <c r="AF248" s="1131"/>
      <c r="AG248" s="1131"/>
      <c r="AH248" s="1131"/>
      <c r="AI248" s="1131"/>
      <c r="AJ248" s="1131"/>
      <c r="AK248" s="1131"/>
      <c r="AL248" s="1131"/>
      <c r="AM248" s="1131"/>
      <c r="AN248" s="1131"/>
      <c r="AO248" s="1131"/>
      <c r="AP248" s="1131"/>
      <c r="AQ248" s="1131"/>
      <c r="AR248" s="1131"/>
      <c r="AS248" s="1131"/>
      <c r="AT248" s="1131"/>
      <c r="AU248" s="1131"/>
      <c r="AV248" s="1131"/>
      <c r="AW248" s="1131"/>
      <c r="AX248" s="1131"/>
      <c r="AY248" s="1131"/>
      <c r="AZ248" s="1131"/>
      <c r="BA248" s="1131"/>
      <c r="BB248" s="1131"/>
      <c r="BC248" s="1131"/>
      <c r="BD248" s="1131"/>
      <c r="BE248" s="1131"/>
      <c r="BF248" s="1131"/>
      <c r="BG248" s="1131"/>
      <c r="BH248" s="1131"/>
      <c r="BI248" s="1131"/>
      <c r="BJ248" s="1131"/>
      <c r="BK248" s="1131"/>
      <c r="BL248" s="1131"/>
      <c r="BM248" s="1131"/>
      <c r="BN248" s="1131"/>
      <c r="BO248" s="1131"/>
      <c r="BP248" s="1131"/>
      <c r="BQ248" s="1131"/>
      <c r="BR248" s="1131"/>
      <c r="BS248" s="1131"/>
      <c r="BT248" s="1131"/>
      <c r="BU248" s="1131"/>
      <c r="BV248" s="1131"/>
      <c r="BW248" s="1131"/>
      <c r="BX248" s="1131"/>
      <c r="BY248" s="1131"/>
      <c r="BZ248" s="1131"/>
      <c r="CA248" s="1131"/>
      <c r="CB248" s="1131"/>
      <c r="CC248" s="1131"/>
      <c r="CD248" s="1131"/>
      <c r="CE248" s="1131"/>
      <c r="CF248" s="1131"/>
      <c r="CG248" s="1131"/>
      <c r="CH248" s="29"/>
      <c r="CI248" s="185"/>
      <c r="CJ248" s="17"/>
    </row>
    <row r="249" spans="1:88" s="3" customFormat="1" hidden="1">
      <c r="A249" s="243" t="str">
        <f t="shared" si="4"/>
        <v>OK</v>
      </c>
      <c r="B249" s="1126" t="str">
        <f>IF(CONSOLIDA!BH21="","",CONSOLIDA!BH21)</f>
        <v/>
      </c>
      <c r="C249" s="1126"/>
      <c r="D249" s="1134" t="str">
        <f>IF(CONSOLIDA!BJ21="","",CONSOLIDA!BJ21)</f>
        <v/>
      </c>
      <c r="E249" s="1135"/>
      <c r="F249" s="1135"/>
      <c r="G249" s="1129" t="str">
        <f>IF(CONSOLIDA!BK21="","",CONSOLIDA!BK21)</f>
        <v/>
      </c>
      <c r="H249" s="1129"/>
      <c r="I249" s="1129"/>
      <c r="J249" s="1129"/>
      <c r="K249" s="1129"/>
      <c r="L249" s="1129"/>
      <c r="M249" s="1129"/>
      <c r="N249" s="1129"/>
      <c r="O249" s="1129"/>
      <c r="P249" s="1129"/>
      <c r="Q249" s="1129"/>
      <c r="R249" s="1129"/>
      <c r="S249" s="1129"/>
      <c r="T249" s="1129"/>
      <c r="U249" s="1129"/>
      <c r="V249" s="1129"/>
      <c r="W249" s="1129"/>
      <c r="X249" s="1129"/>
      <c r="Y249" s="1129"/>
      <c r="Z249" s="1129"/>
      <c r="AA249" s="1129"/>
      <c r="AB249" s="1129"/>
      <c r="AC249" s="1129"/>
      <c r="AD249" s="1129"/>
      <c r="AE249" s="1130"/>
      <c r="AF249" s="1131"/>
      <c r="AG249" s="1131"/>
      <c r="AH249" s="1131"/>
      <c r="AI249" s="1131"/>
      <c r="AJ249" s="1131"/>
      <c r="AK249" s="1131"/>
      <c r="AL249" s="1131"/>
      <c r="AM249" s="1131"/>
      <c r="AN249" s="1131"/>
      <c r="AO249" s="1131"/>
      <c r="AP249" s="1131"/>
      <c r="AQ249" s="1131"/>
      <c r="AR249" s="1131"/>
      <c r="AS249" s="1131"/>
      <c r="AT249" s="1131"/>
      <c r="AU249" s="1131"/>
      <c r="AV249" s="1131"/>
      <c r="AW249" s="1131"/>
      <c r="AX249" s="1131"/>
      <c r="AY249" s="1131"/>
      <c r="AZ249" s="1131"/>
      <c r="BA249" s="1131"/>
      <c r="BB249" s="1131"/>
      <c r="BC249" s="1131"/>
      <c r="BD249" s="1131"/>
      <c r="BE249" s="1131"/>
      <c r="BF249" s="1131"/>
      <c r="BG249" s="1131"/>
      <c r="BH249" s="1131"/>
      <c r="BI249" s="1131"/>
      <c r="BJ249" s="1131"/>
      <c r="BK249" s="1131"/>
      <c r="BL249" s="1131"/>
      <c r="BM249" s="1131"/>
      <c r="BN249" s="1131"/>
      <c r="BO249" s="1131"/>
      <c r="BP249" s="1131"/>
      <c r="BQ249" s="1131"/>
      <c r="BR249" s="1131"/>
      <c r="BS249" s="1131"/>
      <c r="BT249" s="1131"/>
      <c r="BU249" s="1131"/>
      <c r="BV249" s="1131"/>
      <c r="BW249" s="1131"/>
      <c r="BX249" s="1131"/>
      <c r="BY249" s="1131"/>
      <c r="BZ249" s="1131"/>
      <c r="CA249" s="1131"/>
      <c r="CB249" s="1131"/>
      <c r="CC249" s="1131"/>
      <c r="CD249" s="1131"/>
      <c r="CE249" s="1131"/>
      <c r="CF249" s="1131"/>
      <c r="CG249" s="1131"/>
      <c r="CH249" s="29"/>
      <c r="CI249" s="185"/>
      <c r="CJ249" s="17"/>
    </row>
    <row r="250" spans="1:88" s="3" customFormat="1" hidden="1">
      <c r="A250" s="243" t="str">
        <f t="shared" si="4"/>
        <v>OK</v>
      </c>
      <c r="B250" s="1126" t="str">
        <f>IF(CONSOLIDA!BH22="","",CONSOLIDA!BH22)</f>
        <v/>
      </c>
      <c r="C250" s="1126"/>
      <c r="D250" s="1134" t="str">
        <f>IF(CONSOLIDA!BJ22="","",CONSOLIDA!BJ22)</f>
        <v/>
      </c>
      <c r="E250" s="1135"/>
      <c r="F250" s="1135"/>
      <c r="G250" s="1129" t="str">
        <f>IF(CONSOLIDA!BK22="","",CONSOLIDA!BK22)</f>
        <v/>
      </c>
      <c r="H250" s="1129"/>
      <c r="I250" s="1129"/>
      <c r="J250" s="1129"/>
      <c r="K250" s="1129"/>
      <c r="L250" s="1129"/>
      <c r="M250" s="1129"/>
      <c r="N250" s="1129"/>
      <c r="O250" s="1129"/>
      <c r="P250" s="1129"/>
      <c r="Q250" s="1129"/>
      <c r="R250" s="1129"/>
      <c r="S250" s="1129"/>
      <c r="T250" s="1129"/>
      <c r="U250" s="1129"/>
      <c r="V250" s="1129"/>
      <c r="W250" s="1129"/>
      <c r="X250" s="1129"/>
      <c r="Y250" s="1129"/>
      <c r="Z250" s="1129"/>
      <c r="AA250" s="1129"/>
      <c r="AB250" s="1129"/>
      <c r="AC250" s="1129"/>
      <c r="AD250" s="1129"/>
      <c r="AE250" s="1130"/>
      <c r="AF250" s="1131"/>
      <c r="AG250" s="1131"/>
      <c r="AH250" s="1131"/>
      <c r="AI250" s="1131"/>
      <c r="AJ250" s="1131"/>
      <c r="AK250" s="1131"/>
      <c r="AL250" s="1131"/>
      <c r="AM250" s="1131"/>
      <c r="AN250" s="1131"/>
      <c r="AO250" s="1131"/>
      <c r="AP250" s="1131"/>
      <c r="AQ250" s="1131"/>
      <c r="AR250" s="1131"/>
      <c r="AS250" s="1131"/>
      <c r="AT250" s="1131"/>
      <c r="AU250" s="1131"/>
      <c r="AV250" s="1131"/>
      <c r="AW250" s="1131"/>
      <c r="AX250" s="1131"/>
      <c r="AY250" s="1131"/>
      <c r="AZ250" s="1131"/>
      <c r="BA250" s="1131"/>
      <c r="BB250" s="1131"/>
      <c r="BC250" s="1131"/>
      <c r="BD250" s="1131"/>
      <c r="BE250" s="1131"/>
      <c r="BF250" s="1131"/>
      <c r="BG250" s="1131"/>
      <c r="BH250" s="1131"/>
      <c r="BI250" s="1131"/>
      <c r="BJ250" s="1131"/>
      <c r="BK250" s="1131"/>
      <c r="BL250" s="1131"/>
      <c r="BM250" s="1131"/>
      <c r="BN250" s="1131"/>
      <c r="BO250" s="1131"/>
      <c r="BP250" s="1131"/>
      <c r="BQ250" s="1131"/>
      <c r="BR250" s="1131"/>
      <c r="BS250" s="1131"/>
      <c r="BT250" s="1131"/>
      <c r="BU250" s="1131"/>
      <c r="BV250" s="1131"/>
      <c r="BW250" s="1131"/>
      <c r="BX250" s="1131"/>
      <c r="BY250" s="1131"/>
      <c r="BZ250" s="1131"/>
      <c r="CA250" s="1131"/>
      <c r="CB250" s="1131"/>
      <c r="CC250" s="1131"/>
      <c r="CD250" s="1131"/>
      <c r="CE250" s="1131"/>
      <c r="CF250" s="1131"/>
      <c r="CG250" s="1131"/>
      <c r="CH250" s="29"/>
      <c r="CI250" s="185"/>
      <c r="CJ250" s="17"/>
    </row>
    <row r="251" spans="1:88" s="3" customFormat="1" hidden="1">
      <c r="A251" s="243" t="str">
        <f t="shared" si="4"/>
        <v>OK</v>
      </c>
      <c r="B251" s="1126" t="str">
        <f>IF(CONSOLIDA!BH23="","",CONSOLIDA!BH23)</f>
        <v/>
      </c>
      <c r="C251" s="1126"/>
      <c r="D251" s="1134" t="str">
        <f>IF(CONSOLIDA!BJ23="","",CONSOLIDA!BJ23)</f>
        <v/>
      </c>
      <c r="E251" s="1135"/>
      <c r="F251" s="1135"/>
      <c r="G251" s="1129" t="str">
        <f>IF(CONSOLIDA!BK23="","",CONSOLIDA!BK23)</f>
        <v/>
      </c>
      <c r="H251" s="1129"/>
      <c r="I251" s="1129"/>
      <c r="J251" s="1129"/>
      <c r="K251" s="1129"/>
      <c r="L251" s="1129"/>
      <c r="M251" s="1129"/>
      <c r="N251" s="1129"/>
      <c r="O251" s="1129"/>
      <c r="P251" s="1129"/>
      <c r="Q251" s="1129"/>
      <c r="R251" s="1129"/>
      <c r="S251" s="1129"/>
      <c r="T251" s="1129"/>
      <c r="U251" s="1129"/>
      <c r="V251" s="1129"/>
      <c r="W251" s="1129"/>
      <c r="X251" s="1129"/>
      <c r="Y251" s="1129"/>
      <c r="Z251" s="1129"/>
      <c r="AA251" s="1129"/>
      <c r="AB251" s="1129"/>
      <c r="AC251" s="1129"/>
      <c r="AD251" s="1129"/>
      <c r="AE251" s="1130"/>
      <c r="AF251" s="1131"/>
      <c r="AG251" s="1131"/>
      <c r="AH251" s="1131"/>
      <c r="AI251" s="1131"/>
      <c r="AJ251" s="1131"/>
      <c r="AK251" s="1131"/>
      <c r="AL251" s="1131"/>
      <c r="AM251" s="1131"/>
      <c r="AN251" s="1131"/>
      <c r="AO251" s="1131"/>
      <c r="AP251" s="1131"/>
      <c r="AQ251" s="1131"/>
      <c r="AR251" s="1131"/>
      <c r="AS251" s="1131"/>
      <c r="AT251" s="1131"/>
      <c r="AU251" s="1131"/>
      <c r="AV251" s="1131"/>
      <c r="AW251" s="1131"/>
      <c r="AX251" s="1131"/>
      <c r="AY251" s="1131"/>
      <c r="AZ251" s="1131"/>
      <c r="BA251" s="1131"/>
      <c r="BB251" s="1131"/>
      <c r="BC251" s="1131"/>
      <c r="BD251" s="1131"/>
      <c r="BE251" s="1131"/>
      <c r="BF251" s="1131"/>
      <c r="BG251" s="1131"/>
      <c r="BH251" s="1131"/>
      <c r="BI251" s="1131"/>
      <c r="BJ251" s="1131"/>
      <c r="BK251" s="1131"/>
      <c r="BL251" s="1131"/>
      <c r="BM251" s="1131"/>
      <c r="BN251" s="1131"/>
      <c r="BO251" s="1131"/>
      <c r="BP251" s="1131"/>
      <c r="BQ251" s="1131"/>
      <c r="BR251" s="1131"/>
      <c r="BS251" s="1131"/>
      <c r="BT251" s="1131"/>
      <c r="BU251" s="1131"/>
      <c r="BV251" s="1131"/>
      <c r="BW251" s="1131"/>
      <c r="BX251" s="1131"/>
      <c r="BY251" s="1131"/>
      <c r="BZ251" s="1131"/>
      <c r="CA251" s="1131"/>
      <c r="CB251" s="1131"/>
      <c r="CC251" s="1131"/>
      <c r="CD251" s="1131"/>
      <c r="CE251" s="1131"/>
      <c r="CF251" s="1131"/>
      <c r="CG251" s="1131"/>
      <c r="CH251" s="29"/>
      <c r="CI251" s="185"/>
      <c r="CJ251" s="17"/>
    </row>
    <row r="252" spans="1:88" s="3" customFormat="1" hidden="1">
      <c r="A252" s="243" t="str">
        <f t="shared" si="4"/>
        <v>OK</v>
      </c>
      <c r="B252" s="1126" t="str">
        <f>IF(CONSOLIDA!BH24="","",CONSOLIDA!BH24)</f>
        <v/>
      </c>
      <c r="C252" s="1126"/>
      <c r="D252" s="1134" t="str">
        <f>IF(CONSOLIDA!BJ24="","",CONSOLIDA!BJ24)</f>
        <v/>
      </c>
      <c r="E252" s="1135"/>
      <c r="F252" s="1135"/>
      <c r="G252" s="1129" t="str">
        <f>IF(CONSOLIDA!BK24="","",CONSOLIDA!BK24)</f>
        <v/>
      </c>
      <c r="H252" s="1129"/>
      <c r="I252" s="1129"/>
      <c r="J252" s="1129"/>
      <c r="K252" s="1129"/>
      <c r="L252" s="1129"/>
      <c r="M252" s="1129"/>
      <c r="N252" s="1129"/>
      <c r="O252" s="1129"/>
      <c r="P252" s="1129"/>
      <c r="Q252" s="1129"/>
      <c r="R252" s="1129"/>
      <c r="S252" s="1129"/>
      <c r="T252" s="1129"/>
      <c r="U252" s="1129"/>
      <c r="V252" s="1129"/>
      <c r="W252" s="1129"/>
      <c r="X252" s="1129"/>
      <c r="Y252" s="1129"/>
      <c r="Z252" s="1129"/>
      <c r="AA252" s="1129"/>
      <c r="AB252" s="1129"/>
      <c r="AC252" s="1129"/>
      <c r="AD252" s="1129"/>
      <c r="AE252" s="1130"/>
      <c r="AF252" s="1131"/>
      <c r="AG252" s="1131"/>
      <c r="AH252" s="1131"/>
      <c r="AI252" s="1131"/>
      <c r="AJ252" s="1131"/>
      <c r="AK252" s="1131"/>
      <c r="AL252" s="1131"/>
      <c r="AM252" s="1131"/>
      <c r="AN252" s="1131"/>
      <c r="AO252" s="1131"/>
      <c r="AP252" s="1131"/>
      <c r="AQ252" s="1131"/>
      <c r="AR252" s="1131"/>
      <c r="AS252" s="1131"/>
      <c r="AT252" s="1131"/>
      <c r="AU252" s="1131"/>
      <c r="AV252" s="1131"/>
      <c r="AW252" s="1131"/>
      <c r="AX252" s="1131"/>
      <c r="AY252" s="1131"/>
      <c r="AZ252" s="1131"/>
      <c r="BA252" s="1131"/>
      <c r="BB252" s="1131"/>
      <c r="BC252" s="1131"/>
      <c r="BD252" s="1131"/>
      <c r="BE252" s="1131"/>
      <c r="BF252" s="1131"/>
      <c r="BG252" s="1131"/>
      <c r="BH252" s="1131"/>
      <c r="BI252" s="1131"/>
      <c r="BJ252" s="1131"/>
      <c r="BK252" s="1131"/>
      <c r="BL252" s="1131"/>
      <c r="BM252" s="1131"/>
      <c r="BN252" s="1131"/>
      <c r="BO252" s="1131"/>
      <c r="BP252" s="1131"/>
      <c r="BQ252" s="1131"/>
      <c r="BR252" s="1131"/>
      <c r="BS252" s="1131"/>
      <c r="BT252" s="1131"/>
      <c r="BU252" s="1131"/>
      <c r="BV252" s="1131"/>
      <c r="BW252" s="1131"/>
      <c r="BX252" s="1131"/>
      <c r="BY252" s="1131"/>
      <c r="BZ252" s="1131"/>
      <c r="CA252" s="1131"/>
      <c r="CB252" s="1131"/>
      <c r="CC252" s="1131"/>
      <c r="CD252" s="1131"/>
      <c r="CE252" s="1131"/>
      <c r="CF252" s="1131"/>
      <c r="CG252" s="1131"/>
      <c r="CH252" s="29"/>
      <c r="CI252" s="185"/>
      <c r="CJ252" s="17"/>
    </row>
    <row r="253" spans="1:88" s="3" customFormat="1" hidden="1">
      <c r="A253" s="243" t="str">
        <f t="shared" si="4"/>
        <v>OK</v>
      </c>
      <c r="B253" s="1126" t="str">
        <f>IF(CONSOLIDA!BH25="","",CONSOLIDA!BH25)</f>
        <v/>
      </c>
      <c r="C253" s="1126"/>
      <c r="D253" s="1134" t="str">
        <f>IF(CONSOLIDA!BJ25="","",CONSOLIDA!BJ25)</f>
        <v/>
      </c>
      <c r="E253" s="1135"/>
      <c r="F253" s="1135"/>
      <c r="G253" s="1129" t="str">
        <f>IF(CONSOLIDA!BK25="","",CONSOLIDA!BK25)</f>
        <v/>
      </c>
      <c r="H253" s="1129"/>
      <c r="I253" s="1129"/>
      <c r="J253" s="1129"/>
      <c r="K253" s="1129"/>
      <c r="L253" s="1129"/>
      <c r="M253" s="1129"/>
      <c r="N253" s="1129"/>
      <c r="O253" s="1129"/>
      <c r="P253" s="1129"/>
      <c r="Q253" s="1129"/>
      <c r="R253" s="1129"/>
      <c r="S253" s="1129"/>
      <c r="T253" s="1129"/>
      <c r="U253" s="1129"/>
      <c r="V253" s="1129"/>
      <c r="W253" s="1129"/>
      <c r="X253" s="1129"/>
      <c r="Y253" s="1129"/>
      <c r="Z253" s="1129"/>
      <c r="AA253" s="1129"/>
      <c r="AB253" s="1129"/>
      <c r="AC253" s="1129"/>
      <c r="AD253" s="1129"/>
      <c r="AE253" s="1130"/>
      <c r="AF253" s="1131"/>
      <c r="AG253" s="1131"/>
      <c r="AH253" s="1131"/>
      <c r="AI253" s="1131"/>
      <c r="AJ253" s="1131"/>
      <c r="AK253" s="1131"/>
      <c r="AL253" s="1131"/>
      <c r="AM253" s="1131"/>
      <c r="AN253" s="1131"/>
      <c r="AO253" s="1131"/>
      <c r="AP253" s="1131"/>
      <c r="AQ253" s="1131"/>
      <c r="AR253" s="1131"/>
      <c r="AS253" s="1131"/>
      <c r="AT253" s="1131"/>
      <c r="AU253" s="1131"/>
      <c r="AV253" s="1131"/>
      <c r="AW253" s="1131"/>
      <c r="AX253" s="1131"/>
      <c r="AY253" s="1131"/>
      <c r="AZ253" s="1131"/>
      <c r="BA253" s="1131"/>
      <c r="BB253" s="1131"/>
      <c r="BC253" s="1131"/>
      <c r="BD253" s="1131"/>
      <c r="BE253" s="1131"/>
      <c r="BF253" s="1131"/>
      <c r="BG253" s="1131"/>
      <c r="BH253" s="1131"/>
      <c r="BI253" s="1131"/>
      <c r="BJ253" s="1131"/>
      <c r="BK253" s="1131"/>
      <c r="BL253" s="1131"/>
      <c r="BM253" s="1131"/>
      <c r="BN253" s="1131"/>
      <c r="BO253" s="1131"/>
      <c r="BP253" s="1131"/>
      <c r="BQ253" s="1131"/>
      <c r="BR253" s="1131"/>
      <c r="BS253" s="1131"/>
      <c r="BT253" s="1131"/>
      <c r="BU253" s="1131"/>
      <c r="BV253" s="1131"/>
      <c r="BW253" s="1131"/>
      <c r="BX253" s="1131"/>
      <c r="BY253" s="1131"/>
      <c r="BZ253" s="1131"/>
      <c r="CA253" s="1131"/>
      <c r="CB253" s="1131"/>
      <c r="CC253" s="1131"/>
      <c r="CD253" s="1131"/>
      <c r="CE253" s="1131"/>
      <c r="CF253" s="1131"/>
      <c r="CG253" s="1131"/>
      <c r="CH253" s="29"/>
      <c r="CI253" s="185"/>
      <c r="CJ253" s="17"/>
    </row>
    <row r="254" spans="1:88" s="3" customFormat="1" hidden="1">
      <c r="A254" s="243" t="str">
        <f t="shared" si="4"/>
        <v>OK</v>
      </c>
      <c r="B254" s="1126" t="str">
        <f>IF(CONSOLIDA!BH26="","",CONSOLIDA!BH26)</f>
        <v/>
      </c>
      <c r="C254" s="1126"/>
      <c r="D254" s="1134" t="str">
        <f>IF(CONSOLIDA!BJ26="","",CONSOLIDA!BJ26)</f>
        <v/>
      </c>
      <c r="E254" s="1135"/>
      <c r="F254" s="1135"/>
      <c r="G254" s="1129" t="str">
        <f>IF(CONSOLIDA!BK26="","",CONSOLIDA!BK26)</f>
        <v/>
      </c>
      <c r="H254" s="1129"/>
      <c r="I254" s="1129"/>
      <c r="J254" s="1129"/>
      <c r="K254" s="1129"/>
      <c r="L254" s="1129"/>
      <c r="M254" s="1129"/>
      <c r="N254" s="1129"/>
      <c r="O254" s="1129"/>
      <c r="P254" s="1129"/>
      <c r="Q254" s="1129"/>
      <c r="R254" s="1129"/>
      <c r="S254" s="1129"/>
      <c r="T254" s="1129"/>
      <c r="U254" s="1129"/>
      <c r="V254" s="1129"/>
      <c r="W254" s="1129"/>
      <c r="X254" s="1129"/>
      <c r="Y254" s="1129"/>
      <c r="Z254" s="1129"/>
      <c r="AA254" s="1129"/>
      <c r="AB254" s="1129"/>
      <c r="AC254" s="1129"/>
      <c r="AD254" s="1129"/>
      <c r="AE254" s="1130"/>
      <c r="AF254" s="1131"/>
      <c r="AG254" s="1131"/>
      <c r="AH254" s="1131"/>
      <c r="AI254" s="1131"/>
      <c r="AJ254" s="1131"/>
      <c r="AK254" s="1131"/>
      <c r="AL254" s="1131"/>
      <c r="AM254" s="1131"/>
      <c r="AN254" s="1131"/>
      <c r="AO254" s="1131"/>
      <c r="AP254" s="1131"/>
      <c r="AQ254" s="1131"/>
      <c r="AR254" s="1131"/>
      <c r="AS254" s="1131"/>
      <c r="AT254" s="1131"/>
      <c r="AU254" s="1131"/>
      <c r="AV254" s="1131"/>
      <c r="AW254" s="1131"/>
      <c r="AX254" s="1131"/>
      <c r="AY254" s="1131"/>
      <c r="AZ254" s="1131"/>
      <c r="BA254" s="1131"/>
      <c r="BB254" s="1131"/>
      <c r="BC254" s="1131"/>
      <c r="BD254" s="1131"/>
      <c r="BE254" s="1131"/>
      <c r="BF254" s="1131"/>
      <c r="BG254" s="1131"/>
      <c r="BH254" s="1131"/>
      <c r="BI254" s="1131"/>
      <c r="BJ254" s="1131"/>
      <c r="BK254" s="1131"/>
      <c r="BL254" s="1131"/>
      <c r="BM254" s="1131"/>
      <c r="BN254" s="1131"/>
      <c r="BO254" s="1131"/>
      <c r="BP254" s="1131"/>
      <c r="BQ254" s="1131"/>
      <c r="BR254" s="1131"/>
      <c r="BS254" s="1131"/>
      <c r="BT254" s="1131"/>
      <c r="BU254" s="1131"/>
      <c r="BV254" s="1131"/>
      <c r="BW254" s="1131"/>
      <c r="BX254" s="1131"/>
      <c r="BY254" s="1131"/>
      <c r="BZ254" s="1131"/>
      <c r="CA254" s="1131"/>
      <c r="CB254" s="1131"/>
      <c r="CC254" s="1131"/>
      <c r="CD254" s="1131"/>
      <c r="CE254" s="1131"/>
      <c r="CF254" s="1131"/>
      <c r="CG254" s="1131"/>
      <c r="CH254" s="29"/>
      <c r="CI254" s="185"/>
      <c r="CJ254" s="17"/>
    </row>
    <row r="255" spans="1:88" s="3" customFormat="1" hidden="1">
      <c r="A255" s="243" t="str">
        <f t="shared" si="4"/>
        <v>OK</v>
      </c>
      <c r="B255" s="1126" t="str">
        <f>IF(CONSOLIDA!BH27="","",CONSOLIDA!BH27)</f>
        <v/>
      </c>
      <c r="C255" s="1126"/>
      <c r="D255" s="1134" t="str">
        <f>IF(CONSOLIDA!BJ27="","",CONSOLIDA!BJ27)</f>
        <v/>
      </c>
      <c r="E255" s="1135"/>
      <c r="F255" s="1135"/>
      <c r="G255" s="1129" t="str">
        <f>IF(CONSOLIDA!BK27="","",CONSOLIDA!BK27)</f>
        <v/>
      </c>
      <c r="H255" s="1129"/>
      <c r="I255" s="1129"/>
      <c r="J255" s="1129"/>
      <c r="K255" s="1129"/>
      <c r="L255" s="1129"/>
      <c r="M255" s="1129"/>
      <c r="N255" s="1129"/>
      <c r="O255" s="1129"/>
      <c r="P255" s="1129"/>
      <c r="Q255" s="1129"/>
      <c r="R255" s="1129"/>
      <c r="S255" s="1129"/>
      <c r="T255" s="1129"/>
      <c r="U255" s="1129"/>
      <c r="V255" s="1129"/>
      <c r="W255" s="1129"/>
      <c r="X255" s="1129"/>
      <c r="Y255" s="1129"/>
      <c r="Z255" s="1129"/>
      <c r="AA255" s="1129"/>
      <c r="AB255" s="1129"/>
      <c r="AC255" s="1129"/>
      <c r="AD255" s="1129"/>
      <c r="AE255" s="1130"/>
      <c r="AF255" s="1131"/>
      <c r="AG255" s="1131"/>
      <c r="AH255" s="1131"/>
      <c r="AI255" s="1131"/>
      <c r="AJ255" s="1131"/>
      <c r="AK255" s="1131"/>
      <c r="AL255" s="1131"/>
      <c r="AM255" s="1131"/>
      <c r="AN255" s="1131"/>
      <c r="AO255" s="1131"/>
      <c r="AP255" s="1131"/>
      <c r="AQ255" s="1131"/>
      <c r="AR255" s="1131"/>
      <c r="AS255" s="1131"/>
      <c r="AT255" s="1131"/>
      <c r="AU255" s="1131"/>
      <c r="AV255" s="1131"/>
      <c r="AW255" s="1131"/>
      <c r="AX255" s="1131"/>
      <c r="AY255" s="1131"/>
      <c r="AZ255" s="1131"/>
      <c r="BA255" s="1131"/>
      <c r="BB255" s="1131"/>
      <c r="BC255" s="1131"/>
      <c r="BD255" s="1131"/>
      <c r="BE255" s="1131"/>
      <c r="BF255" s="1131"/>
      <c r="BG255" s="1131"/>
      <c r="BH255" s="1131"/>
      <c r="BI255" s="1131"/>
      <c r="BJ255" s="1131"/>
      <c r="BK255" s="1131"/>
      <c r="BL255" s="1131"/>
      <c r="BM255" s="1131"/>
      <c r="BN255" s="1131"/>
      <c r="BO255" s="1131"/>
      <c r="BP255" s="1131"/>
      <c r="BQ255" s="1131"/>
      <c r="BR255" s="1131"/>
      <c r="BS255" s="1131"/>
      <c r="BT255" s="1131"/>
      <c r="BU255" s="1131"/>
      <c r="BV255" s="1131"/>
      <c r="BW255" s="1131"/>
      <c r="BX255" s="1131"/>
      <c r="BY255" s="1131"/>
      <c r="BZ255" s="1131"/>
      <c r="CA255" s="1131"/>
      <c r="CB255" s="1131"/>
      <c r="CC255" s="1131"/>
      <c r="CD255" s="1131"/>
      <c r="CE255" s="1131"/>
      <c r="CF255" s="1131"/>
      <c r="CG255" s="1131"/>
      <c r="CH255" s="29"/>
      <c r="CI255" s="185"/>
      <c r="CJ255" s="17"/>
    </row>
    <row r="256" spans="1:88" s="3" customFormat="1" hidden="1">
      <c r="A256" s="243" t="str">
        <f t="shared" si="4"/>
        <v>OK</v>
      </c>
      <c r="B256" s="1126" t="str">
        <f>IF(CONSOLIDA!BH28="","",CONSOLIDA!BH28)</f>
        <v/>
      </c>
      <c r="C256" s="1126"/>
      <c r="D256" s="1134" t="str">
        <f>IF(CONSOLIDA!BJ28="","",CONSOLIDA!BJ28)</f>
        <v/>
      </c>
      <c r="E256" s="1135"/>
      <c r="F256" s="1135"/>
      <c r="G256" s="1129" t="str">
        <f>IF(CONSOLIDA!BK28="","",CONSOLIDA!BK28)</f>
        <v/>
      </c>
      <c r="H256" s="1129"/>
      <c r="I256" s="1129"/>
      <c r="J256" s="1129"/>
      <c r="K256" s="1129"/>
      <c r="L256" s="1129"/>
      <c r="M256" s="1129"/>
      <c r="N256" s="1129"/>
      <c r="O256" s="1129"/>
      <c r="P256" s="1129"/>
      <c r="Q256" s="1129"/>
      <c r="R256" s="1129"/>
      <c r="S256" s="1129"/>
      <c r="T256" s="1129"/>
      <c r="U256" s="1129"/>
      <c r="V256" s="1129"/>
      <c r="W256" s="1129"/>
      <c r="X256" s="1129"/>
      <c r="Y256" s="1129"/>
      <c r="Z256" s="1129"/>
      <c r="AA256" s="1129"/>
      <c r="AB256" s="1129"/>
      <c r="AC256" s="1129"/>
      <c r="AD256" s="1129"/>
      <c r="AE256" s="1130"/>
      <c r="AF256" s="1131"/>
      <c r="AG256" s="1131"/>
      <c r="AH256" s="1131"/>
      <c r="AI256" s="1131"/>
      <c r="AJ256" s="1131"/>
      <c r="AK256" s="1131"/>
      <c r="AL256" s="1131"/>
      <c r="AM256" s="1131"/>
      <c r="AN256" s="1131"/>
      <c r="AO256" s="1131"/>
      <c r="AP256" s="1131"/>
      <c r="AQ256" s="1131"/>
      <c r="AR256" s="1131"/>
      <c r="AS256" s="1131"/>
      <c r="AT256" s="1131"/>
      <c r="AU256" s="1131"/>
      <c r="AV256" s="1131"/>
      <c r="AW256" s="1131"/>
      <c r="AX256" s="1131"/>
      <c r="AY256" s="1131"/>
      <c r="AZ256" s="1131"/>
      <c r="BA256" s="1131"/>
      <c r="BB256" s="1131"/>
      <c r="BC256" s="1131"/>
      <c r="BD256" s="1131"/>
      <c r="BE256" s="1131"/>
      <c r="BF256" s="1131"/>
      <c r="BG256" s="1131"/>
      <c r="BH256" s="1131"/>
      <c r="BI256" s="1131"/>
      <c r="BJ256" s="1131"/>
      <c r="BK256" s="1131"/>
      <c r="BL256" s="1131"/>
      <c r="BM256" s="1131"/>
      <c r="BN256" s="1131"/>
      <c r="BO256" s="1131"/>
      <c r="BP256" s="1131"/>
      <c r="BQ256" s="1131"/>
      <c r="BR256" s="1131"/>
      <c r="BS256" s="1131"/>
      <c r="BT256" s="1131"/>
      <c r="BU256" s="1131"/>
      <c r="BV256" s="1131"/>
      <c r="BW256" s="1131"/>
      <c r="BX256" s="1131"/>
      <c r="BY256" s="1131"/>
      <c r="BZ256" s="1131"/>
      <c r="CA256" s="1131"/>
      <c r="CB256" s="1131"/>
      <c r="CC256" s="1131"/>
      <c r="CD256" s="1131"/>
      <c r="CE256" s="1131"/>
      <c r="CF256" s="1131"/>
      <c r="CG256" s="1131"/>
      <c r="CH256" s="29"/>
      <c r="CI256" s="185"/>
      <c r="CJ256" s="17"/>
    </row>
    <row r="257" spans="1:88" s="3" customFormat="1" hidden="1">
      <c r="A257" s="243" t="str">
        <f t="shared" si="4"/>
        <v>OK</v>
      </c>
      <c r="B257" s="1126" t="str">
        <f>IF(CONSOLIDA!BH29="","",CONSOLIDA!BH29)</f>
        <v/>
      </c>
      <c r="C257" s="1126"/>
      <c r="D257" s="1134" t="str">
        <f>IF(CONSOLIDA!BJ29="","",CONSOLIDA!BJ29)</f>
        <v/>
      </c>
      <c r="E257" s="1135"/>
      <c r="F257" s="1135"/>
      <c r="G257" s="1129" t="str">
        <f>IF(CONSOLIDA!BK29="","",CONSOLIDA!BK29)</f>
        <v/>
      </c>
      <c r="H257" s="1129"/>
      <c r="I257" s="1129"/>
      <c r="J257" s="1129"/>
      <c r="K257" s="1129"/>
      <c r="L257" s="1129"/>
      <c r="M257" s="1129"/>
      <c r="N257" s="1129"/>
      <c r="O257" s="1129"/>
      <c r="P257" s="1129"/>
      <c r="Q257" s="1129"/>
      <c r="R257" s="1129"/>
      <c r="S257" s="1129"/>
      <c r="T257" s="1129"/>
      <c r="U257" s="1129"/>
      <c r="V257" s="1129"/>
      <c r="W257" s="1129"/>
      <c r="X257" s="1129"/>
      <c r="Y257" s="1129"/>
      <c r="Z257" s="1129"/>
      <c r="AA257" s="1129"/>
      <c r="AB257" s="1129"/>
      <c r="AC257" s="1129"/>
      <c r="AD257" s="1129"/>
      <c r="AE257" s="1130"/>
      <c r="AF257" s="1131"/>
      <c r="AG257" s="1131"/>
      <c r="AH257" s="1131"/>
      <c r="AI257" s="1131"/>
      <c r="AJ257" s="1131"/>
      <c r="AK257" s="1131"/>
      <c r="AL257" s="1131"/>
      <c r="AM257" s="1131"/>
      <c r="AN257" s="1131"/>
      <c r="AO257" s="1131"/>
      <c r="AP257" s="1131"/>
      <c r="AQ257" s="1131"/>
      <c r="AR257" s="1131"/>
      <c r="AS257" s="1131"/>
      <c r="AT257" s="1131"/>
      <c r="AU257" s="1131"/>
      <c r="AV257" s="1131"/>
      <c r="AW257" s="1131"/>
      <c r="AX257" s="1131"/>
      <c r="AY257" s="1131"/>
      <c r="AZ257" s="1131"/>
      <c r="BA257" s="1131"/>
      <c r="BB257" s="1131"/>
      <c r="BC257" s="1131"/>
      <c r="BD257" s="1131"/>
      <c r="BE257" s="1131"/>
      <c r="BF257" s="1131"/>
      <c r="BG257" s="1131"/>
      <c r="BH257" s="1131"/>
      <c r="BI257" s="1131"/>
      <c r="BJ257" s="1131"/>
      <c r="BK257" s="1131"/>
      <c r="BL257" s="1131"/>
      <c r="BM257" s="1131"/>
      <c r="BN257" s="1131"/>
      <c r="BO257" s="1131"/>
      <c r="BP257" s="1131"/>
      <c r="BQ257" s="1131"/>
      <c r="BR257" s="1131"/>
      <c r="BS257" s="1131"/>
      <c r="BT257" s="1131"/>
      <c r="BU257" s="1131"/>
      <c r="BV257" s="1131"/>
      <c r="BW257" s="1131"/>
      <c r="BX257" s="1131"/>
      <c r="BY257" s="1131"/>
      <c r="BZ257" s="1131"/>
      <c r="CA257" s="1131"/>
      <c r="CB257" s="1131"/>
      <c r="CC257" s="1131"/>
      <c r="CD257" s="1131"/>
      <c r="CE257" s="1131"/>
      <c r="CF257" s="1131"/>
      <c r="CG257" s="1131"/>
      <c r="CH257" s="29"/>
      <c r="CI257" s="185"/>
      <c r="CJ257" s="17"/>
    </row>
    <row r="258" spans="1:88" s="3" customFormat="1" hidden="1">
      <c r="A258" s="243" t="str">
        <f t="shared" si="4"/>
        <v>OK</v>
      </c>
      <c r="B258" s="1126" t="str">
        <f>IF(CONSOLIDA!BH30="","",CONSOLIDA!BH30)</f>
        <v/>
      </c>
      <c r="C258" s="1126"/>
      <c r="D258" s="1134" t="str">
        <f>IF(CONSOLIDA!BJ30="","",CONSOLIDA!BJ30)</f>
        <v/>
      </c>
      <c r="E258" s="1135"/>
      <c r="F258" s="1135"/>
      <c r="G258" s="1129" t="str">
        <f>IF(CONSOLIDA!BK30="","",CONSOLIDA!BK30)</f>
        <v/>
      </c>
      <c r="H258" s="1129"/>
      <c r="I258" s="1129"/>
      <c r="J258" s="1129"/>
      <c r="K258" s="1129"/>
      <c r="L258" s="1129"/>
      <c r="M258" s="1129"/>
      <c r="N258" s="1129"/>
      <c r="O258" s="1129"/>
      <c r="P258" s="1129"/>
      <c r="Q258" s="1129"/>
      <c r="R258" s="1129"/>
      <c r="S258" s="1129"/>
      <c r="T258" s="1129"/>
      <c r="U258" s="1129"/>
      <c r="V258" s="1129"/>
      <c r="W258" s="1129"/>
      <c r="X258" s="1129"/>
      <c r="Y258" s="1129"/>
      <c r="Z258" s="1129"/>
      <c r="AA258" s="1129"/>
      <c r="AB258" s="1129"/>
      <c r="AC258" s="1129"/>
      <c r="AD258" s="1129"/>
      <c r="AE258" s="1130"/>
      <c r="AF258" s="1131"/>
      <c r="AG258" s="1131"/>
      <c r="AH258" s="1131"/>
      <c r="AI258" s="1131"/>
      <c r="AJ258" s="1131"/>
      <c r="AK258" s="1131"/>
      <c r="AL258" s="1131"/>
      <c r="AM258" s="1131"/>
      <c r="AN258" s="1131"/>
      <c r="AO258" s="1131"/>
      <c r="AP258" s="1131"/>
      <c r="AQ258" s="1131"/>
      <c r="AR258" s="1131"/>
      <c r="AS258" s="1131"/>
      <c r="AT258" s="1131"/>
      <c r="AU258" s="1131"/>
      <c r="AV258" s="1131"/>
      <c r="AW258" s="1131"/>
      <c r="AX258" s="1131"/>
      <c r="AY258" s="1131"/>
      <c r="AZ258" s="1131"/>
      <c r="BA258" s="1131"/>
      <c r="BB258" s="1131"/>
      <c r="BC258" s="1131"/>
      <c r="BD258" s="1131"/>
      <c r="BE258" s="1131"/>
      <c r="BF258" s="1131"/>
      <c r="BG258" s="1131"/>
      <c r="BH258" s="1131"/>
      <c r="BI258" s="1131"/>
      <c r="BJ258" s="1131"/>
      <c r="BK258" s="1131"/>
      <c r="BL258" s="1131"/>
      <c r="BM258" s="1131"/>
      <c r="BN258" s="1131"/>
      <c r="BO258" s="1131"/>
      <c r="BP258" s="1131"/>
      <c r="BQ258" s="1131"/>
      <c r="BR258" s="1131"/>
      <c r="BS258" s="1131"/>
      <c r="BT258" s="1131"/>
      <c r="BU258" s="1131"/>
      <c r="BV258" s="1131"/>
      <c r="BW258" s="1131"/>
      <c r="BX258" s="1131"/>
      <c r="BY258" s="1131"/>
      <c r="BZ258" s="1131"/>
      <c r="CA258" s="1131"/>
      <c r="CB258" s="1131"/>
      <c r="CC258" s="1131"/>
      <c r="CD258" s="1131"/>
      <c r="CE258" s="1131"/>
      <c r="CF258" s="1131"/>
      <c r="CG258" s="1131"/>
      <c r="CH258" s="29"/>
      <c r="CI258" s="185"/>
      <c r="CJ258" s="17"/>
    </row>
    <row r="259" spans="1:88" s="3" customFormat="1" hidden="1">
      <c r="A259" s="243" t="str">
        <f t="shared" si="4"/>
        <v>OK</v>
      </c>
      <c r="B259" s="1126" t="str">
        <f>IF(CONSOLIDA!BH31="","",CONSOLIDA!BH31)</f>
        <v/>
      </c>
      <c r="C259" s="1126"/>
      <c r="D259" s="1134" t="str">
        <f>IF(CONSOLIDA!BJ31="","",CONSOLIDA!BJ31)</f>
        <v/>
      </c>
      <c r="E259" s="1135"/>
      <c r="F259" s="1135"/>
      <c r="G259" s="1129" t="str">
        <f>IF(CONSOLIDA!BK31="","",CONSOLIDA!BK31)</f>
        <v/>
      </c>
      <c r="H259" s="1129"/>
      <c r="I259" s="1129"/>
      <c r="J259" s="1129"/>
      <c r="K259" s="1129"/>
      <c r="L259" s="1129"/>
      <c r="M259" s="1129"/>
      <c r="N259" s="1129"/>
      <c r="O259" s="1129"/>
      <c r="P259" s="1129"/>
      <c r="Q259" s="1129"/>
      <c r="R259" s="1129"/>
      <c r="S259" s="1129"/>
      <c r="T259" s="1129"/>
      <c r="U259" s="1129"/>
      <c r="V259" s="1129"/>
      <c r="W259" s="1129"/>
      <c r="X259" s="1129"/>
      <c r="Y259" s="1129"/>
      <c r="Z259" s="1129"/>
      <c r="AA259" s="1129"/>
      <c r="AB259" s="1129"/>
      <c r="AC259" s="1129"/>
      <c r="AD259" s="1129"/>
      <c r="AE259" s="1130"/>
      <c r="AF259" s="1131"/>
      <c r="AG259" s="1131"/>
      <c r="AH259" s="1131"/>
      <c r="AI259" s="1131"/>
      <c r="AJ259" s="1131"/>
      <c r="AK259" s="1131"/>
      <c r="AL259" s="1131"/>
      <c r="AM259" s="1131"/>
      <c r="AN259" s="1131"/>
      <c r="AO259" s="1131"/>
      <c r="AP259" s="1131"/>
      <c r="AQ259" s="1131"/>
      <c r="AR259" s="1131"/>
      <c r="AS259" s="1131"/>
      <c r="AT259" s="1131"/>
      <c r="AU259" s="1131"/>
      <c r="AV259" s="1131"/>
      <c r="AW259" s="1131"/>
      <c r="AX259" s="1131"/>
      <c r="AY259" s="1131"/>
      <c r="AZ259" s="1131"/>
      <c r="BA259" s="1131"/>
      <c r="BB259" s="1131"/>
      <c r="BC259" s="1131"/>
      <c r="BD259" s="1131"/>
      <c r="BE259" s="1131"/>
      <c r="BF259" s="1131"/>
      <c r="BG259" s="1131"/>
      <c r="BH259" s="1131"/>
      <c r="BI259" s="1131"/>
      <c r="BJ259" s="1131"/>
      <c r="BK259" s="1131"/>
      <c r="BL259" s="1131"/>
      <c r="BM259" s="1131"/>
      <c r="BN259" s="1131"/>
      <c r="BO259" s="1131"/>
      <c r="BP259" s="1131"/>
      <c r="BQ259" s="1131"/>
      <c r="BR259" s="1131"/>
      <c r="BS259" s="1131"/>
      <c r="BT259" s="1131"/>
      <c r="BU259" s="1131"/>
      <c r="BV259" s="1131"/>
      <c r="BW259" s="1131"/>
      <c r="BX259" s="1131"/>
      <c r="BY259" s="1131"/>
      <c r="BZ259" s="1131"/>
      <c r="CA259" s="1131"/>
      <c r="CB259" s="1131"/>
      <c r="CC259" s="1131"/>
      <c r="CD259" s="1131"/>
      <c r="CE259" s="1131"/>
      <c r="CF259" s="1131"/>
      <c r="CG259" s="1131"/>
      <c r="CH259" s="29"/>
      <c r="CI259" s="185"/>
      <c r="CJ259" s="17"/>
    </row>
    <row r="260" spans="1:88" s="3" customFormat="1" hidden="1">
      <c r="A260" s="243" t="str">
        <f t="shared" si="4"/>
        <v>OK</v>
      </c>
      <c r="B260" s="1126" t="str">
        <f>IF(CONSOLIDA!BH32="","",CONSOLIDA!BH32)</f>
        <v/>
      </c>
      <c r="C260" s="1126"/>
      <c r="D260" s="1134" t="str">
        <f>IF(CONSOLIDA!BJ32="","",CONSOLIDA!BJ32)</f>
        <v/>
      </c>
      <c r="E260" s="1135"/>
      <c r="F260" s="1135"/>
      <c r="G260" s="1129" t="str">
        <f>IF(CONSOLIDA!BK32="","",CONSOLIDA!BK32)</f>
        <v/>
      </c>
      <c r="H260" s="1129"/>
      <c r="I260" s="1129"/>
      <c r="J260" s="1129"/>
      <c r="K260" s="1129"/>
      <c r="L260" s="1129"/>
      <c r="M260" s="1129"/>
      <c r="N260" s="1129"/>
      <c r="O260" s="1129"/>
      <c r="P260" s="1129"/>
      <c r="Q260" s="1129"/>
      <c r="R260" s="1129"/>
      <c r="S260" s="1129"/>
      <c r="T260" s="1129"/>
      <c r="U260" s="1129"/>
      <c r="V260" s="1129"/>
      <c r="W260" s="1129"/>
      <c r="X260" s="1129"/>
      <c r="Y260" s="1129"/>
      <c r="Z260" s="1129"/>
      <c r="AA260" s="1129"/>
      <c r="AB260" s="1129"/>
      <c r="AC260" s="1129"/>
      <c r="AD260" s="1129"/>
      <c r="AE260" s="1130"/>
      <c r="AF260" s="1131"/>
      <c r="AG260" s="1131"/>
      <c r="AH260" s="1131"/>
      <c r="AI260" s="1131"/>
      <c r="AJ260" s="1131"/>
      <c r="AK260" s="1131"/>
      <c r="AL260" s="1131"/>
      <c r="AM260" s="1131"/>
      <c r="AN260" s="1131"/>
      <c r="AO260" s="1131"/>
      <c r="AP260" s="1131"/>
      <c r="AQ260" s="1131"/>
      <c r="AR260" s="1131"/>
      <c r="AS260" s="1131"/>
      <c r="AT260" s="1131"/>
      <c r="AU260" s="1131"/>
      <c r="AV260" s="1131"/>
      <c r="AW260" s="1131"/>
      <c r="AX260" s="1131"/>
      <c r="AY260" s="1131"/>
      <c r="AZ260" s="1131"/>
      <c r="BA260" s="1131"/>
      <c r="BB260" s="1131"/>
      <c r="BC260" s="1131"/>
      <c r="BD260" s="1131"/>
      <c r="BE260" s="1131"/>
      <c r="BF260" s="1131"/>
      <c r="BG260" s="1131"/>
      <c r="BH260" s="1131"/>
      <c r="BI260" s="1131"/>
      <c r="BJ260" s="1131"/>
      <c r="BK260" s="1131"/>
      <c r="BL260" s="1131"/>
      <c r="BM260" s="1131"/>
      <c r="BN260" s="1131"/>
      <c r="BO260" s="1131"/>
      <c r="BP260" s="1131"/>
      <c r="BQ260" s="1131"/>
      <c r="BR260" s="1131"/>
      <c r="BS260" s="1131"/>
      <c r="BT260" s="1131"/>
      <c r="BU260" s="1131"/>
      <c r="BV260" s="1131"/>
      <c r="BW260" s="1131"/>
      <c r="BX260" s="1131"/>
      <c r="BY260" s="1131"/>
      <c r="BZ260" s="1131"/>
      <c r="CA260" s="1131"/>
      <c r="CB260" s="1131"/>
      <c r="CC260" s="1131"/>
      <c r="CD260" s="1131"/>
      <c r="CE260" s="1131"/>
      <c r="CF260" s="1131"/>
      <c r="CG260" s="1131"/>
      <c r="CH260" s="29"/>
      <c r="CI260" s="185"/>
      <c r="CJ260" s="17"/>
    </row>
    <row r="261" spans="1:88" s="3" customFormat="1" hidden="1">
      <c r="A261" s="243" t="str">
        <f t="shared" si="4"/>
        <v>OK</v>
      </c>
      <c r="B261" s="1126" t="str">
        <f>IF(CONSOLIDA!BH33="","",CONSOLIDA!BH33)</f>
        <v/>
      </c>
      <c r="C261" s="1126"/>
      <c r="D261" s="1134" t="str">
        <f>IF(CONSOLIDA!BJ33="","",CONSOLIDA!BJ33)</f>
        <v/>
      </c>
      <c r="E261" s="1135"/>
      <c r="F261" s="1135"/>
      <c r="G261" s="1129" t="str">
        <f>IF(CONSOLIDA!BK33="","",CONSOLIDA!BK33)</f>
        <v/>
      </c>
      <c r="H261" s="1129"/>
      <c r="I261" s="1129"/>
      <c r="J261" s="1129"/>
      <c r="K261" s="1129"/>
      <c r="L261" s="1129"/>
      <c r="M261" s="1129"/>
      <c r="N261" s="1129"/>
      <c r="O261" s="1129"/>
      <c r="P261" s="1129"/>
      <c r="Q261" s="1129"/>
      <c r="R261" s="1129"/>
      <c r="S261" s="1129"/>
      <c r="T261" s="1129"/>
      <c r="U261" s="1129"/>
      <c r="V261" s="1129"/>
      <c r="W261" s="1129"/>
      <c r="X261" s="1129"/>
      <c r="Y261" s="1129"/>
      <c r="Z261" s="1129"/>
      <c r="AA261" s="1129"/>
      <c r="AB261" s="1129"/>
      <c r="AC261" s="1129"/>
      <c r="AD261" s="1129"/>
      <c r="AE261" s="1130"/>
      <c r="AF261" s="1131"/>
      <c r="AG261" s="1131"/>
      <c r="AH261" s="1131"/>
      <c r="AI261" s="1131"/>
      <c r="AJ261" s="1131"/>
      <c r="AK261" s="1131"/>
      <c r="AL261" s="1131"/>
      <c r="AM261" s="1131"/>
      <c r="AN261" s="1131"/>
      <c r="AO261" s="1131"/>
      <c r="AP261" s="1131"/>
      <c r="AQ261" s="1131"/>
      <c r="AR261" s="1131"/>
      <c r="AS261" s="1131"/>
      <c r="AT261" s="1131"/>
      <c r="AU261" s="1131"/>
      <c r="AV261" s="1131"/>
      <c r="AW261" s="1131"/>
      <c r="AX261" s="1131"/>
      <c r="AY261" s="1131"/>
      <c r="AZ261" s="1131"/>
      <c r="BA261" s="1131"/>
      <c r="BB261" s="1131"/>
      <c r="BC261" s="1131"/>
      <c r="BD261" s="1131"/>
      <c r="BE261" s="1131"/>
      <c r="BF261" s="1131"/>
      <c r="BG261" s="1131"/>
      <c r="BH261" s="1131"/>
      <c r="BI261" s="1131"/>
      <c r="BJ261" s="1131"/>
      <c r="BK261" s="1131"/>
      <c r="BL261" s="1131"/>
      <c r="BM261" s="1131"/>
      <c r="BN261" s="1131"/>
      <c r="BO261" s="1131"/>
      <c r="BP261" s="1131"/>
      <c r="BQ261" s="1131"/>
      <c r="BR261" s="1131"/>
      <c r="BS261" s="1131"/>
      <c r="BT261" s="1131"/>
      <c r="BU261" s="1131"/>
      <c r="BV261" s="1131"/>
      <c r="BW261" s="1131"/>
      <c r="BX261" s="1131"/>
      <c r="BY261" s="1131"/>
      <c r="BZ261" s="1131"/>
      <c r="CA261" s="1131"/>
      <c r="CB261" s="1131"/>
      <c r="CC261" s="1131"/>
      <c r="CD261" s="1131"/>
      <c r="CE261" s="1131"/>
      <c r="CF261" s="1131"/>
      <c r="CG261" s="1131"/>
      <c r="CH261" s="29"/>
      <c r="CI261" s="185"/>
      <c r="CJ261" s="17"/>
    </row>
    <row r="262" spans="1:88" s="3" customFormat="1" hidden="1">
      <c r="A262" s="243" t="str">
        <f t="shared" si="4"/>
        <v>OK</v>
      </c>
      <c r="B262" s="1126" t="str">
        <f>IF(CONSOLIDA!BH34="","",CONSOLIDA!BH34)</f>
        <v/>
      </c>
      <c r="C262" s="1126"/>
      <c r="D262" s="1134" t="str">
        <f>IF(CONSOLIDA!BJ34="","",CONSOLIDA!BJ34)</f>
        <v/>
      </c>
      <c r="E262" s="1135"/>
      <c r="F262" s="1135"/>
      <c r="G262" s="1129" t="str">
        <f>IF(CONSOLIDA!BK34="","",CONSOLIDA!BK34)</f>
        <v/>
      </c>
      <c r="H262" s="1129"/>
      <c r="I262" s="1129"/>
      <c r="J262" s="1129"/>
      <c r="K262" s="1129"/>
      <c r="L262" s="1129"/>
      <c r="M262" s="1129"/>
      <c r="N262" s="1129"/>
      <c r="O262" s="1129"/>
      <c r="P262" s="1129"/>
      <c r="Q262" s="1129"/>
      <c r="R262" s="1129"/>
      <c r="S262" s="1129"/>
      <c r="T262" s="1129"/>
      <c r="U262" s="1129"/>
      <c r="V262" s="1129"/>
      <c r="W262" s="1129"/>
      <c r="X262" s="1129"/>
      <c r="Y262" s="1129"/>
      <c r="Z262" s="1129"/>
      <c r="AA262" s="1129"/>
      <c r="AB262" s="1129"/>
      <c r="AC262" s="1129"/>
      <c r="AD262" s="1129"/>
      <c r="AE262" s="1130"/>
      <c r="AF262" s="1131"/>
      <c r="AG262" s="1131"/>
      <c r="AH262" s="1131"/>
      <c r="AI262" s="1131"/>
      <c r="AJ262" s="1131"/>
      <c r="AK262" s="1131"/>
      <c r="AL262" s="1131"/>
      <c r="AM262" s="1131"/>
      <c r="AN262" s="1131"/>
      <c r="AO262" s="1131"/>
      <c r="AP262" s="1131"/>
      <c r="AQ262" s="1131"/>
      <c r="AR262" s="1131"/>
      <c r="AS262" s="1131"/>
      <c r="AT262" s="1131"/>
      <c r="AU262" s="1131"/>
      <c r="AV262" s="1131"/>
      <c r="AW262" s="1131"/>
      <c r="AX262" s="1131"/>
      <c r="AY262" s="1131"/>
      <c r="AZ262" s="1131"/>
      <c r="BA262" s="1131"/>
      <c r="BB262" s="1131"/>
      <c r="BC262" s="1131"/>
      <c r="BD262" s="1131"/>
      <c r="BE262" s="1131"/>
      <c r="BF262" s="1131"/>
      <c r="BG262" s="1131"/>
      <c r="BH262" s="1131"/>
      <c r="BI262" s="1131"/>
      <c r="BJ262" s="1131"/>
      <c r="BK262" s="1131"/>
      <c r="BL262" s="1131"/>
      <c r="BM262" s="1131"/>
      <c r="BN262" s="1131"/>
      <c r="BO262" s="1131"/>
      <c r="BP262" s="1131"/>
      <c r="BQ262" s="1131"/>
      <c r="BR262" s="1131"/>
      <c r="BS262" s="1131"/>
      <c r="BT262" s="1131"/>
      <c r="BU262" s="1131"/>
      <c r="BV262" s="1131"/>
      <c r="BW262" s="1131"/>
      <c r="BX262" s="1131"/>
      <c r="BY262" s="1131"/>
      <c r="BZ262" s="1131"/>
      <c r="CA262" s="1131"/>
      <c r="CB262" s="1131"/>
      <c r="CC262" s="1131"/>
      <c r="CD262" s="1131"/>
      <c r="CE262" s="1131"/>
      <c r="CF262" s="1131"/>
      <c r="CG262" s="1131"/>
      <c r="CH262" s="29"/>
      <c r="CI262" s="185"/>
      <c r="CJ262" s="17"/>
    </row>
    <row r="263" spans="1:88" s="3" customFormat="1" hidden="1">
      <c r="A263" s="243" t="str">
        <f t="shared" si="4"/>
        <v>OK</v>
      </c>
      <c r="B263" s="1126" t="str">
        <f>IF(CONSOLIDA!BH35="","",CONSOLIDA!BH35)</f>
        <v/>
      </c>
      <c r="C263" s="1126"/>
      <c r="D263" s="1134" t="str">
        <f>IF(CONSOLIDA!BJ35="","",CONSOLIDA!BJ35)</f>
        <v/>
      </c>
      <c r="E263" s="1135"/>
      <c r="F263" s="1135"/>
      <c r="G263" s="1129" t="str">
        <f>IF(CONSOLIDA!BK35="","",CONSOLIDA!BK35)</f>
        <v/>
      </c>
      <c r="H263" s="1129"/>
      <c r="I263" s="1129"/>
      <c r="J263" s="1129"/>
      <c r="K263" s="1129"/>
      <c r="L263" s="1129"/>
      <c r="M263" s="1129"/>
      <c r="N263" s="1129"/>
      <c r="O263" s="1129"/>
      <c r="P263" s="1129"/>
      <c r="Q263" s="1129"/>
      <c r="R263" s="1129"/>
      <c r="S263" s="1129"/>
      <c r="T263" s="1129"/>
      <c r="U263" s="1129"/>
      <c r="V263" s="1129"/>
      <c r="W263" s="1129"/>
      <c r="X263" s="1129"/>
      <c r="Y263" s="1129"/>
      <c r="Z263" s="1129"/>
      <c r="AA263" s="1129"/>
      <c r="AB263" s="1129"/>
      <c r="AC263" s="1129"/>
      <c r="AD263" s="1129"/>
      <c r="AE263" s="1130"/>
      <c r="AF263" s="1131"/>
      <c r="AG263" s="1131"/>
      <c r="AH263" s="1131"/>
      <c r="AI263" s="1131"/>
      <c r="AJ263" s="1131"/>
      <c r="AK263" s="1131"/>
      <c r="AL263" s="1131"/>
      <c r="AM263" s="1131"/>
      <c r="AN263" s="1131"/>
      <c r="AO263" s="1131"/>
      <c r="AP263" s="1131"/>
      <c r="AQ263" s="1131"/>
      <c r="AR263" s="1131"/>
      <c r="AS263" s="1131"/>
      <c r="AT263" s="1131"/>
      <c r="AU263" s="1131"/>
      <c r="AV263" s="1131"/>
      <c r="AW263" s="1131"/>
      <c r="AX263" s="1131"/>
      <c r="AY263" s="1131"/>
      <c r="AZ263" s="1131"/>
      <c r="BA263" s="1131"/>
      <c r="BB263" s="1131"/>
      <c r="BC263" s="1131"/>
      <c r="BD263" s="1131"/>
      <c r="BE263" s="1131"/>
      <c r="BF263" s="1131"/>
      <c r="BG263" s="1131"/>
      <c r="BH263" s="1131"/>
      <c r="BI263" s="1131"/>
      <c r="BJ263" s="1131"/>
      <c r="BK263" s="1131"/>
      <c r="BL263" s="1131"/>
      <c r="BM263" s="1131"/>
      <c r="BN263" s="1131"/>
      <c r="BO263" s="1131"/>
      <c r="BP263" s="1131"/>
      <c r="BQ263" s="1131"/>
      <c r="BR263" s="1131"/>
      <c r="BS263" s="1131"/>
      <c r="BT263" s="1131"/>
      <c r="BU263" s="1131"/>
      <c r="BV263" s="1131"/>
      <c r="BW263" s="1131"/>
      <c r="BX263" s="1131"/>
      <c r="BY263" s="1131"/>
      <c r="BZ263" s="1131"/>
      <c r="CA263" s="1131"/>
      <c r="CB263" s="1131"/>
      <c r="CC263" s="1131"/>
      <c r="CD263" s="1131"/>
      <c r="CE263" s="1131"/>
      <c r="CF263" s="1131"/>
      <c r="CG263" s="1131"/>
      <c r="CH263" s="29"/>
      <c r="CI263" s="185"/>
      <c r="CJ263" s="17"/>
    </row>
    <row r="264" spans="1:88" s="3" customFormat="1" hidden="1">
      <c r="A264" s="243" t="str">
        <f t="shared" si="4"/>
        <v>OK</v>
      </c>
      <c r="B264" s="1126" t="str">
        <f>IF(CONSOLIDA!BH36="","",CONSOLIDA!BH36)</f>
        <v/>
      </c>
      <c r="C264" s="1126"/>
      <c r="D264" s="1134" t="str">
        <f>IF(CONSOLIDA!BJ36="","",CONSOLIDA!BJ36)</f>
        <v/>
      </c>
      <c r="E264" s="1135"/>
      <c r="F264" s="1135"/>
      <c r="G264" s="1129" t="str">
        <f>IF(CONSOLIDA!BK36="","",CONSOLIDA!BK36)</f>
        <v/>
      </c>
      <c r="H264" s="1129"/>
      <c r="I264" s="1129"/>
      <c r="J264" s="1129"/>
      <c r="K264" s="1129"/>
      <c r="L264" s="1129"/>
      <c r="M264" s="1129"/>
      <c r="N264" s="1129"/>
      <c r="O264" s="1129"/>
      <c r="P264" s="1129"/>
      <c r="Q264" s="1129"/>
      <c r="R264" s="1129"/>
      <c r="S264" s="1129"/>
      <c r="T264" s="1129"/>
      <c r="U264" s="1129"/>
      <c r="V264" s="1129"/>
      <c r="W264" s="1129"/>
      <c r="X264" s="1129"/>
      <c r="Y264" s="1129"/>
      <c r="Z264" s="1129"/>
      <c r="AA264" s="1129"/>
      <c r="AB264" s="1129"/>
      <c r="AC264" s="1129"/>
      <c r="AD264" s="1129"/>
      <c r="AE264" s="1130"/>
      <c r="AF264" s="1131"/>
      <c r="AG264" s="1131"/>
      <c r="AH264" s="1131"/>
      <c r="AI264" s="1131"/>
      <c r="AJ264" s="1131"/>
      <c r="AK264" s="1131"/>
      <c r="AL264" s="1131"/>
      <c r="AM264" s="1131"/>
      <c r="AN264" s="1131"/>
      <c r="AO264" s="1131"/>
      <c r="AP264" s="1131"/>
      <c r="AQ264" s="1131"/>
      <c r="AR264" s="1131"/>
      <c r="AS264" s="1131"/>
      <c r="AT264" s="1131"/>
      <c r="AU264" s="1131"/>
      <c r="AV264" s="1131"/>
      <c r="AW264" s="1131"/>
      <c r="AX264" s="1131"/>
      <c r="AY264" s="1131"/>
      <c r="AZ264" s="1131"/>
      <c r="BA264" s="1131"/>
      <c r="BB264" s="1131"/>
      <c r="BC264" s="1131"/>
      <c r="BD264" s="1131"/>
      <c r="BE264" s="1131"/>
      <c r="BF264" s="1131"/>
      <c r="BG264" s="1131"/>
      <c r="BH264" s="1131"/>
      <c r="BI264" s="1131"/>
      <c r="BJ264" s="1131"/>
      <c r="BK264" s="1131"/>
      <c r="BL264" s="1131"/>
      <c r="BM264" s="1131"/>
      <c r="BN264" s="1131"/>
      <c r="BO264" s="1131"/>
      <c r="BP264" s="1131"/>
      <c r="BQ264" s="1131"/>
      <c r="BR264" s="1131"/>
      <c r="BS264" s="1131"/>
      <c r="BT264" s="1131"/>
      <c r="BU264" s="1131"/>
      <c r="BV264" s="1131"/>
      <c r="BW264" s="1131"/>
      <c r="BX264" s="1131"/>
      <c r="BY264" s="1131"/>
      <c r="BZ264" s="1131"/>
      <c r="CA264" s="1131"/>
      <c r="CB264" s="1131"/>
      <c r="CC264" s="1131"/>
      <c r="CD264" s="1131"/>
      <c r="CE264" s="1131"/>
      <c r="CF264" s="1131"/>
      <c r="CG264" s="1131"/>
      <c r="CH264" s="29"/>
      <c r="CI264" s="185"/>
      <c r="CJ264" s="17"/>
    </row>
    <row r="265" spans="1:88" s="3" customFormat="1" hidden="1">
      <c r="A265" s="243" t="str">
        <f t="shared" si="4"/>
        <v>OK</v>
      </c>
      <c r="B265" s="1126" t="str">
        <f>IF(CONSOLIDA!BH37="","",CONSOLIDA!BH37)</f>
        <v/>
      </c>
      <c r="C265" s="1126"/>
      <c r="D265" s="1134" t="str">
        <f>IF(CONSOLIDA!BJ37="","",CONSOLIDA!BJ37)</f>
        <v/>
      </c>
      <c r="E265" s="1135"/>
      <c r="F265" s="1135"/>
      <c r="G265" s="1129" t="str">
        <f>IF(CONSOLIDA!BK37="","",CONSOLIDA!BK37)</f>
        <v/>
      </c>
      <c r="H265" s="1129"/>
      <c r="I265" s="1129"/>
      <c r="J265" s="1129"/>
      <c r="K265" s="1129"/>
      <c r="L265" s="1129"/>
      <c r="M265" s="1129"/>
      <c r="N265" s="1129"/>
      <c r="O265" s="1129"/>
      <c r="P265" s="1129"/>
      <c r="Q265" s="1129"/>
      <c r="R265" s="1129"/>
      <c r="S265" s="1129"/>
      <c r="T265" s="1129"/>
      <c r="U265" s="1129"/>
      <c r="V265" s="1129"/>
      <c r="W265" s="1129"/>
      <c r="X265" s="1129"/>
      <c r="Y265" s="1129"/>
      <c r="Z265" s="1129"/>
      <c r="AA265" s="1129"/>
      <c r="AB265" s="1129"/>
      <c r="AC265" s="1129"/>
      <c r="AD265" s="1129"/>
      <c r="AE265" s="1130"/>
      <c r="AF265" s="1131"/>
      <c r="AG265" s="1131"/>
      <c r="AH265" s="1131"/>
      <c r="AI265" s="1131"/>
      <c r="AJ265" s="1131"/>
      <c r="AK265" s="1131"/>
      <c r="AL265" s="1131"/>
      <c r="AM265" s="1131"/>
      <c r="AN265" s="1131"/>
      <c r="AO265" s="1131"/>
      <c r="AP265" s="1131"/>
      <c r="AQ265" s="1131"/>
      <c r="AR265" s="1131"/>
      <c r="AS265" s="1131"/>
      <c r="AT265" s="1131"/>
      <c r="AU265" s="1131"/>
      <c r="AV265" s="1131"/>
      <c r="AW265" s="1131"/>
      <c r="AX265" s="1131"/>
      <c r="AY265" s="1131"/>
      <c r="AZ265" s="1131"/>
      <c r="BA265" s="1131"/>
      <c r="BB265" s="1131"/>
      <c r="BC265" s="1131"/>
      <c r="BD265" s="1131"/>
      <c r="BE265" s="1131"/>
      <c r="BF265" s="1131"/>
      <c r="BG265" s="1131"/>
      <c r="BH265" s="1131"/>
      <c r="BI265" s="1131"/>
      <c r="BJ265" s="1131"/>
      <c r="BK265" s="1131"/>
      <c r="BL265" s="1131"/>
      <c r="BM265" s="1131"/>
      <c r="BN265" s="1131"/>
      <c r="BO265" s="1131"/>
      <c r="BP265" s="1131"/>
      <c r="BQ265" s="1131"/>
      <c r="BR265" s="1131"/>
      <c r="BS265" s="1131"/>
      <c r="BT265" s="1131"/>
      <c r="BU265" s="1131"/>
      <c r="BV265" s="1131"/>
      <c r="BW265" s="1131"/>
      <c r="BX265" s="1131"/>
      <c r="BY265" s="1131"/>
      <c r="BZ265" s="1131"/>
      <c r="CA265" s="1131"/>
      <c r="CB265" s="1131"/>
      <c r="CC265" s="1131"/>
      <c r="CD265" s="1131"/>
      <c r="CE265" s="1131"/>
      <c r="CF265" s="1131"/>
      <c r="CG265" s="1131"/>
      <c r="CH265" s="29"/>
      <c r="CI265" s="185"/>
      <c r="CJ265" s="17"/>
    </row>
    <row r="266" spans="1:88" s="3" customFormat="1" hidden="1">
      <c r="A266" s="243" t="str">
        <f t="shared" si="4"/>
        <v>OK</v>
      </c>
      <c r="B266" s="1126" t="str">
        <f>IF(CONSOLIDA!BH38="","",CONSOLIDA!BH38)</f>
        <v/>
      </c>
      <c r="C266" s="1126"/>
      <c r="D266" s="1134" t="str">
        <f>IF(CONSOLIDA!BJ38="","",CONSOLIDA!BJ38)</f>
        <v/>
      </c>
      <c r="E266" s="1135"/>
      <c r="F266" s="1135"/>
      <c r="G266" s="1129" t="str">
        <f>IF(CONSOLIDA!BK38="","",CONSOLIDA!BK38)</f>
        <v/>
      </c>
      <c r="H266" s="1129"/>
      <c r="I266" s="1129"/>
      <c r="J266" s="1129"/>
      <c r="K266" s="1129"/>
      <c r="L266" s="1129"/>
      <c r="M266" s="1129"/>
      <c r="N266" s="1129"/>
      <c r="O266" s="1129"/>
      <c r="P266" s="1129"/>
      <c r="Q266" s="1129"/>
      <c r="R266" s="1129"/>
      <c r="S266" s="1129"/>
      <c r="T266" s="1129"/>
      <c r="U266" s="1129"/>
      <c r="V266" s="1129"/>
      <c r="W266" s="1129"/>
      <c r="X266" s="1129"/>
      <c r="Y266" s="1129"/>
      <c r="Z266" s="1129"/>
      <c r="AA266" s="1129"/>
      <c r="AB266" s="1129"/>
      <c r="AC266" s="1129"/>
      <c r="AD266" s="1129"/>
      <c r="AE266" s="1130"/>
      <c r="AF266" s="1131"/>
      <c r="AG266" s="1131"/>
      <c r="AH266" s="1131"/>
      <c r="AI266" s="1131"/>
      <c r="AJ266" s="1131"/>
      <c r="AK266" s="1131"/>
      <c r="AL266" s="1131"/>
      <c r="AM266" s="1131"/>
      <c r="AN266" s="1131"/>
      <c r="AO266" s="1131"/>
      <c r="AP266" s="1131"/>
      <c r="AQ266" s="1131"/>
      <c r="AR266" s="1131"/>
      <c r="AS266" s="1131"/>
      <c r="AT266" s="1131"/>
      <c r="AU266" s="1131"/>
      <c r="AV266" s="1131"/>
      <c r="AW266" s="1131"/>
      <c r="AX266" s="1131"/>
      <c r="AY266" s="1131"/>
      <c r="AZ266" s="1131"/>
      <c r="BA266" s="1131"/>
      <c r="BB266" s="1131"/>
      <c r="BC266" s="1131"/>
      <c r="BD266" s="1131"/>
      <c r="BE266" s="1131"/>
      <c r="BF266" s="1131"/>
      <c r="BG266" s="1131"/>
      <c r="BH266" s="1131"/>
      <c r="BI266" s="1131"/>
      <c r="BJ266" s="1131"/>
      <c r="BK266" s="1131"/>
      <c r="BL266" s="1131"/>
      <c r="BM266" s="1131"/>
      <c r="BN266" s="1131"/>
      <c r="BO266" s="1131"/>
      <c r="BP266" s="1131"/>
      <c r="BQ266" s="1131"/>
      <c r="BR266" s="1131"/>
      <c r="BS266" s="1131"/>
      <c r="BT266" s="1131"/>
      <c r="BU266" s="1131"/>
      <c r="BV266" s="1131"/>
      <c r="BW266" s="1131"/>
      <c r="BX266" s="1131"/>
      <c r="BY266" s="1131"/>
      <c r="BZ266" s="1131"/>
      <c r="CA266" s="1131"/>
      <c r="CB266" s="1131"/>
      <c r="CC266" s="1131"/>
      <c r="CD266" s="1131"/>
      <c r="CE266" s="1131"/>
      <c r="CF266" s="1131"/>
      <c r="CG266" s="1131"/>
      <c r="CH266" s="29"/>
      <c r="CI266" s="185"/>
      <c r="CJ266" s="17"/>
    </row>
    <row r="267" spans="1:88" s="3" customFormat="1" hidden="1">
      <c r="A267" s="243" t="str">
        <f t="shared" si="4"/>
        <v>OK</v>
      </c>
      <c r="B267" s="1126" t="str">
        <f>IF(CONSOLIDA!BH39="","",CONSOLIDA!BH39)</f>
        <v/>
      </c>
      <c r="C267" s="1126"/>
      <c r="D267" s="1134" t="str">
        <f>IF(CONSOLIDA!BJ39="","",CONSOLIDA!BJ39)</f>
        <v/>
      </c>
      <c r="E267" s="1135"/>
      <c r="F267" s="1135"/>
      <c r="G267" s="1129" t="str">
        <f>IF(CONSOLIDA!BK39="","",CONSOLIDA!BK39)</f>
        <v/>
      </c>
      <c r="H267" s="1129"/>
      <c r="I267" s="1129"/>
      <c r="J267" s="1129"/>
      <c r="K267" s="1129"/>
      <c r="L267" s="1129"/>
      <c r="M267" s="1129"/>
      <c r="N267" s="1129"/>
      <c r="O267" s="1129"/>
      <c r="P267" s="1129"/>
      <c r="Q267" s="1129"/>
      <c r="R267" s="1129"/>
      <c r="S267" s="1129"/>
      <c r="T267" s="1129"/>
      <c r="U267" s="1129"/>
      <c r="V267" s="1129"/>
      <c r="W267" s="1129"/>
      <c r="X267" s="1129"/>
      <c r="Y267" s="1129"/>
      <c r="Z267" s="1129"/>
      <c r="AA267" s="1129"/>
      <c r="AB267" s="1129"/>
      <c r="AC267" s="1129"/>
      <c r="AD267" s="1129"/>
      <c r="AE267" s="1130"/>
      <c r="AF267" s="1131"/>
      <c r="AG267" s="1131"/>
      <c r="AH267" s="1131"/>
      <c r="AI267" s="1131"/>
      <c r="AJ267" s="1131"/>
      <c r="AK267" s="1131"/>
      <c r="AL267" s="1131"/>
      <c r="AM267" s="1131"/>
      <c r="AN267" s="1131"/>
      <c r="AO267" s="1131"/>
      <c r="AP267" s="1131"/>
      <c r="AQ267" s="1131"/>
      <c r="AR267" s="1131"/>
      <c r="AS267" s="1131"/>
      <c r="AT267" s="1131"/>
      <c r="AU267" s="1131"/>
      <c r="AV267" s="1131"/>
      <c r="AW267" s="1131"/>
      <c r="AX267" s="1131"/>
      <c r="AY267" s="1131"/>
      <c r="AZ267" s="1131"/>
      <c r="BA267" s="1131"/>
      <c r="BB267" s="1131"/>
      <c r="BC267" s="1131"/>
      <c r="BD267" s="1131"/>
      <c r="BE267" s="1131"/>
      <c r="BF267" s="1131"/>
      <c r="BG267" s="1131"/>
      <c r="BH267" s="1131"/>
      <c r="BI267" s="1131"/>
      <c r="BJ267" s="1131"/>
      <c r="BK267" s="1131"/>
      <c r="BL267" s="1131"/>
      <c r="BM267" s="1131"/>
      <c r="BN267" s="1131"/>
      <c r="BO267" s="1131"/>
      <c r="BP267" s="1131"/>
      <c r="BQ267" s="1131"/>
      <c r="BR267" s="1131"/>
      <c r="BS267" s="1131"/>
      <c r="BT267" s="1131"/>
      <c r="BU267" s="1131"/>
      <c r="BV267" s="1131"/>
      <c r="BW267" s="1131"/>
      <c r="BX267" s="1131"/>
      <c r="BY267" s="1131"/>
      <c r="BZ267" s="1131"/>
      <c r="CA267" s="1131"/>
      <c r="CB267" s="1131"/>
      <c r="CC267" s="1131"/>
      <c r="CD267" s="1131"/>
      <c r="CE267" s="1131"/>
      <c r="CF267" s="1131"/>
      <c r="CG267" s="1131"/>
      <c r="CH267" s="29"/>
      <c r="CI267" s="185"/>
      <c r="CJ267" s="17"/>
    </row>
    <row r="268" spans="1:88" s="3" customFormat="1" hidden="1">
      <c r="A268" s="243" t="str">
        <f t="shared" si="4"/>
        <v>OK</v>
      </c>
      <c r="B268" s="1126" t="str">
        <f>IF(CONSOLIDA!BH40="","",CONSOLIDA!BH40)</f>
        <v/>
      </c>
      <c r="C268" s="1126"/>
      <c r="D268" s="1134" t="str">
        <f>IF(CONSOLIDA!BJ40="","",CONSOLIDA!BJ40)</f>
        <v/>
      </c>
      <c r="E268" s="1135"/>
      <c r="F268" s="1135"/>
      <c r="G268" s="1129" t="str">
        <f>IF(CONSOLIDA!BK40="","",CONSOLIDA!BK40)</f>
        <v/>
      </c>
      <c r="H268" s="1129"/>
      <c r="I268" s="1129"/>
      <c r="J268" s="1129"/>
      <c r="K268" s="1129"/>
      <c r="L268" s="1129"/>
      <c r="M268" s="1129"/>
      <c r="N268" s="1129"/>
      <c r="O268" s="1129"/>
      <c r="P268" s="1129"/>
      <c r="Q268" s="1129"/>
      <c r="R268" s="1129"/>
      <c r="S268" s="1129"/>
      <c r="T268" s="1129"/>
      <c r="U268" s="1129"/>
      <c r="V268" s="1129"/>
      <c r="W268" s="1129"/>
      <c r="X268" s="1129"/>
      <c r="Y268" s="1129"/>
      <c r="Z268" s="1129"/>
      <c r="AA268" s="1129"/>
      <c r="AB268" s="1129"/>
      <c r="AC268" s="1129"/>
      <c r="AD268" s="1129"/>
      <c r="AE268" s="1130"/>
      <c r="AF268" s="1131"/>
      <c r="AG268" s="1131"/>
      <c r="AH268" s="1131"/>
      <c r="AI268" s="1131"/>
      <c r="AJ268" s="1131"/>
      <c r="AK268" s="1131"/>
      <c r="AL268" s="1131"/>
      <c r="AM268" s="1131"/>
      <c r="AN268" s="1131"/>
      <c r="AO268" s="1131"/>
      <c r="AP268" s="1131"/>
      <c r="AQ268" s="1131"/>
      <c r="AR268" s="1131"/>
      <c r="AS268" s="1131"/>
      <c r="AT268" s="1131"/>
      <c r="AU268" s="1131"/>
      <c r="AV268" s="1131"/>
      <c r="AW268" s="1131"/>
      <c r="AX268" s="1131"/>
      <c r="AY268" s="1131"/>
      <c r="AZ268" s="1131"/>
      <c r="BA268" s="1131"/>
      <c r="BB268" s="1131"/>
      <c r="BC268" s="1131"/>
      <c r="BD268" s="1131"/>
      <c r="BE268" s="1131"/>
      <c r="BF268" s="1131"/>
      <c r="BG268" s="1131"/>
      <c r="BH268" s="1131"/>
      <c r="BI268" s="1131"/>
      <c r="BJ268" s="1131"/>
      <c r="BK268" s="1131"/>
      <c r="BL268" s="1131"/>
      <c r="BM268" s="1131"/>
      <c r="BN268" s="1131"/>
      <c r="BO268" s="1131"/>
      <c r="BP268" s="1131"/>
      <c r="BQ268" s="1131"/>
      <c r="BR268" s="1131"/>
      <c r="BS268" s="1131"/>
      <c r="BT268" s="1131"/>
      <c r="BU268" s="1131"/>
      <c r="BV268" s="1131"/>
      <c r="BW268" s="1131"/>
      <c r="BX268" s="1131"/>
      <c r="BY268" s="1131"/>
      <c r="BZ268" s="1131"/>
      <c r="CA268" s="1131"/>
      <c r="CB268" s="1131"/>
      <c r="CC268" s="1131"/>
      <c r="CD268" s="1131"/>
      <c r="CE268" s="1131"/>
      <c r="CF268" s="1131"/>
      <c r="CG268" s="1131"/>
      <c r="CH268" s="29"/>
      <c r="CI268" s="185"/>
      <c r="CJ268" s="17"/>
    </row>
    <row r="269" spans="1:88" s="3" customFormat="1" hidden="1">
      <c r="A269" s="243" t="str">
        <f t="shared" si="4"/>
        <v>OK</v>
      </c>
      <c r="B269" s="1126" t="str">
        <f>IF(CONSOLIDA!BH41="","",CONSOLIDA!BH41)</f>
        <v/>
      </c>
      <c r="C269" s="1126"/>
      <c r="D269" s="1134" t="str">
        <f>IF(CONSOLIDA!BJ41="","",CONSOLIDA!BJ41)</f>
        <v/>
      </c>
      <c r="E269" s="1135"/>
      <c r="F269" s="1135"/>
      <c r="G269" s="1129" t="str">
        <f>IF(CONSOLIDA!BK41="","",CONSOLIDA!BK41)</f>
        <v/>
      </c>
      <c r="H269" s="1129"/>
      <c r="I269" s="1129"/>
      <c r="J269" s="1129"/>
      <c r="K269" s="1129"/>
      <c r="L269" s="1129"/>
      <c r="M269" s="1129"/>
      <c r="N269" s="1129"/>
      <c r="O269" s="1129"/>
      <c r="P269" s="1129"/>
      <c r="Q269" s="1129"/>
      <c r="R269" s="1129"/>
      <c r="S269" s="1129"/>
      <c r="T269" s="1129"/>
      <c r="U269" s="1129"/>
      <c r="V269" s="1129"/>
      <c r="W269" s="1129"/>
      <c r="X269" s="1129"/>
      <c r="Y269" s="1129"/>
      <c r="Z269" s="1129"/>
      <c r="AA269" s="1129"/>
      <c r="AB269" s="1129"/>
      <c r="AC269" s="1129"/>
      <c r="AD269" s="1129"/>
      <c r="AE269" s="1130"/>
      <c r="AF269" s="1131"/>
      <c r="AG269" s="1131"/>
      <c r="AH269" s="1131"/>
      <c r="AI269" s="1131"/>
      <c r="AJ269" s="1131"/>
      <c r="AK269" s="1131"/>
      <c r="AL269" s="1131"/>
      <c r="AM269" s="1131"/>
      <c r="AN269" s="1131"/>
      <c r="AO269" s="1131"/>
      <c r="AP269" s="1131"/>
      <c r="AQ269" s="1131"/>
      <c r="AR269" s="1131"/>
      <c r="AS269" s="1131"/>
      <c r="AT269" s="1131"/>
      <c r="AU269" s="1131"/>
      <c r="AV269" s="1131"/>
      <c r="AW269" s="1131"/>
      <c r="AX269" s="1131"/>
      <c r="AY269" s="1131"/>
      <c r="AZ269" s="1131"/>
      <c r="BA269" s="1131"/>
      <c r="BB269" s="1131"/>
      <c r="BC269" s="1131"/>
      <c r="BD269" s="1131"/>
      <c r="BE269" s="1131"/>
      <c r="BF269" s="1131"/>
      <c r="BG269" s="1131"/>
      <c r="BH269" s="1131"/>
      <c r="BI269" s="1131"/>
      <c r="BJ269" s="1131"/>
      <c r="BK269" s="1131"/>
      <c r="BL269" s="1131"/>
      <c r="BM269" s="1131"/>
      <c r="BN269" s="1131"/>
      <c r="BO269" s="1131"/>
      <c r="BP269" s="1131"/>
      <c r="BQ269" s="1131"/>
      <c r="BR269" s="1131"/>
      <c r="BS269" s="1131"/>
      <c r="BT269" s="1131"/>
      <c r="BU269" s="1131"/>
      <c r="BV269" s="1131"/>
      <c r="BW269" s="1131"/>
      <c r="BX269" s="1131"/>
      <c r="BY269" s="1131"/>
      <c r="BZ269" s="1131"/>
      <c r="CA269" s="1131"/>
      <c r="CB269" s="1131"/>
      <c r="CC269" s="1131"/>
      <c r="CD269" s="1131"/>
      <c r="CE269" s="1131"/>
      <c r="CF269" s="1131"/>
      <c r="CG269" s="1131"/>
      <c r="CH269" s="29"/>
      <c r="CI269" s="185"/>
      <c r="CJ269" s="17"/>
    </row>
    <row r="270" spans="1:88" s="3" customFormat="1" hidden="1">
      <c r="A270" s="243" t="str">
        <f t="shared" si="4"/>
        <v>OK</v>
      </c>
      <c r="B270" s="1126" t="str">
        <f>IF(CONSOLIDA!BH42="","",CONSOLIDA!BH42)</f>
        <v/>
      </c>
      <c r="C270" s="1126"/>
      <c r="D270" s="1134" t="str">
        <f>IF(CONSOLIDA!BJ42="","",CONSOLIDA!BJ42)</f>
        <v/>
      </c>
      <c r="E270" s="1135"/>
      <c r="F270" s="1135"/>
      <c r="G270" s="1129" t="str">
        <f>IF(CONSOLIDA!BK42="","",CONSOLIDA!BK42)</f>
        <v/>
      </c>
      <c r="H270" s="1129"/>
      <c r="I270" s="1129"/>
      <c r="J270" s="1129"/>
      <c r="K270" s="1129"/>
      <c r="L270" s="1129"/>
      <c r="M270" s="1129"/>
      <c r="N270" s="1129"/>
      <c r="O270" s="1129"/>
      <c r="P270" s="1129"/>
      <c r="Q270" s="1129"/>
      <c r="R270" s="1129"/>
      <c r="S270" s="1129"/>
      <c r="T270" s="1129"/>
      <c r="U270" s="1129"/>
      <c r="V270" s="1129"/>
      <c r="W270" s="1129"/>
      <c r="X270" s="1129"/>
      <c r="Y270" s="1129"/>
      <c r="Z270" s="1129"/>
      <c r="AA270" s="1129"/>
      <c r="AB270" s="1129"/>
      <c r="AC270" s="1129"/>
      <c r="AD270" s="1129"/>
      <c r="AE270" s="1130"/>
      <c r="AF270" s="1131"/>
      <c r="AG270" s="1131"/>
      <c r="AH270" s="1131"/>
      <c r="AI270" s="1131"/>
      <c r="AJ270" s="1131"/>
      <c r="AK270" s="1131"/>
      <c r="AL270" s="1131"/>
      <c r="AM270" s="1131"/>
      <c r="AN270" s="1131"/>
      <c r="AO270" s="1131"/>
      <c r="AP270" s="1131"/>
      <c r="AQ270" s="1131"/>
      <c r="AR270" s="1131"/>
      <c r="AS270" s="1131"/>
      <c r="AT270" s="1131"/>
      <c r="AU270" s="1131"/>
      <c r="AV270" s="1131"/>
      <c r="AW270" s="1131"/>
      <c r="AX270" s="1131"/>
      <c r="AY270" s="1131"/>
      <c r="AZ270" s="1131"/>
      <c r="BA270" s="1131"/>
      <c r="BB270" s="1131"/>
      <c r="BC270" s="1131"/>
      <c r="BD270" s="1131"/>
      <c r="BE270" s="1131"/>
      <c r="BF270" s="1131"/>
      <c r="BG270" s="1131"/>
      <c r="BH270" s="1131"/>
      <c r="BI270" s="1131"/>
      <c r="BJ270" s="1131"/>
      <c r="BK270" s="1131"/>
      <c r="BL270" s="1131"/>
      <c r="BM270" s="1131"/>
      <c r="BN270" s="1131"/>
      <c r="BO270" s="1131"/>
      <c r="BP270" s="1131"/>
      <c r="BQ270" s="1131"/>
      <c r="BR270" s="1131"/>
      <c r="BS270" s="1131"/>
      <c r="BT270" s="1131"/>
      <c r="BU270" s="1131"/>
      <c r="BV270" s="1131"/>
      <c r="BW270" s="1131"/>
      <c r="BX270" s="1131"/>
      <c r="BY270" s="1131"/>
      <c r="BZ270" s="1131"/>
      <c r="CA270" s="1131"/>
      <c r="CB270" s="1131"/>
      <c r="CC270" s="1131"/>
      <c r="CD270" s="1131"/>
      <c r="CE270" s="1131"/>
      <c r="CF270" s="1131"/>
      <c r="CG270" s="1131"/>
      <c r="CH270" s="29"/>
      <c r="CI270" s="185"/>
      <c r="CJ270" s="17"/>
    </row>
    <row r="271" spans="1:88" s="3" customFormat="1" hidden="1">
      <c r="A271" s="243" t="str">
        <f t="shared" si="4"/>
        <v>OK</v>
      </c>
      <c r="B271" s="1126" t="str">
        <f>IF(CONSOLIDA!BH43="","",CONSOLIDA!BH43)</f>
        <v/>
      </c>
      <c r="C271" s="1126"/>
      <c r="D271" s="1134" t="str">
        <f>IF(CONSOLIDA!BJ43="","",CONSOLIDA!BJ43)</f>
        <v/>
      </c>
      <c r="E271" s="1135"/>
      <c r="F271" s="1135"/>
      <c r="G271" s="1129" t="str">
        <f>IF(CONSOLIDA!BK43="","",CONSOLIDA!BK43)</f>
        <v/>
      </c>
      <c r="H271" s="1129"/>
      <c r="I271" s="1129"/>
      <c r="J271" s="1129"/>
      <c r="K271" s="1129"/>
      <c r="L271" s="1129"/>
      <c r="M271" s="1129"/>
      <c r="N271" s="1129"/>
      <c r="O271" s="1129"/>
      <c r="P271" s="1129"/>
      <c r="Q271" s="1129"/>
      <c r="R271" s="1129"/>
      <c r="S271" s="1129"/>
      <c r="T271" s="1129"/>
      <c r="U271" s="1129"/>
      <c r="V271" s="1129"/>
      <c r="W271" s="1129"/>
      <c r="X271" s="1129"/>
      <c r="Y271" s="1129"/>
      <c r="Z271" s="1129"/>
      <c r="AA271" s="1129"/>
      <c r="AB271" s="1129"/>
      <c r="AC271" s="1129"/>
      <c r="AD271" s="1129"/>
      <c r="AE271" s="1130"/>
      <c r="AF271" s="1131"/>
      <c r="AG271" s="1131"/>
      <c r="AH271" s="1131"/>
      <c r="AI271" s="1131"/>
      <c r="AJ271" s="1131"/>
      <c r="AK271" s="1131"/>
      <c r="AL271" s="1131"/>
      <c r="AM271" s="1131"/>
      <c r="AN271" s="1131"/>
      <c r="AO271" s="1131"/>
      <c r="AP271" s="1131"/>
      <c r="AQ271" s="1131"/>
      <c r="AR271" s="1131"/>
      <c r="AS271" s="1131"/>
      <c r="AT271" s="1131"/>
      <c r="AU271" s="1131"/>
      <c r="AV271" s="1131"/>
      <c r="AW271" s="1131"/>
      <c r="AX271" s="1131"/>
      <c r="AY271" s="1131"/>
      <c r="AZ271" s="1131"/>
      <c r="BA271" s="1131"/>
      <c r="BB271" s="1131"/>
      <c r="BC271" s="1131"/>
      <c r="BD271" s="1131"/>
      <c r="BE271" s="1131"/>
      <c r="BF271" s="1131"/>
      <c r="BG271" s="1131"/>
      <c r="BH271" s="1131"/>
      <c r="BI271" s="1131"/>
      <c r="BJ271" s="1131"/>
      <c r="BK271" s="1131"/>
      <c r="BL271" s="1131"/>
      <c r="BM271" s="1131"/>
      <c r="BN271" s="1131"/>
      <c r="BO271" s="1131"/>
      <c r="BP271" s="1131"/>
      <c r="BQ271" s="1131"/>
      <c r="BR271" s="1131"/>
      <c r="BS271" s="1131"/>
      <c r="BT271" s="1131"/>
      <c r="BU271" s="1131"/>
      <c r="BV271" s="1131"/>
      <c r="BW271" s="1131"/>
      <c r="BX271" s="1131"/>
      <c r="BY271" s="1131"/>
      <c r="BZ271" s="1131"/>
      <c r="CA271" s="1131"/>
      <c r="CB271" s="1131"/>
      <c r="CC271" s="1131"/>
      <c r="CD271" s="1131"/>
      <c r="CE271" s="1131"/>
      <c r="CF271" s="1131"/>
      <c r="CG271" s="1131"/>
      <c r="CH271" s="29"/>
      <c r="CI271" s="185"/>
      <c r="CJ271" s="17"/>
    </row>
    <row r="272" spans="1:88" s="3" customFormat="1" hidden="1">
      <c r="A272" s="243" t="str">
        <f t="shared" si="4"/>
        <v>OK</v>
      </c>
      <c r="B272" s="1126" t="str">
        <f>IF(CONSOLIDA!BH44="","",CONSOLIDA!BH44)</f>
        <v/>
      </c>
      <c r="C272" s="1126"/>
      <c r="D272" s="1134" t="str">
        <f>IF(CONSOLIDA!BJ44="","",CONSOLIDA!BJ44)</f>
        <v/>
      </c>
      <c r="E272" s="1135"/>
      <c r="F272" s="1135"/>
      <c r="G272" s="1129" t="str">
        <f>IF(CONSOLIDA!BK44="","",CONSOLIDA!BK44)</f>
        <v/>
      </c>
      <c r="H272" s="1129"/>
      <c r="I272" s="1129"/>
      <c r="J272" s="1129"/>
      <c r="K272" s="1129"/>
      <c r="L272" s="1129"/>
      <c r="M272" s="1129"/>
      <c r="N272" s="1129"/>
      <c r="O272" s="1129"/>
      <c r="P272" s="1129"/>
      <c r="Q272" s="1129"/>
      <c r="R272" s="1129"/>
      <c r="S272" s="1129"/>
      <c r="T272" s="1129"/>
      <c r="U272" s="1129"/>
      <c r="V272" s="1129"/>
      <c r="W272" s="1129"/>
      <c r="X272" s="1129"/>
      <c r="Y272" s="1129"/>
      <c r="Z272" s="1129"/>
      <c r="AA272" s="1129"/>
      <c r="AB272" s="1129"/>
      <c r="AC272" s="1129"/>
      <c r="AD272" s="1129"/>
      <c r="AE272" s="1130"/>
      <c r="AF272" s="1131"/>
      <c r="AG272" s="1131"/>
      <c r="AH272" s="1131"/>
      <c r="AI272" s="1131"/>
      <c r="AJ272" s="1131"/>
      <c r="AK272" s="1131"/>
      <c r="AL272" s="1131"/>
      <c r="AM272" s="1131"/>
      <c r="AN272" s="1131"/>
      <c r="AO272" s="1131"/>
      <c r="AP272" s="1131"/>
      <c r="AQ272" s="1131"/>
      <c r="AR272" s="1131"/>
      <c r="AS272" s="1131"/>
      <c r="AT272" s="1131"/>
      <c r="AU272" s="1131"/>
      <c r="AV272" s="1131"/>
      <c r="AW272" s="1131"/>
      <c r="AX272" s="1131"/>
      <c r="AY272" s="1131"/>
      <c r="AZ272" s="1131"/>
      <c r="BA272" s="1131"/>
      <c r="BB272" s="1131"/>
      <c r="BC272" s="1131"/>
      <c r="BD272" s="1131"/>
      <c r="BE272" s="1131"/>
      <c r="BF272" s="1131"/>
      <c r="BG272" s="1131"/>
      <c r="BH272" s="1131"/>
      <c r="BI272" s="1131"/>
      <c r="BJ272" s="1131"/>
      <c r="BK272" s="1131"/>
      <c r="BL272" s="1131"/>
      <c r="BM272" s="1131"/>
      <c r="BN272" s="1131"/>
      <c r="BO272" s="1131"/>
      <c r="BP272" s="1131"/>
      <c r="BQ272" s="1131"/>
      <c r="BR272" s="1131"/>
      <c r="BS272" s="1131"/>
      <c r="BT272" s="1131"/>
      <c r="BU272" s="1131"/>
      <c r="BV272" s="1131"/>
      <c r="BW272" s="1131"/>
      <c r="BX272" s="1131"/>
      <c r="BY272" s="1131"/>
      <c r="BZ272" s="1131"/>
      <c r="CA272" s="1131"/>
      <c r="CB272" s="1131"/>
      <c r="CC272" s="1131"/>
      <c r="CD272" s="1131"/>
      <c r="CE272" s="1131"/>
      <c r="CF272" s="1131"/>
      <c r="CG272" s="1131"/>
      <c r="CH272" s="29"/>
      <c r="CI272" s="185"/>
      <c r="CJ272" s="17"/>
    </row>
    <row r="273" spans="1:88" s="3" customFormat="1" hidden="1">
      <c r="A273" s="243" t="str">
        <f t="shared" si="4"/>
        <v>OK</v>
      </c>
      <c r="B273" s="1126" t="str">
        <f>IF(CONSOLIDA!BH45="","",CONSOLIDA!BH45)</f>
        <v/>
      </c>
      <c r="C273" s="1126"/>
      <c r="D273" s="1134" t="str">
        <f>IF(CONSOLIDA!BJ45="","",CONSOLIDA!BJ45)</f>
        <v/>
      </c>
      <c r="E273" s="1135"/>
      <c r="F273" s="1135"/>
      <c r="G273" s="1129" t="str">
        <f>IF(CONSOLIDA!BK45="","",CONSOLIDA!BK45)</f>
        <v/>
      </c>
      <c r="H273" s="1129"/>
      <c r="I273" s="1129"/>
      <c r="J273" s="1129"/>
      <c r="K273" s="1129"/>
      <c r="L273" s="1129"/>
      <c r="M273" s="1129"/>
      <c r="N273" s="1129"/>
      <c r="O273" s="1129"/>
      <c r="P273" s="1129"/>
      <c r="Q273" s="1129"/>
      <c r="R273" s="1129"/>
      <c r="S273" s="1129"/>
      <c r="T273" s="1129"/>
      <c r="U273" s="1129"/>
      <c r="V273" s="1129"/>
      <c r="W273" s="1129"/>
      <c r="X273" s="1129"/>
      <c r="Y273" s="1129"/>
      <c r="Z273" s="1129"/>
      <c r="AA273" s="1129"/>
      <c r="AB273" s="1129"/>
      <c r="AC273" s="1129"/>
      <c r="AD273" s="1129"/>
      <c r="AE273" s="1130"/>
      <c r="AF273" s="1131"/>
      <c r="AG273" s="1131"/>
      <c r="AH273" s="1131"/>
      <c r="AI273" s="1131"/>
      <c r="AJ273" s="1131"/>
      <c r="AK273" s="1131"/>
      <c r="AL273" s="1131"/>
      <c r="AM273" s="1131"/>
      <c r="AN273" s="1131"/>
      <c r="AO273" s="1131"/>
      <c r="AP273" s="1131"/>
      <c r="AQ273" s="1131"/>
      <c r="AR273" s="1131"/>
      <c r="AS273" s="1131"/>
      <c r="AT273" s="1131"/>
      <c r="AU273" s="1131"/>
      <c r="AV273" s="1131"/>
      <c r="AW273" s="1131"/>
      <c r="AX273" s="1131"/>
      <c r="AY273" s="1131"/>
      <c r="AZ273" s="1131"/>
      <c r="BA273" s="1131"/>
      <c r="BB273" s="1131"/>
      <c r="BC273" s="1131"/>
      <c r="BD273" s="1131"/>
      <c r="BE273" s="1131"/>
      <c r="BF273" s="1131"/>
      <c r="BG273" s="1131"/>
      <c r="BH273" s="1131"/>
      <c r="BI273" s="1131"/>
      <c r="BJ273" s="1131"/>
      <c r="BK273" s="1131"/>
      <c r="BL273" s="1131"/>
      <c r="BM273" s="1131"/>
      <c r="BN273" s="1131"/>
      <c r="BO273" s="1131"/>
      <c r="BP273" s="1131"/>
      <c r="BQ273" s="1131"/>
      <c r="BR273" s="1131"/>
      <c r="BS273" s="1131"/>
      <c r="BT273" s="1131"/>
      <c r="BU273" s="1131"/>
      <c r="BV273" s="1131"/>
      <c r="BW273" s="1131"/>
      <c r="BX273" s="1131"/>
      <c r="BY273" s="1131"/>
      <c r="BZ273" s="1131"/>
      <c r="CA273" s="1131"/>
      <c r="CB273" s="1131"/>
      <c r="CC273" s="1131"/>
      <c r="CD273" s="1131"/>
      <c r="CE273" s="1131"/>
      <c r="CF273" s="1131"/>
      <c r="CG273" s="1131"/>
      <c r="CH273" s="29"/>
      <c r="CI273" s="185"/>
      <c r="CJ273" s="17"/>
    </row>
    <row r="274" spans="1:88" s="3" customFormat="1" hidden="1">
      <c r="A274" s="243" t="str">
        <f t="shared" si="4"/>
        <v>OK</v>
      </c>
      <c r="B274" s="1126" t="str">
        <f>IF(CONSOLIDA!BH46="","",CONSOLIDA!BH46)</f>
        <v/>
      </c>
      <c r="C274" s="1126"/>
      <c r="D274" s="1134" t="str">
        <f>IF(CONSOLIDA!BJ46="","",CONSOLIDA!BJ46)</f>
        <v/>
      </c>
      <c r="E274" s="1135"/>
      <c r="F274" s="1135"/>
      <c r="G274" s="1129" t="str">
        <f>IF(CONSOLIDA!BK46="","",CONSOLIDA!BK46)</f>
        <v/>
      </c>
      <c r="H274" s="1129"/>
      <c r="I274" s="1129"/>
      <c r="J274" s="1129"/>
      <c r="K274" s="1129"/>
      <c r="L274" s="1129"/>
      <c r="M274" s="1129"/>
      <c r="N274" s="1129"/>
      <c r="O274" s="1129"/>
      <c r="P274" s="1129"/>
      <c r="Q274" s="1129"/>
      <c r="R274" s="1129"/>
      <c r="S274" s="1129"/>
      <c r="T274" s="1129"/>
      <c r="U274" s="1129"/>
      <c r="V274" s="1129"/>
      <c r="W274" s="1129"/>
      <c r="X274" s="1129"/>
      <c r="Y274" s="1129"/>
      <c r="Z274" s="1129"/>
      <c r="AA274" s="1129"/>
      <c r="AB274" s="1129"/>
      <c r="AC274" s="1129"/>
      <c r="AD274" s="1129"/>
      <c r="AE274" s="1130"/>
      <c r="AF274" s="1131"/>
      <c r="AG274" s="1131"/>
      <c r="AH274" s="1131"/>
      <c r="AI274" s="1131"/>
      <c r="AJ274" s="1131"/>
      <c r="AK274" s="1131"/>
      <c r="AL274" s="1131"/>
      <c r="AM274" s="1131"/>
      <c r="AN274" s="1131"/>
      <c r="AO274" s="1131"/>
      <c r="AP274" s="1131"/>
      <c r="AQ274" s="1131"/>
      <c r="AR274" s="1131"/>
      <c r="AS274" s="1131"/>
      <c r="AT274" s="1131"/>
      <c r="AU274" s="1131"/>
      <c r="AV274" s="1131"/>
      <c r="AW274" s="1131"/>
      <c r="AX274" s="1131"/>
      <c r="AY274" s="1131"/>
      <c r="AZ274" s="1131"/>
      <c r="BA274" s="1131"/>
      <c r="BB274" s="1131"/>
      <c r="BC274" s="1131"/>
      <c r="BD274" s="1131"/>
      <c r="BE274" s="1131"/>
      <c r="BF274" s="1131"/>
      <c r="BG274" s="1131"/>
      <c r="BH274" s="1131"/>
      <c r="BI274" s="1131"/>
      <c r="BJ274" s="1131"/>
      <c r="BK274" s="1131"/>
      <c r="BL274" s="1131"/>
      <c r="BM274" s="1131"/>
      <c r="BN274" s="1131"/>
      <c r="BO274" s="1131"/>
      <c r="BP274" s="1131"/>
      <c r="BQ274" s="1131"/>
      <c r="BR274" s="1131"/>
      <c r="BS274" s="1131"/>
      <c r="BT274" s="1131"/>
      <c r="BU274" s="1131"/>
      <c r="BV274" s="1131"/>
      <c r="BW274" s="1131"/>
      <c r="BX274" s="1131"/>
      <c r="BY274" s="1131"/>
      <c r="BZ274" s="1131"/>
      <c r="CA274" s="1131"/>
      <c r="CB274" s="1131"/>
      <c r="CC274" s="1131"/>
      <c r="CD274" s="1131"/>
      <c r="CE274" s="1131"/>
      <c r="CF274" s="1131"/>
      <c r="CG274" s="1131"/>
      <c r="CH274" s="29"/>
      <c r="CI274" s="185"/>
      <c r="CJ274" s="17"/>
    </row>
    <row r="275" spans="1:88" s="3" customFormat="1" hidden="1">
      <c r="A275" s="243" t="str">
        <f t="shared" si="4"/>
        <v>OK</v>
      </c>
      <c r="B275" s="1126" t="str">
        <f>IF(CONSOLIDA!BH47="","",CONSOLIDA!BH47)</f>
        <v/>
      </c>
      <c r="C275" s="1126"/>
      <c r="D275" s="1134" t="str">
        <f>IF(CONSOLIDA!BJ47="","",CONSOLIDA!BJ47)</f>
        <v/>
      </c>
      <c r="E275" s="1135"/>
      <c r="F275" s="1135"/>
      <c r="G275" s="1129" t="str">
        <f>IF(CONSOLIDA!BK47="","",CONSOLIDA!BK47)</f>
        <v/>
      </c>
      <c r="H275" s="1129"/>
      <c r="I275" s="1129"/>
      <c r="J275" s="1129"/>
      <c r="K275" s="1129"/>
      <c r="L275" s="1129"/>
      <c r="M275" s="1129"/>
      <c r="N275" s="1129"/>
      <c r="O275" s="1129"/>
      <c r="P275" s="1129"/>
      <c r="Q275" s="1129"/>
      <c r="R275" s="1129"/>
      <c r="S275" s="1129"/>
      <c r="T275" s="1129"/>
      <c r="U275" s="1129"/>
      <c r="V275" s="1129"/>
      <c r="W275" s="1129"/>
      <c r="X275" s="1129"/>
      <c r="Y275" s="1129"/>
      <c r="Z275" s="1129"/>
      <c r="AA275" s="1129"/>
      <c r="AB275" s="1129"/>
      <c r="AC275" s="1129"/>
      <c r="AD275" s="1129"/>
      <c r="AE275" s="1130"/>
      <c r="AF275" s="1131"/>
      <c r="AG275" s="1131"/>
      <c r="AH275" s="1131"/>
      <c r="AI275" s="1131"/>
      <c r="AJ275" s="1131"/>
      <c r="AK275" s="1131"/>
      <c r="AL275" s="1131"/>
      <c r="AM275" s="1131"/>
      <c r="AN275" s="1131"/>
      <c r="AO275" s="1131"/>
      <c r="AP275" s="1131"/>
      <c r="AQ275" s="1131"/>
      <c r="AR275" s="1131"/>
      <c r="AS275" s="1131"/>
      <c r="AT275" s="1131"/>
      <c r="AU275" s="1131"/>
      <c r="AV275" s="1131"/>
      <c r="AW275" s="1131"/>
      <c r="AX275" s="1131"/>
      <c r="AY275" s="1131"/>
      <c r="AZ275" s="1131"/>
      <c r="BA275" s="1131"/>
      <c r="BB275" s="1131"/>
      <c r="BC275" s="1131"/>
      <c r="BD275" s="1131"/>
      <c r="BE275" s="1131"/>
      <c r="BF275" s="1131"/>
      <c r="BG275" s="1131"/>
      <c r="BH275" s="1131"/>
      <c r="BI275" s="1131"/>
      <c r="BJ275" s="1131"/>
      <c r="BK275" s="1131"/>
      <c r="BL275" s="1131"/>
      <c r="BM275" s="1131"/>
      <c r="BN275" s="1131"/>
      <c r="BO275" s="1131"/>
      <c r="BP275" s="1131"/>
      <c r="BQ275" s="1131"/>
      <c r="BR275" s="1131"/>
      <c r="BS275" s="1131"/>
      <c r="BT275" s="1131"/>
      <c r="BU275" s="1131"/>
      <c r="BV275" s="1131"/>
      <c r="BW275" s="1131"/>
      <c r="BX275" s="1131"/>
      <c r="BY275" s="1131"/>
      <c r="BZ275" s="1131"/>
      <c r="CA275" s="1131"/>
      <c r="CB275" s="1131"/>
      <c r="CC275" s="1131"/>
      <c r="CD275" s="1131"/>
      <c r="CE275" s="1131"/>
      <c r="CF275" s="1131"/>
      <c r="CG275" s="1131"/>
      <c r="CH275" s="29"/>
      <c r="CI275" s="185"/>
      <c r="CJ275" s="17"/>
    </row>
    <row r="276" spans="1:88" s="3" customFormat="1" hidden="1">
      <c r="A276" s="243" t="str">
        <f t="shared" si="4"/>
        <v>OK</v>
      </c>
      <c r="B276" s="1126" t="str">
        <f>IF(CONSOLIDA!BH48="","",CONSOLIDA!BH48)</f>
        <v/>
      </c>
      <c r="C276" s="1126"/>
      <c r="D276" s="1134" t="str">
        <f>IF(CONSOLIDA!BJ48="","",CONSOLIDA!BJ48)</f>
        <v/>
      </c>
      <c r="E276" s="1135"/>
      <c r="F276" s="1135"/>
      <c r="G276" s="1129" t="str">
        <f>IF(CONSOLIDA!BK48="","",CONSOLIDA!BK48)</f>
        <v/>
      </c>
      <c r="H276" s="1129"/>
      <c r="I276" s="1129"/>
      <c r="J276" s="1129"/>
      <c r="K276" s="1129"/>
      <c r="L276" s="1129"/>
      <c r="M276" s="1129"/>
      <c r="N276" s="1129"/>
      <c r="O276" s="1129"/>
      <c r="P276" s="1129"/>
      <c r="Q276" s="1129"/>
      <c r="R276" s="1129"/>
      <c r="S276" s="1129"/>
      <c r="T276" s="1129"/>
      <c r="U276" s="1129"/>
      <c r="V276" s="1129"/>
      <c r="W276" s="1129"/>
      <c r="X276" s="1129"/>
      <c r="Y276" s="1129"/>
      <c r="Z276" s="1129"/>
      <c r="AA276" s="1129"/>
      <c r="AB276" s="1129"/>
      <c r="AC276" s="1129"/>
      <c r="AD276" s="1129"/>
      <c r="AE276" s="1130"/>
      <c r="AF276" s="1131"/>
      <c r="AG276" s="1131"/>
      <c r="AH276" s="1131"/>
      <c r="AI276" s="1131"/>
      <c r="AJ276" s="1131"/>
      <c r="AK276" s="1131"/>
      <c r="AL276" s="1131"/>
      <c r="AM276" s="1131"/>
      <c r="AN276" s="1131"/>
      <c r="AO276" s="1131"/>
      <c r="AP276" s="1131"/>
      <c r="AQ276" s="1131"/>
      <c r="AR276" s="1131"/>
      <c r="AS276" s="1131"/>
      <c r="AT276" s="1131"/>
      <c r="AU276" s="1131"/>
      <c r="AV276" s="1131"/>
      <c r="AW276" s="1131"/>
      <c r="AX276" s="1131"/>
      <c r="AY276" s="1131"/>
      <c r="AZ276" s="1131"/>
      <c r="BA276" s="1131"/>
      <c r="BB276" s="1131"/>
      <c r="BC276" s="1131"/>
      <c r="BD276" s="1131"/>
      <c r="BE276" s="1131"/>
      <c r="BF276" s="1131"/>
      <c r="BG276" s="1131"/>
      <c r="BH276" s="1131"/>
      <c r="BI276" s="1131"/>
      <c r="BJ276" s="1131"/>
      <c r="BK276" s="1131"/>
      <c r="BL276" s="1131"/>
      <c r="BM276" s="1131"/>
      <c r="BN276" s="1131"/>
      <c r="BO276" s="1131"/>
      <c r="BP276" s="1131"/>
      <c r="BQ276" s="1131"/>
      <c r="BR276" s="1131"/>
      <c r="BS276" s="1131"/>
      <c r="BT276" s="1131"/>
      <c r="BU276" s="1131"/>
      <c r="BV276" s="1131"/>
      <c r="BW276" s="1131"/>
      <c r="BX276" s="1131"/>
      <c r="BY276" s="1131"/>
      <c r="BZ276" s="1131"/>
      <c r="CA276" s="1131"/>
      <c r="CB276" s="1131"/>
      <c r="CC276" s="1131"/>
      <c r="CD276" s="1131"/>
      <c r="CE276" s="1131"/>
      <c r="CF276" s="1131"/>
      <c r="CG276" s="1131"/>
      <c r="CH276" s="29"/>
      <c r="CI276" s="185"/>
      <c r="CJ276" s="17"/>
    </row>
    <row r="277" spans="1:88" s="3" customFormat="1" hidden="1">
      <c r="A277" s="243" t="str">
        <f t="shared" si="4"/>
        <v>OK</v>
      </c>
      <c r="B277" s="1126" t="str">
        <f>IF(CONSOLIDA!BH49="","",CONSOLIDA!BH49)</f>
        <v/>
      </c>
      <c r="C277" s="1126"/>
      <c r="D277" s="1134" t="str">
        <f>IF(CONSOLIDA!BJ49="","",CONSOLIDA!BJ49)</f>
        <v/>
      </c>
      <c r="E277" s="1135"/>
      <c r="F277" s="1135"/>
      <c r="G277" s="1129" t="str">
        <f>IF(CONSOLIDA!BK49="","",CONSOLIDA!BK49)</f>
        <v/>
      </c>
      <c r="H277" s="1129"/>
      <c r="I277" s="1129"/>
      <c r="J277" s="1129"/>
      <c r="K277" s="1129"/>
      <c r="L277" s="1129"/>
      <c r="M277" s="1129"/>
      <c r="N277" s="1129"/>
      <c r="O277" s="1129"/>
      <c r="P277" s="1129"/>
      <c r="Q277" s="1129"/>
      <c r="R277" s="1129"/>
      <c r="S277" s="1129"/>
      <c r="T277" s="1129"/>
      <c r="U277" s="1129"/>
      <c r="V277" s="1129"/>
      <c r="W277" s="1129"/>
      <c r="X277" s="1129"/>
      <c r="Y277" s="1129"/>
      <c r="Z277" s="1129"/>
      <c r="AA277" s="1129"/>
      <c r="AB277" s="1129"/>
      <c r="AC277" s="1129"/>
      <c r="AD277" s="1129"/>
      <c r="AE277" s="1130"/>
      <c r="AF277" s="1131"/>
      <c r="AG277" s="1131"/>
      <c r="AH277" s="1131"/>
      <c r="AI277" s="1131"/>
      <c r="AJ277" s="1131"/>
      <c r="AK277" s="1131"/>
      <c r="AL277" s="1131"/>
      <c r="AM277" s="1131"/>
      <c r="AN277" s="1131"/>
      <c r="AO277" s="1131"/>
      <c r="AP277" s="1131"/>
      <c r="AQ277" s="1131"/>
      <c r="AR277" s="1131"/>
      <c r="AS277" s="1131"/>
      <c r="AT277" s="1131"/>
      <c r="AU277" s="1131"/>
      <c r="AV277" s="1131"/>
      <c r="AW277" s="1131"/>
      <c r="AX277" s="1131"/>
      <c r="AY277" s="1131"/>
      <c r="AZ277" s="1131"/>
      <c r="BA277" s="1131"/>
      <c r="BB277" s="1131"/>
      <c r="BC277" s="1131"/>
      <c r="BD277" s="1131"/>
      <c r="BE277" s="1131"/>
      <c r="BF277" s="1131"/>
      <c r="BG277" s="1131"/>
      <c r="BH277" s="1131"/>
      <c r="BI277" s="1131"/>
      <c r="BJ277" s="1131"/>
      <c r="BK277" s="1131"/>
      <c r="BL277" s="1131"/>
      <c r="BM277" s="1131"/>
      <c r="BN277" s="1131"/>
      <c r="BO277" s="1131"/>
      <c r="BP277" s="1131"/>
      <c r="BQ277" s="1131"/>
      <c r="BR277" s="1131"/>
      <c r="BS277" s="1131"/>
      <c r="BT277" s="1131"/>
      <c r="BU277" s="1131"/>
      <c r="BV277" s="1131"/>
      <c r="BW277" s="1131"/>
      <c r="BX277" s="1131"/>
      <c r="BY277" s="1131"/>
      <c r="BZ277" s="1131"/>
      <c r="CA277" s="1131"/>
      <c r="CB277" s="1131"/>
      <c r="CC277" s="1131"/>
      <c r="CD277" s="1131"/>
      <c r="CE277" s="1131"/>
      <c r="CF277" s="1131"/>
      <c r="CG277" s="1131"/>
      <c r="CH277" s="29"/>
      <c r="CI277" s="185"/>
      <c r="CJ277" s="17"/>
    </row>
    <row r="278" spans="1:88" s="3" customFormat="1" hidden="1">
      <c r="A278" s="243" t="str">
        <f t="shared" si="4"/>
        <v>OK</v>
      </c>
      <c r="B278" s="1126" t="str">
        <f>IF(CONSOLIDA!BH50="","",CONSOLIDA!BH50)</f>
        <v/>
      </c>
      <c r="C278" s="1126"/>
      <c r="D278" s="1134" t="str">
        <f>IF(CONSOLIDA!BJ50="","",CONSOLIDA!BJ50)</f>
        <v/>
      </c>
      <c r="E278" s="1135"/>
      <c r="F278" s="1135"/>
      <c r="G278" s="1129" t="str">
        <f>IF(CONSOLIDA!BK50="","",CONSOLIDA!BK50)</f>
        <v/>
      </c>
      <c r="H278" s="1129"/>
      <c r="I278" s="1129"/>
      <c r="J278" s="1129"/>
      <c r="K278" s="1129"/>
      <c r="L278" s="1129"/>
      <c r="M278" s="1129"/>
      <c r="N278" s="1129"/>
      <c r="O278" s="1129"/>
      <c r="P278" s="1129"/>
      <c r="Q278" s="1129"/>
      <c r="R278" s="1129"/>
      <c r="S278" s="1129"/>
      <c r="T278" s="1129"/>
      <c r="U278" s="1129"/>
      <c r="V278" s="1129"/>
      <c r="W278" s="1129"/>
      <c r="X278" s="1129"/>
      <c r="Y278" s="1129"/>
      <c r="Z278" s="1129"/>
      <c r="AA278" s="1129"/>
      <c r="AB278" s="1129"/>
      <c r="AC278" s="1129"/>
      <c r="AD278" s="1129"/>
      <c r="AE278" s="1130"/>
      <c r="AF278" s="1131"/>
      <c r="AG278" s="1131"/>
      <c r="AH278" s="1131"/>
      <c r="AI278" s="1131"/>
      <c r="AJ278" s="1131"/>
      <c r="AK278" s="1131"/>
      <c r="AL278" s="1131"/>
      <c r="AM278" s="1131"/>
      <c r="AN278" s="1131"/>
      <c r="AO278" s="1131"/>
      <c r="AP278" s="1131"/>
      <c r="AQ278" s="1131"/>
      <c r="AR278" s="1131"/>
      <c r="AS278" s="1131"/>
      <c r="AT278" s="1131"/>
      <c r="AU278" s="1131"/>
      <c r="AV278" s="1131"/>
      <c r="AW278" s="1131"/>
      <c r="AX278" s="1131"/>
      <c r="AY278" s="1131"/>
      <c r="AZ278" s="1131"/>
      <c r="BA278" s="1131"/>
      <c r="BB278" s="1131"/>
      <c r="BC278" s="1131"/>
      <c r="BD278" s="1131"/>
      <c r="BE278" s="1131"/>
      <c r="BF278" s="1131"/>
      <c r="BG278" s="1131"/>
      <c r="BH278" s="1131"/>
      <c r="BI278" s="1131"/>
      <c r="BJ278" s="1131"/>
      <c r="BK278" s="1131"/>
      <c r="BL278" s="1131"/>
      <c r="BM278" s="1131"/>
      <c r="BN278" s="1131"/>
      <c r="BO278" s="1131"/>
      <c r="BP278" s="1131"/>
      <c r="BQ278" s="1131"/>
      <c r="BR278" s="1131"/>
      <c r="BS278" s="1131"/>
      <c r="BT278" s="1131"/>
      <c r="BU278" s="1131"/>
      <c r="BV278" s="1131"/>
      <c r="BW278" s="1131"/>
      <c r="BX278" s="1131"/>
      <c r="BY278" s="1131"/>
      <c r="BZ278" s="1131"/>
      <c r="CA278" s="1131"/>
      <c r="CB278" s="1131"/>
      <c r="CC278" s="1131"/>
      <c r="CD278" s="1131"/>
      <c r="CE278" s="1131"/>
      <c r="CF278" s="1131"/>
      <c r="CG278" s="1131"/>
      <c r="CH278" s="29"/>
      <c r="CI278" s="185"/>
      <c r="CJ278" s="17"/>
    </row>
    <row r="279" spans="1:88" s="3" customFormat="1" hidden="1">
      <c r="A279" s="243" t="str">
        <f t="shared" si="4"/>
        <v>OK</v>
      </c>
      <c r="B279" s="1126" t="str">
        <f>IF(CONSOLIDA!BH51="","",CONSOLIDA!BH51)</f>
        <v/>
      </c>
      <c r="C279" s="1126"/>
      <c r="D279" s="1134" t="str">
        <f>IF(CONSOLIDA!BJ51="","",CONSOLIDA!BJ51)</f>
        <v/>
      </c>
      <c r="E279" s="1135"/>
      <c r="F279" s="1135"/>
      <c r="G279" s="1129" t="str">
        <f>IF(CONSOLIDA!BK51="","",CONSOLIDA!BK51)</f>
        <v/>
      </c>
      <c r="H279" s="1129"/>
      <c r="I279" s="1129"/>
      <c r="J279" s="1129"/>
      <c r="K279" s="1129"/>
      <c r="L279" s="1129"/>
      <c r="M279" s="1129"/>
      <c r="N279" s="1129"/>
      <c r="O279" s="1129"/>
      <c r="P279" s="1129"/>
      <c r="Q279" s="1129"/>
      <c r="R279" s="1129"/>
      <c r="S279" s="1129"/>
      <c r="T279" s="1129"/>
      <c r="U279" s="1129"/>
      <c r="V279" s="1129"/>
      <c r="W279" s="1129"/>
      <c r="X279" s="1129"/>
      <c r="Y279" s="1129"/>
      <c r="Z279" s="1129"/>
      <c r="AA279" s="1129"/>
      <c r="AB279" s="1129"/>
      <c r="AC279" s="1129"/>
      <c r="AD279" s="1129"/>
      <c r="AE279" s="1130"/>
      <c r="AF279" s="1131"/>
      <c r="AG279" s="1131"/>
      <c r="AH279" s="1131"/>
      <c r="AI279" s="1131"/>
      <c r="AJ279" s="1131"/>
      <c r="AK279" s="1131"/>
      <c r="AL279" s="1131"/>
      <c r="AM279" s="1131"/>
      <c r="AN279" s="1131"/>
      <c r="AO279" s="1131"/>
      <c r="AP279" s="1131"/>
      <c r="AQ279" s="1131"/>
      <c r="AR279" s="1131"/>
      <c r="AS279" s="1131"/>
      <c r="AT279" s="1131"/>
      <c r="AU279" s="1131"/>
      <c r="AV279" s="1131"/>
      <c r="AW279" s="1131"/>
      <c r="AX279" s="1131"/>
      <c r="AY279" s="1131"/>
      <c r="AZ279" s="1131"/>
      <c r="BA279" s="1131"/>
      <c r="BB279" s="1131"/>
      <c r="BC279" s="1131"/>
      <c r="BD279" s="1131"/>
      <c r="BE279" s="1131"/>
      <c r="BF279" s="1131"/>
      <c r="BG279" s="1131"/>
      <c r="BH279" s="1131"/>
      <c r="BI279" s="1131"/>
      <c r="BJ279" s="1131"/>
      <c r="BK279" s="1131"/>
      <c r="BL279" s="1131"/>
      <c r="BM279" s="1131"/>
      <c r="BN279" s="1131"/>
      <c r="BO279" s="1131"/>
      <c r="BP279" s="1131"/>
      <c r="BQ279" s="1131"/>
      <c r="BR279" s="1131"/>
      <c r="BS279" s="1131"/>
      <c r="BT279" s="1131"/>
      <c r="BU279" s="1131"/>
      <c r="BV279" s="1131"/>
      <c r="BW279" s="1131"/>
      <c r="BX279" s="1131"/>
      <c r="BY279" s="1131"/>
      <c r="BZ279" s="1131"/>
      <c r="CA279" s="1131"/>
      <c r="CB279" s="1131"/>
      <c r="CC279" s="1131"/>
      <c r="CD279" s="1131"/>
      <c r="CE279" s="1131"/>
      <c r="CF279" s="1131"/>
      <c r="CG279" s="1131"/>
      <c r="CH279" s="29"/>
      <c r="CI279" s="185"/>
      <c r="CJ279" s="17"/>
    </row>
    <row r="280" spans="1:88" s="3" customFormat="1" hidden="1">
      <c r="A280" s="243" t="str">
        <f t="shared" si="4"/>
        <v>OK</v>
      </c>
      <c r="B280" s="1126" t="str">
        <f>IF(CONSOLIDA!BH52="","",CONSOLIDA!BH52)</f>
        <v/>
      </c>
      <c r="C280" s="1126"/>
      <c r="D280" s="1134" t="str">
        <f>IF(CONSOLIDA!BJ52="","",CONSOLIDA!BJ52)</f>
        <v/>
      </c>
      <c r="E280" s="1135"/>
      <c r="F280" s="1135"/>
      <c r="G280" s="1129" t="str">
        <f>IF(CONSOLIDA!BK52="","",CONSOLIDA!BK52)</f>
        <v/>
      </c>
      <c r="H280" s="1129"/>
      <c r="I280" s="1129"/>
      <c r="J280" s="1129"/>
      <c r="K280" s="1129"/>
      <c r="L280" s="1129"/>
      <c r="M280" s="1129"/>
      <c r="N280" s="1129"/>
      <c r="O280" s="1129"/>
      <c r="P280" s="1129"/>
      <c r="Q280" s="1129"/>
      <c r="R280" s="1129"/>
      <c r="S280" s="1129"/>
      <c r="T280" s="1129"/>
      <c r="U280" s="1129"/>
      <c r="V280" s="1129"/>
      <c r="W280" s="1129"/>
      <c r="X280" s="1129"/>
      <c r="Y280" s="1129"/>
      <c r="Z280" s="1129"/>
      <c r="AA280" s="1129"/>
      <c r="AB280" s="1129"/>
      <c r="AC280" s="1129"/>
      <c r="AD280" s="1129"/>
      <c r="AE280" s="1130"/>
      <c r="AF280" s="1131"/>
      <c r="AG280" s="1131"/>
      <c r="AH280" s="1131"/>
      <c r="AI280" s="1131"/>
      <c r="AJ280" s="1131"/>
      <c r="AK280" s="1131"/>
      <c r="AL280" s="1131"/>
      <c r="AM280" s="1131"/>
      <c r="AN280" s="1131"/>
      <c r="AO280" s="1131"/>
      <c r="AP280" s="1131"/>
      <c r="AQ280" s="1131"/>
      <c r="AR280" s="1131"/>
      <c r="AS280" s="1131"/>
      <c r="AT280" s="1131"/>
      <c r="AU280" s="1131"/>
      <c r="AV280" s="1131"/>
      <c r="AW280" s="1131"/>
      <c r="AX280" s="1131"/>
      <c r="AY280" s="1131"/>
      <c r="AZ280" s="1131"/>
      <c r="BA280" s="1131"/>
      <c r="BB280" s="1131"/>
      <c r="BC280" s="1131"/>
      <c r="BD280" s="1131"/>
      <c r="BE280" s="1131"/>
      <c r="BF280" s="1131"/>
      <c r="BG280" s="1131"/>
      <c r="BH280" s="1131"/>
      <c r="BI280" s="1131"/>
      <c r="BJ280" s="1131"/>
      <c r="BK280" s="1131"/>
      <c r="BL280" s="1131"/>
      <c r="BM280" s="1131"/>
      <c r="BN280" s="1131"/>
      <c r="BO280" s="1131"/>
      <c r="BP280" s="1131"/>
      <c r="BQ280" s="1131"/>
      <c r="BR280" s="1131"/>
      <c r="BS280" s="1131"/>
      <c r="BT280" s="1131"/>
      <c r="BU280" s="1131"/>
      <c r="BV280" s="1131"/>
      <c r="BW280" s="1131"/>
      <c r="BX280" s="1131"/>
      <c r="BY280" s="1131"/>
      <c r="BZ280" s="1131"/>
      <c r="CA280" s="1131"/>
      <c r="CB280" s="1131"/>
      <c r="CC280" s="1131"/>
      <c r="CD280" s="1131"/>
      <c r="CE280" s="1131"/>
      <c r="CF280" s="1131"/>
      <c r="CG280" s="1131"/>
      <c r="CH280" s="29"/>
      <c r="CI280" s="185"/>
      <c r="CJ280" s="17"/>
    </row>
    <row r="281" spans="1:88" s="3" customFormat="1" hidden="1">
      <c r="A281" s="243" t="str">
        <f t="shared" si="4"/>
        <v>OK</v>
      </c>
      <c r="B281" s="1126" t="str">
        <f>IF(CONSOLIDA!BH53="","",CONSOLIDA!BH53)</f>
        <v/>
      </c>
      <c r="C281" s="1126"/>
      <c r="D281" s="1134" t="str">
        <f>IF(CONSOLIDA!BJ53="","",CONSOLIDA!BJ53)</f>
        <v/>
      </c>
      <c r="E281" s="1135"/>
      <c r="F281" s="1135"/>
      <c r="G281" s="1129" t="str">
        <f>IF(CONSOLIDA!BK53="","",CONSOLIDA!BK53)</f>
        <v/>
      </c>
      <c r="H281" s="1129"/>
      <c r="I281" s="1129"/>
      <c r="J281" s="1129"/>
      <c r="K281" s="1129"/>
      <c r="L281" s="1129"/>
      <c r="M281" s="1129"/>
      <c r="N281" s="1129"/>
      <c r="O281" s="1129"/>
      <c r="P281" s="1129"/>
      <c r="Q281" s="1129"/>
      <c r="R281" s="1129"/>
      <c r="S281" s="1129"/>
      <c r="T281" s="1129"/>
      <c r="U281" s="1129"/>
      <c r="V281" s="1129"/>
      <c r="W281" s="1129"/>
      <c r="X281" s="1129"/>
      <c r="Y281" s="1129"/>
      <c r="Z281" s="1129"/>
      <c r="AA281" s="1129"/>
      <c r="AB281" s="1129"/>
      <c r="AC281" s="1129"/>
      <c r="AD281" s="1129"/>
      <c r="AE281" s="1130"/>
      <c r="AF281" s="1131"/>
      <c r="AG281" s="1131"/>
      <c r="AH281" s="1131"/>
      <c r="AI281" s="1131"/>
      <c r="AJ281" s="1131"/>
      <c r="AK281" s="1131"/>
      <c r="AL281" s="1131"/>
      <c r="AM281" s="1131"/>
      <c r="AN281" s="1131"/>
      <c r="AO281" s="1131"/>
      <c r="AP281" s="1131"/>
      <c r="AQ281" s="1131"/>
      <c r="AR281" s="1131"/>
      <c r="AS281" s="1131"/>
      <c r="AT281" s="1131"/>
      <c r="AU281" s="1131"/>
      <c r="AV281" s="1131"/>
      <c r="AW281" s="1131"/>
      <c r="AX281" s="1131"/>
      <c r="AY281" s="1131"/>
      <c r="AZ281" s="1131"/>
      <c r="BA281" s="1131"/>
      <c r="BB281" s="1131"/>
      <c r="BC281" s="1131"/>
      <c r="BD281" s="1131"/>
      <c r="BE281" s="1131"/>
      <c r="BF281" s="1131"/>
      <c r="BG281" s="1131"/>
      <c r="BH281" s="1131"/>
      <c r="BI281" s="1131"/>
      <c r="BJ281" s="1131"/>
      <c r="BK281" s="1131"/>
      <c r="BL281" s="1131"/>
      <c r="BM281" s="1131"/>
      <c r="BN281" s="1131"/>
      <c r="BO281" s="1131"/>
      <c r="BP281" s="1131"/>
      <c r="BQ281" s="1131"/>
      <c r="BR281" s="1131"/>
      <c r="BS281" s="1131"/>
      <c r="BT281" s="1131"/>
      <c r="BU281" s="1131"/>
      <c r="BV281" s="1131"/>
      <c r="BW281" s="1131"/>
      <c r="BX281" s="1131"/>
      <c r="BY281" s="1131"/>
      <c r="BZ281" s="1131"/>
      <c r="CA281" s="1131"/>
      <c r="CB281" s="1131"/>
      <c r="CC281" s="1131"/>
      <c r="CD281" s="1131"/>
      <c r="CE281" s="1131"/>
      <c r="CF281" s="1131"/>
      <c r="CG281" s="1131"/>
      <c r="CH281" s="29"/>
      <c r="CI281" s="185"/>
      <c r="CJ281" s="17"/>
    </row>
    <row r="282" spans="1:88" s="3" customFormat="1" hidden="1">
      <c r="A282" s="243" t="str">
        <f t="shared" si="4"/>
        <v>OK</v>
      </c>
      <c r="B282" s="1126" t="str">
        <f>IF(CONSOLIDA!BH54="","",CONSOLIDA!BH54)</f>
        <v/>
      </c>
      <c r="C282" s="1126"/>
      <c r="D282" s="1134" t="str">
        <f>IF(CONSOLIDA!BJ54="","",CONSOLIDA!BJ54)</f>
        <v/>
      </c>
      <c r="E282" s="1135"/>
      <c r="F282" s="1135"/>
      <c r="G282" s="1129" t="str">
        <f>IF(CONSOLIDA!BK54="","",CONSOLIDA!BK54)</f>
        <v/>
      </c>
      <c r="H282" s="1129"/>
      <c r="I282" s="1129"/>
      <c r="J282" s="1129"/>
      <c r="K282" s="1129"/>
      <c r="L282" s="1129"/>
      <c r="M282" s="1129"/>
      <c r="N282" s="1129"/>
      <c r="O282" s="1129"/>
      <c r="P282" s="1129"/>
      <c r="Q282" s="1129"/>
      <c r="R282" s="1129"/>
      <c r="S282" s="1129"/>
      <c r="T282" s="1129"/>
      <c r="U282" s="1129"/>
      <c r="V282" s="1129"/>
      <c r="W282" s="1129"/>
      <c r="X282" s="1129"/>
      <c r="Y282" s="1129"/>
      <c r="Z282" s="1129"/>
      <c r="AA282" s="1129"/>
      <c r="AB282" s="1129"/>
      <c r="AC282" s="1129"/>
      <c r="AD282" s="1129"/>
      <c r="AE282" s="1130"/>
      <c r="AF282" s="1131"/>
      <c r="AG282" s="1131"/>
      <c r="AH282" s="1131"/>
      <c r="AI282" s="1131"/>
      <c r="AJ282" s="1131"/>
      <c r="AK282" s="1131"/>
      <c r="AL282" s="1131"/>
      <c r="AM282" s="1131"/>
      <c r="AN282" s="1131"/>
      <c r="AO282" s="1131"/>
      <c r="AP282" s="1131"/>
      <c r="AQ282" s="1131"/>
      <c r="AR282" s="1131"/>
      <c r="AS282" s="1131"/>
      <c r="AT282" s="1131"/>
      <c r="AU282" s="1131"/>
      <c r="AV282" s="1131"/>
      <c r="AW282" s="1131"/>
      <c r="AX282" s="1131"/>
      <c r="AY282" s="1131"/>
      <c r="AZ282" s="1131"/>
      <c r="BA282" s="1131"/>
      <c r="BB282" s="1131"/>
      <c r="BC282" s="1131"/>
      <c r="BD282" s="1131"/>
      <c r="BE282" s="1131"/>
      <c r="BF282" s="1131"/>
      <c r="BG282" s="1131"/>
      <c r="BH282" s="1131"/>
      <c r="BI282" s="1131"/>
      <c r="BJ282" s="1131"/>
      <c r="BK282" s="1131"/>
      <c r="BL282" s="1131"/>
      <c r="BM282" s="1131"/>
      <c r="BN282" s="1131"/>
      <c r="BO282" s="1131"/>
      <c r="BP282" s="1131"/>
      <c r="BQ282" s="1131"/>
      <c r="BR282" s="1131"/>
      <c r="BS282" s="1131"/>
      <c r="BT282" s="1131"/>
      <c r="BU282" s="1131"/>
      <c r="BV282" s="1131"/>
      <c r="BW282" s="1131"/>
      <c r="BX282" s="1131"/>
      <c r="BY282" s="1131"/>
      <c r="BZ282" s="1131"/>
      <c r="CA282" s="1131"/>
      <c r="CB282" s="1131"/>
      <c r="CC282" s="1131"/>
      <c r="CD282" s="1131"/>
      <c r="CE282" s="1131"/>
      <c r="CF282" s="1131"/>
      <c r="CG282" s="1131"/>
      <c r="CH282" s="29"/>
      <c r="CI282" s="185"/>
      <c r="CJ282" s="17"/>
    </row>
    <row r="283" spans="1:88" s="3" customFormat="1" hidden="1">
      <c r="A283" s="243" t="str">
        <f t="shared" si="4"/>
        <v>OK</v>
      </c>
      <c r="B283" s="1126" t="str">
        <f>IF(CONSOLIDA!BH55="","",CONSOLIDA!BH55)</f>
        <v/>
      </c>
      <c r="C283" s="1126"/>
      <c r="D283" s="1134" t="str">
        <f>IF(CONSOLIDA!BJ55="","",CONSOLIDA!BJ55)</f>
        <v/>
      </c>
      <c r="E283" s="1135"/>
      <c r="F283" s="1135"/>
      <c r="G283" s="1129" t="str">
        <f>IF(CONSOLIDA!BK55="","",CONSOLIDA!BK55)</f>
        <v/>
      </c>
      <c r="H283" s="1129"/>
      <c r="I283" s="1129"/>
      <c r="J283" s="1129"/>
      <c r="K283" s="1129"/>
      <c r="L283" s="1129"/>
      <c r="M283" s="1129"/>
      <c r="N283" s="1129"/>
      <c r="O283" s="1129"/>
      <c r="P283" s="1129"/>
      <c r="Q283" s="1129"/>
      <c r="R283" s="1129"/>
      <c r="S283" s="1129"/>
      <c r="T283" s="1129"/>
      <c r="U283" s="1129"/>
      <c r="V283" s="1129"/>
      <c r="W283" s="1129"/>
      <c r="X283" s="1129"/>
      <c r="Y283" s="1129"/>
      <c r="Z283" s="1129"/>
      <c r="AA283" s="1129"/>
      <c r="AB283" s="1129"/>
      <c r="AC283" s="1129"/>
      <c r="AD283" s="1129"/>
      <c r="AE283" s="1130"/>
      <c r="AF283" s="1131"/>
      <c r="AG283" s="1131"/>
      <c r="AH283" s="1131"/>
      <c r="AI283" s="1131"/>
      <c r="AJ283" s="1131"/>
      <c r="AK283" s="1131"/>
      <c r="AL283" s="1131"/>
      <c r="AM283" s="1131"/>
      <c r="AN283" s="1131"/>
      <c r="AO283" s="1131"/>
      <c r="AP283" s="1131"/>
      <c r="AQ283" s="1131"/>
      <c r="AR283" s="1131"/>
      <c r="AS283" s="1131"/>
      <c r="AT283" s="1131"/>
      <c r="AU283" s="1131"/>
      <c r="AV283" s="1131"/>
      <c r="AW283" s="1131"/>
      <c r="AX283" s="1131"/>
      <c r="AY283" s="1131"/>
      <c r="AZ283" s="1131"/>
      <c r="BA283" s="1131"/>
      <c r="BB283" s="1131"/>
      <c r="BC283" s="1131"/>
      <c r="BD283" s="1131"/>
      <c r="BE283" s="1131"/>
      <c r="BF283" s="1131"/>
      <c r="BG283" s="1131"/>
      <c r="BH283" s="1131"/>
      <c r="BI283" s="1131"/>
      <c r="BJ283" s="1131"/>
      <c r="BK283" s="1131"/>
      <c r="BL283" s="1131"/>
      <c r="BM283" s="1131"/>
      <c r="BN283" s="1131"/>
      <c r="BO283" s="1131"/>
      <c r="BP283" s="1131"/>
      <c r="BQ283" s="1131"/>
      <c r="BR283" s="1131"/>
      <c r="BS283" s="1131"/>
      <c r="BT283" s="1131"/>
      <c r="BU283" s="1131"/>
      <c r="BV283" s="1131"/>
      <c r="BW283" s="1131"/>
      <c r="BX283" s="1131"/>
      <c r="BY283" s="1131"/>
      <c r="BZ283" s="1131"/>
      <c r="CA283" s="1131"/>
      <c r="CB283" s="1131"/>
      <c r="CC283" s="1131"/>
      <c r="CD283" s="1131"/>
      <c r="CE283" s="1131"/>
      <c r="CF283" s="1131"/>
      <c r="CG283" s="1131"/>
      <c r="CH283" s="29"/>
      <c r="CI283" s="185"/>
      <c r="CJ283" s="17"/>
    </row>
    <row r="284" spans="1:88" s="3" customFormat="1" hidden="1">
      <c r="A284" s="243" t="str">
        <f t="shared" si="4"/>
        <v>OK</v>
      </c>
      <c r="B284" s="1126" t="str">
        <f>IF(CONSOLIDA!BH56="","",CONSOLIDA!BH56)</f>
        <v/>
      </c>
      <c r="C284" s="1126"/>
      <c r="D284" s="1134" t="str">
        <f>IF(CONSOLIDA!BJ56="","",CONSOLIDA!BJ56)</f>
        <v/>
      </c>
      <c r="E284" s="1135"/>
      <c r="F284" s="1135"/>
      <c r="G284" s="1129" t="str">
        <f>IF(CONSOLIDA!BK56="","",CONSOLIDA!BK56)</f>
        <v/>
      </c>
      <c r="H284" s="1129"/>
      <c r="I284" s="1129"/>
      <c r="J284" s="1129"/>
      <c r="K284" s="1129"/>
      <c r="L284" s="1129"/>
      <c r="M284" s="1129"/>
      <c r="N284" s="1129"/>
      <c r="O284" s="1129"/>
      <c r="P284" s="1129"/>
      <c r="Q284" s="1129"/>
      <c r="R284" s="1129"/>
      <c r="S284" s="1129"/>
      <c r="T284" s="1129"/>
      <c r="U284" s="1129"/>
      <c r="V284" s="1129"/>
      <c r="W284" s="1129"/>
      <c r="X284" s="1129"/>
      <c r="Y284" s="1129"/>
      <c r="Z284" s="1129"/>
      <c r="AA284" s="1129"/>
      <c r="AB284" s="1129"/>
      <c r="AC284" s="1129"/>
      <c r="AD284" s="1129"/>
      <c r="AE284" s="1130"/>
      <c r="AF284" s="1131"/>
      <c r="AG284" s="1131"/>
      <c r="AH284" s="1131"/>
      <c r="AI284" s="1131"/>
      <c r="AJ284" s="1131"/>
      <c r="AK284" s="1131"/>
      <c r="AL284" s="1131"/>
      <c r="AM284" s="1131"/>
      <c r="AN284" s="1131"/>
      <c r="AO284" s="1131"/>
      <c r="AP284" s="1131"/>
      <c r="AQ284" s="1131"/>
      <c r="AR284" s="1131"/>
      <c r="AS284" s="1131"/>
      <c r="AT284" s="1131"/>
      <c r="AU284" s="1131"/>
      <c r="AV284" s="1131"/>
      <c r="AW284" s="1131"/>
      <c r="AX284" s="1131"/>
      <c r="AY284" s="1131"/>
      <c r="AZ284" s="1131"/>
      <c r="BA284" s="1131"/>
      <c r="BB284" s="1131"/>
      <c r="BC284" s="1131"/>
      <c r="BD284" s="1131"/>
      <c r="BE284" s="1131"/>
      <c r="BF284" s="1131"/>
      <c r="BG284" s="1131"/>
      <c r="BH284" s="1131"/>
      <c r="BI284" s="1131"/>
      <c r="BJ284" s="1131"/>
      <c r="BK284" s="1131"/>
      <c r="BL284" s="1131"/>
      <c r="BM284" s="1131"/>
      <c r="BN284" s="1131"/>
      <c r="BO284" s="1131"/>
      <c r="BP284" s="1131"/>
      <c r="BQ284" s="1131"/>
      <c r="BR284" s="1131"/>
      <c r="BS284" s="1131"/>
      <c r="BT284" s="1131"/>
      <c r="BU284" s="1131"/>
      <c r="BV284" s="1131"/>
      <c r="BW284" s="1131"/>
      <c r="BX284" s="1131"/>
      <c r="BY284" s="1131"/>
      <c r="BZ284" s="1131"/>
      <c r="CA284" s="1131"/>
      <c r="CB284" s="1131"/>
      <c r="CC284" s="1131"/>
      <c r="CD284" s="1131"/>
      <c r="CE284" s="1131"/>
      <c r="CF284" s="1131"/>
      <c r="CG284" s="1131"/>
      <c r="CH284" s="29"/>
      <c r="CI284" s="185"/>
      <c r="CJ284" s="17"/>
    </row>
    <row r="285" spans="1:88" s="3" customFormat="1" hidden="1">
      <c r="A285" s="243" t="str">
        <f t="shared" si="4"/>
        <v>OK</v>
      </c>
      <c r="B285" s="1126" t="str">
        <f>IF(CONSOLIDA!BH57="","",CONSOLIDA!BH57)</f>
        <v/>
      </c>
      <c r="C285" s="1126"/>
      <c r="D285" s="1134" t="str">
        <f>IF(CONSOLIDA!BJ57="","",CONSOLIDA!BJ57)</f>
        <v/>
      </c>
      <c r="E285" s="1135"/>
      <c r="F285" s="1135"/>
      <c r="G285" s="1129" t="str">
        <f>IF(CONSOLIDA!BK57="","",CONSOLIDA!BK57)</f>
        <v/>
      </c>
      <c r="H285" s="1129"/>
      <c r="I285" s="1129"/>
      <c r="J285" s="1129"/>
      <c r="K285" s="1129"/>
      <c r="L285" s="1129"/>
      <c r="M285" s="1129"/>
      <c r="N285" s="1129"/>
      <c r="O285" s="1129"/>
      <c r="P285" s="1129"/>
      <c r="Q285" s="1129"/>
      <c r="R285" s="1129"/>
      <c r="S285" s="1129"/>
      <c r="T285" s="1129"/>
      <c r="U285" s="1129"/>
      <c r="V285" s="1129"/>
      <c r="W285" s="1129"/>
      <c r="X285" s="1129"/>
      <c r="Y285" s="1129"/>
      <c r="Z285" s="1129"/>
      <c r="AA285" s="1129"/>
      <c r="AB285" s="1129"/>
      <c r="AC285" s="1129"/>
      <c r="AD285" s="1129"/>
      <c r="AE285" s="1130"/>
      <c r="AF285" s="1131"/>
      <c r="AG285" s="1131"/>
      <c r="AH285" s="1131"/>
      <c r="AI285" s="1131"/>
      <c r="AJ285" s="1131"/>
      <c r="AK285" s="1131"/>
      <c r="AL285" s="1131"/>
      <c r="AM285" s="1131"/>
      <c r="AN285" s="1131"/>
      <c r="AO285" s="1131"/>
      <c r="AP285" s="1131"/>
      <c r="AQ285" s="1131"/>
      <c r="AR285" s="1131"/>
      <c r="AS285" s="1131"/>
      <c r="AT285" s="1131"/>
      <c r="AU285" s="1131"/>
      <c r="AV285" s="1131"/>
      <c r="AW285" s="1131"/>
      <c r="AX285" s="1131"/>
      <c r="AY285" s="1131"/>
      <c r="AZ285" s="1131"/>
      <c r="BA285" s="1131"/>
      <c r="BB285" s="1131"/>
      <c r="BC285" s="1131"/>
      <c r="BD285" s="1131"/>
      <c r="BE285" s="1131"/>
      <c r="BF285" s="1131"/>
      <c r="BG285" s="1131"/>
      <c r="BH285" s="1131"/>
      <c r="BI285" s="1131"/>
      <c r="BJ285" s="1131"/>
      <c r="BK285" s="1131"/>
      <c r="BL285" s="1131"/>
      <c r="BM285" s="1131"/>
      <c r="BN285" s="1131"/>
      <c r="BO285" s="1131"/>
      <c r="BP285" s="1131"/>
      <c r="BQ285" s="1131"/>
      <c r="BR285" s="1131"/>
      <c r="BS285" s="1131"/>
      <c r="BT285" s="1131"/>
      <c r="BU285" s="1131"/>
      <c r="BV285" s="1131"/>
      <c r="BW285" s="1131"/>
      <c r="BX285" s="1131"/>
      <c r="BY285" s="1131"/>
      <c r="BZ285" s="1131"/>
      <c r="CA285" s="1131"/>
      <c r="CB285" s="1131"/>
      <c r="CC285" s="1131"/>
      <c r="CD285" s="1131"/>
      <c r="CE285" s="1131"/>
      <c r="CF285" s="1131"/>
      <c r="CG285" s="1131"/>
      <c r="CH285" s="29"/>
      <c r="CI285" s="185"/>
      <c r="CJ285" s="17"/>
    </row>
    <row r="286" spans="1:88" s="3" customFormat="1" hidden="1">
      <c r="A286" s="243" t="str">
        <f t="shared" si="4"/>
        <v>OK</v>
      </c>
      <c r="B286" s="1126" t="str">
        <f>IF(CONSOLIDA!BH58="","",CONSOLIDA!BH58)</f>
        <v/>
      </c>
      <c r="C286" s="1126"/>
      <c r="D286" s="1134" t="str">
        <f>IF(CONSOLIDA!BJ58="","",CONSOLIDA!BJ58)</f>
        <v/>
      </c>
      <c r="E286" s="1135"/>
      <c r="F286" s="1135"/>
      <c r="G286" s="1129" t="str">
        <f>IF(CONSOLIDA!BK58="","",CONSOLIDA!BK58)</f>
        <v/>
      </c>
      <c r="H286" s="1129"/>
      <c r="I286" s="1129"/>
      <c r="J286" s="1129"/>
      <c r="K286" s="1129"/>
      <c r="L286" s="1129"/>
      <c r="M286" s="1129"/>
      <c r="N286" s="1129"/>
      <c r="O286" s="1129"/>
      <c r="P286" s="1129"/>
      <c r="Q286" s="1129"/>
      <c r="R286" s="1129"/>
      <c r="S286" s="1129"/>
      <c r="T286" s="1129"/>
      <c r="U286" s="1129"/>
      <c r="V286" s="1129"/>
      <c r="W286" s="1129"/>
      <c r="X286" s="1129"/>
      <c r="Y286" s="1129"/>
      <c r="Z286" s="1129"/>
      <c r="AA286" s="1129"/>
      <c r="AB286" s="1129"/>
      <c r="AC286" s="1129"/>
      <c r="AD286" s="1129"/>
      <c r="AE286" s="1130"/>
      <c r="AF286" s="1131"/>
      <c r="AG286" s="1131"/>
      <c r="AH286" s="1131"/>
      <c r="AI286" s="1131"/>
      <c r="AJ286" s="1131"/>
      <c r="AK286" s="1131"/>
      <c r="AL286" s="1131"/>
      <c r="AM286" s="1131"/>
      <c r="AN286" s="1131"/>
      <c r="AO286" s="1131"/>
      <c r="AP286" s="1131"/>
      <c r="AQ286" s="1131"/>
      <c r="AR286" s="1131"/>
      <c r="AS286" s="1131"/>
      <c r="AT286" s="1131"/>
      <c r="AU286" s="1131"/>
      <c r="AV286" s="1131"/>
      <c r="AW286" s="1131"/>
      <c r="AX286" s="1131"/>
      <c r="AY286" s="1131"/>
      <c r="AZ286" s="1131"/>
      <c r="BA286" s="1131"/>
      <c r="BB286" s="1131"/>
      <c r="BC286" s="1131"/>
      <c r="BD286" s="1131"/>
      <c r="BE286" s="1131"/>
      <c r="BF286" s="1131"/>
      <c r="BG286" s="1131"/>
      <c r="BH286" s="1131"/>
      <c r="BI286" s="1131"/>
      <c r="BJ286" s="1131"/>
      <c r="BK286" s="1131"/>
      <c r="BL286" s="1131"/>
      <c r="BM286" s="1131"/>
      <c r="BN286" s="1131"/>
      <c r="BO286" s="1131"/>
      <c r="BP286" s="1131"/>
      <c r="BQ286" s="1131"/>
      <c r="BR286" s="1131"/>
      <c r="BS286" s="1131"/>
      <c r="BT286" s="1131"/>
      <c r="BU286" s="1131"/>
      <c r="BV286" s="1131"/>
      <c r="BW286" s="1131"/>
      <c r="BX286" s="1131"/>
      <c r="BY286" s="1131"/>
      <c r="BZ286" s="1131"/>
      <c r="CA286" s="1131"/>
      <c r="CB286" s="1131"/>
      <c r="CC286" s="1131"/>
      <c r="CD286" s="1131"/>
      <c r="CE286" s="1131"/>
      <c r="CF286" s="1131"/>
      <c r="CG286" s="1131"/>
      <c r="CH286" s="29"/>
      <c r="CI286" s="185"/>
      <c r="CJ286" s="17"/>
    </row>
    <row r="287" spans="1:88" s="3" customFormat="1" hidden="1">
      <c r="A287" s="243" t="str">
        <f t="shared" si="4"/>
        <v>OK</v>
      </c>
      <c r="B287" s="1126" t="str">
        <f>IF(CONSOLIDA!BH59="","",CONSOLIDA!BH59)</f>
        <v/>
      </c>
      <c r="C287" s="1126"/>
      <c r="D287" s="1134" t="str">
        <f>IF(CONSOLIDA!BJ59="","",CONSOLIDA!BJ59)</f>
        <v/>
      </c>
      <c r="E287" s="1135"/>
      <c r="F287" s="1135"/>
      <c r="G287" s="1129" t="str">
        <f>IF(CONSOLIDA!BK59="","",CONSOLIDA!BK59)</f>
        <v/>
      </c>
      <c r="H287" s="1129"/>
      <c r="I287" s="1129"/>
      <c r="J287" s="1129"/>
      <c r="K287" s="1129"/>
      <c r="L287" s="1129"/>
      <c r="M287" s="1129"/>
      <c r="N287" s="1129"/>
      <c r="O287" s="1129"/>
      <c r="P287" s="1129"/>
      <c r="Q287" s="1129"/>
      <c r="R287" s="1129"/>
      <c r="S287" s="1129"/>
      <c r="T287" s="1129"/>
      <c r="U287" s="1129"/>
      <c r="V287" s="1129"/>
      <c r="W287" s="1129"/>
      <c r="X287" s="1129"/>
      <c r="Y287" s="1129"/>
      <c r="Z287" s="1129"/>
      <c r="AA287" s="1129"/>
      <c r="AB287" s="1129"/>
      <c r="AC287" s="1129"/>
      <c r="AD287" s="1129"/>
      <c r="AE287" s="1130"/>
      <c r="AF287" s="1131"/>
      <c r="AG287" s="1131"/>
      <c r="AH287" s="1131"/>
      <c r="AI287" s="1131"/>
      <c r="AJ287" s="1131"/>
      <c r="AK287" s="1131"/>
      <c r="AL287" s="1131"/>
      <c r="AM287" s="1131"/>
      <c r="AN287" s="1131"/>
      <c r="AO287" s="1131"/>
      <c r="AP287" s="1131"/>
      <c r="AQ287" s="1131"/>
      <c r="AR287" s="1131"/>
      <c r="AS287" s="1131"/>
      <c r="AT287" s="1131"/>
      <c r="AU287" s="1131"/>
      <c r="AV287" s="1131"/>
      <c r="AW287" s="1131"/>
      <c r="AX287" s="1131"/>
      <c r="AY287" s="1131"/>
      <c r="AZ287" s="1131"/>
      <c r="BA287" s="1131"/>
      <c r="BB287" s="1131"/>
      <c r="BC287" s="1131"/>
      <c r="BD287" s="1131"/>
      <c r="BE287" s="1131"/>
      <c r="BF287" s="1131"/>
      <c r="BG287" s="1131"/>
      <c r="BH287" s="1131"/>
      <c r="BI287" s="1131"/>
      <c r="BJ287" s="1131"/>
      <c r="BK287" s="1131"/>
      <c r="BL287" s="1131"/>
      <c r="BM287" s="1131"/>
      <c r="BN287" s="1131"/>
      <c r="BO287" s="1131"/>
      <c r="BP287" s="1131"/>
      <c r="BQ287" s="1131"/>
      <c r="BR287" s="1131"/>
      <c r="BS287" s="1131"/>
      <c r="BT287" s="1131"/>
      <c r="BU287" s="1131"/>
      <c r="BV287" s="1131"/>
      <c r="BW287" s="1131"/>
      <c r="BX287" s="1131"/>
      <c r="BY287" s="1131"/>
      <c r="BZ287" s="1131"/>
      <c r="CA287" s="1131"/>
      <c r="CB287" s="1131"/>
      <c r="CC287" s="1131"/>
      <c r="CD287" s="1131"/>
      <c r="CE287" s="1131"/>
      <c r="CF287" s="1131"/>
      <c r="CG287" s="1131"/>
      <c r="CH287" s="29"/>
      <c r="CI287" s="185"/>
      <c r="CJ287" s="17"/>
    </row>
    <row r="288" spans="1:88" s="3" customFormat="1" hidden="1">
      <c r="A288" s="243" t="str">
        <f t="shared" si="4"/>
        <v>OK</v>
      </c>
      <c r="B288" s="1126" t="str">
        <f>IF(CONSOLIDA!BH60="","",CONSOLIDA!BH60)</f>
        <v/>
      </c>
      <c r="C288" s="1126"/>
      <c r="D288" s="1134" t="str">
        <f>IF(CONSOLIDA!BJ60="","",CONSOLIDA!BJ60)</f>
        <v/>
      </c>
      <c r="E288" s="1135"/>
      <c r="F288" s="1135"/>
      <c r="G288" s="1129" t="str">
        <f>IF(CONSOLIDA!BK60="","",CONSOLIDA!BK60)</f>
        <v/>
      </c>
      <c r="H288" s="1129"/>
      <c r="I288" s="1129"/>
      <c r="J288" s="1129"/>
      <c r="K288" s="1129"/>
      <c r="L288" s="1129"/>
      <c r="M288" s="1129"/>
      <c r="N288" s="1129"/>
      <c r="O288" s="1129"/>
      <c r="P288" s="1129"/>
      <c r="Q288" s="1129"/>
      <c r="R288" s="1129"/>
      <c r="S288" s="1129"/>
      <c r="T288" s="1129"/>
      <c r="U288" s="1129"/>
      <c r="V288" s="1129"/>
      <c r="W288" s="1129"/>
      <c r="X288" s="1129"/>
      <c r="Y288" s="1129"/>
      <c r="Z288" s="1129"/>
      <c r="AA288" s="1129"/>
      <c r="AB288" s="1129"/>
      <c r="AC288" s="1129"/>
      <c r="AD288" s="1129"/>
      <c r="AE288" s="1130"/>
      <c r="AF288" s="1131"/>
      <c r="AG288" s="1131"/>
      <c r="AH288" s="1131"/>
      <c r="AI288" s="1131"/>
      <c r="AJ288" s="1131"/>
      <c r="AK288" s="1131"/>
      <c r="AL288" s="1131"/>
      <c r="AM288" s="1131"/>
      <c r="AN288" s="1131"/>
      <c r="AO288" s="1131"/>
      <c r="AP288" s="1131"/>
      <c r="AQ288" s="1131"/>
      <c r="AR288" s="1131"/>
      <c r="AS288" s="1131"/>
      <c r="AT288" s="1131"/>
      <c r="AU288" s="1131"/>
      <c r="AV288" s="1131"/>
      <c r="AW288" s="1131"/>
      <c r="AX288" s="1131"/>
      <c r="AY288" s="1131"/>
      <c r="AZ288" s="1131"/>
      <c r="BA288" s="1131"/>
      <c r="BB288" s="1131"/>
      <c r="BC288" s="1131"/>
      <c r="BD288" s="1131"/>
      <c r="BE288" s="1131"/>
      <c r="BF288" s="1131"/>
      <c r="BG288" s="1131"/>
      <c r="BH288" s="1131"/>
      <c r="BI288" s="1131"/>
      <c r="BJ288" s="1131"/>
      <c r="BK288" s="1131"/>
      <c r="BL288" s="1131"/>
      <c r="BM288" s="1131"/>
      <c r="BN288" s="1131"/>
      <c r="BO288" s="1131"/>
      <c r="BP288" s="1131"/>
      <c r="BQ288" s="1131"/>
      <c r="BR288" s="1131"/>
      <c r="BS288" s="1131"/>
      <c r="BT288" s="1131"/>
      <c r="BU288" s="1131"/>
      <c r="BV288" s="1131"/>
      <c r="BW288" s="1131"/>
      <c r="BX288" s="1131"/>
      <c r="BY288" s="1131"/>
      <c r="BZ288" s="1131"/>
      <c r="CA288" s="1131"/>
      <c r="CB288" s="1131"/>
      <c r="CC288" s="1131"/>
      <c r="CD288" s="1131"/>
      <c r="CE288" s="1131"/>
      <c r="CF288" s="1131"/>
      <c r="CG288" s="1131"/>
      <c r="CH288" s="29"/>
      <c r="CI288" s="185"/>
      <c r="CJ288" s="17"/>
    </row>
    <row r="289" spans="1:88" s="3" customFormat="1" hidden="1">
      <c r="A289" s="243" t="str">
        <f t="shared" si="4"/>
        <v>OK</v>
      </c>
      <c r="B289" s="1126" t="str">
        <f>IF(CONSOLIDA!BH61="","",CONSOLIDA!BH61)</f>
        <v/>
      </c>
      <c r="C289" s="1126"/>
      <c r="D289" s="1134" t="str">
        <f>IF(CONSOLIDA!BJ61="","",CONSOLIDA!BJ61)</f>
        <v/>
      </c>
      <c r="E289" s="1135"/>
      <c r="F289" s="1135"/>
      <c r="G289" s="1129" t="str">
        <f>IF(CONSOLIDA!BK61="","",CONSOLIDA!BK61)</f>
        <v/>
      </c>
      <c r="H289" s="1129"/>
      <c r="I289" s="1129"/>
      <c r="J289" s="1129"/>
      <c r="K289" s="1129"/>
      <c r="L289" s="1129"/>
      <c r="M289" s="1129"/>
      <c r="N289" s="1129"/>
      <c r="O289" s="1129"/>
      <c r="P289" s="1129"/>
      <c r="Q289" s="1129"/>
      <c r="R289" s="1129"/>
      <c r="S289" s="1129"/>
      <c r="T289" s="1129"/>
      <c r="U289" s="1129"/>
      <c r="V289" s="1129"/>
      <c r="W289" s="1129"/>
      <c r="X289" s="1129"/>
      <c r="Y289" s="1129"/>
      <c r="Z289" s="1129"/>
      <c r="AA289" s="1129"/>
      <c r="AB289" s="1129"/>
      <c r="AC289" s="1129"/>
      <c r="AD289" s="1129"/>
      <c r="AE289" s="1130"/>
      <c r="AF289" s="1131"/>
      <c r="AG289" s="1131"/>
      <c r="AH289" s="1131"/>
      <c r="AI289" s="1131"/>
      <c r="AJ289" s="1131"/>
      <c r="AK289" s="1131"/>
      <c r="AL289" s="1131"/>
      <c r="AM289" s="1131"/>
      <c r="AN289" s="1131"/>
      <c r="AO289" s="1131"/>
      <c r="AP289" s="1131"/>
      <c r="AQ289" s="1131"/>
      <c r="AR289" s="1131"/>
      <c r="AS289" s="1131"/>
      <c r="AT289" s="1131"/>
      <c r="AU289" s="1131"/>
      <c r="AV289" s="1131"/>
      <c r="AW289" s="1131"/>
      <c r="AX289" s="1131"/>
      <c r="AY289" s="1131"/>
      <c r="AZ289" s="1131"/>
      <c r="BA289" s="1131"/>
      <c r="BB289" s="1131"/>
      <c r="BC289" s="1131"/>
      <c r="BD289" s="1131"/>
      <c r="BE289" s="1131"/>
      <c r="BF289" s="1131"/>
      <c r="BG289" s="1131"/>
      <c r="BH289" s="1131"/>
      <c r="BI289" s="1131"/>
      <c r="BJ289" s="1131"/>
      <c r="BK289" s="1131"/>
      <c r="BL289" s="1131"/>
      <c r="BM289" s="1131"/>
      <c r="BN289" s="1131"/>
      <c r="BO289" s="1131"/>
      <c r="BP289" s="1131"/>
      <c r="BQ289" s="1131"/>
      <c r="BR289" s="1131"/>
      <c r="BS289" s="1131"/>
      <c r="BT289" s="1131"/>
      <c r="BU289" s="1131"/>
      <c r="BV289" s="1131"/>
      <c r="BW289" s="1131"/>
      <c r="BX289" s="1131"/>
      <c r="BY289" s="1131"/>
      <c r="BZ289" s="1131"/>
      <c r="CA289" s="1131"/>
      <c r="CB289" s="1131"/>
      <c r="CC289" s="1131"/>
      <c r="CD289" s="1131"/>
      <c r="CE289" s="1131"/>
      <c r="CF289" s="1131"/>
      <c r="CG289" s="1131"/>
      <c r="CH289" s="29"/>
      <c r="CI289" s="185"/>
      <c r="CJ289" s="17"/>
    </row>
    <row r="290" spans="1:88" s="3" customFormat="1" hidden="1">
      <c r="A290" s="243" t="str">
        <f t="shared" si="4"/>
        <v>OK</v>
      </c>
      <c r="B290" s="1126" t="str">
        <f>IF(CONSOLIDA!BH62="","",CONSOLIDA!BH62)</f>
        <v/>
      </c>
      <c r="C290" s="1126"/>
      <c r="D290" s="1134" t="str">
        <f>IF(CONSOLIDA!BJ62="","",CONSOLIDA!BJ62)</f>
        <v/>
      </c>
      <c r="E290" s="1135"/>
      <c r="F290" s="1135"/>
      <c r="G290" s="1129" t="str">
        <f>IF(CONSOLIDA!BK62="","",CONSOLIDA!BK62)</f>
        <v/>
      </c>
      <c r="H290" s="1129"/>
      <c r="I290" s="1129"/>
      <c r="J290" s="1129"/>
      <c r="K290" s="1129"/>
      <c r="L290" s="1129"/>
      <c r="M290" s="1129"/>
      <c r="N290" s="1129"/>
      <c r="O290" s="1129"/>
      <c r="P290" s="1129"/>
      <c r="Q290" s="1129"/>
      <c r="R290" s="1129"/>
      <c r="S290" s="1129"/>
      <c r="T290" s="1129"/>
      <c r="U290" s="1129"/>
      <c r="V290" s="1129"/>
      <c r="W290" s="1129"/>
      <c r="X290" s="1129"/>
      <c r="Y290" s="1129"/>
      <c r="Z290" s="1129"/>
      <c r="AA290" s="1129"/>
      <c r="AB290" s="1129"/>
      <c r="AC290" s="1129"/>
      <c r="AD290" s="1129"/>
      <c r="AE290" s="1130"/>
      <c r="AF290" s="1131"/>
      <c r="AG290" s="1131"/>
      <c r="AH290" s="1131"/>
      <c r="AI290" s="1131"/>
      <c r="AJ290" s="1131"/>
      <c r="AK290" s="1131"/>
      <c r="AL290" s="1131"/>
      <c r="AM290" s="1131"/>
      <c r="AN290" s="1131"/>
      <c r="AO290" s="1131"/>
      <c r="AP290" s="1131"/>
      <c r="AQ290" s="1131"/>
      <c r="AR290" s="1131"/>
      <c r="AS290" s="1131"/>
      <c r="AT290" s="1131"/>
      <c r="AU290" s="1131"/>
      <c r="AV290" s="1131"/>
      <c r="AW290" s="1131"/>
      <c r="AX290" s="1131"/>
      <c r="AY290" s="1131"/>
      <c r="AZ290" s="1131"/>
      <c r="BA290" s="1131"/>
      <c r="BB290" s="1131"/>
      <c r="BC290" s="1131"/>
      <c r="BD290" s="1131"/>
      <c r="BE290" s="1131"/>
      <c r="BF290" s="1131"/>
      <c r="BG290" s="1131"/>
      <c r="BH290" s="1131"/>
      <c r="BI290" s="1131"/>
      <c r="BJ290" s="1131"/>
      <c r="BK290" s="1131"/>
      <c r="BL290" s="1131"/>
      <c r="BM290" s="1131"/>
      <c r="BN290" s="1131"/>
      <c r="BO290" s="1131"/>
      <c r="BP290" s="1131"/>
      <c r="BQ290" s="1131"/>
      <c r="BR290" s="1131"/>
      <c r="BS290" s="1131"/>
      <c r="BT290" s="1131"/>
      <c r="BU290" s="1131"/>
      <c r="BV290" s="1131"/>
      <c r="BW290" s="1131"/>
      <c r="BX290" s="1131"/>
      <c r="BY290" s="1131"/>
      <c r="BZ290" s="1131"/>
      <c r="CA290" s="1131"/>
      <c r="CB290" s="1131"/>
      <c r="CC290" s="1131"/>
      <c r="CD290" s="1131"/>
      <c r="CE290" s="1131"/>
      <c r="CF290" s="1131"/>
      <c r="CG290" s="1131"/>
      <c r="CH290" s="29"/>
      <c r="CI290" s="185"/>
      <c r="CJ290" s="17"/>
    </row>
    <row r="291" spans="1:88" s="3" customFormat="1" hidden="1">
      <c r="A291" s="243" t="str">
        <f t="shared" si="4"/>
        <v>OK</v>
      </c>
      <c r="B291" s="1126" t="str">
        <f>IF(CONSOLIDA!BH63="","",CONSOLIDA!BH63)</f>
        <v/>
      </c>
      <c r="C291" s="1126"/>
      <c r="D291" s="1134" t="str">
        <f>IF(CONSOLIDA!BJ63="","",CONSOLIDA!BJ63)</f>
        <v/>
      </c>
      <c r="E291" s="1135"/>
      <c r="F291" s="1135"/>
      <c r="G291" s="1129" t="str">
        <f>IF(CONSOLIDA!BK63="","",CONSOLIDA!BK63)</f>
        <v/>
      </c>
      <c r="H291" s="1129"/>
      <c r="I291" s="1129"/>
      <c r="J291" s="1129"/>
      <c r="K291" s="1129"/>
      <c r="L291" s="1129"/>
      <c r="M291" s="1129"/>
      <c r="N291" s="1129"/>
      <c r="O291" s="1129"/>
      <c r="P291" s="1129"/>
      <c r="Q291" s="1129"/>
      <c r="R291" s="1129"/>
      <c r="S291" s="1129"/>
      <c r="T291" s="1129"/>
      <c r="U291" s="1129"/>
      <c r="V291" s="1129"/>
      <c r="W291" s="1129"/>
      <c r="X291" s="1129"/>
      <c r="Y291" s="1129"/>
      <c r="Z291" s="1129"/>
      <c r="AA291" s="1129"/>
      <c r="AB291" s="1129"/>
      <c r="AC291" s="1129"/>
      <c r="AD291" s="1129"/>
      <c r="AE291" s="1130"/>
      <c r="AF291" s="1131"/>
      <c r="AG291" s="1131"/>
      <c r="AH291" s="1131"/>
      <c r="AI291" s="1131"/>
      <c r="AJ291" s="1131"/>
      <c r="AK291" s="1131"/>
      <c r="AL291" s="1131"/>
      <c r="AM291" s="1131"/>
      <c r="AN291" s="1131"/>
      <c r="AO291" s="1131"/>
      <c r="AP291" s="1131"/>
      <c r="AQ291" s="1131"/>
      <c r="AR291" s="1131"/>
      <c r="AS291" s="1131"/>
      <c r="AT291" s="1131"/>
      <c r="AU291" s="1131"/>
      <c r="AV291" s="1131"/>
      <c r="AW291" s="1131"/>
      <c r="AX291" s="1131"/>
      <c r="AY291" s="1131"/>
      <c r="AZ291" s="1131"/>
      <c r="BA291" s="1131"/>
      <c r="BB291" s="1131"/>
      <c r="BC291" s="1131"/>
      <c r="BD291" s="1131"/>
      <c r="BE291" s="1131"/>
      <c r="BF291" s="1131"/>
      <c r="BG291" s="1131"/>
      <c r="BH291" s="1131"/>
      <c r="BI291" s="1131"/>
      <c r="BJ291" s="1131"/>
      <c r="BK291" s="1131"/>
      <c r="BL291" s="1131"/>
      <c r="BM291" s="1131"/>
      <c r="BN291" s="1131"/>
      <c r="BO291" s="1131"/>
      <c r="BP291" s="1131"/>
      <c r="BQ291" s="1131"/>
      <c r="BR291" s="1131"/>
      <c r="BS291" s="1131"/>
      <c r="BT291" s="1131"/>
      <c r="BU291" s="1131"/>
      <c r="BV291" s="1131"/>
      <c r="BW291" s="1131"/>
      <c r="BX291" s="1131"/>
      <c r="BY291" s="1131"/>
      <c r="BZ291" s="1131"/>
      <c r="CA291" s="1131"/>
      <c r="CB291" s="1131"/>
      <c r="CC291" s="1131"/>
      <c r="CD291" s="1131"/>
      <c r="CE291" s="1131"/>
      <c r="CF291" s="1131"/>
      <c r="CG291" s="1131"/>
      <c r="CH291" s="29"/>
      <c r="CI291" s="185"/>
      <c r="CJ291" s="17"/>
    </row>
    <row r="292" spans="1:88" s="3" customFormat="1" hidden="1">
      <c r="A292" s="243" t="str">
        <f t="shared" si="4"/>
        <v>OK</v>
      </c>
      <c r="B292" s="1126" t="str">
        <f>IF(CONSOLIDA!BH64="","",CONSOLIDA!BH64)</f>
        <v/>
      </c>
      <c r="C292" s="1126"/>
      <c r="D292" s="1134" t="str">
        <f>IF(CONSOLIDA!BJ64="","",CONSOLIDA!BJ64)</f>
        <v/>
      </c>
      <c r="E292" s="1135"/>
      <c r="F292" s="1135"/>
      <c r="G292" s="1129" t="str">
        <f>IF(CONSOLIDA!BK64="","",CONSOLIDA!BK64)</f>
        <v/>
      </c>
      <c r="H292" s="1129"/>
      <c r="I292" s="1129"/>
      <c r="J292" s="1129"/>
      <c r="K292" s="1129"/>
      <c r="L292" s="1129"/>
      <c r="M292" s="1129"/>
      <c r="N292" s="1129"/>
      <c r="O292" s="1129"/>
      <c r="P292" s="1129"/>
      <c r="Q292" s="1129"/>
      <c r="R292" s="1129"/>
      <c r="S292" s="1129"/>
      <c r="T292" s="1129"/>
      <c r="U292" s="1129"/>
      <c r="V292" s="1129"/>
      <c r="W292" s="1129"/>
      <c r="X292" s="1129"/>
      <c r="Y292" s="1129"/>
      <c r="Z292" s="1129"/>
      <c r="AA292" s="1129"/>
      <c r="AB292" s="1129"/>
      <c r="AC292" s="1129"/>
      <c r="AD292" s="1129"/>
      <c r="AE292" s="1130"/>
      <c r="AF292" s="1131"/>
      <c r="AG292" s="1131"/>
      <c r="AH292" s="1131"/>
      <c r="AI292" s="1131"/>
      <c r="AJ292" s="1131"/>
      <c r="AK292" s="1131"/>
      <c r="AL292" s="1131"/>
      <c r="AM292" s="1131"/>
      <c r="AN292" s="1131"/>
      <c r="AO292" s="1131"/>
      <c r="AP292" s="1131"/>
      <c r="AQ292" s="1131"/>
      <c r="AR292" s="1131"/>
      <c r="AS292" s="1131"/>
      <c r="AT292" s="1131"/>
      <c r="AU292" s="1131"/>
      <c r="AV292" s="1131"/>
      <c r="AW292" s="1131"/>
      <c r="AX292" s="1131"/>
      <c r="AY292" s="1131"/>
      <c r="AZ292" s="1131"/>
      <c r="BA292" s="1131"/>
      <c r="BB292" s="1131"/>
      <c r="BC292" s="1131"/>
      <c r="BD292" s="1131"/>
      <c r="BE292" s="1131"/>
      <c r="BF292" s="1131"/>
      <c r="BG292" s="1131"/>
      <c r="BH292" s="1131"/>
      <c r="BI292" s="1131"/>
      <c r="BJ292" s="1131"/>
      <c r="BK292" s="1131"/>
      <c r="BL292" s="1131"/>
      <c r="BM292" s="1131"/>
      <c r="BN292" s="1131"/>
      <c r="BO292" s="1131"/>
      <c r="BP292" s="1131"/>
      <c r="BQ292" s="1131"/>
      <c r="BR292" s="1131"/>
      <c r="BS292" s="1131"/>
      <c r="BT292" s="1131"/>
      <c r="BU292" s="1131"/>
      <c r="BV292" s="1131"/>
      <c r="BW292" s="1131"/>
      <c r="BX292" s="1131"/>
      <c r="BY292" s="1131"/>
      <c r="BZ292" s="1131"/>
      <c r="CA292" s="1131"/>
      <c r="CB292" s="1131"/>
      <c r="CC292" s="1131"/>
      <c r="CD292" s="1131"/>
      <c r="CE292" s="1131"/>
      <c r="CF292" s="1131"/>
      <c r="CG292" s="1131"/>
      <c r="CH292" s="29"/>
      <c r="CI292" s="185"/>
      <c r="CJ292" s="17"/>
    </row>
    <row r="293" spans="1:88" s="3" customFormat="1" hidden="1">
      <c r="A293" s="243" t="str">
        <f t="shared" si="4"/>
        <v>OK</v>
      </c>
      <c r="B293" s="1126" t="str">
        <f>IF(CONSOLIDA!BH65="","",CONSOLIDA!BH65)</f>
        <v/>
      </c>
      <c r="C293" s="1126"/>
      <c r="D293" s="1134" t="str">
        <f>IF(CONSOLIDA!BJ65="","",CONSOLIDA!BJ65)</f>
        <v/>
      </c>
      <c r="E293" s="1135"/>
      <c r="F293" s="1135"/>
      <c r="G293" s="1129" t="str">
        <f>IF(CONSOLIDA!BK65="","",CONSOLIDA!BK65)</f>
        <v/>
      </c>
      <c r="H293" s="1129"/>
      <c r="I293" s="1129"/>
      <c r="J293" s="1129"/>
      <c r="K293" s="1129"/>
      <c r="L293" s="1129"/>
      <c r="M293" s="1129"/>
      <c r="N293" s="1129"/>
      <c r="O293" s="1129"/>
      <c r="P293" s="1129"/>
      <c r="Q293" s="1129"/>
      <c r="R293" s="1129"/>
      <c r="S293" s="1129"/>
      <c r="T293" s="1129"/>
      <c r="U293" s="1129"/>
      <c r="V293" s="1129"/>
      <c r="W293" s="1129"/>
      <c r="X293" s="1129"/>
      <c r="Y293" s="1129"/>
      <c r="Z293" s="1129"/>
      <c r="AA293" s="1129"/>
      <c r="AB293" s="1129"/>
      <c r="AC293" s="1129"/>
      <c r="AD293" s="1129"/>
      <c r="AE293" s="1130"/>
      <c r="AF293" s="1131"/>
      <c r="AG293" s="1131"/>
      <c r="AH293" s="1131"/>
      <c r="AI293" s="1131"/>
      <c r="AJ293" s="1131"/>
      <c r="AK293" s="1131"/>
      <c r="AL293" s="1131"/>
      <c r="AM293" s="1131"/>
      <c r="AN293" s="1131"/>
      <c r="AO293" s="1131"/>
      <c r="AP293" s="1131"/>
      <c r="AQ293" s="1131"/>
      <c r="AR293" s="1131"/>
      <c r="AS293" s="1131"/>
      <c r="AT293" s="1131"/>
      <c r="AU293" s="1131"/>
      <c r="AV293" s="1131"/>
      <c r="AW293" s="1131"/>
      <c r="AX293" s="1131"/>
      <c r="AY293" s="1131"/>
      <c r="AZ293" s="1131"/>
      <c r="BA293" s="1131"/>
      <c r="BB293" s="1131"/>
      <c r="BC293" s="1131"/>
      <c r="BD293" s="1131"/>
      <c r="BE293" s="1131"/>
      <c r="BF293" s="1131"/>
      <c r="BG293" s="1131"/>
      <c r="BH293" s="1131"/>
      <c r="BI293" s="1131"/>
      <c r="BJ293" s="1131"/>
      <c r="BK293" s="1131"/>
      <c r="BL293" s="1131"/>
      <c r="BM293" s="1131"/>
      <c r="BN293" s="1131"/>
      <c r="BO293" s="1131"/>
      <c r="BP293" s="1131"/>
      <c r="BQ293" s="1131"/>
      <c r="BR293" s="1131"/>
      <c r="BS293" s="1131"/>
      <c r="BT293" s="1131"/>
      <c r="BU293" s="1131"/>
      <c r="BV293" s="1131"/>
      <c r="BW293" s="1131"/>
      <c r="BX293" s="1131"/>
      <c r="BY293" s="1131"/>
      <c r="BZ293" s="1131"/>
      <c r="CA293" s="1131"/>
      <c r="CB293" s="1131"/>
      <c r="CC293" s="1131"/>
      <c r="CD293" s="1131"/>
      <c r="CE293" s="1131"/>
      <c r="CF293" s="1131"/>
      <c r="CG293" s="1131"/>
      <c r="CH293" s="29"/>
      <c r="CI293" s="185"/>
      <c r="CJ293" s="17"/>
    </row>
    <row r="294" spans="1:88" s="3" customFormat="1" hidden="1">
      <c r="A294" s="243" t="str">
        <f t="shared" si="4"/>
        <v>OK</v>
      </c>
      <c r="B294" s="1126" t="str">
        <f>IF(CONSOLIDA!BH66="","",CONSOLIDA!BH66)</f>
        <v/>
      </c>
      <c r="C294" s="1126"/>
      <c r="D294" s="1134" t="str">
        <f>IF(CONSOLIDA!BJ66="","",CONSOLIDA!BJ66)</f>
        <v/>
      </c>
      <c r="E294" s="1135"/>
      <c r="F294" s="1135"/>
      <c r="G294" s="1129" t="str">
        <f>IF(CONSOLIDA!BK66="","",CONSOLIDA!BK66)</f>
        <v/>
      </c>
      <c r="H294" s="1129"/>
      <c r="I294" s="1129"/>
      <c r="J294" s="1129"/>
      <c r="K294" s="1129"/>
      <c r="L294" s="1129"/>
      <c r="M294" s="1129"/>
      <c r="N294" s="1129"/>
      <c r="O294" s="1129"/>
      <c r="P294" s="1129"/>
      <c r="Q294" s="1129"/>
      <c r="R294" s="1129"/>
      <c r="S294" s="1129"/>
      <c r="T294" s="1129"/>
      <c r="U294" s="1129"/>
      <c r="V294" s="1129"/>
      <c r="W294" s="1129"/>
      <c r="X294" s="1129"/>
      <c r="Y294" s="1129"/>
      <c r="Z294" s="1129"/>
      <c r="AA294" s="1129"/>
      <c r="AB294" s="1129"/>
      <c r="AC294" s="1129"/>
      <c r="AD294" s="1129"/>
      <c r="AE294" s="1130"/>
      <c r="AF294" s="1131"/>
      <c r="AG294" s="1131"/>
      <c r="AH294" s="1131"/>
      <c r="AI294" s="1131"/>
      <c r="AJ294" s="1131"/>
      <c r="AK294" s="1131"/>
      <c r="AL294" s="1131"/>
      <c r="AM294" s="1131"/>
      <c r="AN294" s="1131"/>
      <c r="AO294" s="1131"/>
      <c r="AP294" s="1131"/>
      <c r="AQ294" s="1131"/>
      <c r="AR294" s="1131"/>
      <c r="AS294" s="1131"/>
      <c r="AT294" s="1131"/>
      <c r="AU294" s="1131"/>
      <c r="AV294" s="1131"/>
      <c r="AW294" s="1131"/>
      <c r="AX294" s="1131"/>
      <c r="AY294" s="1131"/>
      <c r="AZ294" s="1131"/>
      <c r="BA294" s="1131"/>
      <c r="BB294" s="1131"/>
      <c r="BC294" s="1131"/>
      <c r="BD294" s="1131"/>
      <c r="BE294" s="1131"/>
      <c r="BF294" s="1131"/>
      <c r="BG294" s="1131"/>
      <c r="BH294" s="1131"/>
      <c r="BI294" s="1131"/>
      <c r="BJ294" s="1131"/>
      <c r="BK294" s="1131"/>
      <c r="BL294" s="1131"/>
      <c r="BM294" s="1131"/>
      <c r="BN294" s="1131"/>
      <c r="BO294" s="1131"/>
      <c r="BP294" s="1131"/>
      <c r="BQ294" s="1131"/>
      <c r="BR294" s="1131"/>
      <c r="BS294" s="1131"/>
      <c r="BT294" s="1131"/>
      <c r="BU294" s="1131"/>
      <c r="BV294" s="1131"/>
      <c r="BW294" s="1131"/>
      <c r="BX294" s="1131"/>
      <c r="BY294" s="1131"/>
      <c r="BZ294" s="1131"/>
      <c r="CA294" s="1131"/>
      <c r="CB294" s="1131"/>
      <c r="CC294" s="1131"/>
      <c r="CD294" s="1131"/>
      <c r="CE294" s="1131"/>
      <c r="CF294" s="1131"/>
      <c r="CG294" s="1131"/>
      <c r="CH294" s="29"/>
      <c r="CI294" s="185"/>
      <c r="CJ294" s="17"/>
    </row>
    <row r="295" spans="1:88" s="3" customFormat="1" hidden="1">
      <c r="A295" s="243" t="str">
        <f t="shared" si="4"/>
        <v>OK</v>
      </c>
      <c r="B295" s="1126" t="str">
        <f>IF(CONSOLIDA!BH67="","",CONSOLIDA!BH67)</f>
        <v/>
      </c>
      <c r="C295" s="1126"/>
      <c r="D295" s="1134" t="str">
        <f>IF(CONSOLIDA!BJ67="","",CONSOLIDA!BJ67)</f>
        <v/>
      </c>
      <c r="E295" s="1135"/>
      <c r="F295" s="1135"/>
      <c r="G295" s="1129" t="str">
        <f>IF(CONSOLIDA!BK67="","",CONSOLIDA!BK67)</f>
        <v/>
      </c>
      <c r="H295" s="1129"/>
      <c r="I295" s="1129"/>
      <c r="J295" s="1129"/>
      <c r="K295" s="1129"/>
      <c r="L295" s="1129"/>
      <c r="M295" s="1129"/>
      <c r="N295" s="1129"/>
      <c r="O295" s="1129"/>
      <c r="P295" s="1129"/>
      <c r="Q295" s="1129"/>
      <c r="R295" s="1129"/>
      <c r="S295" s="1129"/>
      <c r="T295" s="1129"/>
      <c r="U295" s="1129"/>
      <c r="V295" s="1129"/>
      <c r="W295" s="1129"/>
      <c r="X295" s="1129"/>
      <c r="Y295" s="1129"/>
      <c r="Z295" s="1129"/>
      <c r="AA295" s="1129"/>
      <c r="AB295" s="1129"/>
      <c r="AC295" s="1129"/>
      <c r="AD295" s="1129"/>
      <c r="AE295" s="1130"/>
      <c r="AF295" s="1131"/>
      <c r="AG295" s="1131"/>
      <c r="AH295" s="1131"/>
      <c r="AI295" s="1131"/>
      <c r="AJ295" s="1131"/>
      <c r="AK295" s="1131"/>
      <c r="AL295" s="1131"/>
      <c r="AM295" s="1131"/>
      <c r="AN295" s="1131"/>
      <c r="AO295" s="1131"/>
      <c r="AP295" s="1131"/>
      <c r="AQ295" s="1131"/>
      <c r="AR295" s="1131"/>
      <c r="AS295" s="1131"/>
      <c r="AT295" s="1131"/>
      <c r="AU295" s="1131"/>
      <c r="AV295" s="1131"/>
      <c r="AW295" s="1131"/>
      <c r="AX295" s="1131"/>
      <c r="AY295" s="1131"/>
      <c r="AZ295" s="1131"/>
      <c r="BA295" s="1131"/>
      <c r="BB295" s="1131"/>
      <c r="BC295" s="1131"/>
      <c r="BD295" s="1131"/>
      <c r="BE295" s="1131"/>
      <c r="BF295" s="1131"/>
      <c r="BG295" s="1131"/>
      <c r="BH295" s="1131"/>
      <c r="BI295" s="1131"/>
      <c r="BJ295" s="1131"/>
      <c r="BK295" s="1131"/>
      <c r="BL295" s="1131"/>
      <c r="BM295" s="1131"/>
      <c r="BN295" s="1131"/>
      <c r="BO295" s="1131"/>
      <c r="BP295" s="1131"/>
      <c r="BQ295" s="1131"/>
      <c r="BR295" s="1131"/>
      <c r="BS295" s="1131"/>
      <c r="BT295" s="1131"/>
      <c r="BU295" s="1131"/>
      <c r="BV295" s="1131"/>
      <c r="BW295" s="1131"/>
      <c r="BX295" s="1131"/>
      <c r="BY295" s="1131"/>
      <c r="BZ295" s="1131"/>
      <c r="CA295" s="1131"/>
      <c r="CB295" s="1131"/>
      <c r="CC295" s="1131"/>
      <c r="CD295" s="1131"/>
      <c r="CE295" s="1131"/>
      <c r="CF295" s="1131"/>
      <c r="CG295" s="1131"/>
      <c r="CH295" s="29"/>
      <c r="CI295" s="185"/>
      <c r="CJ295" s="17"/>
    </row>
    <row r="296" spans="1:88" s="3" customFormat="1" hidden="1">
      <c r="A296" s="243" t="str">
        <f t="shared" ref="A296:A359" si="5">IF(D296="","OK","")</f>
        <v>OK</v>
      </c>
      <c r="B296" s="1126" t="str">
        <f>IF(CONSOLIDA!BH68="","",CONSOLIDA!BH68)</f>
        <v/>
      </c>
      <c r="C296" s="1126"/>
      <c r="D296" s="1134" t="str">
        <f>IF(CONSOLIDA!BJ68="","",CONSOLIDA!BJ68)</f>
        <v/>
      </c>
      <c r="E296" s="1135"/>
      <c r="F296" s="1135"/>
      <c r="G296" s="1129" t="str">
        <f>IF(CONSOLIDA!BK68="","",CONSOLIDA!BK68)</f>
        <v/>
      </c>
      <c r="H296" s="1129"/>
      <c r="I296" s="1129"/>
      <c r="J296" s="1129"/>
      <c r="K296" s="1129"/>
      <c r="L296" s="1129"/>
      <c r="M296" s="1129"/>
      <c r="N296" s="1129"/>
      <c r="O296" s="1129"/>
      <c r="P296" s="1129"/>
      <c r="Q296" s="1129"/>
      <c r="R296" s="1129"/>
      <c r="S296" s="1129"/>
      <c r="T296" s="1129"/>
      <c r="U296" s="1129"/>
      <c r="V296" s="1129"/>
      <c r="W296" s="1129"/>
      <c r="X296" s="1129"/>
      <c r="Y296" s="1129"/>
      <c r="Z296" s="1129"/>
      <c r="AA296" s="1129"/>
      <c r="AB296" s="1129"/>
      <c r="AC296" s="1129"/>
      <c r="AD296" s="1129"/>
      <c r="AE296" s="1130"/>
      <c r="AF296" s="1131"/>
      <c r="AG296" s="1131"/>
      <c r="AH296" s="1131"/>
      <c r="AI296" s="1131"/>
      <c r="AJ296" s="1131"/>
      <c r="AK296" s="1131"/>
      <c r="AL296" s="1131"/>
      <c r="AM296" s="1131"/>
      <c r="AN296" s="1131"/>
      <c r="AO296" s="1131"/>
      <c r="AP296" s="1131"/>
      <c r="AQ296" s="1131"/>
      <c r="AR296" s="1131"/>
      <c r="AS296" s="1131"/>
      <c r="AT296" s="1131"/>
      <c r="AU296" s="1131"/>
      <c r="AV296" s="1131"/>
      <c r="AW296" s="1131"/>
      <c r="AX296" s="1131"/>
      <c r="AY296" s="1131"/>
      <c r="AZ296" s="1131"/>
      <c r="BA296" s="1131"/>
      <c r="BB296" s="1131"/>
      <c r="BC296" s="1131"/>
      <c r="BD296" s="1131"/>
      <c r="BE296" s="1131"/>
      <c r="BF296" s="1131"/>
      <c r="BG296" s="1131"/>
      <c r="BH296" s="1131"/>
      <c r="BI296" s="1131"/>
      <c r="BJ296" s="1131"/>
      <c r="BK296" s="1131"/>
      <c r="BL296" s="1131"/>
      <c r="BM296" s="1131"/>
      <c r="BN296" s="1131"/>
      <c r="BO296" s="1131"/>
      <c r="BP296" s="1131"/>
      <c r="BQ296" s="1131"/>
      <c r="BR296" s="1131"/>
      <c r="BS296" s="1131"/>
      <c r="BT296" s="1131"/>
      <c r="BU296" s="1131"/>
      <c r="BV296" s="1131"/>
      <c r="BW296" s="1131"/>
      <c r="BX296" s="1131"/>
      <c r="BY296" s="1131"/>
      <c r="BZ296" s="1131"/>
      <c r="CA296" s="1131"/>
      <c r="CB296" s="1131"/>
      <c r="CC296" s="1131"/>
      <c r="CD296" s="1131"/>
      <c r="CE296" s="1131"/>
      <c r="CF296" s="1131"/>
      <c r="CG296" s="1131"/>
      <c r="CH296" s="29"/>
      <c r="CI296" s="185"/>
      <c r="CJ296" s="17"/>
    </row>
    <row r="297" spans="1:88" s="3" customFormat="1" hidden="1">
      <c r="A297" s="243" t="str">
        <f t="shared" si="5"/>
        <v>OK</v>
      </c>
      <c r="B297" s="1126" t="str">
        <f>IF(CONSOLIDA!BH69="","",CONSOLIDA!BH69)</f>
        <v/>
      </c>
      <c r="C297" s="1126"/>
      <c r="D297" s="1134" t="str">
        <f>IF(CONSOLIDA!BJ69="","",CONSOLIDA!BJ69)</f>
        <v/>
      </c>
      <c r="E297" s="1135"/>
      <c r="F297" s="1135"/>
      <c r="G297" s="1129" t="str">
        <f>IF(CONSOLIDA!BK69="","",CONSOLIDA!BK69)</f>
        <v/>
      </c>
      <c r="H297" s="1129"/>
      <c r="I297" s="1129"/>
      <c r="J297" s="1129"/>
      <c r="K297" s="1129"/>
      <c r="L297" s="1129"/>
      <c r="M297" s="1129"/>
      <c r="N297" s="1129"/>
      <c r="O297" s="1129"/>
      <c r="P297" s="1129"/>
      <c r="Q297" s="1129"/>
      <c r="R297" s="1129"/>
      <c r="S297" s="1129"/>
      <c r="T297" s="1129"/>
      <c r="U297" s="1129"/>
      <c r="V297" s="1129"/>
      <c r="W297" s="1129"/>
      <c r="X297" s="1129"/>
      <c r="Y297" s="1129"/>
      <c r="Z297" s="1129"/>
      <c r="AA297" s="1129"/>
      <c r="AB297" s="1129"/>
      <c r="AC297" s="1129"/>
      <c r="AD297" s="1129"/>
      <c r="AE297" s="1130"/>
      <c r="AF297" s="1131"/>
      <c r="AG297" s="1131"/>
      <c r="AH297" s="1131"/>
      <c r="AI297" s="1131"/>
      <c r="AJ297" s="1131"/>
      <c r="AK297" s="1131"/>
      <c r="AL297" s="1131"/>
      <c r="AM297" s="1131"/>
      <c r="AN297" s="1131"/>
      <c r="AO297" s="1131"/>
      <c r="AP297" s="1131"/>
      <c r="AQ297" s="1131"/>
      <c r="AR297" s="1131"/>
      <c r="AS297" s="1131"/>
      <c r="AT297" s="1131"/>
      <c r="AU297" s="1131"/>
      <c r="AV297" s="1131"/>
      <c r="AW297" s="1131"/>
      <c r="AX297" s="1131"/>
      <c r="AY297" s="1131"/>
      <c r="AZ297" s="1131"/>
      <c r="BA297" s="1131"/>
      <c r="BB297" s="1131"/>
      <c r="BC297" s="1131"/>
      <c r="BD297" s="1131"/>
      <c r="BE297" s="1131"/>
      <c r="BF297" s="1131"/>
      <c r="BG297" s="1131"/>
      <c r="BH297" s="1131"/>
      <c r="BI297" s="1131"/>
      <c r="BJ297" s="1131"/>
      <c r="BK297" s="1131"/>
      <c r="BL297" s="1131"/>
      <c r="BM297" s="1131"/>
      <c r="BN297" s="1131"/>
      <c r="BO297" s="1131"/>
      <c r="BP297" s="1131"/>
      <c r="BQ297" s="1131"/>
      <c r="BR297" s="1131"/>
      <c r="BS297" s="1131"/>
      <c r="BT297" s="1131"/>
      <c r="BU297" s="1131"/>
      <c r="BV297" s="1131"/>
      <c r="BW297" s="1131"/>
      <c r="BX297" s="1131"/>
      <c r="BY297" s="1131"/>
      <c r="BZ297" s="1131"/>
      <c r="CA297" s="1131"/>
      <c r="CB297" s="1131"/>
      <c r="CC297" s="1131"/>
      <c r="CD297" s="1131"/>
      <c r="CE297" s="1131"/>
      <c r="CF297" s="1131"/>
      <c r="CG297" s="1131"/>
      <c r="CH297" s="29"/>
      <c r="CI297" s="185"/>
      <c r="CJ297" s="17"/>
    </row>
    <row r="298" spans="1:88" s="3" customFormat="1" hidden="1">
      <c r="A298" s="243" t="str">
        <f t="shared" si="5"/>
        <v>OK</v>
      </c>
      <c r="B298" s="1126" t="str">
        <f>IF(CONSOLIDA!BH70="","",CONSOLIDA!BH70)</f>
        <v/>
      </c>
      <c r="C298" s="1126"/>
      <c r="D298" s="1134" t="str">
        <f>IF(CONSOLIDA!BJ70="","",CONSOLIDA!BJ70)</f>
        <v/>
      </c>
      <c r="E298" s="1135"/>
      <c r="F298" s="1135"/>
      <c r="G298" s="1129" t="str">
        <f>IF(CONSOLIDA!BK70="","",CONSOLIDA!BK70)</f>
        <v/>
      </c>
      <c r="H298" s="1129"/>
      <c r="I298" s="1129"/>
      <c r="J298" s="1129"/>
      <c r="K298" s="1129"/>
      <c r="L298" s="1129"/>
      <c r="M298" s="1129"/>
      <c r="N298" s="1129"/>
      <c r="O298" s="1129"/>
      <c r="P298" s="1129"/>
      <c r="Q298" s="1129"/>
      <c r="R298" s="1129"/>
      <c r="S298" s="1129"/>
      <c r="T298" s="1129"/>
      <c r="U298" s="1129"/>
      <c r="V298" s="1129"/>
      <c r="W298" s="1129"/>
      <c r="X298" s="1129"/>
      <c r="Y298" s="1129"/>
      <c r="Z298" s="1129"/>
      <c r="AA298" s="1129"/>
      <c r="AB298" s="1129"/>
      <c r="AC298" s="1129"/>
      <c r="AD298" s="1129"/>
      <c r="AE298" s="1130"/>
      <c r="AF298" s="1131"/>
      <c r="AG298" s="1131"/>
      <c r="AH298" s="1131"/>
      <c r="AI298" s="1131"/>
      <c r="AJ298" s="1131"/>
      <c r="AK298" s="1131"/>
      <c r="AL298" s="1131"/>
      <c r="AM298" s="1131"/>
      <c r="AN298" s="1131"/>
      <c r="AO298" s="1131"/>
      <c r="AP298" s="1131"/>
      <c r="AQ298" s="1131"/>
      <c r="AR298" s="1131"/>
      <c r="AS298" s="1131"/>
      <c r="AT298" s="1131"/>
      <c r="AU298" s="1131"/>
      <c r="AV298" s="1131"/>
      <c r="AW298" s="1131"/>
      <c r="AX298" s="1131"/>
      <c r="AY298" s="1131"/>
      <c r="AZ298" s="1131"/>
      <c r="BA298" s="1131"/>
      <c r="BB298" s="1131"/>
      <c r="BC298" s="1131"/>
      <c r="BD298" s="1131"/>
      <c r="BE298" s="1131"/>
      <c r="BF298" s="1131"/>
      <c r="BG298" s="1131"/>
      <c r="BH298" s="1131"/>
      <c r="BI298" s="1131"/>
      <c r="BJ298" s="1131"/>
      <c r="BK298" s="1131"/>
      <c r="BL298" s="1131"/>
      <c r="BM298" s="1131"/>
      <c r="BN298" s="1131"/>
      <c r="BO298" s="1131"/>
      <c r="BP298" s="1131"/>
      <c r="BQ298" s="1131"/>
      <c r="BR298" s="1131"/>
      <c r="BS298" s="1131"/>
      <c r="BT298" s="1131"/>
      <c r="BU298" s="1131"/>
      <c r="BV298" s="1131"/>
      <c r="BW298" s="1131"/>
      <c r="BX298" s="1131"/>
      <c r="BY298" s="1131"/>
      <c r="BZ298" s="1131"/>
      <c r="CA298" s="1131"/>
      <c r="CB298" s="1131"/>
      <c r="CC298" s="1131"/>
      <c r="CD298" s="1131"/>
      <c r="CE298" s="1131"/>
      <c r="CF298" s="1131"/>
      <c r="CG298" s="1131"/>
      <c r="CH298" s="29"/>
      <c r="CI298" s="185"/>
      <c r="CJ298" s="17"/>
    </row>
    <row r="299" spans="1:88" s="3" customFormat="1" hidden="1">
      <c r="A299" s="243" t="str">
        <f t="shared" si="5"/>
        <v>OK</v>
      </c>
      <c r="B299" s="1126" t="str">
        <f>IF(CONSOLIDA!BH71="","",CONSOLIDA!BH71)</f>
        <v/>
      </c>
      <c r="C299" s="1126"/>
      <c r="D299" s="1134" t="str">
        <f>IF(CONSOLIDA!BJ71="","",CONSOLIDA!BJ71)</f>
        <v/>
      </c>
      <c r="E299" s="1135"/>
      <c r="F299" s="1135"/>
      <c r="G299" s="1129" t="str">
        <f>IF(CONSOLIDA!BK71="","",CONSOLIDA!BK71)</f>
        <v/>
      </c>
      <c r="H299" s="1129"/>
      <c r="I299" s="1129"/>
      <c r="J299" s="1129"/>
      <c r="K299" s="1129"/>
      <c r="L299" s="1129"/>
      <c r="M299" s="1129"/>
      <c r="N299" s="1129"/>
      <c r="O299" s="1129"/>
      <c r="P299" s="1129"/>
      <c r="Q299" s="1129"/>
      <c r="R299" s="1129"/>
      <c r="S299" s="1129"/>
      <c r="T299" s="1129"/>
      <c r="U299" s="1129"/>
      <c r="V299" s="1129"/>
      <c r="W299" s="1129"/>
      <c r="X299" s="1129"/>
      <c r="Y299" s="1129"/>
      <c r="Z299" s="1129"/>
      <c r="AA299" s="1129"/>
      <c r="AB299" s="1129"/>
      <c r="AC299" s="1129"/>
      <c r="AD299" s="1129"/>
      <c r="AE299" s="1130"/>
      <c r="AF299" s="1131"/>
      <c r="AG299" s="1131"/>
      <c r="AH299" s="1131"/>
      <c r="AI299" s="1131"/>
      <c r="AJ299" s="1131"/>
      <c r="AK299" s="1131"/>
      <c r="AL299" s="1131"/>
      <c r="AM299" s="1131"/>
      <c r="AN299" s="1131"/>
      <c r="AO299" s="1131"/>
      <c r="AP299" s="1131"/>
      <c r="AQ299" s="1131"/>
      <c r="AR299" s="1131"/>
      <c r="AS299" s="1131"/>
      <c r="AT299" s="1131"/>
      <c r="AU299" s="1131"/>
      <c r="AV299" s="1131"/>
      <c r="AW299" s="1131"/>
      <c r="AX299" s="1131"/>
      <c r="AY299" s="1131"/>
      <c r="AZ299" s="1131"/>
      <c r="BA299" s="1131"/>
      <c r="BB299" s="1131"/>
      <c r="BC299" s="1131"/>
      <c r="BD299" s="1131"/>
      <c r="BE299" s="1131"/>
      <c r="BF299" s="1131"/>
      <c r="BG299" s="1131"/>
      <c r="BH299" s="1131"/>
      <c r="BI299" s="1131"/>
      <c r="BJ299" s="1131"/>
      <c r="BK299" s="1131"/>
      <c r="BL299" s="1131"/>
      <c r="BM299" s="1131"/>
      <c r="BN299" s="1131"/>
      <c r="BO299" s="1131"/>
      <c r="BP299" s="1131"/>
      <c r="BQ299" s="1131"/>
      <c r="BR299" s="1131"/>
      <c r="BS299" s="1131"/>
      <c r="BT299" s="1131"/>
      <c r="BU299" s="1131"/>
      <c r="BV299" s="1131"/>
      <c r="BW299" s="1131"/>
      <c r="BX299" s="1131"/>
      <c r="BY299" s="1131"/>
      <c r="BZ299" s="1131"/>
      <c r="CA299" s="1131"/>
      <c r="CB299" s="1131"/>
      <c r="CC299" s="1131"/>
      <c r="CD299" s="1131"/>
      <c r="CE299" s="1131"/>
      <c r="CF299" s="1131"/>
      <c r="CG299" s="1131"/>
      <c r="CH299" s="29"/>
      <c r="CI299" s="185"/>
      <c r="CJ299" s="17"/>
    </row>
    <row r="300" spans="1:88" s="3" customFormat="1" hidden="1">
      <c r="A300" s="243" t="str">
        <f t="shared" si="5"/>
        <v>OK</v>
      </c>
      <c r="B300" s="1126" t="str">
        <f>IF(CONSOLIDA!BH72="","",CONSOLIDA!BH72)</f>
        <v/>
      </c>
      <c r="C300" s="1126"/>
      <c r="D300" s="1134" t="str">
        <f>IF(CONSOLIDA!BJ72="","",CONSOLIDA!BJ72)</f>
        <v/>
      </c>
      <c r="E300" s="1135"/>
      <c r="F300" s="1135"/>
      <c r="G300" s="1129" t="str">
        <f>IF(CONSOLIDA!BK72="","",CONSOLIDA!BK72)</f>
        <v/>
      </c>
      <c r="H300" s="1129"/>
      <c r="I300" s="1129"/>
      <c r="J300" s="1129"/>
      <c r="K300" s="1129"/>
      <c r="L300" s="1129"/>
      <c r="M300" s="1129"/>
      <c r="N300" s="1129"/>
      <c r="O300" s="1129"/>
      <c r="P300" s="1129"/>
      <c r="Q300" s="1129"/>
      <c r="R300" s="1129"/>
      <c r="S300" s="1129"/>
      <c r="T300" s="1129"/>
      <c r="U300" s="1129"/>
      <c r="V300" s="1129"/>
      <c r="W300" s="1129"/>
      <c r="X300" s="1129"/>
      <c r="Y300" s="1129"/>
      <c r="Z300" s="1129"/>
      <c r="AA300" s="1129"/>
      <c r="AB300" s="1129"/>
      <c r="AC300" s="1129"/>
      <c r="AD300" s="1129"/>
      <c r="AE300" s="1130"/>
      <c r="AF300" s="1131"/>
      <c r="AG300" s="1131"/>
      <c r="AH300" s="1131"/>
      <c r="AI300" s="1131"/>
      <c r="AJ300" s="1131"/>
      <c r="AK300" s="1131"/>
      <c r="AL300" s="1131"/>
      <c r="AM300" s="1131"/>
      <c r="AN300" s="1131"/>
      <c r="AO300" s="1131"/>
      <c r="AP300" s="1131"/>
      <c r="AQ300" s="1131"/>
      <c r="AR300" s="1131"/>
      <c r="AS300" s="1131"/>
      <c r="AT300" s="1131"/>
      <c r="AU300" s="1131"/>
      <c r="AV300" s="1131"/>
      <c r="AW300" s="1131"/>
      <c r="AX300" s="1131"/>
      <c r="AY300" s="1131"/>
      <c r="AZ300" s="1131"/>
      <c r="BA300" s="1131"/>
      <c r="BB300" s="1131"/>
      <c r="BC300" s="1131"/>
      <c r="BD300" s="1131"/>
      <c r="BE300" s="1131"/>
      <c r="BF300" s="1131"/>
      <c r="BG300" s="1131"/>
      <c r="BH300" s="1131"/>
      <c r="BI300" s="1131"/>
      <c r="BJ300" s="1131"/>
      <c r="BK300" s="1131"/>
      <c r="BL300" s="1131"/>
      <c r="BM300" s="1131"/>
      <c r="BN300" s="1131"/>
      <c r="BO300" s="1131"/>
      <c r="BP300" s="1131"/>
      <c r="BQ300" s="1131"/>
      <c r="BR300" s="1131"/>
      <c r="BS300" s="1131"/>
      <c r="BT300" s="1131"/>
      <c r="BU300" s="1131"/>
      <c r="BV300" s="1131"/>
      <c r="BW300" s="1131"/>
      <c r="BX300" s="1131"/>
      <c r="BY300" s="1131"/>
      <c r="BZ300" s="1131"/>
      <c r="CA300" s="1131"/>
      <c r="CB300" s="1131"/>
      <c r="CC300" s="1131"/>
      <c r="CD300" s="1131"/>
      <c r="CE300" s="1131"/>
      <c r="CF300" s="1131"/>
      <c r="CG300" s="1131"/>
      <c r="CH300" s="29"/>
      <c r="CI300" s="185"/>
      <c r="CJ300" s="17"/>
    </row>
    <row r="301" spans="1:88" s="3" customFormat="1" hidden="1">
      <c r="A301" s="243" t="str">
        <f t="shared" si="5"/>
        <v>OK</v>
      </c>
      <c r="B301" s="1126" t="str">
        <f>IF(CONSOLIDA!BH73="","",CONSOLIDA!BH73)</f>
        <v/>
      </c>
      <c r="C301" s="1126"/>
      <c r="D301" s="1134" t="str">
        <f>IF(CONSOLIDA!BJ73="","",CONSOLIDA!BJ73)</f>
        <v/>
      </c>
      <c r="E301" s="1135"/>
      <c r="F301" s="1135"/>
      <c r="G301" s="1129" t="str">
        <f>IF(CONSOLIDA!BK73="","",CONSOLIDA!BK73)</f>
        <v/>
      </c>
      <c r="H301" s="1129"/>
      <c r="I301" s="1129"/>
      <c r="J301" s="1129"/>
      <c r="K301" s="1129"/>
      <c r="L301" s="1129"/>
      <c r="M301" s="1129"/>
      <c r="N301" s="1129"/>
      <c r="O301" s="1129"/>
      <c r="P301" s="1129"/>
      <c r="Q301" s="1129"/>
      <c r="R301" s="1129"/>
      <c r="S301" s="1129"/>
      <c r="T301" s="1129"/>
      <c r="U301" s="1129"/>
      <c r="V301" s="1129"/>
      <c r="W301" s="1129"/>
      <c r="X301" s="1129"/>
      <c r="Y301" s="1129"/>
      <c r="Z301" s="1129"/>
      <c r="AA301" s="1129"/>
      <c r="AB301" s="1129"/>
      <c r="AC301" s="1129"/>
      <c r="AD301" s="1129"/>
      <c r="AE301" s="1130"/>
      <c r="AF301" s="1131"/>
      <c r="AG301" s="1131"/>
      <c r="AH301" s="1131"/>
      <c r="AI301" s="1131"/>
      <c r="AJ301" s="1131"/>
      <c r="AK301" s="1131"/>
      <c r="AL301" s="1131"/>
      <c r="AM301" s="1131"/>
      <c r="AN301" s="1131"/>
      <c r="AO301" s="1131"/>
      <c r="AP301" s="1131"/>
      <c r="AQ301" s="1131"/>
      <c r="AR301" s="1131"/>
      <c r="AS301" s="1131"/>
      <c r="AT301" s="1131"/>
      <c r="AU301" s="1131"/>
      <c r="AV301" s="1131"/>
      <c r="AW301" s="1131"/>
      <c r="AX301" s="1131"/>
      <c r="AY301" s="1131"/>
      <c r="AZ301" s="1131"/>
      <c r="BA301" s="1131"/>
      <c r="BB301" s="1131"/>
      <c r="BC301" s="1131"/>
      <c r="BD301" s="1131"/>
      <c r="BE301" s="1131"/>
      <c r="BF301" s="1131"/>
      <c r="BG301" s="1131"/>
      <c r="BH301" s="1131"/>
      <c r="BI301" s="1131"/>
      <c r="BJ301" s="1131"/>
      <c r="BK301" s="1131"/>
      <c r="BL301" s="1131"/>
      <c r="BM301" s="1131"/>
      <c r="BN301" s="1131"/>
      <c r="BO301" s="1131"/>
      <c r="BP301" s="1131"/>
      <c r="BQ301" s="1131"/>
      <c r="BR301" s="1131"/>
      <c r="BS301" s="1131"/>
      <c r="BT301" s="1131"/>
      <c r="BU301" s="1131"/>
      <c r="BV301" s="1131"/>
      <c r="BW301" s="1131"/>
      <c r="BX301" s="1131"/>
      <c r="BY301" s="1131"/>
      <c r="BZ301" s="1131"/>
      <c r="CA301" s="1131"/>
      <c r="CB301" s="1131"/>
      <c r="CC301" s="1131"/>
      <c r="CD301" s="1131"/>
      <c r="CE301" s="1131"/>
      <c r="CF301" s="1131"/>
      <c r="CG301" s="1131"/>
      <c r="CH301" s="29"/>
      <c r="CI301" s="185"/>
      <c r="CJ301" s="17"/>
    </row>
    <row r="302" spans="1:88" s="3" customFormat="1" hidden="1">
      <c r="A302" s="243" t="str">
        <f t="shared" si="5"/>
        <v>OK</v>
      </c>
      <c r="B302" s="1126" t="str">
        <f>IF(CONSOLIDA!BH74="","",CONSOLIDA!BH74)</f>
        <v/>
      </c>
      <c r="C302" s="1126"/>
      <c r="D302" s="1134" t="str">
        <f>IF(CONSOLIDA!BJ74="","",CONSOLIDA!BJ74)</f>
        <v/>
      </c>
      <c r="E302" s="1135"/>
      <c r="F302" s="1135"/>
      <c r="G302" s="1129" t="str">
        <f>IF(CONSOLIDA!BK74="","",CONSOLIDA!BK74)</f>
        <v/>
      </c>
      <c r="H302" s="1129"/>
      <c r="I302" s="1129"/>
      <c r="J302" s="1129"/>
      <c r="K302" s="1129"/>
      <c r="L302" s="1129"/>
      <c r="M302" s="1129"/>
      <c r="N302" s="1129"/>
      <c r="O302" s="1129"/>
      <c r="P302" s="1129"/>
      <c r="Q302" s="1129"/>
      <c r="R302" s="1129"/>
      <c r="S302" s="1129"/>
      <c r="T302" s="1129"/>
      <c r="U302" s="1129"/>
      <c r="V302" s="1129"/>
      <c r="W302" s="1129"/>
      <c r="X302" s="1129"/>
      <c r="Y302" s="1129"/>
      <c r="Z302" s="1129"/>
      <c r="AA302" s="1129"/>
      <c r="AB302" s="1129"/>
      <c r="AC302" s="1129"/>
      <c r="AD302" s="1129"/>
      <c r="AE302" s="1130"/>
      <c r="AF302" s="1131"/>
      <c r="AG302" s="1131"/>
      <c r="AH302" s="1131"/>
      <c r="AI302" s="1131"/>
      <c r="AJ302" s="1131"/>
      <c r="AK302" s="1131"/>
      <c r="AL302" s="1131"/>
      <c r="AM302" s="1131"/>
      <c r="AN302" s="1131"/>
      <c r="AO302" s="1131"/>
      <c r="AP302" s="1131"/>
      <c r="AQ302" s="1131"/>
      <c r="AR302" s="1131"/>
      <c r="AS302" s="1131"/>
      <c r="AT302" s="1131"/>
      <c r="AU302" s="1131"/>
      <c r="AV302" s="1131"/>
      <c r="AW302" s="1131"/>
      <c r="AX302" s="1131"/>
      <c r="AY302" s="1131"/>
      <c r="AZ302" s="1131"/>
      <c r="BA302" s="1131"/>
      <c r="BB302" s="1131"/>
      <c r="BC302" s="1131"/>
      <c r="BD302" s="1131"/>
      <c r="BE302" s="1131"/>
      <c r="BF302" s="1131"/>
      <c r="BG302" s="1131"/>
      <c r="BH302" s="1131"/>
      <c r="BI302" s="1131"/>
      <c r="BJ302" s="1131"/>
      <c r="BK302" s="1131"/>
      <c r="BL302" s="1131"/>
      <c r="BM302" s="1131"/>
      <c r="BN302" s="1131"/>
      <c r="BO302" s="1131"/>
      <c r="BP302" s="1131"/>
      <c r="BQ302" s="1131"/>
      <c r="BR302" s="1131"/>
      <c r="BS302" s="1131"/>
      <c r="BT302" s="1131"/>
      <c r="BU302" s="1131"/>
      <c r="BV302" s="1131"/>
      <c r="BW302" s="1131"/>
      <c r="BX302" s="1131"/>
      <c r="BY302" s="1131"/>
      <c r="BZ302" s="1131"/>
      <c r="CA302" s="1131"/>
      <c r="CB302" s="1131"/>
      <c r="CC302" s="1131"/>
      <c r="CD302" s="1131"/>
      <c r="CE302" s="1131"/>
      <c r="CF302" s="1131"/>
      <c r="CG302" s="1131"/>
      <c r="CH302" s="29"/>
      <c r="CI302" s="185"/>
      <c r="CJ302" s="17"/>
    </row>
    <row r="303" spans="1:88" s="3" customFormat="1" hidden="1">
      <c r="A303" s="243" t="str">
        <f t="shared" si="5"/>
        <v>OK</v>
      </c>
      <c r="B303" s="1126" t="str">
        <f>IF(CONSOLIDA!BH75="","",CONSOLIDA!BH75)</f>
        <v/>
      </c>
      <c r="C303" s="1126"/>
      <c r="D303" s="1134" t="str">
        <f>IF(CONSOLIDA!BJ75="","",CONSOLIDA!BJ75)</f>
        <v/>
      </c>
      <c r="E303" s="1135"/>
      <c r="F303" s="1135"/>
      <c r="G303" s="1129" t="str">
        <f>IF(CONSOLIDA!BK75="","",CONSOLIDA!BK75)</f>
        <v/>
      </c>
      <c r="H303" s="1129"/>
      <c r="I303" s="1129"/>
      <c r="J303" s="1129"/>
      <c r="K303" s="1129"/>
      <c r="L303" s="1129"/>
      <c r="M303" s="1129"/>
      <c r="N303" s="1129"/>
      <c r="O303" s="1129"/>
      <c r="P303" s="1129"/>
      <c r="Q303" s="1129"/>
      <c r="R303" s="1129"/>
      <c r="S303" s="1129"/>
      <c r="T303" s="1129"/>
      <c r="U303" s="1129"/>
      <c r="V303" s="1129"/>
      <c r="W303" s="1129"/>
      <c r="X303" s="1129"/>
      <c r="Y303" s="1129"/>
      <c r="Z303" s="1129"/>
      <c r="AA303" s="1129"/>
      <c r="AB303" s="1129"/>
      <c r="AC303" s="1129"/>
      <c r="AD303" s="1129"/>
      <c r="AE303" s="1130"/>
      <c r="AF303" s="1131"/>
      <c r="AG303" s="1131"/>
      <c r="AH303" s="1131"/>
      <c r="AI303" s="1131"/>
      <c r="AJ303" s="1131"/>
      <c r="AK303" s="1131"/>
      <c r="AL303" s="1131"/>
      <c r="AM303" s="1131"/>
      <c r="AN303" s="1131"/>
      <c r="AO303" s="1131"/>
      <c r="AP303" s="1131"/>
      <c r="AQ303" s="1131"/>
      <c r="AR303" s="1131"/>
      <c r="AS303" s="1131"/>
      <c r="AT303" s="1131"/>
      <c r="AU303" s="1131"/>
      <c r="AV303" s="1131"/>
      <c r="AW303" s="1131"/>
      <c r="AX303" s="1131"/>
      <c r="AY303" s="1131"/>
      <c r="AZ303" s="1131"/>
      <c r="BA303" s="1131"/>
      <c r="BB303" s="1131"/>
      <c r="BC303" s="1131"/>
      <c r="BD303" s="1131"/>
      <c r="BE303" s="1131"/>
      <c r="BF303" s="1131"/>
      <c r="BG303" s="1131"/>
      <c r="BH303" s="1131"/>
      <c r="BI303" s="1131"/>
      <c r="BJ303" s="1131"/>
      <c r="BK303" s="1131"/>
      <c r="BL303" s="1131"/>
      <c r="BM303" s="1131"/>
      <c r="BN303" s="1131"/>
      <c r="BO303" s="1131"/>
      <c r="BP303" s="1131"/>
      <c r="BQ303" s="1131"/>
      <c r="BR303" s="1131"/>
      <c r="BS303" s="1131"/>
      <c r="BT303" s="1131"/>
      <c r="BU303" s="1131"/>
      <c r="BV303" s="1131"/>
      <c r="BW303" s="1131"/>
      <c r="BX303" s="1131"/>
      <c r="BY303" s="1131"/>
      <c r="BZ303" s="1131"/>
      <c r="CA303" s="1131"/>
      <c r="CB303" s="1131"/>
      <c r="CC303" s="1131"/>
      <c r="CD303" s="1131"/>
      <c r="CE303" s="1131"/>
      <c r="CF303" s="1131"/>
      <c r="CG303" s="1131"/>
      <c r="CH303" s="29"/>
      <c r="CI303" s="185"/>
      <c r="CJ303" s="17"/>
    </row>
    <row r="304" spans="1:88" s="3" customFormat="1" hidden="1">
      <c r="A304" s="243" t="str">
        <f t="shared" si="5"/>
        <v>OK</v>
      </c>
      <c r="B304" s="1126" t="str">
        <f>IF(CONSOLIDA!BH76="","",CONSOLIDA!BH76)</f>
        <v/>
      </c>
      <c r="C304" s="1126"/>
      <c r="D304" s="1134" t="str">
        <f>IF(CONSOLIDA!BJ76="","",CONSOLIDA!BJ76)</f>
        <v/>
      </c>
      <c r="E304" s="1135"/>
      <c r="F304" s="1135"/>
      <c r="G304" s="1129" t="str">
        <f>IF(CONSOLIDA!BK76="","",CONSOLIDA!BK76)</f>
        <v/>
      </c>
      <c r="H304" s="1129"/>
      <c r="I304" s="1129"/>
      <c r="J304" s="1129"/>
      <c r="K304" s="1129"/>
      <c r="L304" s="1129"/>
      <c r="M304" s="1129"/>
      <c r="N304" s="1129"/>
      <c r="O304" s="1129"/>
      <c r="P304" s="1129"/>
      <c r="Q304" s="1129"/>
      <c r="R304" s="1129"/>
      <c r="S304" s="1129"/>
      <c r="T304" s="1129"/>
      <c r="U304" s="1129"/>
      <c r="V304" s="1129"/>
      <c r="W304" s="1129"/>
      <c r="X304" s="1129"/>
      <c r="Y304" s="1129"/>
      <c r="Z304" s="1129"/>
      <c r="AA304" s="1129"/>
      <c r="AB304" s="1129"/>
      <c r="AC304" s="1129"/>
      <c r="AD304" s="1129"/>
      <c r="AE304" s="1130"/>
      <c r="AF304" s="1131"/>
      <c r="AG304" s="1131"/>
      <c r="AH304" s="1131"/>
      <c r="AI304" s="1131"/>
      <c r="AJ304" s="1131"/>
      <c r="AK304" s="1131"/>
      <c r="AL304" s="1131"/>
      <c r="AM304" s="1131"/>
      <c r="AN304" s="1131"/>
      <c r="AO304" s="1131"/>
      <c r="AP304" s="1131"/>
      <c r="AQ304" s="1131"/>
      <c r="AR304" s="1131"/>
      <c r="AS304" s="1131"/>
      <c r="AT304" s="1131"/>
      <c r="AU304" s="1131"/>
      <c r="AV304" s="1131"/>
      <c r="AW304" s="1131"/>
      <c r="AX304" s="1131"/>
      <c r="AY304" s="1131"/>
      <c r="AZ304" s="1131"/>
      <c r="BA304" s="1131"/>
      <c r="BB304" s="1131"/>
      <c r="BC304" s="1131"/>
      <c r="BD304" s="1131"/>
      <c r="BE304" s="1131"/>
      <c r="BF304" s="1131"/>
      <c r="BG304" s="1131"/>
      <c r="BH304" s="1131"/>
      <c r="BI304" s="1131"/>
      <c r="BJ304" s="1131"/>
      <c r="BK304" s="1131"/>
      <c r="BL304" s="1131"/>
      <c r="BM304" s="1131"/>
      <c r="BN304" s="1131"/>
      <c r="BO304" s="1131"/>
      <c r="BP304" s="1131"/>
      <c r="BQ304" s="1131"/>
      <c r="BR304" s="1131"/>
      <c r="BS304" s="1131"/>
      <c r="BT304" s="1131"/>
      <c r="BU304" s="1131"/>
      <c r="BV304" s="1131"/>
      <c r="BW304" s="1131"/>
      <c r="BX304" s="1131"/>
      <c r="BY304" s="1131"/>
      <c r="BZ304" s="1131"/>
      <c r="CA304" s="1131"/>
      <c r="CB304" s="1131"/>
      <c r="CC304" s="1131"/>
      <c r="CD304" s="1131"/>
      <c r="CE304" s="1131"/>
      <c r="CF304" s="1131"/>
      <c r="CG304" s="1131"/>
      <c r="CH304" s="29"/>
      <c r="CI304" s="185"/>
      <c r="CJ304" s="17"/>
    </row>
    <row r="305" spans="1:88" s="3" customFormat="1" hidden="1">
      <c r="A305" s="243" t="str">
        <f t="shared" si="5"/>
        <v>OK</v>
      </c>
      <c r="B305" s="1126" t="str">
        <f>IF(CONSOLIDA!BH77="","",CONSOLIDA!BH77)</f>
        <v/>
      </c>
      <c r="C305" s="1126"/>
      <c r="D305" s="1134" t="str">
        <f>IF(CONSOLIDA!BJ77="","",CONSOLIDA!BJ77)</f>
        <v/>
      </c>
      <c r="E305" s="1135"/>
      <c r="F305" s="1135"/>
      <c r="G305" s="1129" t="str">
        <f>IF(CONSOLIDA!BK77="","",CONSOLIDA!BK77)</f>
        <v/>
      </c>
      <c r="H305" s="1129"/>
      <c r="I305" s="1129"/>
      <c r="J305" s="1129"/>
      <c r="K305" s="1129"/>
      <c r="L305" s="1129"/>
      <c r="M305" s="1129"/>
      <c r="N305" s="1129"/>
      <c r="O305" s="1129"/>
      <c r="P305" s="1129"/>
      <c r="Q305" s="1129"/>
      <c r="R305" s="1129"/>
      <c r="S305" s="1129"/>
      <c r="T305" s="1129"/>
      <c r="U305" s="1129"/>
      <c r="V305" s="1129"/>
      <c r="W305" s="1129"/>
      <c r="X305" s="1129"/>
      <c r="Y305" s="1129"/>
      <c r="Z305" s="1129"/>
      <c r="AA305" s="1129"/>
      <c r="AB305" s="1129"/>
      <c r="AC305" s="1129"/>
      <c r="AD305" s="1129"/>
      <c r="AE305" s="1130"/>
      <c r="AF305" s="1131"/>
      <c r="AG305" s="1131"/>
      <c r="AH305" s="1131"/>
      <c r="AI305" s="1131"/>
      <c r="AJ305" s="1131"/>
      <c r="AK305" s="1131"/>
      <c r="AL305" s="1131"/>
      <c r="AM305" s="1131"/>
      <c r="AN305" s="1131"/>
      <c r="AO305" s="1131"/>
      <c r="AP305" s="1131"/>
      <c r="AQ305" s="1131"/>
      <c r="AR305" s="1131"/>
      <c r="AS305" s="1131"/>
      <c r="AT305" s="1131"/>
      <c r="AU305" s="1131"/>
      <c r="AV305" s="1131"/>
      <c r="AW305" s="1131"/>
      <c r="AX305" s="1131"/>
      <c r="AY305" s="1131"/>
      <c r="AZ305" s="1131"/>
      <c r="BA305" s="1131"/>
      <c r="BB305" s="1131"/>
      <c r="BC305" s="1131"/>
      <c r="BD305" s="1131"/>
      <c r="BE305" s="1131"/>
      <c r="BF305" s="1131"/>
      <c r="BG305" s="1131"/>
      <c r="BH305" s="1131"/>
      <c r="BI305" s="1131"/>
      <c r="BJ305" s="1131"/>
      <c r="BK305" s="1131"/>
      <c r="BL305" s="1131"/>
      <c r="BM305" s="1131"/>
      <c r="BN305" s="1131"/>
      <c r="BO305" s="1131"/>
      <c r="BP305" s="1131"/>
      <c r="BQ305" s="1131"/>
      <c r="BR305" s="1131"/>
      <c r="BS305" s="1131"/>
      <c r="BT305" s="1131"/>
      <c r="BU305" s="1131"/>
      <c r="BV305" s="1131"/>
      <c r="BW305" s="1131"/>
      <c r="BX305" s="1131"/>
      <c r="BY305" s="1131"/>
      <c r="BZ305" s="1131"/>
      <c r="CA305" s="1131"/>
      <c r="CB305" s="1131"/>
      <c r="CC305" s="1131"/>
      <c r="CD305" s="1131"/>
      <c r="CE305" s="1131"/>
      <c r="CF305" s="1131"/>
      <c r="CG305" s="1131"/>
      <c r="CH305" s="29"/>
      <c r="CI305" s="185"/>
      <c r="CJ305" s="17"/>
    </row>
    <row r="306" spans="1:88" s="3" customFormat="1" hidden="1">
      <c r="A306" s="243" t="str">
        <f t="shared" si="5"/>
        <v>OK</v>
      </c>
      <c r="B306" s="1126" t="str">
        <f>IF(CONSOLIDA!BH78="","",CONSOLIDA!BH78)</f>
        <v/>
      </c>
      <c r="C306" s="1126"/>
      <c r="D306" s="1134" t="str">
        <f>IF(CONSOLIDA!BJ78="","",CONSOLIDA!BJ78)</f>
        <v/>
      </c>
      <c r="E306" s="1135"/>
      <c r="F306" s="1135"/>
      <c r="G306" s="1129" t="str">
        <f>IF(CONSOLIDA!BK78="","",CONSOLIDA!BK78)</f>
        <v/>
      </c>
      <c r="H306" s="1129"/>
      <c r="I306" s="1129"/>
      <c r="J306" s="1129"/>
      <c r="K306" s="1129"/>
      <c r="L306" s="1129"/>
      <c r="M306" s="1129"/>
      <c r="N306" s="1129"/>
      <c r="O306" s="1129"/>
      <c r="P306" s="1129"/>
      <c r="Q306" s="1129"/>
      <c r="R306" s="1129"/>
      <c r="S306" s="1129"/>
      <c r="T306" s="1129"/>
      <c r="U306" s="1129"/>
      <c r="V306" s="1129"/>
      <c r="W306" s="1129"/>
      <c r="X306" s="1129"/>
      <c r="Y306" s="1129"/>
      <c r="Z306" s="1129"/>
      <c r="AA306" s="1129"/>
      <c r="AB306" s="1129"/>
      <c r="AC306" s="1129"/>
      <c r="AD306" s="1129"/>
      <c r="AE306" s="1130"/>
      <c r="AF306" s="1131"/>
      <c r="AG306" s="1131"/>
      <c r="AH306" s="1131"/>
      <c r="AI306" s="1131"/>
      <c r="AJ306" s="1131"/>
      <c r="AK306" s="1131"/>
      <c r="AL306" s="1131"/>
      <c r="AM306" s="1131"/>
      <c r="AN306" s="1131"/>
      <c r="AO306" s="1131"/>
      <c r="AP306" s="1131"/>
      <c r="AQ306" s="1131"/>
      <c r="AR306" s="1131"/>
      <c r="AS306" s="1131"/>
      <c r="AT306" s="1131"/>
      <c r="AU306" s="1131"/>
      <c r="AV306" s="1131"/>
      <c r="AW306" s="1131"/>
      <c r="AX306" s="1131"/>
      <c r="AY306" s="1131"/>
      <c r="AZ306" s="1131"/>
      <c r="BA306" s="1131"/>
      <c r="BB306" s="1131"/>
      <c r="BC306" s="1131"/>
      <c r="BD306" s="1131"/>
      <c r="BE306" s="1131"/>
      <c r="BF306" s="1131"/>
      <c r="BG306" s="1131"/>
      <c r="BH306" s="1131"/>
      <c r="BI306" s="1131"/>
      <c r="BJ306" s="1131"/>
      <c r="BK306" s="1131"/>
      <c r="BL306" s="1131"/>
      <c r="BM306" s="1131"/>
      <c r="BN306" s="1131"/>
      <c r="BO306" s="1131"/>
      <c r="BP306" s="1131"/>
      <c r="BQ306" s="1131"/>
      <c r="BR306" s="1131"/>
      <c r="BS306" s="1131"/>
      <c r="BT306" s="1131"/>
      <c r="BU306" s="1131"/>
      <c r="BV306" s="1131"/>
      <c r="BW306" s="1131"/>
      <c r="BX306" s="1131"/>
      <c r="BY306" s="1131"/>
      <c r="BZ306" s="1131"/>
      <c r="CA306" s="1131"/>
      <c r="CB306" s="1131"/>
      <c r="CC306" s="1131"/>
      <c r="CD306" s="1131"/>
      <c r="CE306" s="1131"/>
      <c r="CF306" s="1131"/>
      <c r="CG306" s="1131"/>
      <c r="CH306" s="29"/>
      <c r="CI306" s="185"/>
      <c r="CJ306" s="17"/>
    </row>
    <row r="307" spans="1:88" s="3" customFormat="1" hidden="1">
      <c r="A307" s="243" t="str">
        <f t="shared" si="5"/>
        <v>OK</v>
      </c>
      <c r="B307" s="1126" t="str">
        <f>IF(CONSOLIDA!BH79="","",CONSOLIDA!BH79)</f>
        <v/>
      </c>
      <c r="C307" s="1126"/>
      <c r="D307" s="1134" t="str">
        <f>IF(CONSOLIDA!BJ79="","",CONSOLIDA!BJ79)</f>
        <v/>
      </c>
      <c r="E307" s="1135"/>
      <c r="F307" s="1135"/>
      <c r="G307" s="1129" t="str">
        <f>IF(CONSOLIDA!BK79="","",CONSOLIDA!BK79)</f>
        <v/>
      </c>
      <c r="H307" s="1129"/>
      <c r="I307" s="1129"/>
      <c r="J307" s="1129"/>
      <c r="K307" s="1129"/>
      <c r="L307" s="1129"/>
      <c r="M307" s="1129"/>
      <c r="N307" s="1129"/>
      <c r="O307" s="1129"/>
      <c r="P307" s="1129"/>
      <c r="Q307" s="1129"/>
      <c r="R307" s="1129"/>
      <c r="S307" s="1129"/>
      <c r="T307" s="1129"/>
      <c r="U307" s="1129"/>
      <c r="V307" s="1129"/>
      <c r="W307" s="1129"/>
      <c r="X307" s="1129"/>
      <c r="Y307" s="1129"/>
      <c r="Z307" s="1129"/>
      <c r="AA307" s="1129"/>
      <c r="AB307" s="1129"/>
      <c r="AC307" s="1129"/>
      <c r="AD307" s="1129"/>
      <c r="AE307" s="1130"/>
      <c r="AF307" s="1131"/>
      <c r="AG307" s="1131"/>
      <c r="AH307" s="1131"/>
      <c r="AI307" s="1131"/>
      <c r="AJ307" s="1131"/>
      <c r="AK307" s="1131"/>
      <c r="AL307" s="1131"/>
      <c r="AM307" s="1131"/>
      <c r="AN307" s="1131"/>
      <c r="AO307" s="1131"/>
      <c r="AP307" s="1131"/>
      <c r="AQ307" s="1131"/>
      <c r="AR307" s="1131"/>
      <c r="AS307" s="1131"/>
      <c r="AT307" s="1131"/>
      <c r="AU307" s="1131"/>
      <c r="AV307" s="1131"/>
      <c r="AW307" s="1131"/>
      <c r="AX307" s="1131"/>
      <c r="AY307" s="1131"/>
      <c r="AZ307" s="1131"/>
      <c r="BA307" s="1131"/>
      <c r="BB307" s="1131"/>
      <c r="BC307" s="1131"/>
      <c r="BD307" s="1131"/>
      <c r="BE307" s="1131"/>
      <c r="BF307" s="1131"/>
      <c r="BG307" s="1131"/>
      <c r="BH307" s="1131"/>
      <c r="BI307" s="1131"/>
      <c r="BJ307" s="1131"/>
      <c r="BK307" s="1131"/>
      <c r="BL307" s="1131"/>
      <c r="BM307" s="1131"/>
      <c r="BN307" s="1131"/>
      <c r="BO307" s="1131"/>
      <c r="BP307" s="1131"/>
      <c r="BQ307" s="1131"/>
      <c r="BR307" s="1131"/>
      <c r="BS307" s="1131"/>
      <c r="BT307" s="1131"/>
      <c r="BU307" s="1131"/>
      <c r="BV307" s="1131"/>
      <c r="BW307" s="1131"/>
      <c r="BX307" s="1131"/>
      <c r="BY307" s="1131"/>
      <c r="BZ307" s="1131"/>
      <c r="CA307" s="1131"/>
      <c r="CB307" s="1131"/>
      <c r="CC307" s="1131"/>
      <c r="CD307" s="1131"/>
      <c r="CE307" s="1131"/>
      <c r="CF307" s="1131"/>
      <c r="CG307" s="1131"/>
      <c r="CH307" s="29"/>
      <c r="CI307" s="185"/>
      <c r="CJ307" s="17"/>
    </row>
    <row r="308" spans="1:88" s="3" customFormat="1" hidden="1">
      <c r="A308" s="243" t="str">
        <f t="shared" si="5"/>
        <v>OK</v>
      </c>
      <c r="B308" s="1126" t="str">
        <f>IF(CONSOLIDA!BH80="","",CONSOLIDA!BH80)</f>
        <v/>
      </c>
      <c r="C308" s="1126"/>
      <c r="D308" s="1134" t="str">
        <f>IF(CONSOLIDA!BJ80="","",CONSOLIDA!BJ80)</f>
        <v/>
      </c>
      <c r="E308" s="1135"/>
      <c r="F308" s="1135"/>
      <c r="G308" s="1129" t="str">
        <f>IF(CONSOLIDA!BK80="","",CONSOLIDA!BK80)</f>
        <v/>
      </c>
      <c r="H308" s="1129"/>
      <c r="I308" s="1129"/>
      <c r="J308" s="1129"/>
      <c r="K308" s="1129"/>
      <c r="L308" s="1129"/>
      <c r="M308" s="1129"/>
      <c r="N308" s="1129"/>
      <c r="O308" s="1129"/>
      <c r="P308" s="1129"/>
      <c r="Q308" s="1129"/>
      <c r="R308" s="1129"/>
      <c r="S308" s="1129"/>
      <c r="T308" s="1129"/>
      <c r="U308" s="1129"/>
      <c r="V308" s="1129"/>
      <c r="W308" s="1129"/>
      <c r="X308" s="1129"/>
      <c r="Y308" s="1129"/>
      <c r="Z308" s="1129"/>
      <c r="AA308" s="1129"/>
      <c r="AB308" s="1129"/>
      <c r="AC308" s="1129"/>
      <c r="AD308" s="1129"/>
      <c r="AE308" s="1130"/>
      <c r="AF308" s="1131"/>
      <c r="AG308" s="1131"/>
      <c r="AH308" s="1131"/>
      <c r="AI308" s="1131"/>
      <c r="AJ308" s="1131"/>
      <c r="AK308" s="1131"/>
      <c r="AL308" s="1131"/>
      <c r="AM308" s="1131"/>
      <c r="AN308" s="1131"/>
      <c r="AO308" s="1131"/>
      <c r="AP308" s="1131"/>
      <c r="AQ308" s="1131"/>
      <c r="AR308" s="1131"/>
      <c r="AS308" s="1131"/>
      <c r="AT308" s="1131"/>
      <c r="AU308" s="1131"/>
      <c r="AV308" s="1131"/>
      <c r="AW308" s="1131"/>
      <c r="AX308" s="1131"/>
      <c r="AY308" s="1131"/>
      <c r="AZ308" s="1131"/>
      <c r="BA308" s="1131"/>
      <c r="BB308" s="1131"/>
      <c r="BC308" s="1131"/>
      <c r="BD308" s="1131"/>
      <c r="BE308" s="1131"/>
      <c r="BF308" s="1131"/>
      <c r="BG308" s="1131"/>
      <c r="BH308" s="1131"/>
      <c r="BI308" s="1131"/>
      <c r="BJ308" s="1131"/>
      <c r="BK308" s="1131"/>
      <c r="BL308" s="1131"/>
      <c r="BM308" s="1131"/>
      <c r="BN308" s="1131"/>
      <c r="BO308" s="1131"/>
      <c r="BP308" s="1131"/>
      <c r="BQ308" s="1131"/>
      <c r="BR308" s="1131"/>
      <c r="BS308" s="1131"/>
      <c r="BT308" s="1131"/>
      <c r="BU308" s="1131"/>
      <c r="BV308" s="1131"/>
      <c r="BW308" s="1131"/>
      <c r="BX308" s="1131"/>
      <c r="BY308" s="1131"/>
      <c r="BZ308" s="1131"/>
      <c r="CA308" s="1131"/>
      <c r="CB308" s="1131"/>
      <c r="CC308" s="1131"/>
      <c r="CD308" s="1131"/>
      <c r="CE308" s="1131"/>
      <c r="CF308" s="1131"/>
      <c r="CG308" s="1131"/>
      <c r="CH308" s="29"/>
      <c r="CI308" s="185"/>
      <c r="CJ308" s="17"/>
    </row>
    <row r="309" spans="1:88" s="3" customFormat="1" hidden="1">
      <c r="A309" s="243" t="str">
        <f t="shared" si="5"/>
        <v>OK</v>
      </c>
      <c r="B309" s="1126" t="str">
        <f>IF(CONSOLIDA!BH81="","",CONSOLIDA!BH81)</f>
        <v/>
      </c>
      <c r="C309" s="1126"/>
      <c r="D309" s="1134" t="str">
        <f>IF(CONSOLIDA!BJ81="","",CONSOLIDA!BJ81)</f>
        <v/>
      </c>
      <c r="E309" s="1135"/>
      <c r="F309" s="1135"/>
      <c r="G309" s="1129" t="str">
        <f>IF(CONSOLIDA!BK81="","",CONSOLIDA!BK81)</f>
        <v/>
      </c>
      <c r="H309" s="1129"/>
      <c r="I309" s="1129"/>
      <c r="J309" s="1129"/>
      <c r="K309" s="1129"/>
      <c r="L309" s="1129"/>
      <c r="M309" s="1129"/>
      <c r="N309" s="1129"/>
      <c r="O309" s="1129"/>
      <c r="P309" s="1129"/>
      <c r="Q309" s="1129"/>
      <c r="R309" s="1129"/>
      <c r="S309" s="1129"/>
      <c r="T309" s="1129"/>
      <c r="U309" s="1129"/>
      <c r="V309" s="1129"/>
      <c r="W309" s="1129"/>
      <c r="X309" s="1129"/>
      <c r="Y309" s="1129"/>
      <c r="Z309" s="1129"/>
      <c r="AA309" s="1129"/>
      <c r="AB309" s="1129"/>
      <c r="AC309" s="1129"/>
      <c r="AD309" s="1129"/>
      <c r="AE309" s="1130"/>
      <c r="AF309" s="1131"/>
      <c r="AG309" s="1131"/>
      <c r="AH309" s="1131"/>
      <c r="AI309" s="1131"/>
      <c r="AJ309" s="1131"/>
      <c r="AK309" s="1131"/>
      <c r="AL309" s="1131"/>
      <c r="AM309" s="1131"/>
      <c r="AN309" s="1131"/>
      <c r="AO309" s="1131"/>
      <c r="AP309" s="1131"/>
      <c r="AQ309" s="1131"/>
      <c r="AR309" s="1131"/>
      <c r="AS309" s="1131"/>
      <c r="AT309" s="1131"/>
      <c r="AU309" s="1131"/>
      <c r="AV309" s="1131"/>
      <c r="AW309" s="1131"/>
      <c r="AX309" s="1131"/>
      <c r="AY309" s="1131"/>
      <c r="AZ309" s="1131"/>
      <c r="BA309" s="1131"/>
      <c r="BB309" s="1131"/>
      <c r="BC309" s="1131"/>
      <c r="BD309" s="1131"/>
      <c r="BE309" s="1131"/>
      <c r="BF309" s="1131"/>
      <c r="BG309" s="1131"/>
      <c r="BH309" s="1131"/>
      <c r="BI309" s="1131"/>
      <c r="BJ309" s="1131"/>
      <c r="BK309" s="1131"/>
      <c r="BL309" s="1131"/>
      <c r="BM309" s="1131"/>
      <c r="BN309" s="1131"/>
      <c r="BO309" s="1131"/>
      <c r="BP309" s="1131"/>
      <c r="BQ309" s="1131"/>
      <c r="BR309" s="1131"/>
      <c r="BS309" s="1131"/>
      <c r="BT309" s="1131"/>
      <c r="BU309" s="1131"/>
      <c r="BV309" s="1131"/>
      <c r="BW309" s="1131"/>
      <c r="BX309" s="1131"/>
      <c r="BY309" s="1131"/>
      <c r="BZ309" s="1131"/>
      <c r="CA309" s="1131"/>
      <c r="CB309" s="1131"/>
      <c r="CC309" s="1131"/>
      <c r="CD309" s="1131"/>
      <c r="CE309" s="1131"/>
      <c r="CF309" s="1131"/>
      <c r="CG309" s="1131"/>
      <c r="CH309" s="29"/>
      <c r="CI309" s="185"/>
      <c r="CJ309" s="17"/>
    </row>
    <row r="310" spans="1:88" s="3" customFormat="1" hidden="1">
      <c r="A310" s="243" t="str">
        <f t="shared" si="5"/>
        <v>OK</v>
      </c>
      <c r="B310" s="1126" t="str">
        <f>IF(CONSOLIDA!BH82="","",CONSOLIDA!BH82)</f>
        <v/>
      </c>
      <c r="C310" s="1126"/>
      <c r="D310" s="1134" t="str">
        <f>IF(CONSOLIDA!BJ82="","",CONSOLIDA!BJ82)</f>
        <v/>
      </c>
      <c r="E310" s="1135"/>
      <c r="F310" s="1135"/>
      <c r="G310" s="1129" t="str">
        <f>IF(CONSOLIDA!BK82="","",CONSOLIDA!BK82)</f>
        <v/>
      </c>
      <c r="H310" s="1129"/>
      <c r="I310" s="1129"/>
      <c r="J310" s="1129"/>
      <c r="K310" s="1129"/>
      <c r="L310" s="1129"/>
      <c r="M310" s="1129"/>
      <c r="N310" s="1129"/>
      <c r="O310" s="1129"/>
      <c r="P310" s="1129"/>
      <c r="Q310" s="1129"/>
      <c r="R310" s="1129"/>
      <c r="S310" s="1129"/>
      <c r="T310" s="1129"/>
      <c r="U310" s="1129"/>
      <c r="V310" s="1129"/>
      <c r="W310" s="1129"/>
      <c r="X310" s="1129"/>
      <c r="Y310" s="1129"/>
      <c r="Z310" s="1129"/>
      <c r="AA310" s="1129"/>
      <c r="AB310" s="1129"/>
      <c r="AC310" s="1129"/>
      <c r="AD310" s="1129"/>
      <c r="AE310" s="1130"/>
      <c r="AF310" s="1131"/>
      <c r="AG310" s="1131"/>
      <c r="AH310" s="1131"/>
      <c r="AI310" s="1131"/>
      <c r="AJ310" s="1131"/>
      <c r="AK310" s="1131"/>
      <c r="AL310" s="1131"/>
      <c r="AM310" s="1131"/>
      <c r="AN310" s="1131"/>
      <c r="AO310" s="1131"/>
      <c r="AP310" s="1131"/>
      <c r="AQ310" s="1131"/>
      <c r="AR310" s="1131"/>
      <c r="AS310" s="1131"/>
      <c r="AT310" s="1131"/>
      <c r="AU310" s="1131"/>
      <c r="AV310" s="1131"/>
      <c r="AW310" s="1131"/>
      <c r="AX310" s="1131"/>
      <c r="AY310" s="1131"/>
      <c r="AZ310" s="1131"/>
      <c r="BA310" s="1131"/>
      <c r="BB310" s="1131"/>
      <c r="BC310" s="1131"/>
      <c r="BD310" s="1131"/>
      <c r="BE310" s="1131"/>
      <c r="BF310" s="1131"/>
      <c r="BG310" s="1131"/>
      <c r="BH310" s="1131"/>
      <c r="BI310" s="1131"/>
      <c r="BJ310" s="1131"/>
      <c r="BK310" s="1131"/>
      <c r="BL310" s="1131"/>
      <c r="BM310" s="1131"/>
      <c r="BN310" s="1131"/>
      <c r="BO310" s="1131"/>
      <c r="BP310" s="1131"/>
      <c r="BQ310" s="1131"/>
      <c r="BR310" s="1131"/>
      <c r="BS310" s="1131"/>
      <c r="BT310" s="1131"/>
      <c r="BU310" s="1131"/>
      <c r="BV310" s="1131"/>
      <c r="BW310" s="1131"/>
      <c r="BX310" s="1131"/>
      <c r="BY310" s="1131"/>
      <c r="BZ310" s="1131"/>
      <c r="CA310" s="1131"/>
      <c r="CB310" s="1131"/>
      <c r="CC310" s="1131"/>
      <c r="CD310" s="1131"/>
      <c r="CE310" s="1131"/>
      <c r="CF310" s="1131"/>
      <c r="CG310" s="1131"/>
      <c r="CH310" s="29"/>
      <c r="CI310" s="185"/>
      <c r="CJ310" s="17"/>
    </row>
    <row r="311" spans="1:88" s="3" customFormat="1" hidden="1">
      <c r="A311" s="243" t="str">
        <f t="shared" si="5"/>
        <v>OK</v>
      </c>
      <c r="B311" s="1126" t="str">
        <f>IF(CONSOLIDA!BH83="","",CONSOLIDA!BH83)</f>
        <v/>
      </c>
      <c r="C311" s="1126"/>
      <c r="D311" s="1134" t="str">
        <f>IF(CONSOLIDA!BJ83="","",CONSOLIDA!BJ83)</f>
        <v/>
      </c>
      <c r="E311" s="1135"/>
      <c r="F311" s="1135"/>
      <c r="G311" s="1129" t="str">
        <f>IF(CONSOLIDA!BK83="","",CONSOLIDA!BK83)</f>
        <v/>
      </c>
      <c r="H311" s="1129"/>
      <c r="I311" s="1129"/>
      <c r="J311" s="1129"/>
      <c r="K311" s="1129"/>
      <c r="L311" s="1129"/>
      <c r="M311" s="1129"/>
      <c r="N311" s="1129"/>
      <c r="O311" s="1129"/>
      <c r="P311" s="1129"/>
      <c r="Q311" s="1129"/>
      <c r="R311" s="1129"/>
      <c r="S311" s="1129"/>
      <c r="T311" s="1129"/>
      <c r="U311" s="1129"/>
      <c r="V311" s="1129"/>
      <c r="W311" s="1129"/>
      <c r="X311" s="1129"/>
      <c r="Y311" s="1129"/>
      <c r="Z311" s="1129"/>
      <c r="AA311" s="1129"/>
      <c r="AB311" s="1129"/>
      <c r="AC311" s="1129"/>
      <c r="AD311" s="1129"/>
      <c r="AE311" s="1130"/>
      <c r="AF311" s="1131"/>
      <c r="AG311" s="1131"/>
      <c r="AH311" s="1131"/>
      <c r="AI311" s="1131"/>
      <c r="AJ311" s="1131"/>
      <c r="AK311" s="1131"/>
      <c r="AL311" s="1131"/>
      <c r="AM311" s="1131"/>
      <c r="AN311" s="1131"/>
      <c r="AO311" s="1131"/>
      <c r="AP311" s="1131"/>
      <c r="AQ311" s="1131"/>
      <c r="AR311" s="1131"/>
      <c r="AS311" s="1131"/>
      <c r="AT311" s="1131"/>
      <c r="AU311" s="1131"/>
      <c r="AV311" s="1131"/>
      <c r="AW311" s="1131"/>
      <c r="AX311" s="1131"/>
      <c r="AY311" s="1131"/>
      <c r="AZ311" s="1131"/>
      <c r="BA311" s="1131"/>
      <c r="BB311" s="1131"/>
      <c r="BC311" s="1131"/>
      <c r="BD311" s="1131"/>
      <c r="BE311" s="1131"/>
      <c r="BF311" s="1131"/>
      <c r="BG311" s="1131"/>
      <c r="BH311" s="1131"/>
      <c r="BI311" s="1131"/>
      <c r="BJ311" s="1131"/>
      <c r="BK311" s="1131"/>
      <c r="BL311" s="1131"/>
      <c r="BM311" s="1131"/>
      <c r="BN311" s="1131"/>
      <c r="BO311" s="1131"/>
      <c r="BP311" s="1131"/>
      <c r="BQ311" s="1131"/>
      <c r="BR311" s="1131"/>
      <c r="BS311" s="1131"/>
      <c r="BT311" s="1131"/>
      <c r="BU311" s="1131"/>
      <c r="BV311" s="1131"/>
      <c r="BW311" s="1131"/>
      <c r="BX311" s="1131"/>
      <c r="BY311" s="1131"/>
      <c r="BZ311" s="1131"/>
      <c r="CA311" s="1131"/>
      <c r="CB311" s="1131"/>
      <c r="CC311" s="1131"/>
      <c r="CD311" s="1131"/>
      <c r="CE311" s="1131"/>
      <c r="CF311" s="1131"/>
      <c r="CG311" s="1131"/>
      <c r="CH311" s="29"/>
      <c r="CI311" s="185"/>
      <c r="CJ311" s="17"/>
    </row>
    <row r="312" spans="1:88" s="3" customFormat="1" hidden="1">
      <c r="A312" s="243" t="str">
        <f t="shared" si="5"/>
        <v>OK</v>
      </c>
      <c r="B312" s="1126" t="str">
        <f>IF(CONSOLIDA!BH84="","",CONSOLIDA!BH84)</f>
        <v/>
      </c>
      <c r="C312" s="1126"/>
      <c r="D312" s="1134" t="str">
        <f>IF(CONSOLIDA!BJ84="","",CONSOLIDA!BJ84)</f>
        <v/>
      </c>
      <c r="E312" s="1135"/>
      <c r="F312" s="1135"/>
      <c r="G312" s="1129" t="str">
        <f>IF(CONSOLIDA!BK84="","",CONSOLIDA!BK84)</f>
        <v/>
      </c>
      <c r="H312" s="1129"/>
      <c r="I312" s="1129"/>
      <c r="J312" s="1129"/>
      <c r="K312" s="1129"/>
      <c r="L312" s="1129"/>
      <c r="M312" s="1129"/>
      <c r="N312" s="1129"/>
      <c r="O312" s="1129"/>
      <c r="P312" s="1129"/>
      <c r="Q312" s="1129"/>
      <c r="R312" s="1129"/>
      <c r="S312" s="1129"/>
      <c r="T312" s="1129"/>
      <c r="U312" s="1129"/>
      <c r="V312" s="1129"/>
      <c r="W312" s="1129"/>
      <c r="X312" s="1129"/>
      <c r="Y312" s="1129"/>
      <c r="Z312" s="1129"/>
      <c r="AA312" s="1129"/>
      <c r="AB312" s="1129"/>
      <c r="AC312" s="1129"/>
      <c r="AD312" s="1129"/>
      <c r="AE312" s="1130"/>
      <c r="AF312" s="1131"/>
      <c r="AG312" s="1131"/>
      <c r="AH312" s="1131"/>
      <c r="AI312" s="1131"/>
      <c r="AJ312" s="1131"/>
      <c r="AK312" s="1131"/>
      <c r="AL312" s="1131"/>
      <c r="AM312" s="1131"/>
      <c r="AN312" s="1131"/>
      <c r="AO312" s="1131"/>
      <c r="AP312" s="1131"/>
      <c r="AQ312" s="1131"/>
      <c r="AR312" s="1131"/>
      <c r="AS312" s="1131"/>
      <c r="AT312" s="1131"/>
      <c r="AU312" s="1131"/>
      <c r="AV312" s="1131"/>
      <c r="AW312" s="1131"/>
      <c r="AX312" s="1131"/>
      <c r="AY312" s="1131"/>
      <c r="AZ312" s="1131"/>
      <c r="BA312" s="1131"/>
      <c r="BB312" s="1131"/>
      <c r="BC312" s="1131"/>
      <c r="BD312" s="1131"/>
      <c r="BE312" s="1131"/>
      <c r="BF312" s="1131"/>
      <c r="BG312" s="1131"/>
      <c r="BH312" s="1131"/>
      <c r="BI312" s="1131"/>
      <c r="BJ312" s="1131"/>
      <c r="BK312" s="1131"/>
      <c r="BL312" s="1131"/>
      <c r="BM312" s="1131"/>
      <c r="BN312" s="1131"/>
      <c r="BO312" s="1131"/>
      <c r="BP312" s="1131"/>
      <c r="BQ312" s="1131"/>
      <c r="BR312" s="1131"/>
      <c r="BS312" s="1131"/>
      <c r="BT312" s="1131"/>
      <c r="BU312" s="1131"/>
      <c r="BV312" s="1131"/>
      <c r="BW312" s="1131"/>
      <c r="BX312" s="1131"/>
      <c r="BY312" s="1131"/>
      <c r="BZ312" s="1131"/>
      <c r="CA312" s="1131"/>
      <c r="CB312" s="1131"/>
      <c r="CC312" s="1131"/>
      <c r="CD312" s="1131"/>
      <c r="CE312" s="1131"/>
      <c r="CF312" s="1131"/>
      <c r="CG312" s="1131"/>
      <c r="CH312" s="29"/>
      <c r="CI312" s="185"/>
      <c r="CJ312" s="17"/>
    </row>
    <row r="313" spans="1:88" s="3" customFormat="1" hidden="1">
      <c r="A313" s="243" t="str">
        <f t="shared" si="5"/>
        <v>OK</v>
      </c>
      <c r="B313" s="1126" t="str">
        <f>IF(CONSOLIDA!BH85="","",CONSOLIDA!BH85)</f>
        <v/>
      </c>
      <c r="C313" s="1126"/>
      <c r="D313" s="1134" t="str">
        <f>IF(CONSOLIDA!BJ85="","",CONSOLIDA!BJ85)</f>
        <v/>
      </c>
      <c r="E313" s="1135"/>
      <c r="F313" s="1135"/>
      <c r="G313" s="1129" t="str">
        <f>IF(CONSOLIDA!BK85="","",CONSOLIDA!BK85)</f>
        <v/>
      </c>
      <c r="H313" s="1129"/>
      <c r="I313" s="1129"/>
      <c r="J313" s="1129"/>
      <c r="K313" s="1129"/>
      <c r="L313" s="1129"/>
      <c r="M313" s="1129"/>
      <c r="N313" s="1129"/>
      <c r="O313" s="1129"/>
      <c r="P313" s="1129"/>
      <c r="Q313" s="1129"/>
      <c r="R313" s="1129"/>
      <c r="S313" s="1129"/>
      <c r="T313" s="1129"/>
      <c r="U313" s="1129"/>
      <c r="V313" s="1129"/>
      <c r="W313" s="1129"/>
      <c r="X313" s="1129"/>
      <c r="Y313" s="1129"/>
      <c r="Z313" s="1129"/>
      <c r="AA313" s="1129"/>
      <c r="AB313" s="1129"/>
      <c r="AC313" s="1129"/>
      <c r="AD313" s="1129"/>
      <c r="AE313" s="1130"/>
      <c r="AF313" s="1131"/>
      <c r="AG313" s="1131"/>
      <c r="AH313" s="1131"/>
      <c r="AI313" s="1131"/>
      <c r="AJ313" s="1131"/>
      <c r="AK313" s="1131"/>
      <c r="AL313" s="1131"/>
      <c r="AM313" s="1131"/>
      <c r="AN313" s="1131"/>
      <c r="AO313" s="1131"/>
      <c r="AP313" s="1131"/>
      <c r="AQ313" s="1131"/>
      <c r="AR313" s="1131"/>
      <c r="AS313" s="1131"/>
      <c r="AT313" s="1131"/>
      <c r="AU313" s="1131"/>
      <c r="AV313" s="1131"/>
      <c r="AW313" s="1131"/>
      <c r="AX313" s="1131"/>
      <c r="AY313" s="1131"/>
      <c r="AZ313" s="1131"/>
      <c r="BA313" s="1131"/>
      <c r="BB313" s="1131"/>
      <c r="BC313" s="1131"/>
      <c r="BD313" s="1131"/>
      <c r="BE313" s="1131"/>
      <c r="BF313" s="1131"/>
      <c r="BG313" s="1131"/>
      <c r="BH313" s="1131"/>
      <c r="BI313" s="1131"/>
      <c r="BJ313" s="1131"/>
      <c r="BK313" s="1131"/>
      <c r="BL313" s="1131"/>
      <c r="BM313" s="1131"/>
      <c r="BN313" s="1131"/>
      <c r="BO313" s="1131"/>
      <c r="BP313" s="1131"/>
      <c r="BQ313" s="1131"/>
      <c r="BR313" s="1131"/>
      <c r="BS313" s="1131"/>
      <c r="BT313" s="1131"/>
      <c r="BU313" s="1131"/>
      <c r="BV313" s="1131"/>
      <c r="BW313" s="1131"/>
      <c r="BX313" s="1131"/>
      <c r="BY313" s="1131"/>
      <c r="BZ313" s="1131"/>
      <c r="CA313" s="1131"/>
      <c r="CB313" s="1131"/>
      <c r="CC313" s="1131"/>
      <c r="CD313" s="1131"/>
      <c r="CE313" s="1131"/>
      <c r="CF313" s="1131"/>
      <c r="CG313" s="1131"/>
      <c r="CH313" s="29"/>
      <c r="CI313" s="185"/>
      <c r="CJ313" s="17"/>
    </row>
    <row r="314" spans="1:88" s="3" customFormat="1" hidden="1">
      <c r="A314" s="243" t="str">
        <f t="shared" si="5"/>
        <v>OK</v>
      </c>
      <c r="B314" s="1126" t="str">
        <f>IF(CONSOLIDA!BH86="","",CONSOLIDA!BH86)</f>
        <v/>
      </c>
      <c r="C314" s="1126"/>
      <c r="D314" s="1134" t="str">
        <f>IF(CONSOLIDA!BJ86="","",CONSOLIDA!BJ86)</f>
        <v/>
      </c>
      <c r="E314" s="1135"/>
      <c r="F314" s="1135"/>
      <c r="G314" s="1129" t="str">
        <f>IF(CONSOLIDA!BK86="","",CONSOLIDA!BK86)</f>
        <v/>
      </c>
      <c r="H314" s="1129"/>
      <c r="I314" s="1129"/>
      <c r="J314" s="1129"/>
      <c r="K314" s="1129"/>
      <c r="L314" s="1129"/>
      <c r="M314" s="1129"/>
      <c r="N314" s="1129"/>
      <c r="O314" s="1129"/>
      <c r="P314" s="1129"/>
      <c r="Q314" s="1129"/>
      <c r="R314" s="1129"/>
      <c r="S314" s="1129"/>
      <c r="T314" s="1129"/>
      <c r="U314" s="1129"/>
      <c r="V314" s="1129"/>
      <c r="W314" s="1129"/>
      <c r="X314" s="1129"/>
      <c r="Y314" s="1129"/>
      <c r="Z314" s="1129"/>
      <c r="AA314" s="1129"/>
      <c r="AB314" s="1129"/>
      <c r="AC314" s="1129"/>
      <c r="AD314" s="1129"/>
      <c r="AE314" s="1130"/>
      <c r="AF314" s="1131"/>
      <c r="AG314" s="1131"/>
      <c r="AH314" s="1131"/>
      <c r="AI314" s="1131"/>
      <c r="AJ314" s="1131"/>
      <c r="AK314" s="1131"/>
      <c r="AL314" s="1131"/>
      <c r="AM314" s="1131"/>
      <c r="AN314" s="1131"/>
      <c r="AO314" s="1131"/>
      <c r="AP314" s="1131"/>
      <c r="AQ314" s="1131"/>
      <c r="AR314" s="1131"/>
      <c r="AS314" s="1131"/>
      <c r="AT314" s="1131"/>
      <c r="AU314" s="1131"/>
      <c r="AV314" s="1131"/>
      <c r="AW314" s="1131"/>
      <c r="AX314" s="1131"/>
      <c r="AY314" s="1131"/>
      <c r="AZ314" s="1131"/>
      <c r="BA314" s="1131"/>
      <c r="BB314" s="1131"/>
      <c r="BC314" s="1131"/>
      <c r="BD314" s="1131"/>
      <c r="BE314" s="1131"/>
      <c r="BF314" s="1131"/>
      <c r="BG314" s="1131"/>
      <c r="BH314" s="1131"/>
      <c r="BI314" s="1131"/>
      <c r="BJ314" s="1131"/>
      <c r="BK314" s="1131"/>
      <c r="BL314" s="1131"/>
      <c r="BM314" s="1131"/>
      <c r="BN314" s="1131"/>
      <c r="BO314" s="1131"/>
      <c r="BP314" s="1131"/>
      <c r="BQ314" s="1131"/>
      <c r="BR314" s="1131"/>
      <c r="BS314" s="1131"/>
      <c r="BT314" s="1131"/>
      <c r="BU314" s="1131"/>
      <c r="BV314" s="1131"/>
      <c r="BW314" s="1131"/>
      <c r="BX314" s="1131"/>
      <c r="BY314" s="1131"/>
      <c r="BZ314" s="1131"/>
      <c r="CA314" s="1131"/>
      <c r="CB314" s="1131"/>
      <c r="CC314" s="1131"/>
      <c r="CD314" s="1131"/>
      <c r="CE314" s="1131"/>
      <c r="CF314" s="1131"/>
      <c r="CG314" s="1131"/>
      <c r="CH314" s="29"/>
      <c r="CI314" s="185"/>
      <c r="CJ314" s="17"/>
    </row>
    <row r="315" spans="1:88" s="3" customFormat="1" hidden="1">
      <c r="A315" s="243" t="str">
        <f t="shared" si="5"/>
        <v>OK</v>
      </c>
      <c r="B315" s="1126" t="str">
        <f>IF(CONSOLIDA!BH87="","",CONSOLIDA!BH87)</f>
        <v/>
      </c>
      <c r="C315" s="1126"/>
      <c r="D315" s="1134" t="str">
        <f>IF(CONSOLIDA!BJ87="","",CONSOLIDA!BJ87)</f>
        <v/>
      </c>
      <c r="E315" s="1135"/>
      <c r="F315" s="1135"/>
      <c r="G315" s="1129" t="str">
        <f>IF(CONSOLIDA!BK87="","",CONSOLIDA!BK87)</f>
        <v/>
      </c>
      <c r="H315" s="1129"/>
      <c r="I315" s="1129"/>
      <c r="J315" s="1129"/>
      <c r="K315" s="1129"/>
      <c r="L315" s="1129"/>
      <c r="M315" s="1129"/>
      <c r="N315" s="1129"/>
      <c r="O315" s="1129"/>
      <c r="P315" s="1129"/>
      <c r="Q315" s="1129"/>
      <c r="R315" s="1129"/>
      <c r="S315" s="1129"/>
      <c r="T315" s="1129"/>
      <c r="U315" s="1129"/>
      <c r="V315" s="1129"/>
      <c r="W315" s="1129"/>
      <c r="X315" s="1129"/>
      <c r="Y315" s="1129"/>
      <c r="Z315" s="1129"/>
      <c r="AA315" s="1129"/>
      <c r="AB315" s="1129"/>
      <c r="AC315" s="1129"/>
      <c r="AD315" s="1129"/>
      <c r="AE315" s="1130"/>
      <c r="AF315" s="1131"/>
      <c r="AG315" s="1131"/>
      <c r="AH315" s="1131"/>
      <c r="AI315" s="1131"/>
      <c r="AJ315" s="1131"/>
      <c r="AK315" s="1131"/>
      <c r="AL315" s="1131"/>
      <c r="AM315" s="1131"/>
      <c r="AN315" s="1131"/>
      <c r="AO315" s="1131"/>
      <c r="AP315" s="1131"/>
      <c r="AQ315" s="1131"/>
      <c r="AR315" s="1131"/>
      <c r="AS315" s="1131"/>
      <c r="AT315" s="1131"/>
      <c r="AU315" s="1131"/>
      <c r="AV315" s="1131"/>
      <c r="AW315" s="1131"/>
      <c r="AX315" s="1131"/>
      <c r="AY315" s="1131"/>
      <c r="AZ315" s="1131"/>
      <c r="BA315" s="1131"/>
      <c r="BB315" s="1131"/>
      <c r="BC315" s="1131"/>
      <c r="BD315" s="1131"/>
      <c r="BE315" s="1131"/>
      <c r="BF315" s="1131"/>
      <c r="BG315" s="1131"/>
      <c r="BH315" s="1131"/>
      <c r="BI315" s="1131"/>
      <c r="BJ315" s="1131"/>
      <c r="BK315" s="1131"/>
      <c r="BL315" s="1131"/>
      <c r="BM315" s="1131"/>
      <c r="BN315" s="1131"/>
      <c r="BO315" s="1131"/>
      <c r="BP315" s="1131"/>
      <c r="BQ315" s="1131"/>
      <c r="BR315" s="1131"/>
      <c r="BS315" s="1131"/>
      <c r="BT315" s="1131"/>
      <c r="BU315" s="1131"/>
      <c r="BV315" s="1131"/>
      <c r="BW315" s="1131"/>
      <c r="BX315" s="1131"/>
      <c r="BY315" s="1131"/>
      <c r="BZ315" s="1131"/>
      <c r="CA315" s="1131"/>
      <c r="CB315" s="1131"/>
      <c r="CC315" s="1131"/>
      <c r="CD315" s="1131"/>
      <c r="CE315" s="1131"/>
      <c r="CF315" s="1131"/>
      <c r="CG315" s="1131"/>
      <c r="CH315" s="29"/>
      <c r="CI315" s="185"/>
      <c r="CJ315" s="17"/>
    </row>
    <row r="316" spans="1:88" s="3" customFormat="1" hidden="1">
      <c r="A316" s="243" t="str">
        <f t="shared" si="5"/>
        <v>OK</v>
      </c>
      <c r="B316" s="1126" t="str">
        <f>IF(CONSOLIDA!BH88="","",CONSOLIDA!BH88)</f>
        <v/>
      </c>
      <c r="C316" s="1126"/>
      <c r="D316" s="1134" t="str">
        <f>IF(CONSOLIDA!BJ88="","",CONSOLIDA!BJ88)</f>
        <v/>
      </c>
      <c r="E316" s="1135"/>
      <c r="F316" s="1135"/>
      <c r="G316" s="1129" t="str">
        <f>IF(CONSOLIDA!BK88="","",CONSOLIDA!BK88)</f>
        <v/>
      </c>
      <c r="H316" s="1129"/>
      <c r="I316" s="1129"/>
      <c r="J316" s="1129"/>
      <c r="K316" s="1129"/>
      <c r="L316" s="1129"/>
      <c r="M316" s="1129"/>
      <c r="N316" s="1129"/>
      <c r="O316" s="1129"/>
      <c r="P316" s="1129"/>
      <c r="Q316" s="1129"/>
      <c r="R316" s="1129"/>
      <c r="S316" s="1129"/>
      <c r="T316" s="1129"/>
      <c r="U316" s="1129"/>
      <c r="V316" s="1129"/>
      <c r="W316" s="1129"/>
      <c r="X316" s="1129"/>
      <c r="Y316" s="1129"/>
      <c r="Z316" s="1129"/>
      <c r="AA316" s="1129"/>
      <c r="AB316" s="1129"/>
      <c r="AC316" s="1129"/>
      <c r="AD316" s="1129"/>
      <c r="AE316" s="1130"/>
      <c r="AF316" s="1131"/>
      <c r="AG316" s="1131"/>
      <c r="AH316" s="1131"/>
      <c r="AI316" s="1131"/>
      <c r="AJ316" s="1131"/>
      <c r="AK316" s="1131"/>
      <c r="AL316" s="1131"/>
      <c r="AM316" s="1131"/>
      <c r="AN316" s="1131"/>
      <c r="AO316" s="1131"/>
      <c r="AP316" s="1131"/>
      <c r="AQ316" s="1131"/>
      <c r="AR316" s="1131"/>
      <c r="AS316" s="1131"/>
      <c r="AT316" s="1131"/>
      <c r="AU316" s="1131"/>
      <c r="AV316" s="1131"/>
      <c r="AW316" s="1131"/>
      <c r="AX316" s="1131"/>
      <c r="AY316" s="1131"/>
      <c r="AZ316" s="1131"/>
      <c r="BA316" s="1131"/>
      <c r="BB316" s="1131"/>
      <c r="BC316" s="1131"/>
      <c r="BD316" s="1131"/>
      <c r="BE316" s="1131"/>
      <c r="BF316" s="1131"/>
      <c r="BG316" s="1131"/>
      <c r="BH316" s="1131"/>
      <c r="BI316" s="1131"/>
      <c r="BJ316" s="1131"/>
      <c r="BK316" s="1131"/>
      <c r="BL316" s="1131"/>
      <c r="BM316" s="1131"/>
      <c r="BN316" s="1131"/>
      <c r="BO316" s="1131"/>
      <c r="BP316" s="1131"/>
      <c r="BQ316" s="1131"/>
      <c r="BR316" s="1131"/>
      <c r="BS316" s="1131"/>
      <c r="BT316" s="1131"/>
      <c r="BU316" s="1131"/>
      <c r="BV316" s="1131"/>
      <c r="BW316" s="1131"/>
      <c r="BX316" s="1131"/>
      <c r="BY316" s="1131"/>
      <c r="BZ316" s="1131"/>
      <c r="CA316" s="1131"/>
      <c r="CB316" s="1131"/>
      <c r="CC316" s="1131"/>
      <c r="CD316" s="1131"/>
      <c r="CE316" s="1131"/>
      <c r="CF316" s="1131"/>
      <c r="CG316" s="1131"/>
      <c r="CH316" s="29"/>
      <c r="CI316" s="185"/>
      <c r="CJ316" s="17"/>
    </row>
    <row r="317" spans="1:88" s="3" customFormat="1" hidden="1">
      <c r="A317" s="243" t="str">
        <f t="shared" si="5"/>
        <v>OK</v>
      </c>
      <c r="B317" s="1126" t="str">
        <f>IF(CONSOLIDA!BH89="","",CONSOLIDA!BH89)</f>
        <v/>
      </c>
      <c r="C317" s="1126"/>
      <c r="D317" s="1134" t="str">
        <f>IF(CONSOLIDA!BJ89="","",CONSOLIDA!BJ89)</f>
        <v/>
      </c>
      <c r="E317" s="1135"/>
      <c r="F317" s="1135"/>
      <c r="G317" s="1129" t="str">
        <f>IF(CONSOLIDA!BK89="","",CONSOLIDA!BK89)</f>
        <v/>
      </c>
      <c r="H317" s="1129"/>
      <c r="I317" s="1129"/>
      <c r="J317" s="1129"/>
      <c r="K317" s="1129"/>
      <c r="L317" s="1129"/>
      <c r="M317" s="1129"/>
      <c r="N317" s="1129"/>
      <c r="O317" s="1129"/>
      <c r="P317" s="1129"/>
      <c r="Q317" s="1129"/>
      <c r="R317" s="1129"/>
      <c r="S317" s="1129"/>
      <c r="T317" s="1129"/>
      <c r="U317" s="1129"/>
      <c r="V317" s="1129"/>
      <c r="W317" s="1129"/>
      <c r="X317" s="1129"/>
      <c r="Y317" s="1129"/>
      <c r="Z317" s="1129"/>
      <c r="AA317" s="1129"/>
      <c r="AB317" s="1129"/>
      <c r="AC317" s="1129"/>
      <c r="AD317" s="1129"/>
      <c r="AE317" s="1130"/>
      <c r="AF317" s="1131"/>
      <c r="AG317" s="1131"/>
      <c r="AH317" s="1131"/>
      <c r="AI317" s="1131"/>
      <c r="AJ317" s="1131"/>
      <c r="AK317" s="1131"/>
      <c r="AL317" s="1131"/>
      <c r="AM317" s="1131"/>
      <c r="AN317" s="1131"/>
      <c r="AO317" s="1131"/>
      <c r="AP317" s="1131"/>
      <c r="AQ317" s="1131"/>
      <c r="AR317" s="1131"/>
      <c r="AS317" s="1131"/>
      <c r="AT317" s="1131"/>
      <c r="AU317" s="1131"/>
      <c r="AV317" s="1131"/>
      <c r="AW317" s="1131"/>
      <c r="AX317" s="1131"/>
      <c r="AY317" s="1131"/>
      <c r="AZ317" s="1131"/>
      <c r="BA317" s="1131"/>
      <c r="BB317" s="1131"/>
      <c r="BC317" s="1131"/>
      <c r="BD317" s="1131"/>
      <c r="BE317" s="1131"/>
      <c r="BF317" s="1131"/>
      <c r="BG317" s="1131"/>
      <c r="BH317" s="1131"/>
      <c r="BI317" s="1131"/>
      <c r="BJ317" s="1131"/>
      <c r="BK317" s="1131"/>
      <c r="BL317" s="1131"/>
      <c r="BM317" s="1131"/>
      <c r="BN317" s="1131"/>
      <c r="BO317" s="1131"/>
      <c r="BP317" s="1131"/>
      <c r="BQ317" s="1131"/>
      <c r="BR317" s="1131"/>
      <c r="BS317" s="1131"/>
      <c r="BT317" s="1131"/>
      <c r="BU317" s="1131"/>
      <c r="BV317" s="1131"/>
      <c r="BW317" s="1131"/>
      <c r="BX317" s="1131"/>
      <c r="BY317" s="1131"/>
      <c r="BZ317" s="1131"/>
      <c r="CA317" s="1131"/>
      <c r="CB317" s="1131"/>
      <c r="CC317" s="1131"/>
      <c r="CD317" s="1131"/>
      <c r="CE317" s="1131"/>
      <c r="CF317" s="1131"/>
      <c r="CG317" s="1131"/>
      <c r="CH317" s="29"/>
      <c r="CI317" s="185"/>
      <c r="CJ317" s="17"/>
    </row>
    <row r="318" spans="1:88" s="3" customFormat="1" hidden="1">
      <c r="A318" s="243" t="str">
        <f t="shared" si="5"/>
        <v>OK</v>
      </c>
      <c r="B318" s="1126" t="str">
        <f>IF(CONSOLIDA!BH90="","",CONSOLIDA!BH90)</f>
        <v/>
      </c>
      <c r="C318" s="1126"/>
      <c r="D318" s="1134" t="str">
        <f>IF(CONSOLIDA!BJ90="","",CONSOLIDA!BJ90)</f>
        <v/>
      </c>
      <c r="E318" s="1135"/>
      <c r="F318" s="1135"/>
      <c r="G318" s="1129" t="str">
        <f>IF(CONSOLIDA!BK90="","",CONSOLIDA!BK90)</f>
        <v/>
      </c>
      <c r="H318" s="1129"/>
      <c r="I318" s="1129"/>
      <c r="J318" s="1129"/>
      <c r="K318" s="1129"/>
      <c r="L318" s="1129"/>
      <c r="M318" s="1129"/>
      <c r="N318" s="1129"/>
      <c r="O318" s="1129"/>
      <c r="P318" s="1129"/>
      <c r="Q318" s="1129"/>
      <c r="R318" s="1129"/>
      <c r="S318" s="1129"/>
      <c r="T318" s="1129"/>
      <c r="U318" s="1129"/>
      <c r="V318" s="1129"/>
      <c r="W318" s="1129"/>
      <c r="X318" s="1129"/>
      <c r="Y318" s="1129"/>
      <c r="Z318" s="1129"/>
      <c r="AA318" s="1129"/>
      <c r="AB318" s="1129"/>
      <c r="AC318" s="1129"/>
      <c r="AD318" s="1129"/>
      <c r="AE318" s="1130"/>
      <c r="AF318" s="1131"/>
      <c r="AG318" s="1131"/>
      <c r="AH318" s="1131"/>
      <c r="AI318" s="1131"/>
      <c r="AJ318" s="1131"/>
      <c r="AK318" s="1131"/>
      <c r="AL318" s="1131"/>
      <c r="AM318" s="1131"/>
      <c r="AN318" s="1131"/>
      <c r="AO318" s="1131"/>
      <c r="AP318" s="1131"/>
      <c r="AQ318" s="1131"/>
      <c r="AR318" s="1131"/>
      <c r="AS318" s="1131"/>
      <c r="AT318" s="1131"/>
      <c r="AU318" s="1131"/>
      <c r="AV318" s="1131"/>
      <c r="AW318" s="1131"/>
      <c r="AX318" s="1131"/>
      <c r="AY318" s="1131"/>
      <c r="AZ318" s="1131"/>
      <c r="BA318" s="1131"/>
      <c r="BB318" s="1131"/>
      <c r="BC318" s="1131"/>
      <c r="BD318" s="1131"/>
      <c r="BE318" s="1131"/>
      <c r="BF318" s="1131"/>
      <c r="BG318" s="1131"/>
      <c r="BH318" s="1131"/>
      <c r="BI318" s="1131"/>
      <c r="BJ318" s="1131"/>
      <c r="BK318" s="1131"/>
      <c r="BL318" s="1131"/>
      <c r="BM318" s="1131"/>
      <c r="BN318" s="1131"/>
      <c r="BO318" s="1131"/>
      <c r="BP318" s="1131"/>
      <c r="BQ318" s="1131"/>
      <c r="BR318" s="1131"/>
      <c r="BS318" s="1131"/>
      <c r="BT318" s="1131"/>
      <c r="BU318" s="1131"/>
      <c r="BV318" s="1131"/>
      <c r="BW318" s="1131"/>
      <c r="BX318" s="1131"/>
      <c r="BY318" s="1131"/>
      <c r="BZ318" s="1131"/>
      <c r="CA318" s="1131"/>
      <c r="CB318" s="1131"/>
      <c r="CC318" s="1131"/>
      <c r="CD318" s="1131"/>
      <c r="CE318" s="1131"/>
      <c r="CF318" s="1131"/>
      <c r="CG318" s="1131"/>
      <c r="CH318" s="29"/>
      <c r="CI318" s="185"/>
      <c r="CJ318" s="17"/>
    </row>
    <row r="319" spans="1:88" s="3" customFormat="1" hidden="1">
      <c r="A319" s="243" t="str">
        <f t="shared" si="5"/>
        <v>OK</v>
      </c>
      <c r="B319" s="1126" t="str">
        <f>IF(CONSOLIDA!BH91="","",CONSOLIDA!BH91)</f>
        <v/>
      </c>
      <c r="C319" s="1126"/>
      <c r="D319" s="1134" t="str">
        <f>IF(CONSOLIDA!BJ91="","",CONSOLIDA!BJ91)</f>
        <v/>
      </c>
      <c r="E319" s="1135"/>
      <c r="F319" s="1135"/>
      <c r="G319" s="1129" t="str">
        <f>IF(CONSOLIDA!BK91="","",CONSOLIDA!BK91)</f>
        <v/>
      </c>
      <c r="H319" s="1129"/>
      <c r="I319" s="1129"/>
      <c r="J319" s="1129"/>
      <c r="K319" s="1129"/>
      <c r="L319" s="1129"/>
      <c r="M319" s="1129"/>
      <c r="N319" s="1129"/>
      <c r="O319" s="1129"/>
      <c r="P319" s="1129"/>
      <c r="Q319" s="1129"/>
      <c r="R319" s="1129"/>
      <c r="S319" s="1129"/>
      <c r="T319" s="1129"/>
      <c r="U319" s="1129"/>
      <c r="V319" s="1129"/>
      <c r="W319" s="1129"/>
      <c r="X319" s="1129"/>
      <c r="Y319" s="1129"/>
      <c r="Z319" s="1129"/>
      <c r="AA319" s="1129"/>
      <c r="AB319" s="1129"/>
      <c r="AC319" s="1129"/>
      <c r="AD319" s="1129"/>
      <c r="AE319" s="1130"/>
      <c r="AF319" s="1131"/>
      <c r="AG319" s="1131"/>
      <c r="AH319" s="1131"/>
      <c r="AI319" s="1131"/>
      <c r="AJ319" s="1131"/>
      <c r="AK319" s="1131"/>
      <c r="AL319" s="1131"/>
      <c r="AM319" s="1131"/>
      <c r="AN319" s="1131"/>
      <c r="AO319" s="1131"/>
      <c r="AP319" s="1131"/>
      <c r="AQ319" s="1131"/>
      <c r="AR319" s="1131"/>
      <c r="AS319" s="1131"/>
      <c r="AT319" s="1131"/>
      <c r="AU319" s="1131"/>
      <c r="AV319" s="1131"/>
      <c r="AW319" s="1131"/>
      <c r="AX319" s="1131"/>
      <c r="AY319" s="1131"/>
      <c r="AZ319" s="1131"/>
      <c r="BA319" s="1131"/>
      <c r="BB319" s="1131"/>
      <c r="BC319" s="1131"/>
      <c r="BD319" s="1131"/>
      <c r="BE319" s="1131"/>
      <c r="BF319" s="1131"/>
      <c r="BG319" s="1131"/>
      <c r="BH319" s="1131"/>
      <c r="BI319" s="1131"/>
      <c r="BJ319" s="1131"/>
      <c r="BK319" s="1131"/>
      <c r="BL319" s="1131"/>
      <c r="BM319" s="1131"/>
      <c r="BN319" s="1131"/>
      <c r="BO319" s="1131"/>
      <c r="BP319" s="1131"/>
      <c r="BQ319" s="1131"/>
      <c r="BR319" s="1131"/>
      <c r="BS319" s="1131"/>
      <c r="BT319" s="1131"/>
      <c r="BU319" s="1131"/>
      <c r="BV319" s="1131"/>
      <c r="BW319" s="1131"/>
      <c r="BX319" s="1131"/>
      <c r="BY319" s="1131"/>
      <c r="BZ319" s="1131"/>
      <c r="CA319" s="1131"/>
      <c r="CB319" s="1131"/>
      <c r="CC319" s="1131"/>
      <c r="CD319" s="1131"/>
      <c r="CE319" s="1131"/>
      <c r="CF319" s="1131"/>
      <c r="CG319" s="1131"/>
      <c r="CH319" s="29"/>
      <c r="CI319" s="185"/>
      <c r="CJ319" s="17"/>
    </row>
    <row r="320" spans="1:88" s="3" customFormat="1" hidden="1">
      <c r="A320" s="243" t="str">
        <f t="shared" si="5"/>
        <v>OK</v>
      </c>
      <c r="B320" s="1126" t="str">
        <f>IF(CONSOLIDA!BH92="","",CONSOLIDA!BH92)</f>
        <v/>
      </c>
      <c r="C320" s="1126"/>
      <c r="D320" s="1134" t="str">
        <f>IF(CONSOLIDA!BJ92="","",CONSOLIDA!BJ92)</f>
        <v/>
      </c>
      <c r="E320" s="1135"/>
      <c r="F320" s="1135"/>
      <c r="G320" s="1129" t="str">
        <f>IF(CONSOLIDA!BK92="","",CONSOLIDA!BK92)</f>
        <v/>
      </c>
      <c r="H320" s="1129"/>
      <c r="I320" s="1129"/>
      <c r="J320" s="1129"/>
      <c r="K320" s="1129"/>
      <c r="L320" s="1129"/>
      <c r="M320" s="1129"/>
      <c r="N320" s="1129"/>
      <c r="O320" s="1129"/>
      <c r="P320" s="1129"/>
      <c r="Q320" s="1129"/>
      <c r="R320" s="1129"/>
      <c r="S320" s="1129"/>
      <c r="T320" s="1129"/>
      <c r="U320" s="1129"/>
      <c r="V320" s="1129"/>
      <c r="W320" s="1129"/>
      <c r="X320" s="1129"/>
      <c r="Y320" s="1129"/>
      <c r="Z320" s="1129"/>
      <c r="AA320" s="1129"/>
      <c r="AB320" s="1129"/>
      <c r="AC320" s="1129"/>
      <c r="AD320" s="1129"/>
      <c r="AE320" s="1130"/>
      <c r="AF320" s="1131"/>
      <c r="AG320" s="1131"/>
      <c r="AH320" s="1131"/>
      <c r="AI320" s="1131"/>
      <c r="AJ320" s="1131"/>
      <c r="AK320" s="1131"/>
      <c r="AL320" s="1131"/>
      <c r="AM320" s="1131"/>
      <c r="AN320" s="1131"/>
      <c r="AO320" s="1131"/>
      <c r="AP320" s="1131"/>
      <c r="AQ320" s="1131"/>
      <c r="AR320" s="1131"/>
      <c r="AS320" s="1131"/>
      <c r="AT320" s="1131"/>
      <c r="AU320" s="1131"/>
      <c r="AV320" s="1131"/>
      <c r="AW320" s="1131"/>
      <c r="AX320" s="1131"/>
      <c r="AY320" s="1131"/>
      <c r="AZ320" s="1131"/>
      <c r="BA320" s="1131"/>
      <c r="BB320" s="1131"/>
      <c r="BC320" s="1131"/>
      <c r="BD320" s="1131"/>
      <c r="BE320" s="1131"/>
      <c r="BF320" s="1131"/>
      <c r="BG320" s="1131"/>
      <c r="BH320" s="1131"/>
      <c r="BI320" s="1131"/>
      <c r="BJ320" s="1131"/>
      <c r="BK320" s="1131"/>
      <c r="BL320" s="1131"/>
      <c r="BM320" s="1131"/>
      <c r="BN320" s="1131"/>
      <c r="BO320" s="1131"/>
      <c r="BP320" s="1131"/>
      <c r="BQ320" s="1131"/>
      <c r="BR320" s="1131"/>
      <c r="BS320" s="1131"/>
      <c r="BT320" s="1131"/>
      <c r="BU320" s="1131"/>
      <c r="BV320" s="1131"/>
      <c r="BW320" s="1131"/>
      <c r="BX320" s="1131"/>
      <c r="BY320" s="1131"/>
      <c r="BZ320" s="1131"/>
      <c r="CA320" s="1131"/>
      <c r="CB320" s="1131"/>
      <c r="CC320" s="1131"/>
      <c r="CD320" s="1131"/>
      <c r="CE320" s="1131"/>
      <c r="CF320" s="1131"/>
      <c r="CG320" s="1131"/>
      <c r="CH320" s="29"/>
      <c r="CI320" s="185"/>
      <c r="CJ320" s="17"/>
    </row>
    <row r="321" spans="1:88" s="3" customFormat="1" hidden="1">
      <c r="A321" s="243" t="str">
        <f t="shared" si="5"/>
        <v>OK</v>
      </c>
      <c r="B321" s="1126" t="str">
        <f>IF(CONSOLIDA!BH93="","",CONSOLIDA!BH93)</f>
        <v/>
      </c>
      <c r="C321" s="1126"/>
      <c r="D321" s="1134" t="str">
        <f>IF(CONSOLIDA!BJ93="","",CONSOLIDA!BJ93)</f>
        <v/>
      </c>
      <c r="E321" s="1135"/>
      <c r="F321" s="1135"/>
      <c r="G321" s="1129" t="str">
        <f>IF(CONSOLIDA!BK93="","",CONSOLIDA!BK93)</f>
        <v/>
      </c>
      <c r="H321" s="1129"/>
      <c r="I321" s="1129"/>
      <c r="J321" s="1129"/>
      <c r="K321" s="1129"/>
      <c r="L321" s="1129"/>
      <c r="M321" s="1129"/>
      <c r="N321" s="1129"/>
      <c r="O321" s="1129"/>
      <c r="P321" s="1129"/>
      <c r="Q321" s="1129"/>
      <c r="R321" s="1129"/>
      <c r="S321" s="1129"/>
      <c r="T321" s="1129"/>
      <c r="U321" s="1129"/>
      <c r="V321" s="1129"/>
      <c r="W321" s="1129"/>
      <c r="X321" s="1129"/>
      <c r="Y321" s="1129"/>
      <c r="Z321" s="1129"/>
      <c r="AA321" s="1129"/>
      <c r="AB321" s="1129"/>
      <c r="AC321" s="1129"/>
      <c r="AD321" s="1129"/>
      <c r="AE321" s="1130"/>
      <c r="AF321" s="1131"/>
      <c r="AG321" s="1131"/>
      <c r="AH321" s="1131"/>
      <c r="AI321" s="1131"/>
      <c r="AJ321" s="1131"/>
      <c r="AK321" s="1131"/>
      <c r="AL321" s="1131"/>
      <c r="AM321" s="1131"/>
      <c r="AN321" s="1131"/>
      <c r="AO321" s="1131"/>
      <c r="AP321" s="1131"/>
      <c r="AQ321" s="1131"/>
      <c r="AR321" s="1131"/>
      <c r="AS321" s="1131"/>
      <c r="AT321" s="1131"/>
      <c r="AU321" s="1131"/>
      <c r="AV321" s="1131"/>
      <c r="AW321" s="1131"/>
      <c r="AX321" s="1131"/>
      <c r="AY321" s="1131"/>
      <c r="AZ321" s="1131"/>
      <c r="BA321" s="1131"/>
      <c r="BB321" s="1131"/>
      <c r="BC321" s="1131"/>
      <c r="BD321" s="1131"/>
      <c r="BE321" s="1131"/>
      <c r="BF321" s="1131"/>
      <c r="BG321" s="1131"/>
      <c r="BH321" s="1131"/>
      <c r="BI321" s="1131"/>
      <c r="BJ321" s="1131"/>
      <c r="BK321" s="1131"/>
      <c r="BL321" s="1131"/>
      <c r="BM321" s="1131"/>
      <c r="BN321" s="1131"/>
      <c r="BO321" s="1131"/>
      <c r="BP321" s="1131"/>
      <c r="BQ321" s="1131"/>
      <c r="BR321" s="1131"/>
      <c r="BS321" s="1131"/>
      <c r="BT321" s="1131"/>
      <c r="BU321" s="1131"/>
      <c r="BV321" s="1131"/>
      <c r="BW321" s="1131"/>
      <c r="BX321" s="1131"/>
      <c r="BY321" s="1131"/>
      <c r="BZ321" s="1131"/>
      <c r="CA321" s="1131"/>
      <c r="CB321" s="1131"/>
      <c r="CC321" s="1131"/>
      <c r="CD321" s="1131"/>
      <c r="CE321" s="1131"/>
      <c r="CF321" s="1131"/>
      <c r="CG321" s="1131"/>
      <c r="CH321" s="29"/>
      <c r="CI321" s="185"/>
      <c r="CJ321" s="17"/>
    </row>
    <row r="322" spans="1:88" s="3" customFormat="1" hidden="1">
      <c r="A322" s="243" t="str">
        <f t="shared" si="5"/>
        <v>OK</v>
      </c>
      <c r="B322" s="1126" t="str">
        <f>IF(CONSOLIDA!BH94="","",CONSOLIDA!BH94)</f>
        <v/>
      </c>
      <c r="C322" s="1126"/>
      <c r="D322" s="1134" t="str">
        <f>IF(CONSOLIDA!BJ94="","",CONSOLIDA!BJ94)</f>
        <v/>
      </c>
      <c r="E322" s="1135"/>
      <c r="F322" s="1135"/>
      <c r="G322" s="1129" t="str">
        <f>IF(CONSOLIDA!BK94="","",CONSOLIDA!BK94)</f>
        <v/>
      </c>
      <c r="H322" s="1129"/>
      <c r="I322" s="1129"/>
      <c r="J322" s="1129"/>
      <c r="K322" s="1129"/>
      <c r="L322" s="1129"/>
      <c r="M322" s="1129"/>
      <c r="N322" s="1129"/>
      <c r="O322" s="1129"/>
      <c r="P322" s="1129"/>
      <c r="Q322" s="1129"/>
      <c r="R322" s="1129"/>
      <c r="S322" s="1129"/>
      <c r="T322" s="1129"/>
      <c r="U322" s="1129"/>
      <c r="V322" s="1129"/>
      <c r="W322" s="1129"/>
      <c r="X322" s="1129"/>
      <c r="Y322" s="1129"/>
      <c r="Z322" s="1129"/>
      <c r="AA322" s="1129"/>
      <c r="AB322" s="1129"/>
      <c r="AC322" s="1129"/>
      <c r="AD322" s="1129"/>
      <c r="AE322" s="1130"/>
      <c r="AF322" s="1131"/>
      <c r="AG322" s="1131"/>
      <c r="AH322" s="1131"/>
      <c r="AI322" s="1131"/>
      <c r="AJ322" s="1131"/>
      <c r="AK322" s="1131"/>
      <c r="AL322" s="1131"/>
      <c r="AM322" s="1131"/>
      <c r="AN322" s="1131"/>
      <c r="AO322" s="1131"/>
      <c r="AP322" s="1131"/>
      <c r="AQ322" s="1131"/>
      <c r="AR322" s="1131"/>
      <c r="AS322" s="1131"/>
      <c r="AT322" s="1131"/>
      <c r="AU322" s="1131"/>
      <c r="AV322" s="1131"/>
      <c r="AW322" s="1131"/>
      <c r="AX322" s="1131"/>
      <c r="AY322" s="1131"/>
      <c r="AZ322" s="1131"/>
      <c r="BA322" s="1131"/>
      <c r="BB322" s="1131"/>
      <c r="BC322" s="1131"/>
      <c r="BD322" s="1131"/>
      <c r="BE322" s="1131"/>
      <c r="BF322" s="1131"/>
      <c r="BG322" s="1131"/>
      <c r="BH322" s="1131"/>
      <c r="BI322" s="1131"/>
      <c r="BJ322" s="1131"/>
      <c r="BK322" s="1131"/>
      <c r="BL322" s="1131"/>
      <c r="BM322" s="1131"/>
      <c r="BN322" s="1131"/>
      <c r="BO322" s="1131"/>
      <c r="BP322" s="1131"/>
      <c r="BQ322" s="1131"/>
      <c r="BR322" s="1131"/>
      <c r="BS322" s="1131"/>
      <c r="BT322" s="1131"/>
      <c r="BU322" s="1131"/>
      <c r="BV322" s="1131"/>
      <c r="BW322" s="1131"/>
      <c r="BX322" s="1131"/>
      <c r="BY322" s="1131"/>
      <c r="BZ322" s="1131"/>
      <c r="CA322" s="1131"/>
      <c r="CB322" s="1131"/>
      <c r="CC322" s="1131"/>
      <c r="CD322" s="1131"/>
      <c r="CE322" s="1131"/>
      <c r="CF322" s="1131"/>
      <c r="CG322" s="1131"/>
      <c r="CH322" s="29"/>
      <c r="CI322" s="185"/>
      <c r="CJ322" s="17"/>
    </row>
    <row r="323" spans="1:88" s="3" customFormat="1" hidden="1">
      <c r="A323" s="243" t="str">
        <f t="shared" si="5"/>
        <v>OK</v>
      </c>
      <c r="B323" s="1126" t="str">
        <f>IF(CONSOLIDA!BH95="","",CONSOLIDA!BH95)</f>
        <v/>
      </c>
      <c r="C323" s="1126"/>
      <c r="D323" s="1134" t="str">
        <f>IF(CONSOLIDA!BJ95="","",CONSOLIDA!BJ95)</f>
        <v/>
      </c>
      <c r="E323" s="1135"/>
      <c r="F323" s="1135"/>
      <c r="G323" s="1129" t="str">
        <f>IF(CONSOLIDA!BK95="","",CONSOLIDA!BK95)</f>
        <v/>
      </c>
      <c r="H323" s="1129"/>
      <c r="I323" s="1129"/>
      <c r="J323" s="1129"/>
      <c r="K323" s="1129"/>
      <c r="L323" s="1129"/>
      <c r="M323" s="1129"/>
      <c r="N323" s="1129"/>
      <c r="O323" s="1129"/>
      <c r="P323" s="1129"/>
      <c r="Q323" s="1129"/>
      <c r="R323" s="1129"/>
      <c r="S323" s="1129"/>
      <c r="T323" s="1129"/>
      <c r="U323" s="1129"/>
      <c r="V323" s="1129"/>
      <c r="W323" s="1129"/>
      <c r="X323" s="1129"/>
      <c r="Y323" s="1129"/>
      <c r="Z323" s="1129"/>
      <c r="AA323" s="1129"/>
      <c r="AB323" s="1129"/>
      <c r="AC323" s="1129"/>
      <c r="AD323" s="1129"/>
      <c r="AE323" s="1130"/>
      <c r="AF323" s="1131"/>
      <c r="AG323" s="1131"/>
      <c r="AH323" s="1131"/>
      <c r="AI323" s="1131"/>
      <c r="AJ323" s="1131"/>
      <c r="AK323" s="1131"/>
      <c r="AL323" s="1131"/>
      <c r="AM323" s="1131"/>
      <c r="AN323" s="1131"/>
      <c r="AO323" s="1131"/>
      <c r="AP323" s="1131"/>
      <c r="AQ323" s="1131"/>
      <c r="AR323" s="1131"/>
      <c r="AS323" s="1131"/>
      <c r="AT323" s="1131"/>
      <c r="AU323" s="1131"/>
      <c r="AV323" s="1131"/>
      <c r="AW323" s="1131"/>
      <c r="AX323" s="1131"/>
      <c r="AY323" s="1131"/>
      <c r="AZ323" s="1131"/>
      <c r="BA323" s="1131"/>
      <c r="BB323" s="1131"/>
      <c r="BC323" s="1131"/>
      <c r="BD323" s="1131"/>
      <c r="BE323" s="1131"/>
      <c r="BF323" s="1131"/>
      <c r="BG323" s="1131"/>
      <c r="BH323" s="1131"/>
      <c r="BI323" s="1131"/>
      <c r="BJ323" s="1131"/>
      <c r="BK323" s="1131"/>
      <c r="BL323" s="1131"/>
      <c r="BM323" s="1131"/>
      <c r="BN323" s="1131"/>
      <c r="BO323" s="1131"/>
      <c r="BP323" s="1131"/>
      <c r="BQ323" s="1131"/>
      <c r="BR323" s="1131"/>
      <c r="BS323" s="1131"/>
      <c r="BT323" s="1131"/>
      <c r="BU323" s="1131"/>
      <c r="BV323" s="1131"/>
      <c r="BW323" s="1131"/>
      <c r="BX323" s="1131"/>
      <c r="BY323" s="1131"/>
      <c r="BZ323" s="1131"/>
      <c r="CA323" s="1131"/>
      <c r="CB323" s="1131"/>
      <c r="CC323" s="1131"/>
      <c r="CD323" s="1131"/>
      <c r="CE323" s="1131"/>
      <c r="CF323" s="1131"/>
      <c r="CG323" s="1131"/>
      <c r="CH323" s="29"/>
      <c r="CI323" s="185"/>
      <c r="CJ323" s="17"/>
    </row>
    <row r="324" spans="1:88" s="3" customFormat="1" hidden="1">
      <c r="A324" s="243" t="str">
        <f t="shared" si="5"/>
        <v>OK</v>
      </c>
      <c r="B324" s="1126" t="str">
        <f>IF(CONSOLIDA!BH96="","",CONSOLIDA!BH96)</f>
        <v/>
      </c>
      <c r="C324" s="1126"/>
      <c r="D324" s="1134" t="str">
        <f>IF(CONSOLIDA!BJ96="","",CONSOLIDA!BJ96)</f>
        <v/>
      </c>
      <c r="E324" s="1135"/>
      <c r="F324" s="1135"/>
      <c r="G324" s="1129" t="str">
        <f>IF(CONSOLIDA!BK96="","",CONSOLIDA!BK96)</f>
        <v/>
      </c>
      <c r="H324" s="1129"/>
      <c r="I324" s="1129"/>
      <c r="J324" s="1129"/>
      <c r="K324" s="1129"/>
      <c r="L324" s="1129"/>
      <c r="M324" s="1129"/>
      <c r="N324" s="1129"/>
      <c r="O324" s="1129"/>
      <c r="P324" s="1129"/>
      <c r="Q324" s="1129"/>
      <c r="R324" s="1129"/>
      <c r="S324" s="1129"/>
      <c r="T324" s="1129"/>
      <c r="U324" s="1129"/>
      <c r="V324" s="1129"/>
      <c r="W324" s="1129"/>
      <c r="X324" s="1129"/>
      <c r="Y324" s="1129"/>
      <c r="Z324" s="1129"/>
      <c r="AA324" s="1129"/>
      <c r="AB324" s="1129"/>
      <c r="AC324" s="1129"/>
      <c r="AD324" s="1129"/>
      <c r="AE324" s="1130"/>
      <c r="AF324" s="1131"/>
      <c r="AG324" s="1131"/>
      <c r="AH324" s="1131"/>
      <c r="AI324" s="1131"/>
      <c r="AJ324" s="1131"/>
      <c r="AK324" s="1131"/>
      <c r="AL324" s="1131"/>
      <c r="AM324" s="1131"/>
      <c r="AN324" s="1131"/>
      <c r="AO324" s="1131"/>
      <c r="AP324" s="1131"/>
      <c r="AQ324" s="1131"/>
      <c r="AR324" s="1131"/>
      <c r="AS324" s="1131"/>
      <c r="AT324" s="1131"/>
      <c r="AU324" s="1131"/>
      <c r="AV324" s="1131"/>
      <c r="AW324" s="1131"/>
      <c r="AX324" s="1131"/>
      <c r="AY324" s="1131"/>
      <c r="AZ324" s="1131"/>
      <c r="BA324" s="1131"/>
      <c r="BB324" s="1131"/>
      <c r="BC324" s="1131"/>
      <c r="BD324" s="1131"/>
      <c r="BE324" s="1131"/>
      <c r="BF324" s="1131"/>
      <c r="BG324" s="1131"/>
      <c r="BH324" s="1131"/>
      <c r="BI324" s="1131"/>
      <c r="BJ324" s="1131"/>
      <c r="BK324" s="1131"/>
      <c r="BL324" s="1131"/>
      <c r="BM324" s="1131"/>
      <c r="BN324" s="1131"/>
      <c r="BO324" s="1131"/>
      <c r="BP324" s="1131"/>
      <c r="BQ324" s="1131"/>
      <c r="BR324" s="1131"/>
      <c r="BS324" s="1131"/>
      <c r="BT324" s="1131"/>
      <c r="BU324" s="1131"/>
      <c r="BV324" s="1131"/>
      <c r="BW324" s="1131"/>
      <c r="BX324" s="1131"/>
      <c r="BY324" s="1131"/>
      <c r="BZ324" s="1131"/>
      <c r="CA324" s="1131"/>
      <c r="CB324" s="1131"/>
      <c r="CC324" s="1131"/>
      <c r="CD324" s="1131"/>
      <c r="CE324" s="1131"/>
      <c r="CF324" s="1131"/>
      <c r="CG324" s="1131"/>
      <c r="CH324" s="29"/>
      <c r="CI324" s="185"/>
      <c r="CJ324" s="17"/>
    </row>
    <row r="325" spans="1:88" s="3" customFormat="1" hidden="1">
      <c r="A325" s="243" t="str">
        <f t="shared" si="5"/>
        <v>OK</v>
      </c>
      <c r="B325" s="1126" t="str">
        <f>IF(CONSOLIDA!BH97="","",CONSOLIDA!BH97)</f>
        <v/>
      </c>
      <c r="C325" s="1126"/>
      <c r="D325" s="1134" t="str">
        <f>IF(CONSOLIDA!BJ97="","",CONSOLIDA!BJ97)</f>
        <v/>
      </c>
      <c r="E325" s="1135"/>
      <c r="F325" s="1135"/>
      <c r="G325" s="1129" t="str">
        <f>IF(CONSOLIDA!BK97="","",CONSOLIDA!BK97)</f>
        <v/>
      </c>
      <c r="H325" s="1129"/>
      <c r="I325" s="1129"/>
      <c r="J325" s="1129"/>
      <c r="K325" s="1129"/>
      <c r="L325" s="1129"/>
      <c r="M325" s="1129"/>
      <c r="N325" s="1129"/>
      <c r="O325" s="1129"/>
      <c r="P325" s="1129"/>
      <c r="Q325" s="1129"/>
      <c r="R325" s="1129"/>
      <c r="S325" s="1129"/>
      <c r="T325" s="1129"/>
      <c r="U325" s="1129"/>
      <c r="V325" s="1129"/>
      <c r="W325" s="1129"/>
      <c r="X325" s="1129"/>
      <c r="Y325" s="1129"/>
      <c r="Z325" s="1129"/>
      <c r="AA325" s="1129"/>
      <c r="AB325" s="1129"/>
      <c r="AC325" s="1129"/>
      <c r="AD325" s="1129"/>
      <c r="AE325" s="1130"/>
      <c r="AF325" s="1131"/>
      <c r="AG325" s="1131"/>
      <c r="AH325" s="1131"/>
      <c r="AI325" s="1131"/>
      <c r="AJ325" s="1131"/>
      <c r="AK325" s="1131"/>
      <c r="AL325" s="1131"/>
      <c r="AM325" s="1131"/>
      <c r="AN325" s="1131"/>
      <c r="AO325" s="1131"/>
      <c r="AP325" s="1131"/>
      <c r="AQ325" s="1131"/>
      <c r="AR325" s="1131"/>
      <c r="AS325" s="1131"/>
      <c r="AT325" s="1131"/>
      <c r="AU325" s="1131"/>
      <c r="AV325" s="1131"/>
      <c r="AW325" s="1131"/>
      <c r="AX325" s="1131"/>
      <c r="AY325" s="1131"/>
      <c r="AZ325" s="1131"/>
      <c r="BA325" s="1131"/>
      <c r="BB325" s="1131"/>
      <c r="BC325" s="1131"/>
      <c r="BD325" s="1131"/>
      <c r="BE325" s="1131"/>
      <c r="BF325" s="1131"/>
      <c r="BG325" s="1131"/>
      <c r="BH325" s="1131"/>
      <c r="BI325" s="1131"/>
      <c r="BJ325" s="1131"/>
      <c r="BK325" s="1131"/>
      <c r="BL325" s="1131"/>
      <c r="BM325" s="1131"/>
      <c r="BN325" s="1131"/>
      <c r="BO325" s="1131"/>
      <c r="BP325" s="1131"/>
      <c r="BQ325" s="1131"/>
      <c r="BR325" s="1131"/>
      <c r="BS325" s="1131"/>
      <c r="BT325" s="1131"/>
      <c r="BU325" s="1131"/>
      <c r="BV325" s="1131"/>
      <c r="BW325" s="1131"/>
      <c r="BX325" s="1131"/>
      <c r="BY325" s="1131"/>
      <c r="BZ325" s="1131"/>
      <c r="CA325" s="1131"/>
      <c r="CB325" s="1131"/>
      <c r="CC325" s="1131"/>
      <c r="CD325" s="1131"/>
      <c r="CE325" s="1131"/>
      <c r="CF325" s="1131"/>
      <c r="CG325" s="1131"/>
      <c r="CH325" s="29"/>
      <c r="CI325" s="185"/>
      <c r="CJ325" s="17"/>
    </row>
    <row r="326" spans="1:88" s="3" customFormat="1" hidden="1">
      <c r="A326" s="243" t="str">
        <f t="shared" si="5"/>
        <v>OK</v>
      </c>
      <c r="B326" s="1126" t="str">
        <f>IF(CONSOLIDA!BH98="","",CONSOLIDA!BH98)</f>
        <v/>
      </c>
      <c r="C326" s="1126"/>
      <c r="D326" s="1134" t="str">
        <f>IF(CONSOLIDA!BJ98="","",CONSOLIDA!BJ98)</f>
        <v/>
      </c>
      <c r="E326" s="1135"/>
      <c r="F326" s="1135"/>
      <c r="G326" s="1129" t="str">
        <f>IF(CONSOLIDA!BK98="","",CONSOLIDA!BK98)</f>
        <v/>
      </c>
      <c r="H326" s="1129"/>
      <c r="I326" s="1129"/>
      <c r="J326" s="1129"/>
      <c r="K326" s="1129"/>
      <c r="L326" s="1129"/>
      <c r="M326" s="1129"/>
      <c r="N326" s="1129"/>
      <c r="O326" s="1129"/>
      <c r="P326" s="1129"/>
      <c r="Q326" s="1129"/>
      <c r="R326" s="1129"/>
      <c r="S326" s="1129"/>
      <c r="T326" s="1129"/>
      <c r="U326" s="1129"/>
      <c r="V326" s="1129"/>
      <c r="W326" s="1129"/>
      <c r="X326" s="1129"/>
      <c r="Y326" s="1129"/>
      <c r="Z326" s="1129"/>
      <c r="AA326" s="1129"/>
      <c r="AB326" s="1129"/>
      <c r="AC326" s="1129"/>
      <c r="AD326" s="1129"/>
      <c r="AE326" s="1130"/>
      <c r="AF326" s="1131"/>
      <c r="AG326" s="1131"/>
      <c r="AH326" s="1131"/>
      <c r="AI326" s="1131"/>
      <c r="AJ326" s="1131"/>
      <c r="AK326" s="1131"/>
      <c r="AL326" s="1131"/>
      <c r="AM326" s="1131"/>
      <c r="AN326" s="1131"/>
      <c r="AO326" s="1131"/>
      <c r="AP326" s="1131"/>
      <c r="AQ326" s="1131"/>
      <c r="AR326" s="1131"/>
      <c r="AS326" s="1131"/>
      <c r="AT326" s="1131"/>
      <c r="AU326" s="1131"/>
      <c r="AV326" s="1131"/>
      <c r="AW326" s="1131"/>
      <c r="AX326" s="1131"/>
      <c r="AY326" s="1131"/>
      <c r="AZ326" s="1131"/>
      <c r="BA326" s="1131"/>
      <c r="BB326" s="1131"/>
      <c r="BC326" s="1131"/>
      <c r="BD326" s="1131"/>
      <c r="BE326" s="1131"/>
      <c r="BF326" s="1131"/>
      <c r="BG326" s="1131"/>
      <c r="BH326" s="1131"/>
      <c r="BI326" s="1131"/>
      <c r="BJ326" s="1131"/>
      <c r="BK326" s="1131"/>
      <c r="BL326" s="1131"/>
      <c r="BM326" s="1131"/>
      <c r="BN326" s="1131"/>
      <c r="BO326" s="1131"/>
      <c r="BP326" s="1131"/>
      <c r="BQ326" s="1131"/>
      <c r="BR326" s="1131"/>
      <c r="BS326" s="1131"/>
      <c r="BT326" s="1131"/>
      <c r="BU326" s="1131"/>
      <c r="BV326" s="1131"/>
      <c r="BW326" s="1131"/>
      <c r="BX326" s="1131"/>
      <c r="BY326" s="1131"/>
      <c r="BZ326" s="1131"/>
      <c r="CA326" s="1131"/>
      <c r="CB326" s="1131"/>
      <c r="CC326" s="1131"/>
      <c r="CD326" s="1131"/>
      <c r="CE326" s="1131"/>
      <c r="CF326" s="1131"/>
      <c r="CG326" s="1131"/>
      <c r="CH326" s="29"/>
      <c r="CI326" s="185"/>
      <c r="CJ326" s="17"/>
    </row>
    <row r="327" spans="1:88" s="3" customFormat="1" hidden="1">
      <c r="A327" s="243" t="str">
        <f t="shared" si="5"/>
        <v>OK</v>
      </c>
      <c r="B327" s="1126" t="str">
        <f>IF(CONSOLIDA!BH99="","",CONSOLIDA!BH99)</f>
        <v/>
      </c>
      <c r="C327" s="1126"/>
      <c r="D327" s="1134" t="str">
        <f>IF(CONSOLIDA!BJ99="","",CONSOLIDA!BJ99)</f>
        <v/>
      </c>
      <c r="E327" s="1135"/>
      <c r="F327" s="1135"/>
      <c r="G327" s="1129" t="str">
        <f>IF(CONSOLIDA!BK99="","",CONSOLIDA!BK99)</f>
        <v/>
      </c>
      <c r="H327" s="1129"/>
      <c r="I327" s="1129"/>
      <c r="J327" s="1129"/>
      <c r="K327" s="1129"/>
      <c r="L327" s="1129"/>
      <c r="M327" s="1129"/>
      <c r="N327" s="1129"/>
      <c r="O327" s="1129"/>
      <c r="P327" s="1129"/>
      <c r="Q327" s="1129"/>
      <c r="R327" s="1129"/>
      <c r="S327" s="1129"/>
      <c r="T327" s="1129"/>
      <c r="U327" s="1129"/>
      <c r="V327" s="1129"/>
      <c r="W327" s="1129"/>
      <c r="X327" s="1129"/>
      <c r="Y327" s="1129"/>
      <c r="Z327" s="1129"/>
      <c r="AA327" s="1129"/>
      <c r="AB327" s="1129"/>
      <c r="AC327" s="1129"/>
      <c r="AD327" s="1129"/>
      <c r="AE327" s="1130"/>
      <c r="AF327" s="1131"/>
      <c r="AG327" s="1131"/>
      <c r="AH327" s="1131"/>
      <c r="AI327" s="1131"/>
      <c r="AJ327" s="1131"/>
      <c r="AK327" s="1131"/>
      <c r="AL327" s="1131"/>
      <c r="AM327" s="1131"/>
      <c r="AN327" s="1131"/>
      <c r="AO327" s="1131"/>
      <c r="AP327" s="1131"/>
      <c r="AQ327" s="1131"/>
      <c r="AR327" s="1131"/>
      <c r="AS327" s="1131"/>
      <c r="AT327" s="1131"/>
      <c r="AU327" s="1131"/>
      <c r="AV327" s="1131"/>
      <c r="AW327" s="1131"/>
      <c r="AX327" s="1131"/>
      <c r="AY327" s="1131"/>
      <c r="AZ327" s="1131"/>
      <c r="BA327" s="1131"/>
      <c r="BB327" s="1131"/>
      <c r="BC327" s="1131"/>
      <c r="BD327" s="1131"/>
      <c r="BE327" s="1131"/>
      <c r="BF327" s="1131"/>
      <c r="BG327" s="1131"/>
      <c r="BH327" s="1131"/>
      <c r="BI327" s="1131"/>
      <c r="BJ327" s="1131"/>
      <c r="BK327" s="1131"/>
      <c r="BL327" s="1131"/>
      <c r="BM327" s="1131"/>
      <c r="BN327" s="1131"/>
      <c r="BO327" s="1131"/>
      <c r="BP327" s="1131"/>
      <c r="BQ327" s="1131"/>
      <c r="BR327" s="1131"/>
      <c r="BS327" s="1131"/>
      <c r="BT327" s="1131"/>
      <c r="BU327" s="1131"/>
      <c r="BV327" s="1131"/>
      <c r="BW327" s="1131"/>
      <c r="BX327" s="1131"/>
      <c r="BY327" s="1131"/>
      <c r="BZ327" s="1131"/>
      <c r="CA327" s="1131"/>
      <c r="CB327" s="1131"/>
      <c r="CC327" s="1131"/>
      <c r="CD327" s="1131"/>
      <c r="CE327" s="1131"/>
      <c r="CF327" s="1131"/>
      <c r="CG327" s="1131"/>
      <c r="CH327" s="29"/>
      <c r="CI327" s="185"/>
      <c r="CJ327" s="17"/>
    </row>
    <row r="328" spans="1:88" s="3" customFormat="1" hidden="1">
      <c r="A328" s="243" t="str">
        <f t="shared" si="5"/>
        <v>OK</v>
      </c>
      <c r="B328" s="1126" t="str">
        <f>IF(CONSOLIDA!BH100="","",CONSOLIDA!BH100)</f>
        <v/>
      </c>
      <c r="C328" s="1126"/>
      <c r="D328" s="1134" t="str">
        <f>IF(CONSOLIDA!BJ100="","",CONSOLIDA!BJ100)</f>
        <v/>
      </c>
      <c r="E328" s="1135"/>
      <c r="F328" s="1135"/>
      <c r="G328" s="1129" t="str">
        <f>IF(CONSOLIDA!BK100="","",CONSOLIDA!BK100)</f>
        <v/>
      </c>
      <c r="H328" s="1129"/>
      <c r="I328" s="1129"/>
      <c r="J328" s="1129"/>
      <c r="K328" s="1129"/>
      <c r="L328" s="1129"/>
      <c r="M328" s="1129"/>
      <c r="N328" s="1129"/>
      <c r="O328" s="1129"/>
      <c r="P328" s="1129"/>
      <c r="Q328" s="1129"/>
      <c r="R328" s="1129"/>
      <c r="S328" s="1129"/>
      <c r="T328" s="1129"/>
      <c r="U328" s="1129"/>
      <c r="V328" s="1129"/>
      <c r="W328" s="1129"/>
      <c r="X328" s="1129"/>
      <c r="Y328" s="1129"/>
      <c r="Z328" s="1129"/>
      <c r="AA328" s="1129"/>
      <c r="AB328" s="1129"/>
      <c r="AC328" s="1129"/>
      <c r="AD328" s="1129"/>
      <c r="AE328" s="1130"/>
      <c r="AF328" s="1131"/>
      <c r="AG328" s="1131"/>
      <c r="AH328" s="1131"/>
      <c r="AI328" s="1131"/>
      <c r="AJ328" s="1131"/>
      <c r="AK328" s="1131"/>
      <c r="AL328" s="1131"/>
      <c r="AM328" s="1131"/>
      <c r="AN328" s="1131"/>
      <c r="AO328" s="1131"/>
      <c r="AP328" s="1131"/>
      <c r="AQ328" s="1131"/>
      <c r="AR328" s="1131"/>
      <c r="AS328" s="1131"/>
      <c r="AT328" s="1131"/>
      <c r="AU328" s="1131"/>
      <c r="AV328" s="1131"/>
      <c r="AW328" s="1131"/>
      <c r="AX328" s="1131"/>
      <c r="AY328" s="1131"/>
      <c r="AZ328" s="1131"/>
      <c r="BA328" s="1131"/>
      <c r="BB328" s="1131"/>
      <c r="BC328" s="1131"/>
      <c r="BD328" s="1131"/>
      <c r="BE328" s="1131"/>
      <c r="BF328" s="1131"/>
      <c r="BG328" s="1131"/>
      <c r="BH328" s="1131"/>
      <c r="BI328" s="1131"/>
      <c r="BJ328" s="1131"/>
      <c r="BK328" s="1131"/>
      <c r="BL328" s="1131"/>
      <c r="BM328" s="1131"/>
      <c r="BN328" s="1131"/>
      <c r="BO328" s="1131"/>
      <c r="BP328" s="1131"/>
      <c r="BQ328" s="1131"/>
      <c r="BR328" s="1131"/>
      <c r="BS328" s="1131"/>
      <c r="BT328" s="1131"/>
      <c r="BU328" s="1131"/>
      <c r="BV328" s="1131"/>
      <c r="BW328" s="1131"/>
      <c r="BX328" s="1131"/>
      <c r="BY328" s="1131"/>
      <c r="BZ328" s="1131"/>
      <c r="CA328" s="1131"/>
      <c r="CB328" s="1131"/>
      <c r="CC328" s="1131"/>
      <c r="CD328" s="1131"/>
      <c r="CE328" s="1131"/>
      <c r="CF328" s="1131"/>
      <c r="CG328" s="1131"/>
      <c r="CH328" s="29"/>
      <c r="CI328" s="185"/>
      <c r="CJ328" s="17"/>
    </row>
    <row r="329" spans="1:88" s="3" customFormat="1" hidden="1">
      <c r="A329" s="243" t="str">
        <f t="shared" si="5"/>
        <v>OK</v>
      </c>
      <c r="B329" s="1126" t="str">
        <f>IF(CONSOLIDA!BH101="","",CONSOLIDA!BH101)</f>
        <v/>
      </c>
      <c r="C329" s="1126"/>
      <c r="D329" s="1134" t="str">
        <f>IF(CONSOLIDA!BJ101="","",CONSOLIDA!BJ101)</f>
        <v/>
      </c>
      <c r="E329" s="1135"/>
      <c r="F329" s="1135"/>
      <c r="G329" s="1129" t="str">
        <f>IF(CONSOLIDA!BK101="","",CONSOLIDA!BK101)</f>
        <v/>
      </c>
      <c r="H329" s="1129"/>
      <c r="I329" s="1129"/>
      <c r="J329" s="1129"/>
      <c r="K329" s="1129"/>
      <c r="L329" s="1129"/>
      <c r="M329" s="1129"/>
      <c r="N329" s="1129"/>
      <c r="O329" s="1129"/>
      <c r="P329" s="1129"/>
      <c r="Q329" s="1129"/>
      <c r="R329" s="1129"/>
      <c r="S329" s="1129"/>
      <c r="T329" s="1129"/>
      <c r="U329" s="1129"/>
      <c r="V329" s="1129"/>
      <c r="W329" s="1129"/>
      <c r="X329" s="1129"/>
      <c r="Y329" s="1129"/>
      <c r="Z329" s="1129"/>
      <c r="AA329" s="1129"/>
      <c r="AB329" s="1129"/>
      <c r="AC329" s="1129"/>
      <c r="AD329" s="1129"/>
      <c r="AE329" s="1130"/>
      <c r="AF329" s="1131"/>
      <c r="AG329" s="1131"/>
      <c r="AH329" s="1131"/>
      <c r="AI329" s="1131"/>
      <c r="AJ329" s="1131"/>
      <c r="AK329" s="1131"/>
      <c r="AL329" s="1131"/>
      <c r="AM329" s="1131"/>
      <c r="AN329" s="1131"/>
      <c r="AO329" s="1131"/>
      <c r="AP329" s="1131"/>
      <c r="AQ329" s="1131"/>
      <c r="AR329" s="1131"/>
      <c r="AS329" s="1131"/>
      <c r="AT329" s="1131"/>
      <c r="AU329" s="1131"/>
      <c r="AV329" s="1131"/>
      <c r="AW329" s="1131"/>
      <c r="AX329" s="1131"/>
      <c r="AY329" s="1131"/>
      <c r="AZ329" s="1131"/>
      <c r="BA329" s="1131"/>
      <c r="BB329" s="1131"/>
      <c r="BC329" s="1131"/>
      <c r="BD329" s="1131"/>
      <c r="BE329" s="1131"/>
      <c r="BF329" s="1131"/>
      <c r="BG329" s="1131"/>
      <c r="BH329" s="1131"/>
      <c r="BI329" s="1131"/>
      <c r="BJ329" s="1131"/>
      <c r="BK329" s="1131"/>
      <c r="BL329" s="1131"/>
      <c r="BM329" s="1131"/>
      <c r="BN329" s="1131"/>
      <c r="BO329" s="1131"/>
      <c r="BP329" s="1131"/>
      <c r="BQ329" s="1131"/>
      <c r="BR329" s="1131"/>
      <c r="BS329" s="1131"/>
      <c r="BT329" s="1131"/>
      <c r="BU329" s="1131"/>
      <c r="BV329" s="1131"/>
      <c r="BW329" s="1131"/>
      <c r="BX329" s="1131"/>
      <c r="BY329" s="1131"/>
      <c r="BZ329" s="1131"/>
      <c r="CA329" s="1131"/>
      <c r="CB329" s="1131"/>
      <c r="CC329" s="1131"/>
      <c r="CD329" s="1131"/>
      <c r="CE329" s="1131"/>
      <c r="CF329" s="1131"/>
      <c r="CG329" s="1131"/>
      <c r="CH329" s="29"/>
      <c r="CI329" s="185"/>
      <c r="CJ329" s="17"/>
    </row>
    <row r="330" spans="1:88" s="3" customFormat="1" hidden="1">
      <c r="A330" s="243" t="str">
        <f t="shared" si="5"/>
        <v>OK</v>
      </c>
      <c r="B330" s="1126" t="str">
        <f>IF(CONSOLIDA!BH102="","",CONSOLIDA!BH102)</f>
        <v/>
      </c>
      <c r="C330" s="1126"/>
      <c r="D330" s="1134" t="str">
        <f>IF(CONSOLIDA!BJ102="","",CONSOLIDA!BJ102)</f>
        <v/>
      </c>
      <c r="E330" s="1135"/>
      <c r="F330" s="1135"/>
      <c r="G330" s="1129" t="str">
        <f>IF(CONSOLIDA!BK102="","",CONSOLIDA!BK102)</f>
        <v/>
      </c>
      <c r="H330" s="1129"/>
      <c r="I330" s="1129"/>
      <c r="J330" s="1129"/>
      <c r="K330" s="1129"/>
      <c r="L330" s="1129"/>
      <c r="M330" s="1129"/>
      <c r="N330" s="1129"/>
      <c r="O330" s="1129"/>
      <c r="P330" s="1129"/>
      <c r="Q330" s="1129"/>
      <c r="R330" s="1129"/>
      <c r="S330" s="1129"/>
      <c r="T330" s="1129"/>
      <c r="U330" s="1129"/>
      <c r="V330" s="1129"/>
      <c r="W330" s="1129"/>
      <c r="X330" s="1129"/>
      <c r="Y330" s="1129"/>
      <c r="Z330" s="1129"/>
      <c r="AA330" s="1129"/>
      <c r="AB330" s="1129"/>
      <c r="AC330" s="1129"/>
      <c r="AD330" s="1129"/>
      <c r="AE330" s="1130"/>
      <c r="AF330" s="1131"/>
      <c r="AG330" s="1131"/>
      <c r="AH330" s="1131"/>
      <c r="AI330" s="1131"/>
      <c r="AJ330" s="1131"/>
      <c r="AK330" s="1131"/>
      <c r="AL330" s="1131"/>
      <c r="AM330" s="1131"/>
      <c r="AN330" s="1131"/>
      <c r="AO330" s="1131"/>
      <c r="AP330" s="1131"/>
      <c r="AQ330" s="1131"/>
      <c r="AR330" s="1131"/>
      <c r="AS330" s="1131"/>
      <c r="AT330" s="1131"/>
      <c r="AU330" s="1131"/>
      <c r="AV330" s="1131"/>
      <c r="AW330" s="1131"/>
      <c r="AX330" s="1131"/>
      <c r="AY330" s="1131"/>
      <c r="AZ330" s="1131"/>
      <c r="BA330" s="1131"/>
      <c r="BB330" s="1131"/>
      <c r="BC330" s="1131"/>
      <c r="BD330" s="1131"/>
      <c r="BE330" s="1131"/>
      <c r="BF330" s="1131"/>
      <c r="BG330" s="1131"/>
      <c r="BH330" s="1131"/>
      <c r="BI330" s="1131"/>
      <c r="BJ330" s="1131"/>
      <c r="BK330" s="1131"/>
      <c r="BL330" s="1131"/>
      <c r="BM330" s="1131"/>
      <c r="BN330" s="1131"/>
      <c r="BO330" s="1131"/>
      <c r="BP330" s="1131"/>
      <c r="BQ330" s="1131"/>
      <c r="BR330" s="1131"/>
      <c r="BS330" s="1131"/>
      <c r="BT330" s="1131"/>
      <c r="BU330" s="1131"/>
      <c r="BV330" s="1131"/>
      <c r="BW330" s="1131"/>
      <c r="BX330" s="1131"/>
      <c r="BY330" s="1131"/>
      <c r="BZ330" s="1131"/>
      <c r="CA330" s="1131"/>
      <c r="CB330" s="1131"/>
      <c r="CC330" s="1131"/>
      <c r="CD330" s="1131"/>
      <c r="CE330" s="1131"/>
      <c r="CF330" s="1131"/>
      <c r="CG330" s="1131"/>
      <c r="CH330" s="29"/>
      <c r="CI330" s="185"/>
      <c r="CJ330" s="17"/>
    </row>
    <row r="331" spans="1:88" s="3" customFormat="1" hidden="1">
      <c r="A331" s="243" t="str">
        <f t="shared" si="5"/>
        <v>OK</v>
      </c>
      <c r="B331" s="1126" t="str">
        <f>IF(CONSOLIDA!BH103="","",CONSOLIDA!BH103)</f>
        <v/>
      </c>
      <c r="C331" s="1126"/>
      <c r="D331" s="1134" t="str">
        <f>IF(CONSOLIDA!BJ103="","",CONSOLIDA!BJ103)</f>
        <v/>
      </c>
      <c r="E331" s="1135"/>
      <c r="F331" s="1135"/>
      <c r="G331" s="1129" t="str">
        <f>IF(CONSOLIDA!BK103="","",CONSOLIDA!BK103)</f>
        <v/>
      </c>
      <c r="H331" s="1129"/>
      <c r="I331" s="1129"/>
      <c r="J331" s="1129"/>
      <c r="K331" s="1129"/>
      <c r="L331" s="1129"/>
      <c r="M331" s="1129"/>
      <c r="N331" s="1129"/>
      <c r="O331" s="1129"/>
      <c r="P331" s="1129"/>
      <c r="Q331" s="1129"/>
      <c r="R331" s="1129"/>
      <c r="S331" s="1129"/>
      <c r="T331" s="1129"/>
      <c r="U331" s="1129"/>
      <c r="V331" s="1129"/>
      <c r="W331" s="1129"/>
      <c r="X331" s="1129"/>
      <c r="Y331" s="1129"/>
      <c r="Z331" s="1129"/>
      <c r="AA331" s="1129"/>
      <c r="AB331" s="1129"/>
      <c r="AC331" s="1129"/>
      <c r="AD331" s="1129"/>
      <c r="AE331" s="1130"/>
      <c r="AF331" s="1131"/>
      <c r="AG331" s="1131"/>
      <c r="AH331" s="1131"/>
      <c r="AI331" s="1131"/>
      <c r="AJ331" s="1131"/>
      <c r="AK331" s="1131"/>
      <c r="AL331" s="1131"/>
      <c r="AM331" s="1131"/>
      <c r="AN331" s="1131"/>
      <c r="AO331" s="1131"/>
      <c r="AP331" s="1131"/>
      <c r="AQ331" s="1131"/>
      <c r="AR331" s="1131"/>
      <c r="AS331" s="1131"/>
      <c r="AT331" s="1131"/>
      <c r="AU331" s="1131"/>
      <c r="AV331" s="1131"/>
      <c r="AW331" s="1131"/>
      <c r="AX331" s="1131"/>
      <c r="AY331" s="1131"/>
      <c r="AZ331" s="1131"/>
      <c r="BA331" s="1131"/>
      <c r="BB331" s="1131"/>
      <c r="BC331" s="1131"/>
      <c r="BD331" s="1131"/>
      <c r="BE331" s="1131"/>
      <c r="BF331" s="1131"/>
      <c r="BG331" s="1131"/>
      <c r="BH331" s="1131"/>
      <c r="BI331" s="1131"/>
      <c r="BJ331" s="1131"/>
      <c r="BK331" s="1131"/>
      <c r="BL331" s="1131"/>
      <c r="BM331" s="1131"/>
      <c r="BN331" s="1131"/>
      <c r="BO331" s="1131"/>
      <c r="BP331" s="1131"/>
      <c r="BQ331" s="1131"/>
      <c r="BR331" s="1131"/>
      <c r="BS331" s="1131"/>
      <c r="BT331" s="1131"/>
      <c r="BU331" s="1131"/>
      <c r="BV331" s="1131"/>
      <c r="BW331" s="1131"/>
      <c r="BX331" s="1131"/>
      <c r="BY331" s="1131"/>
      <c r="BZ331" s="1131"/>
      <c r="CA331" s="1131"/>
      <c r="CB331" s="1131"/>
      <c r="CC331" s="1131"/>
      <c r="CD331" s="1131"/>
      <c r="CE331" s="1131"/>
      <c r="CF331" s="1131"/>
      <c r="CG331" s="1131"/>
      <c r="CH331" s="29"/>
      <c r="CI331" s="185"/>
      <c r="CJ331" s="17"/>
    </row>
    <row r="332" spans="1:88" s="3" customFormat="1" hidden="1">
      <c r="A332" s="243" t="str">
        <f t="shared" si="5"/>
        <v>OK</v>
      </c>
      <c r="B332" s="1126" t="str">
        <f>IF(CONSOLIDA!BH104="","",CONSOLIDA!BH104)</f>
        <v/>
      </c>
      <c r="C332" s="1126"/>
      <c r="D332" s="1134" t="str">
        <f>IF(CONSOLIDA!BJ104="","",CONSOLIDA!BJ104)</f>
        <v/>
      </c>
      <c r="E332" s="1135"/>
      <c r="F332" s="1135"/>
      <c r="G332" s="1129" t="str">
        <f>IF(CONSOLIDA!BK104="","",CONSOLIDA!BK104)</f>
        <v/>
      </c>
      <c r="H332" s="1129"/>
      <c r="I332" s="1129"/>
      <c r="J332" s="1129"/>
      <c r="K332" s="1129"/>
      <c r="L332" s="1129"/>
      <c r="M332" s="1129"/>
      <c r="N332" s="1129"/>
      <c r="O332" s="1129"/>
      <c r="P332" s="1129"/>
      <c r="Q332" s="1129"/>
      <c r="R332" s="1129"/>
      <c r="S332" s="1129"/>
      <c r="T332" s="1129"/>
      <c r="U332" s="1129"/>
      <c r="V332" s="1129"/>
      <c r="W332" s="1129"/>
      <c r="X332" s="1129"/>
      <c r="Y332" s="1129"/>
      <c r="Z332" s="1129"/>
      <c r="AA332" s="1129"/>
      <c r="AB332" s="1129"/>
      <c r="AC332" s="1129"/>
      <c r="AD332" s="1129"/>
      <c r="AE332" s="1130"/>
      <c r="AF332" s="1131"/>
      <c r="AG332" s="1131"/>
      <c r="AH332" s="1131"/>
      <c r="AI332" s="1131"/>
      <c r="AJ332" s="1131"/>
      <c r="AK332" s="1131"/>
      <c r="AL332" s="1131"/>
      <c r="AM332" s="1131"/>
      <c r="AN332" s="1131"/>
      <c r="AO332" s="1131"/>
      <c r="AP332" s="1131"/>
      <c r="AQ332" s="1131"/>
      <c r="AR332" s="1131"/>
      <c r="AS332" s="1131"/>
      <c r="AT332" s="1131"/>
      <c r="AU332" s="1131"/>
      <c r="AV332" s="1131"/>
      <c r="AW332" s="1131"/>
      <c r="AX332" s="1131"/>
      <c r="AY332" s="1131"/>
      <c r="AZ332" s="1131"/>
      <c r="BA332" s="1131"/>
      <c r="BB332" s="1131"/>
      <c r="BC332" s="1131"/>
      <c r="BD332" s="1131"/>
      <c r="BE332" s="1131"/>
      <c r="BF332" s="1131"/>
      <c r="BG332" s="1131"/>
      <c r="BH332" s="1131"/>
      <c r="BI332" s="1131"/>
      <c r="BJ332" s="1131"/>
      <c r="BK332" s="1131"/>
      <c r="BL332" s="1131"/>
      <c r="BM332" s="1131"/>
      <c r="BN332" s="1131"/>
      <c r="BO332" s="1131"/>
      <c r="BP332" s="1131"/>
      <c r="BQ332" s="1131"/>
      <c r="BR332" s="1131"/>
      <c r="BS332" s="1131"/>
      <c r="BT332" s="1131"/>
      <c r="BU332" s="1131"/>
      <c r="BV332" s="1131"/>
      <c r="BW332" s="1131"/>
      <c r="BX332" s="1131"/>
      <c r="BY332" s="1131"/>
      <c r="BZ332" s="1131"/>
      <c r="CA332" s="1131"/>
      <c r="CB332" s="1131"/>
      <c r="CC332" s="1131"/>
      <c r="CD332" s="1131"/>
      <c r="CE332" s="1131"/>
      <c r="CF332" s="1131"/>
      <c r="CG332" s="1131"/>
      <c r="CH332" s="29"/>
      <c r="CI332" s="185"/>
      <c r="CJ332" s="17"/>
    </row>
    <row r="333" spans="1:88" s="3" customFormat="1" hidden="1">
      <c r="A333" s="243" t="str">
        <f t="shared" si="5"/>
        <v>OK</v>
      </c>
      <c r="B333" s="1126" t="str">
        <f>IF(CONSOLIDA!BH105="","",CONSOLIDA!BH105)</f>
        <v/>
      </c>
      <c r="C333" s="1126"/>
      <c r="D333" s="1134" t="str">
        <f>IF(CONSOLIDA!BJ105="","",CONSOLIDA!BJ105)</f>
        <v/>
      </c>
      <c r="E333" s="1135"/>
      <c r="F333" s="1135"/>
      <c r="G333" s="1129" t="str">
        <f>IF(CONSOLIDA!BK105="","",CONSOLIDA!BK105)</f>
        <v/>
      </c>
      <c r="H333" s="1129"/>
      <c r="I333" s="1129"/>
      <c r="J333" s="1129"/>
      <c r="K333" s="1129"/>
      <c r="L333" s="1129"/>
      <c r="M333" s="1129"/>
      <c r="N333" s="1129"/>
      <c r="O333" s="1129"/>
      <c r="P333" s="1129"/>
      <c r="Q333" s="1129"/>
      <c r="R333" s="1129"/>
      <c r="S333" s="1129"/>
      <c r="T333" s="1129"/>
      <c r="U333" s="1129"/>
      <c r="V333" s="1129"/>
      <c r="W333" s="1129"/>
      <c r="X333" s="1129"/>
      <c r="Y333" s="1129"/>
      <c r="Z333" s="1129"/>
      <c r="AA333" s="1129"/>
      <c r="AB333" s="1129"/>
      <c r="AC333" s="1129"/>
      <c r="AD333" s="1129"/>
      <c r="AE333" s="1130"/>
      <c r="AF333" s="1131"/>
      <c r="AG333" s="1131"/>
      <c r="AH333" s="1131"/>
      <c r="AI333" s="1131"/>
      <c r="AJ333" s="1131"/>
      <c r="AK333" s="1131"/>
      <c r="AL333" s="1131"/>
      <c r="AM333" s="1131"/>
      <c r="AN333" s="1131"/>
      <c r="AO333" s="1131"/>
      <c r="AP333" s="1131"/>
      <c r="AQ333" s="1131"/>
      <c r="AR333" s="1131"/>
      <c r="AS333" s="1131"/>
      <c r="AT333" s="1131"/>
      <c r="AU333" s="1131"/>
      <c r="AV333" s="1131"/>
      <c r="AW333" s="1131"/>
      <c r="AX333" s="1131"/>
      <c r="AY333" s="1131"/>
      <c r="AZ333" s="1131"/>
      <c r="BA333" s="1131"/>
      <c r="BB333" s="1131"/>
      <c r="BC333" s="1131"/>
      <c r="BD333" s="1131"/>
      <c r="BE333" s="1131"/>
      <c r="BF333" s="1131"/>
      <c r="BG333" s="1131"/>
      <c r="BH333" s="1131"/>
      <c r="BI333" s="1131"/>
      <c r="BJ333" s="1131"/>
      <c r="BK333" s="1131"/>
      <c r="BL333" s="1131"/>
      <c r="BM333" s="1131"/>
      <c r="BN333" s="1131"/>
      <c r="BO333" s="1131"/>
      <c r="BP333" s="1131"/>
      <c r="BQ333" s="1131"/>
      <c r="BR333" s="1131"/>
      <c r="BS333" s="1131"/>
      <c r="BT333" s="1131"/>
      <c r="BU333" s="1131"/>
      <c r="BV333" s="1131"/>
      <c r="BW333" s="1131"/>
      <c r="BX333" s="1131"/>
      <c r="BY333" s="1131"/>
      <c r="BZ333" s="1131"/>
      <c r="CA333" s="1131"/>
      <c r="CB333" s="1131"/>
      <c r="CC333" s="1131"/>
      <c r="CD333" s="1131"/>
      <c r="CE333" s="1131"/>
      <c r="CF333" s="1131"/>
      <c r="CG333" s="1131"/>
      <c r="CH333" s="29"/>
      <c r="CI333" s="185"/>
      <c r="CJ333" s="17"/>
    </row>
    <row r="334" spans="1:88" s="3" customFormat="1" hidden="1">
      <c r="A334" s="243" t="str">
        <f t="shared" si="5"/>
        <v>OK</v>
      </c>
      <c r="B334" s="1126" t="str">
        <f>IF(CONSOLIDA!BH106="","",CONSOLIDA!BH106)</f>
        <v/>
      </c>
      <c r="C334" s="1126"/>
      <c r="D334" s="1134" t="str">
        <f>IF(CONSOLIDA!BJ106="","",CONSOLIDA!BJ106)</f>
        <v/>
      </c>
      <c r="E334" s="1135"/>
      <c r="F334" s="1135"/>
      <c r="G334" s="1129" t="str">
        <f>IF(CONSOLIDA!BK106="","",CONSOLIDA!BK106)</f>
        <v/>
      </c>
      <c r="H334" s="1129"/>
      <c r="I334" s="1129"/>
      <c r="J334" s="1129"/>
      <c r="K334" s="1129"/>
      <c r="L334" s="1129"/>
      <c r="M334" s="1129"/>
      <c r="N334" s="1129"/>
      <c r="O334" s="1129"/>
      <c r="P334" s="1129"/>
      <c r="Q334" s="1129"/>
      <c r="R334" s="1129"/>
      <c r="S334" s="1129"/>
      <c r="T334" s="1129"/>
      <c r="U334" s="1129"/>
      <c r="V334" s="1129"/>
      <c r="W334" s="1129"/>
      <c r="X334" s="1129"/>
      <c r="Y334" s="1129"/>
      <c r="Z334" s="1129"/>
      <c r="AA334" s="1129"/>
      <c r="AB334" s="1129"/>
      <c r="AC334" s="1129"/>
      <c r="AD334" s="1129"/>
      <c r="AE334" s="1130"/>
      <c r="AF334" s="1131"/>
      <c r="AG334" s="1131"/>
      <c r="AH334" s="1131"/>
      <c r="AI334" s="1131"/>
      <c r="AJ334" s="1131"/>
      <c r="AK334" s="1131"/>
      <c r="AL334" s="1131"/>
      <c r="AM334" s="1131"/>
      <c r="AN334" s="1131"/>
      <c r="AO334" s="1131"/>
      <c r="AP334" s="1131"/>
      <c r="AQ334" s="1131"/>
      <c r="AR334" s="1131"/>
      <c r="AS334" s="1131"/>
      <c r="AT334" s="1131"/>
      <c r="AU334" s="1131"/>
      <c r="AV334" s="1131"/>
      <c r="AW334" s="1131"/>
      <c r="AX334" s="1131"/>
      <c r="AY334" s="1131"/>
      <c r="AZ334" s="1131"/>
      <c r="BA334" s="1131"/>
      <c r="BB334" s="1131"/>
      <c r="BC334" s="1131"/>
      <c r="BD334" s="1131"/>
      <c r="BE334" s="1131"/>
      <c r="BF334" s="1131"/>
      <c r="BG334" s="1131"/>
      <c r="BH334" s="1131"/>
      <c r="BI334" s="1131"/>
      <c r="BJ334" s="1131"/>
      <c r="BK334" s="1131"/>
      <c r="BL334" s="1131"/>
      <c r="BM334" s="1131"/>
      <c r="BN334" s="1131"/>
      <c r="BO334" s="1131"/>
      <c r="BP334" s="1131"/>
      <c r="BQ334" s="1131"/>
      <c r="BR334" s="1131"/>
      <c r="BS334" s="1131"/>
      <c r="BT334" s="1131"/>
      <c r="BU334" s="1131"/>
      <c r="BV334" s="1131"/>
      <c r="BW334" s="1131"/>
      <c r="BX334" s="1131"/>
      <c r="BY334" s="1131"/>
      <c r="BZ334" s="1131"/>
      <c r="CA334" s="1131"/>
      <c r="CB334" s="1131"/>
      <c r="CC334" s="1131"/>
      <c r="CD334" s="1131"/>
      <c r="CE334" s="1131"/>
      <c r="CF334" s="1131"/>
      <c r="CG334" s="1131"/>
      <c r="CH334" s="29"/>
      <c r="CI334" s="185"/>
      <c r="CJ334" s="17"/>
    </row>
    <row r="335" spans="1:88" s="3" customFormat="1" hidden="1">
      <c r="A335" s="243" t="str">
        <f t="shared" si="5"/>
        <v>OK</v>
      </c>
      <c r="B335" s="1126" t="str">
        <f>IF(CONSOLIDA!BH107="","",CONSOLIDA!BH107)</f>
        <v/>
      </c>
      <c r="C335" s="1126"/>
      <c r="D335" s="1134" t="str">
        <f>IF(CONSOLIDA!BJ107="","",CONSOLIDA!BJ107)</f>
        <v/>
      </c>
      <c r="E335" s="1135"/>
      <c r="F335" s="1135"/>
      <c r="G335" s="1129" t="str">
        <f>IF(CONSOLIDA!BK107="","",CONSOLIDA!BK107)</f>
        <v/>
      </c>
      <c r="H335" s="1129"/>
      <c r="I335" s="1129"/>
      <c r="J335" s="1129"/>
      <c r="K335" s="1129"/>
      <c r="L335" s="1129"/>
      <c r="M335" s="1129"/>
      <c r="N335" s="1129"/>
      <c r="O335" s="1129"/>
      <c r="P335" s="1129"/>
      <c r="Q335" s="1129"/>
      <c r="R335" s="1129"/>
      <c r="S335" s="1129"/>
      <c r="T335" s="1129"/>
      <c r="U335" s="1129"/>
      <c r="V335" s="1129"/>
      <c r="W335" s="1129"/>
      <c r="X335" s="1129"/>
      <c r="Y335" s="1129"/>
      <c r="Z335" s="1129"/>
      <c r="AA335" s="1129"/>
      <c r="AB335" s="1129"/>
      <c r="AC335" s="1129"/>
      <c r="AD335" s="1129"/>
      <c r="AE335" s="1130"/>
      <c r="AF335" s="1131"/>
      <c r="AG335" s="1131"/>
      <c r="AH335" s="1131"/>
      <c r="AI335" s="1131"/>
      <c r="AJ335" s="1131"/>
      <c r="AK335" s="1131"/>
      <c r="AL335" s="1131"/>
      <c r="AM335" s="1131"/>
      <c r="AN335" s="1131"/>
      <c r="AO335" s="1131"/>
      <c r="AP335" s="1131"/>
      <c r="AQ335" s="1131"/>
      <c r="AR335" s="1131"/>
      <c r="AS335" s="1131"/>
      <c r="AT335" s="1131"/>
      <c r="AU335" s="1131"/>
      <c r="AV335" s="1131"/>
      <c r="AW335" s="1131"/>
      <c r="AX335" s="1131"/>
      <c r="AY335" s="1131"/>
      <c r="AZ335" s="1131"/>
      <c r="BA335" s="1131"/>
      <c r="BB335" s="1131"/>
      <c r="BC335" s="1131"/>
      <c r="BD335" s="1131"/>
      <c r="BE335" s="1131"/>
      <c r="BF335" s="1131"/>
      <c r="BG335" s="1131"/>
      <c r="BH335" s="1131"/>
      <c r="BI335" s="1131"/>
      <c r="BJ335" s="1131"/>
      <c r="BK335" s="1131"/>
      <c r="BL335" s="1131"/>
      <c r="BM335" s="1131"/>
      <c r="BN335" s="1131"/>
      <c r="BO335" s="1131"/>
      <c r="BP335" s="1131"/>
      <c r="BQ335" s="1131"/>
      <c r="BR335" s="1131"/>
      <c r="BS335" s="1131"/>
      <c r="BT335" s="1131"/>
      <c r="BU335" s="1131"/>
      <c r="BV335" s="1131"/>
      <c r="BW335" s="1131"/>
      <c r="BX335" s="1131"/>
      <c r="BY335" s="1131"/>
      <c r="BZ335" s="1131"/>
      <c r="CA335" s="1131"/>
      <c r="CB335" s="1131"/>
      <c r="CC335" s="1131"/>
      <c r="CD335" s="1131"/>
      <c r="CE335" s="1131"/>
      <c r="CF335" s="1131"/>
      <c r="CG335" s="1131"/>
      <c r="CH335" s="29"/>
      <c r="CI335" s="185"/>
      <c r="CJ335" s="17"/>
    </row>
    <row r="336" spans="1:88" s="3" customFormat="1" hidden="1">
      <c r="A336" s="243" t="str">
        <f t="shared" si="5"/>
        <v>OK</v>
      </c>
      <c r="B336" s="1126" t="str">
        <f>IF(CONSOLIDA!BH108="","",CONSOLIDA!BH108)</f>
        <v/>
      </c>
      <c r="C336" s="1126"/>
      <c r="D336" s="1134" t="str">
        <f>IF(CONSOLIDA!BJ108="","",CONSOLIDA!BJ108)</f>
        <v/>
      </c>
      <c r="E336" s="1135"/>
      <c r="F336" s="1135"/>
      <c r="G336" s="1129" t="str">
        <f>IF(CONSOLIDA!BK108="","",CONSOLIDA!BK108)</f>
        <v/>
      </c>
      <c r="H336" s="1129"/>
      <c r="I336" s="1129"/>
      <c r="J336" s="1129"/>
      <c r="K336" s="1129"/>
      <c r="L336" s="1129"/>
      <c r="M336" s="1129"/>
      <c r="N336" s="1129"/>
      <c r="O336" s="1129"/>
      <c r="P336" s="1129"/>
      <c r="Q336" s="1129"/>
      <c r="R336" s="1129"/>
      <c r="S336" s="1129"/>
      <c r="T336" s="1129"/>
      <c r="U336" s="1129"/>
      <c r="V336" s="1129"/>
      <c r="W336" s="1129"/>
      <c r="X336" s="1129"/>
      <c r="Y336" s="1129"/>
      <c r="Z336" s="1129"/>
      <c r="AA336" s="1129"/>
      <c r="AB336" s="1129"/>
      <c r="AC336" s="1129"/>
      <c r="AD336" s="1129"/>
      <c r="AE336" s="1130"/>
      <c r="AF336" s="1131"/>
      <c r="AG336" s="1131"/>
      <c r="AH336" s="1131"/>
      <c r="AI336" s="1131"/>
      <c r="AJ336" s="1131"/>
      <c r="AK336" s="1131"/>
      <c r="AL336" s="1131"/>
      <c r="AM336" s="1131"/>
      <c r="AN336" s="1131"/>
      <c r="AO336" s="1131"/>
      <c r="AP336" s="1131"/>
      <c r="AQ336" s="1131"/>
      <c r="AR336" s="1131"/>
      <c r="AS336" s="1131"/>
      <c r="AT336" s="1131"/>
      <c r="AU336" s="1131"/>
      <c r="AV336" s="1131"/>
      <c r="AW336" s="1131"/>
      <c r="AX336" s="1131"/>
      <c r="AY336" s="1131"/>
      <c r="AZ336" s="1131"/>
      <c r="BA336" s="1131"/>
      <c r="BB336" s="1131"/>
      <c r="BC336" s="1131"/>
      <c r="BD336" s="1131"/>
      <c r="BE336" s="1131"/>
      <c r="BF336" s="1131"/>
      <c r="BG336" s="1131"/>
      <c r="BH336" s="1131"/>
      <c r="BI336" s="1131"/>
      <c r="BJ336" s="1131"/>
      <c r="BK336" s="1131"/>
      <c r="BL336" s="1131"/>
      <c r="BM336" s="1131"/>
      <c r="BN336" s="1131"/>
      <c r="BO336" s="1131"/>
      <c r="BP336" s="1131"/>
      <c r="BQ336" s="1131"/>
      <c r="BR336" s="1131"/>
      <c r="BS336" s="1131"/>
      <c r="BT336" s="1131"/>
      <c r="BU336" s="1131"/>
      <c r="BV336" s="1131"/>
      <c r="BW336" s="1131"/>
      <c r="BX336" s="1131"/>
      <c r="BY336" s="1131"/>
      <c r="BZ336" s="1131"/>
      <c r="CA336" s="1131"/>
      <c r="CB336" s="1131"/>
      <c r="CC336" s="1131"/>
      <c r="CD336" s="1131"/>
      <c r="CE336" s="1131"/>
      <c r="CF336" s="1131"/>
      <c r="CG336" s="1131"/>
      <c r="CH336" s="29"/>
      <c r="CI336" s="185"/>
      <c r="CJ336" s="17"/>
    </row>
    <row r="337" spans="1:88" s="3" customFormat="1" hidden="1">
      <c r="A337" s="243" t="str">
        <f t="shared" si="5"/>
        <v>OK</v>
      </c>
      <c r="B337" s="1126" t="str">
        <f>IF(CONSOLIDA!BH109="","",CONSOLIDA!BH109)</f>
        <v/>
      </c>
      <c r="C337" s="1126"/>
      <c r="D337" s="1134" t="str">
        <f>IF(CONSOLIDA!BJ109="","",CONSOLIDA!BJ109)</f>
        <v/>
      </c>
      <c r="E337" s="1135"/>
      <c r="F337" s="1135"/>
      <c r="G337" s="1129" t="str">
        <f>IF(CONSOLIDA!BK109="","",CONSOLIDA!BK109)</f>
        <v/>
      </c>
      <c r="H337" s="1129"/>
      <c r="I337" s="1129"/>
      <c r="J337" s="1129"/>
      <c r="K337" s="1129"/>
      <c r="L337" s="1129"/>
      <c r="M337" s="1129"/>
      <c r="N337" s="1129"/>
      <c r="O337" s="1129"/>
      <c r="P337" s="1129"/>
      <c r="Q337" s="1129"/>
      <c r="R337" s="1129"/>
      <c r="S337" s="1129"/>
      <c r="T337" s="1129"/>
      <c r="U337" s="1129"/>
      <c r="V337" s="1129"/>
      <c r="W337" s="1129"/>
      <c r="X337" s="1129"/>
      <c r="Y337" s="1129"/>
      <c r="Z337" s="1129"/>
      <c r="AA337" s="1129"/>
      <c r="AB337" s="1129"/>
      <c r="AC337" s="1129"/>
      <c r="AD337" s="1129"/>
      <c r="AE337" s="1130"/>
      <c r="AF337" s="1131"/>
      <c r="AG337" s="1131"/>
      <c r="AH337" s="1131"/>
      <c r="AI337" s="1131"/>
      <c r="AJ337" s="1131"/>
      <c r="AK337" s="1131"/>
      <c r="AL337" s="1131"/>
      <c r="AM337" s="1131"/>
      <c r="AN337" s="1131"/>
      <c r="AO337" s="1131"/>
      <c r="AP337" s="1131"/>
      <c r="AQ337" s="1131"/>
      <c r="AR337" s="1131"/>
      <c r="AS337" s="1131"/>
      <c r="AT337" s="1131"/>
      <c r="AU337" s="1131"/>
      <c r="AV337" s="1131"/>
      <c r="AW337" s="1131"/>
      <c r="AX337" s="1131"/>
      <c r="AY337" s="1131"/>
      <c r="AZ337" s="1131"/>
      <c r="BA337" s="1131"/>
      <c r="BB337" s="1131"/>
      <c r="BC337" s="1131"/>
      <c r="BD337" s="1131"/>
      <c r="BE337" s="1131"/>
      <c r="BF337" s="1131"/>
      <c r="BG337" s="1131"/>
      <c r="BH337" s="1131"/>
      <c r="BI337" s="1131"/>
      <c r="BJ337" s="1131"/>
      <c r="BK337" s="1131"/>
      <c r="BL337" s="1131"/>
      <c r="BM337" s="1131"/>
      <c r="BN337" s="1131"/>
      <c r="BO337" s="1131"/>
      <c r="BP337" s="1131"/>
      <c r="BQ337" s="1131"/>
      <c r="BR337" s="1131"/>
      <c r="BS337" s="1131"/>
      <c r="BT337" s="1131"/>
      <c r="BU337" s="1131"/>
      <c r="BV337" s="1131"/>
      <c r="BW337" s="1131"/>
      <c r="BX337" s="1131"/>
      <c r="BY337" s="1131"/>
      <c r="BZ337" s="1131"/>
      <c r="CA337" s="1131"/>
      <c r="CB337" s="1131"/>
      <c r="CC337" s="1131"/>
      <c r="CD337" s="1131"/>
      <c r="CE337" s="1131"/>
      <c r="CF337" s="1131"/>
      <c r="CG337" s="1131"/>
      <c r="CH337" s="29"/>
      <c r="CI337" s="185"/>
      <c r="CJ337" s="17"/>
    </row>
    <row r="338" spans="1:88" s="3" customFormat="1" hidden="1">
      <c r="A338" s="243" t="str">
        <f t="shared" si="5"/>
        <v>OK</v>
      </c>
      <c r="B338" s="1126" t="str">
        <f>IF(CONSOLIDA!BH110="","",CONSOLIDA!BH110)</f>
        <v/>
      </c>
      <c r="C338" s="1126"/>
      <c r="D338" s="1134" t="str">
        <f>IF(CONSOLIDA!BJ110="","",CONSOLIDA!BJ110)</f>
        <v/>
      </c>
      <c r="E338" s="1135"/>
      <c r="F338" s="1135"/>
      <c r="G338" s="1129" t="str">
        <f>IF(CONSOLIDA!BK110="","",CONSOLIDA!BK110)</f>
        <v/>
      </c>
      <c r="H338" s="1129"/>
      <c r="I338" s="1129"/>
      <c r="J338" s="1129"/>
      <c r="K338" s="1129"/>
      <c r="L338" s="1129"/>
      <c r="M338" s="1129"/>
      <c r="N338" s="1129"/>
      <c r="O338" s="1129"/>
      <c r="P338" s="1129"/>
      <c r="Q338" s="1129"/>
      <c r="R338" s="1129"/>
      <c r="S338" s="1129"/>
      <c r="T338" s="1129"/>
      <c r="U338" s="1129"/>
      <c r="V338" s="1129"/>
      <c r="W338" s="1129"/>
      <c r="X338" s="1129"/>
      <c r="Y338" s="1129"/>
      <c r="Z338" s="1129"/>
      <c r="AA338" s="1129"/>
      <c r="AB338" s="1129"/>
      <c r="AC338" s="1129"/>
      <c r="AD338" s="1129"/>
      <c r="AE338" s="1130"/>
      <c r="AF338" s="1131"/>
      <c r="AG338" s="1131"/>
      <c r="AH338" s="1131"/>
      <c r="AI338" s="1131"/>
      <c r="AJ338" s="1131"/>
      <c r="AK338" s="1131"/>
      <c r="AL338" s="1131"/>
      <c r="AM338" s="1131"/>
      <c r="AN338" s="1131"/>
      <c r="AO338" s="1131"/>
      <c r="AP338" s="1131"/>
      <c r="AQ338" s="1131"/>
      <c r="AR338" s="1131"/>
      <c r="AS338" s="1131"/>
      <c r="AT338" s="1131"/>
      <c r="AU338" s="1131"/>
      <c r="AV338" s="1131"/>
      <c r="AW338" s="1131"/>
      <c r="AX338" s="1131"/>
      <c r="AY338" s="1131"/>
      <c r="AZ338" s="1131"/>
      <c r="BA338" s="1131"/>
      <c r="BB338" s="1131"/>
      <c r="BC338" s="1131"/>
      <c r="BD338" s="1131"/>
      <c r="BE338" s="1131"/>
      <c r="BF338" s="1131"/>
      <c r="BG338" s="1131"/>
      <c r="BH338" s="1131"/>
      <c r="BI338" s="1131"/>
      <c r="BJ338" s="1131"/>
      <c r="BK338" s="1131"/>
      <c r="BL338" s="1131"/>
      <c r="BM338" s="1131"/>
      <c r="BN338" s="1131"/>
      <c r="BO338" s="1131"/>
      <c r="BP338" s="1131"/>
      <c r="BQ338" s="1131"/>
      <c r="BR338" s="1131"/>
      <c r="BS338" s="1131"/>
      <c r="BT338" s="1131"/>
      <c r="BU338" s="1131"/>
      <c r="BV338" s="1131"/>
      <c r="BW338" s="1131"/>
      <c r="BX338" s="1131"/>
      <c r="BY338" s="1131"/>
      <c r="BZ338" s="1131"/>
      <c r="CA338" s="1131"/>
      <c r="CB338" s="1131"/>
      <c r="CC338" s="1131"/>
      <c r="CD338" s="1131"/>
      <c r="CE338" s="1131"/>
      <c r="CF338" s="1131"/>
      <c r="CG338" s="1131"/>
      <c r="CH338" s="29"/>
      <c r="CI338" s="185"/>
      <c r="CJ338" s="17"/>
    </row>
    <row r="339" spans="1:88" s="3" customFormat="1" hidden="1">
      <c r="A339" s="243" t="str">
        <f t="shared" si="5"/>
        <v>OK</v>
      </c>
      <c r="B339" s="1126" t="str">
        <f>IF(CONSOLIDA!BH111="","",CONSOLIDA!BH111)</f>
        <v/>
      </c>
      <c r="C339" s="1126"/>
      <c r="D339" s="1134" t="str">
        <f>IF(CONSOLIDA!BJ111="","",CONSOLIDA!BJ111)</f>
        <v/>
      </c>
      <c r="E339" s="1135"/>
      <c r="F339" s="1135"/>
      <c r="G339" s="1129" t="str">
        <f>IF(CONSOLIDA!BK111="","",CONSOLIDA!BK111)</f>
        <v/>
      </c>
      <c r="H339" s="1129"/>
      <c r="I339" s="1129"/>
      <c r="J339" s="1129"/>
      <c r="K339" s="1129"/>
      <c r="L339" s="1129"/>
      <c r="M339" s="1129"/>
      <c r="N339" s="1129"/>
      <c r="O339" s="1129"/>
      <c r="P339" s="1129"/>
      <c r="Q339" s="1129"/>
      <c r="R339" s="1129"/>
      <c r="S339" s="1129"/>
      <c r="T339" s="1129"/>
      <c r="U339" s="1129"/>
      <c r="V339" s="1129"/>
      <c r="W339" s="1129"/>
      <c r="X339" s="1129"/>
      <c r="Y339" s="1129"/>
      <c r="Z339" s="1129"/>
      <c r="AA339" s="1129"/>
      <c r="AB339" s="1129"/>
      <c r="AC339" s="1129"/>
      <c r="AD339" s="1129"/>
      <c r="AE339" s="1130"/>
      <c r="AF339" s="1131"/>
      <c r="AG339" s="1131"/>
      <c r="AH339" s="1131"/>
      <c r="AI339" s="1131"/>
      <c r="AJ339" s="1131"/>
      <c r="AK339" s="1131"/>
      <c r="AL339" s="1131"/>
      <c r="AM339" s="1131"/>
      <c r="AN339" s="1131"/>
      <c r="AO339" s="1131"/>
      <c r="AP339" s="1131"/>
      <c r="AQ339" s="1131"/>
      <c r="AR339" s="1131"/>
      <c r="AS339" s="1131"/>
      <c r="AT339" s="1131"/>
      <c r="AU339" s="1131"/>
      <c r="AV339" s="1131"/>
      <c r="AW339" s="1131"/>
      <c r="AX339" s="1131"/>
      <c r="AY339" s="1131"/>
      <c r="AZ339" s="1131"/>
      <c r="BA339" s="1131"/>
      <c r="BB339" s="1131"/>
      <c r="BC339" s="1131"/>
      <c r="BD339" s="1131"/>
      <c r="BE339" s="1131"/>
      <c r="BF339" s="1131"/>
      <c r="BG339" s="1131"/>
      <c r="BH339" s="1131"/>
      <c r="BI339" s="1131"/>
      <c r="BJ339" s="1131"/>
      <c r="BK339" s="1131"/>
      <c r="BL339" s="1131"/>
      <c r="BM339" s="1131"/>
      <c r="BN339" s="1131"/>
      <c r="BO339" s="1131"/>
      <c r="BP339" s="1131"/>
      <c r="BQ339" s="1131"/>
      <c r="BR339" s="1131"/>
      <c r="BS339" s="1131"/>
      <c r="BT339" s="1131"/>
      <c r="BU339" s="1131"/>
      <c r="BV339" s="1131"/>
      <c r="BW339" s="1131"/>
      <c r="BX339" s="1131"/>
      <c r="BY339" s="1131"/>
      <c r="BZ339" s="1131"/>
      <c r="CA339" s="1131"/>
      <c r="CB339" s="1131"/>
      <c r="CC339" s="1131"/>
      <c r="CD339" s="1131"/>
      <c r="CE339" s="1131"/>
      <c r="CF339" s="1131"/>
      <c r="CG339" s="1131"/>
      <c r="CH339" s="29"/>
      <c r="CI339" s="185"/>
      <c r="CJ339" s="17"/>
    </row>
    <row r="340" spans="1:88" s="3" customFormat="1" hidden="1">
      <c r="A340" s="243" t="str">
        <f t="shared" si="5"/>
        <v>OK</v>
      </c>
      <c r="B340" s="1126" t="str">
        <f>IF(CONSOLIDA!BH112="","",CONSOLIDA!BH112)</f>
        <v/>
      </c>
      <c r="C340" s="1126"/>
      <c r="D340" s="1134" t="str">
        <f>IF(CONSOLIDA!BJ112="","",CONSOLIDA!BJ112)</f>
        <v/>
      </c>
      <c r="E340" s="1135"/>
      <c r="F340" s="1135"/>
      <c r="G340" s="1129" t="str">
        <f>IF(CONSOLIDA!BK112="","",CONSOLIDA!BK112)</f>
        <v/>
      </c>
      <c r="H340" s="1129"/>
      <c r="I340" s="1129"/>
      <c r="J340" s="1129"/>
      <c r="K340" s="1129"/>
      <c r="L340" s="1129"/>
      <c r="M340" s="1129"/>
      <c r="N340" s="1129"/>
      <c r="O340" s="1129"/>
      <c r="P340" s="1129"/>
      <c r="Q340" s="1129"/>
      <c r="R340" s="1129"/>
      <c r="S340" s="1129"/>
      <c r="T340" s="1129"/>
      <c r="U340" s="1129"/>
      <c r="V340" s="1129"/>
      <c r="W340" s="1129"/>
      <c r="X340" s="1129"/>
      <c r="Y340" s="1129"/>
      <c r="Z340" s="1129"/>
      <c r="AA340" s="1129"/>
      <c r="AB340" s="1129"/>
      <c r="AC340" s="1129"/>
      <c r="AD340" s="1129"/>
      <c r="AE340" s="1130"/>
      <c r="AF340" s="1131"/>
      <c r="AG340" s="1131"/>
      <c r="AH340" s="1131"/>
      <c r="AI340" s="1131"/>
      <c r="AJ340" s="1131"/>
      <c r="AK340" s="1131"/>
      <c r="AL340" s="1131"/>
      <c r="AM340" s="1131"/>
      <c r="AN340" s="1131"/>
      <c r="AO340" s="1131"/>
      <c r="AP340" s="1131"/>
      <c r="AQ340" s="1131"/>
      <c r="AR340" s="1131"/>
      <c r="AS340" s="1131"/>
      <c r="AT340" s="1131"/>
      <c r="AU340" s="1131"/>
      <c r="AV340" s="1131"/>
      <c r="AW340" s="1131"/>
      <c r="AX340" s="1131"/>
      <c r="AY340" s="1131"/>
      <c r="AZ340" s="1131"/>
      <c r="BA340" s="1131"/>
      <c r="BB340" s="1131"/>
      <c r="BC340" s="1131"/>
      <c r="BD340" s="1131"/>
      <c r="BE340" s="1131"/>
      <c r="BF340" s="1131"/>
      <c r="BG340" s="1131"/>
      <c r="BH340" s="1131"/>
      <c r="BI340" s="1131"/>
      <c r="BJ340" s="1131"/>
      <c r="BK340" s="1131"/>
      <c r="BL340" s="1131"/>
      <c r="BM340" s="1131"/>
      <c r="BN340" s="1131"/>
      <c r="BO340" s="1131"/>
      <c r="BP340" s="1131"/>
      <c r="BQ340" s="1131"/>
      <c r="BR340" s="1131"/>
      <c r="BS340" s="1131"/>
      <c r="BT340" s="1131"/>
      <c r="BU340" s="1131"/>
      <c r="BV340" s="1131"/>
      <c r="BW340" s="1131"/>
      <c r="BX340" s="1131"/>
      <c r="BY340" s="1131"/>
      <c r="BZ340" s="1131"/>
      <c r="CA340" s="1131"/>
      <c r="CB340" s="1131"/>
      <c r="CC340" s="1131"/>
      <c r="CD340" s="1131"/>
      <c r="CE340" s="1131"/>
      <c r="CF340" s="1131"/>
      <c r="CG340" s="1131"/>
      <c r="CH340" s="29"/>
      <c r="CI340" s="185"/>
      <c r="CJ340" s="17"/>
    </row>
    <row r="341" spans="1:88" s="3" customFormat="1" hidden="1">
      <c r="A341" s="243" t="str">
        <f t="shared" si="5"/>
        <v>OK</v>
      </c>
      <c r="B341" s="1126" t="str">
        <f>IF(CONSOLIDA!BH113="","",CONSOLIDA!BH113)</f>
        <v/>
      </c>
      <c r="C341" s="1126"/>
      <c r="D341" s="1134" t="str">
        <f>IF(CONSOLIDA!BJ113="","",CONSOLIDA!BJ113)</f>
        <v/>
      </c>
      <c r="E341" s="1135"/>
      <c r="F341" s="1135"/>
      <c r="G341" s="1129" t="str">
        <f>IF(CONSOLIDA!BK113="","",CONSOLIDA!BK113)</f>
        <v/>
      </c>
      <c r="H341" s="1129"/>
      <c r="I341" s="1129"/>
      <c r="J341" s="1129"/>
      <c r="K341" s="1129"/>
      <c r="L341" s="1129"/>
      <c r="M341" s="1129"/>
      <c r="N341" s="1129"/>
      <c r="O341" s="1129"/>
      <c r="P341" s="1129"/>
      <c r="Q341" s="1129"/>
      <c r="R341" s="1129"/>
      <c r="S341" s="1129"/>
      <c r="T341" s="1129"/>
      <c r="U341" s="1129"/>
      <c r="V341" s="1129"/>
      <c r="W341" s="1129"/>
      <c r="X341" s="1129"/>
      <c r="Y341" s="1129"/>
      <c r="Z341" s="1129"/>
      <c r="AA341" s="1129"/>
      <c r="AB341" s="1129"/>
      <c r="AC341" s="1129"/>
      <c r="AD341" s="1129"/>
      <c r="AE341" s="1130"/>
      <c r="AF341" s="1131"/>
      <c r="AG341" s="1131"/>
      <c r="AH341" s="1131"/>
      <c r="AI341" s="1131"/>
      <c r="AJ341" s="1131"/>
      <c r="AK341" s="1131"/>
      <c r="AL341" s="1131"/>
      <c r="AM341" s="1131"/>
      <c r="AN341" s="1131"/>
      <c r="AO341" s="1131"/>
      <c r="AP341" s="1131"/>
      <c r="AQ341" s="1131"/>
      <c r="AR341" s="1131"/>
      <c r="AS341" s="1131"/>
      <c r="AT341" s="1131"/>
      <c r="AU341" s="1131"/>
      <c r="AV341" s="1131"/>
      <c r="AW341" s="1131"/>
      <c r="AX341" s="1131"/>
      <c r="AY341" s="1131"/>
      <c r="AZ341" s="1131"/>
      <c r="BA341" s="1131"/>
      <c r="BB341" s="1131"/>
      <c r="BC341" s="1131"/>
      <c r="BD341" s="1131"/>
      <c r="BE341" s="1131"/>
      <c r="BF341" s="1131"/>
      <c r="BG341" s="1131"/>
      <c r="BH341" s="1131"/>
      <c r="BI341" s="1131"/>
      <c r="BJ341" s="1131"/>
      <c r="BK341" s="1131"/>
      <c r="BL341" s="1131"/>
      <c r="BM341" s="1131"/>
      <c r="BN341" s="1131"/>
      <c r="BO341" s="1131"/>
      <c r="BP341" s="1131"/>
      <c r="BQ341" s="1131"/>
      <c r="BR341" s="1131"/>
      <c r="BS341" s="1131"/>
      <c r="BT341" s="1131"/>
      <c r="BU341" s="1131"/>
      <c r="BV341" s="1131"/>
      <c r="BW341" s="1131"/>
      <c r="BX341" s="1131"/>
      <c r="BY341" s="1131"/>
      <c r="BZ341" s="1131"/>
      <c r="CA341" s="1131"/>
      <c r="CB341" s="1131"/>
      <c r="CC341" s="1131"/>
      <c r="CD341" s="1131"/>
      <c r="CE341" s="1131"/>
      <c r="CF341" s="1131"/>
      <c r="CG341" s="1131"/>
      <c r="CH341" s="29"/>
      <c r="CI341" s="185"/>
      <c r="CJ341" s="17"/>
    </row>
    <row r="342" spans="1:88" s="3" customFormat="1" hidden="1">
      <c r="A342" s="243" t="str">
        <f t="shared" si="5"/>
        <v>OK</v>
      </c>
      <c r="B342" s="1126" t="str">
        <f>IF(CONSOLIDA!BH114="","",CONSOLIDA!BH114)</f>
        <v/>
      </c>
      <c r="C342" s="1126"/>
      <c r="D342" s="1134" t="str">
        <f>IF(CONSOLIDA!BJ114="","",CONSOLIDA!BJ114)</f>
        <v/>
      </c>
      <c r="E342" s="1135"/>
      <c r="F342" s="1135"/>
      <c r="G342" s="1129" t="str">
        <f>IF(CONSOLIDA!BK114="","",CONSOLIDA!BK114)</f>
        <v/>
      </c>
      <c r="H342" s="1129"/>
      <c r="I342" s="1129"/>
      <c r="J342" s="1129"/>
      <c r="K342" s="1129"/>
      <c r="L342" s="1129"/>
      <c r="M342" s="1129"/>
      <c r="N342" s="1129"/>
      <c r="O342" s="1129"/>
      <c r="P342" s="1129"/>
      <c r="Q342" s="1129"/>
      <c r="R342" s="1129"/>
      <c r="S342" s="1129"/>
      <c r="T342" s="1129"/>
      <c r="U342" s="1129"/>
      <c r="V342" s="1129"/>
      <c r="W342" s="1129"/>
      <c r="X342" s="1129"/>
      <c r="Y342" s="1129"/>
      <c r="Z342" s="1129"/>
      <c r="AA342" s="1129"/>
      <c r="AB342" s="1129"/>
      <c r="AC342" s="1129"/>
      <c r="AD342" s="1129"/>
      <c r="AE342" s="1130"/>
      <c r="AF342" s="1131"/>
      <c r="AG342" s="1131"/>
      <c r="AH342" s="1131"/>
      <c r="AI342" s="1131"/>
      <c r="AJ342" s="1131"/>
      <c r="AK342" s="1131"/>
      <c r="AL342" s="1131"/>
      <c r="AM342" s="1131"/>
      <c r="AN342" s="1131"/>
      <c r="AO342" s="1131"/>
      <c r="AP342" s="1131"/>
      <c r="AQ342" s="1131"/>
      <c r="AR342" s="1131"/>
      <c r="AS342" s="1131"/>
      <c r="AT342" s="1131"/>
      <c r="AU342" s="1131"/>
      <c r="AV342" s="1131"/>
      <c r="AW342" s="1131"/>
      <c r="AX342" s="1131"/>
      <c r="AY342" s="1131"/>
      <c r="AZ342" s="1131"/>
      <c r="BA342" s="1131"/>
      <c r="BB342" s="1131"/>
      <c r="BC342" s="1131"/>
      <c r="BD342" s="1131"/>
      <c r="BE342" s="1131"/>
      <c r="BF342" s="1131"/>
      <c r="BG342" s="1131"/>
      <c r="BH342" s="1131"/>
      <c r="BI342" s="1131"/>
      <c r="BJ342" s="1131"/>
      <c r="BK342" s="1131"/>
      <c r="BL342" s="1131"/>
      <c r="BM342" s="1131"/>
      <c r="BN342" s="1131"/>
      <c r="BO342" s="1131"/>
      <c r="BP342" s="1131"/>
      <c r="BQ342" s="1131"/>
      <c r="BR342" s="1131"/>
      <c r="BS342" s="1131"/>
      <c r="BT342" s="1131"/>
      <c r="BU342" s="1131"/>
      <c r="BV342" s="1131"/>
      <c r="BW342" s="1131"/>
      <c r="BX342" s="1131"/>
      <c r="BY342" s="1131"/>
      <c r="BZ342" s="1131"/>
      <c r="CA342" s="1131"/>
      <c r="CB342" s="1131"/>
      <c r="CC342" s="1131"/>
      <c r="CD342" s="1131"/>
      <c r="CE342" s="1131"/>
      <c r="CF342" s="1131"/>
      <c r="CG342" s="1131"/>
      <c r="CH342" s="29"/>
      <c r="CI342" s="185"/>
      <c r="CJ342" s="17"/>
    </row>
    <row r="343" spans="1:88" s="3" customFormat="1" hidden="1">
      <c r="A343" s="243" t="str">
        <f t="shared" si="5"/>
        <v>OK</v>
      </c>
      <c r="B343" s="1126" t="str">
        <f>IF(CONSOLIDA!BH115="","",CONSOLIDA!BH115)</f>
        <v/>
      </c>
      <c r="C343" s="1126"/>
      <c r="D343" s="1134" t="str">
        <f>IF(CONSOLIDA!BJ115="","",CONSOLIDA!BJ115)</f>
        <v/>
      </c>
      <c r="E343" s="1135"/>
      <c r="F343" s="1135"/>
      <c r="G343" s="1129" t="str">
        <f>IF(CONSOLIDA!BK115="","",CONSOLIDA!BK115)</f>
        <v/>
      </c>
      <c r="H343" s="1129"/>
      <c r="I343" s="1129"/>
      <c r="J343" s="1129"/>
      <c r="K343" s="1129"/>
      <c r="L343" s="1129"/>
      <c r="M343" s="1129"/>
      <c r="N343" s="1129"/>
      <c r="O343" s="1129"/>
      <c r="P343" s="1129"/>
      <c r="Q343" s="1129"/>
      <c r="R343" s="1129"/>
      <c r="S343" s="1129"/>
      <c r="T343" s="1129"/>
      <c r="U343" s="1129"/>
      <c r="V343" s="1129"/>
      <c r="W343" s="1129"/>
      <c r="X343" s="1129"/>
      <c r="Y343" s="1129"/>
      <c r="Z343" s="1129"/>
      <c r="AA343" s="1129"/>
      <c r="AB343" s="1129"/>
      <c r="AC343" s="1129"/>
      <c r="AD343" s="1129"/>
      <c r="AE343" s="1130"/>
      <c r="AF343" s="1131"/>
      <c r="AG343" s="1131"/>
      <c r="AH343" s="1131"/>
      <c r="AI343" s="1131"/>
      <c r="AJ343" s="1131"/>
      <c r="AK343" s="1131"/>
      <c r="AL343" s="1131"/>
      <c r="AM343" s="1131"/>
      <c r="AN343" s="1131"/>
      <c r="AO343" s="1131"/>
      <c r="AP343" s="1131"/>
      <c r="AQ343" s="1131"/>
      <c r="AR343" s="1131"/>
      <c r="AS343" s="1131"/>
      <c r="AT343" s="1131"/>
      <c r="AU343" s="1131"/>
      <c r="AV343" s="1131"/>
      <c r="AW343" s="1131"/>
      <c r="AX343" s="1131"/>
      <c r="AY343" s="1131"/>
      <c r="AZ343" s="1131"/>
      <c r="BA343" s="1131"/>
      <c r="BB343" s="1131"/>
      <c r="BC343" s="1131"/>
      <c r="BD343" s="1131"/>
      <c r="BE343" s="1131"/>
      <c r="BF343" s="1131"/>
      <c r="BG343" s="1131"/>
      <c r="BH343" s="1131"/>
      <c r="BI343" s="1131"/>
      <c r="BJ343" s="1131"/>
      <c r="BK343" s="1131"/>
      <c r="BL343" s="1131"/>
      <c r="BM343" s="1131"/>
      <c r="BN343" s="1131"/>
      <c r="BO343" s="1131"/>
      <c r="BP343" s="1131"/>
      <c r="BQ343" s="1131"/>
      <c r="BR343" s="1131"/>
      <c r="BS343" s="1131"/>
      <c r="BT343" s="1131"/>
      <c r="BU343" s="1131"/>
      <c r="BV343" s="1131"/>
      <c r="BW343" s="1131"/>
      <c r="BX343" s="1131"/>
      <c r="BY343" s="1131"/>
      <c r="BZ343" s="1131"/>
      <c r="CA343" s="1131"/>
      <c r="CB343" s="1131"/>
      <c r="CC343" s="1131"/>
      <c r="CD343" s="1131"/>
      <c r="CE343" s="1131"/>
      <c r="CF343" s="1131"/>
      <c r="CG343" s="1131"/>
      <c r="CH343" s="29"/>
      <c r="CI343" s="185"/>
      <c r="CJ343" s="17"/>
    </row>
    <row r="344" spans="1:88" s="3" customFormat="1" hidden="1">
      <c r="A344" s="243" t="str">
        <f t="shared" si="5"/>
        <v>OK</v>
      </c>
      <c r="B344" s="1126" t="str">
        <f>IF(CONSOLIDA!BH116="","",CONSOLIDA!BH116)</f>
        <v/>
      </c>
      <c r="C344" s="1126"/>
      <c r="D344" s="1134" t="str">
        <f>IF(CONSOLIDA!BJ116="","",CONSOLIDA!BJ116)</f>
        <v/>
      </c>
      <c r="E344" s="1135"/>
      <c r="F344" s="1135"/>
      <c r="G344" s="1129" t="str">
        <f>IF(CONSOLIDA!BK116="","",CONSOLIDA!BK116)</f>
        <v/>
      </c>
      <c r="H344" s="1129"/>
      <c r="I344" s="1129"/>
      <c r="J344" s="1129"/>
      <c r="K344" s="1129"/>
      <c r="L344" s="1129"/>
      <c r="M344" s="1129"/>
      <c r="N344" s="1129"/>
      <c r="O344" s="1129"/>
      <c r="P344" s="1129"/>
      <c r="Q344" s="1129"/>
      <c r="R344" s="1129"/>
      <c r="S344" s="1129"/>
      <c r="T344" s="1129"/>
      <c r="U344" s="1129"/>
      <c r="V344" s="1129"/>
      <c r="W344" s="1129"/>
      <c r="X344" s="1129"/>
      <c r="Y344" s="1129"/>
      <c r="Z344" s="1129"/>
      <c r="AA344" s="1129"/>
      <c r="AB344" s="1129"/>
      <c r="AC344" s="1129"/>
      <c r="AD344" s="1129"/>
      <c r="AE344" s="1130"/>
      <c r="AF344" s="1131"/>
      <c r="AG344" s="1131"/>
      <c r="AH344" s="1131"/>
      <c r="AI344" s="1131"/>
      <c r="AJ344" s="1131"/>
      <c r="AK344" s="1131"/>
      <c r="AL344" s="1131"/>
      <c r="AM344" s="1131"/>
      <c r="AN344" s="1131"/>
      <c r="AO344" s="1131"/>
      <c r="AP344" s="1131"/>
      <c r="AQ344" s="1131"/>
      <c r="AR344" s="1131"/>
      <c r="AS344" s="1131"/>
      <c r="AT344" s="1131"/>
      <c r="AU344" s="1131"/>
      <c r="AV344" s="1131"/>
      <c r="AW344" s="1131"/>
      <c r="AX344" s="1131"/>
      <c r="AY344" s="1131"/>
      <c r="AZ344" s="1131"/>
      <c r="BA344" s="1131"/>
      <c r="BB344" s="1131"/>
      <c r="BC344" s="1131"/>
      <c r="BD344" s="1131"/>
      <c r="BE344" s="1131"/>
      <c r="BF344" s="1131"/>
      <c r="BG344" s="1131"/>
      <c r="BH344" s="1131"/>
      <c r="BI344" s="1131"/>
      <c r="BJ344" s="1131"/>
      <c r="BK344" s="1131"/>
      <c r="BL344" s="1131"/>
      <c r="BM344" s="1131"/>
      <c r="BN344" s="1131"/>
      <c r="BO344" s="1131"/>
      <c r="BP344" s="1131"/>
      <c r="BQ344" s="1131"/>
      <c r="BR344" s="1131"/>
      <c r="BS344" s="1131"/>
      <c r="BT344" s="1131"/>
      <c r="BU344" s="1131"/>
      <c r="BV344" s="1131"/>
      <c r="BW344" s="1131"/>
      <c r="BX344" s="1131"/>
      <c r="BY344" s="1131"/>
      <c r="BZ344" s="1131"/>
      <c r="CA344" s="1131"/>
      <c r="CB344" s="1131"/>
      <c r="CC344" s="1131"/>
      <c r="CD344" s="1131"/>
      <c r="CE344" s="1131"/>
      <c r="CF344" s="1131"/>
      <c r="CG344" s="1131"/>
      <c r="CH344" s="29"/>
      <c r="CI344" s="185"/>
      <c r="CJ344" s="17"/>
    </row>
    <row r="345" spans="1:88" s="3" customFormat="1" hidden="1">
      <c r="A345" s="243" t="str">
        <f t="shared" si="5"/>
        <v>OK</v>
      </c>
      <c r="B345" s="1126" t="str">
        <f>IF(CONSOLIDA!BH117="","",CONSOLIDA!BH117)</f>
        <v/>
      </c>
      <c r="C345" s="1126"/>
      <c r="D345" s="1134" t="str">
        <f>IF(CONSOLIDA!BJ117="","",CONSOLIDA!BJ117)</f>
        <v/>
      </c>
      <c r="E345" s="1135"/>
      <c r="F345" s="1135"/>
      <c r="G345" s="1129" t="str">
        <f>IF(CONSOLIDA!BK117="","",CONSOLIDA!BK117)</f>
        <v/>
      </c>
      <c r="H345" s="1129"/>
      <c r="I345" s="1129"/>
      <c r="J345" s="1129"/>
      <c r="K345" s="1129"/>
      <c r="L345" s="1129"/>
      <c r="M345" s="1129"/>
      <c r="N345" s="1129"/>
      <c r="O345" s="1129"/>
      <c r="P345" s="1129"/>
      <c r="Q345" s="1129"/>
      <c r="R345" s="1129"/>
      <c r="S345" s="1129"/>
      <c r="T345" s="1129"/>
      <c r="U345" s="1129"/>
      <c r="V345" s="1129"/>
      <c r="W345" s="1129"/>
      <c r="X345" s="1129"/>
      <c r="Y345" s="1129"/>
      <c r="Z345" s="1129"/>
      <c r="AA345" s="1129"/>
      <c r="AB345" s="1129"/>
      <c r="AC345" s="1129"/>
      <c r="AD345" s="1129"/>
      <c r="AE345" s="1130"/>
      <c r="AF345" s="1131"/>
      <c r="AG345" s="1131"/>
      <c r="AH345" s="1131"/>
      <c r="AI345" s="1131"/>
      <c r="AJ345" s="1131"/>
      <c r="AK345" s="1131"/>
      <c r="AL345" s="1131"/>
      <c r="AM345" s="1131"/>
      <c r="AN345" s="1131"/>
      <c r="AO345" s="1131"/>
      <c r="AP345" s="1131"/>
      <c r="AQ345" s="1131"/>
      <c r="AR345" s="1131"/>
      <c r="AS345" s="1131"/>
      <c r="AT345" s="1131"/>
      <c r="AU345" s="1131"/>
      <c r="AV345" s="1131"/>
      <c r="AW345" s="1131"/>
      <c r="AX345" s="1131"/>
      <c r="AY345" s="1131"/>
      <c r="AZ345" s="1131"/>
      <c r="BA345" s="1131"/>
      <c r="BB345" s="1131"/>
      <c r="BC345" s="1131"/>
      <c r="BD345" s="1131"/>
      <c r="BE345" s="1131"/>
      <c r="BF345" s="1131"/>
      <c r="BG345" s="1131"/>
      <c r="BH345" s="1131"/>
      <c r="BI345" s="1131"/>
      <c r="BJ345" s="1131"/>
      <c r="BK345" s="1131"/>
      <c r="BL345" s="1131"/>
      <c r="BM345" s="1131"/>
      <c r="BN345" s="1131"/>
      <c r="BO345" s="1131"/>
      <c r="BP345" s="1131"/>
      <c r="BQ345" s="1131"/>
      <c r="BR345" s="1131"/>
      <c r="BS345" s="1131"/>
      <c r="BT345" s="1131"/>
      <c r="BU345" s="1131"/>
      <c r="BV345" s="1131"/>
      <c r="BW345" s="1131"/>
      <c r="BX345" s="1131"/>
      <c r="BY345" s="1131"/>
      <c r="BZ345" s="1131"/>
      <c r="CA345" s="1131"/>
      <c r="CB345" s="1131"/>
      <c r="CC345" s="1131"/>
      <c r="CD345" s="1131"/>
      <c r="CE345" s="1131"/>
      <c r="CF345" s="1131"/>
      <c r="CG345" s="1131"/>
      <c r="CH345" s="29"/>
      <c r="CI345" s="185"/>
      <c r="CJ345" s="17"/>
    </row>
    <row r="346" spans="1:88" s="3" customFormat="1" hidden="1">
      <c r="A346" s="243" t="str">
        <f t="shared" si="5"/>
        <v>OK</v>
      </c>
      <c r="B346" s="1126" t="str">
        <f>IF(CONSOLIDA!BH118="","",CONSOLIDA!BH118)</f>
        <v/>
      </c>
      <c r="C346" s="1126"/>
      <c r="D346" s="1134" t="str">
        <f>IF(CONSOLIDA!BJ118="","",CONSOLIDA!BJ118)</f>
        <v/>
      </c>
      <c r="E346" s="1135"/>
      <c r="F346" s="1135"/>
      <c r="G346" s="1129" t="str">
        <f>IF(CONSOLIDA!BK118="","",CONSOLIDA!BK118)</f>
        <v/>
      </c>
      <c r="H346" s="1129"/>
      <c r="I346" s="1129"/>
      <c r="J346" s="1129"/>
      <c r="K346" s="1129"/>
      <c r="L346" s="1129"/>
      <c r="M346" s="1129"/>
      <c r="N346" s="1129"/>
      <c r="O346" s="1129"/>
      <c r="P346" s="1129"/>
      <c r="Q346" s="1129"/>
      <c r="R346" s="1129"/>
      <c r="S346" s="1129"/>
      <c r="T346" s="1129"/>
      <c r="U346" s="1129"/>
      <c r="V346" s="1129"/>
      <c r="W346" s="1129"/>
      <c r="X346" s="1129"/>
      <c r="Y346" s="1129"/>
      <c r="Z346" s="1129"/>
      <c r="AA346" s="1129"/>
      <c r="AB346" s="1129"/>
      <c r="AC346" s="1129"/>
      <c r="AD346" s="1129"/>
      <c r="AE346" s="1130"/>
      <c r="AF346" s="1131"/>
      <c r="AG346" s="1131"/>
      <c r="AH346" s="1131"/>
      <c r="AI346" s="1131"/>
      <c r="AJ346" s="1131"/>
      <c r="AK346" s="1131"/>
      <c r="AL346" s="1131"/>
      <c r="AM346" s="1131"/>
      <c r="AN346" s="1131"/>
      <c r="AO346" s="1131"/>
      <c r="AP346" s="1131"/>
      <c r="AQ346" s="1131"/>
      <c r="AR346" s="1131"/>
      <c r="AS346" s="1131"/>
      <c r="AT346" s="1131"/>
      <c r="AU346" s="1131"/>
      <c r="AV346" s="1131"/>
      <c r="AW346" s="1131"/>
      <c r="AX346" s="1131"/>
      <c r="AY346" s="1131"/>
      <c r="AZ346" s="1131"/>
      <c r="BA346" s="1131"/>
      <c r="BB346" s="1131"/>
      <c r="BC346" s="1131"/>
      <c r="BD346" s="1131"/>
      <c r="BE346" s="1131"/>
      <c r="BF346" s="1131"/>
      <c r="BG346" s="1131"/>
      <c r="BH346" s="1131"/>
      <c r="BI346" s="1131"/>
      <c r="BJ346" s="1131"/>
      <c r="BK346" s="1131"/>
      <c r="BL346" s="1131"/>
      <c r="BM346" s="1131"/>
      <c r="BN346" s="1131"/>
      <c r="BO346" s="1131"/>
      <c r="BP346" s="1131"/>
      <c r="BQ346" s="1131"/>
      <c r="BR346" s="1131"/>
      <c r="BS346" s="1131"/>
      <c r="BT346" s="1131"/>
      <c r="BU346" s="1131"/>
      <c r="BV346" s="1131"/>
      <c r="BW346" s="1131"/>
      <c r="BX346" s="1131"/>
      <c r="BY346" s="1131"/>
      <c r="BZ346" s="1131"/>
      <c r="CA346" s="1131"/>
      <c r="CB346" s="1131"/>
      <c r="CC346" s="1131"/>
      <c r="CD346" s="1131"/>
      <c r="CE346" s="1131"/>
      <c r="CF346" s="1131"/>
      <c r="CG346" s="1131"/>
      <c r="CH346" s="29"/>
      <c r="CI346" s="185"/>
      <c r="CJ346" s="17"/>
    </row>
    <row r="347" spans="1:88" s="3" customFormat="1" hidden="1">
      <c r="A347" s="243" t="str">
        <f t="shared" si="5"/>
        <v>OK</v>
      </c>
      <c r="B347" s="1126" t="str">
        <f>IF(CONSOLIDA!BH119="","",CONSOLIDA!BH119)</f>
        <v/>
      </c>
      <c r="C347" s="1126"/>
      <c r="D347" s="1134" t="str">
        <f>IF(CONSOLIDA!BJ119="","",CONSOLIDA!BJ119)</f>
        <v/>
      </c>
      <c r="E347" s="1135"/>
      <c r="F347" s="1135"/>
      <c r="G347" s="1129" t="str">
        <f>IF(CONSOLIDA!BK119="","",CONSOLIDA!BK119)</f>
        <v/>
      </c>
      <c r="H347" s="1129"/>
      <c r="I347" s="1129"/>
      <c r="J347" s="1129"/>
      <c r="K347" s="1129"/>
      <c r="L347" s="1129"/>
      <c r="M347" s="1129"/>
      <c r="N347" s="1129"/>
      <c r="O347" s="1129"/>
      <c r="P347" s="1129"/>
      <c r="Q347" s="1129"/>
      <c r="R347" s="1129"/>
      <c r="S347" s="1129"/>
      <c r="T347" s="1129"/>
      <c r="U347" s="1129"/>
      <c r="V347" s="1129"/>
      <c r="W347" s="1129"/>
      <c r="X347" s="1129"/>
      <c r="Y347" s="1129"/>
      <c r="Z347" s="1129"/>
      <c r="AA347" s="1129"/>
      <c r="AB347" s="1129"/>
      <c r="AC347" s="1129"/>
      <c r="AD347" s="1129"/>
      <c r="AE347" s="1130"/>
      <c r="AF347" s="1131"/>
      <c r="AG347" s="1131"/>
      <c r="AH347" s="1131"/>
      <c r="AI347" s="1131"/>
      <c r="AJ347" s="1131"/>
      <c r="AK347" s="1131"/>
      <c r="AL347" s="1131"/>
      <c r="AM347" s="1131"/>
      <c r="AN347" s="1131"/>
      <c r="AO347" s="1131"/>
      <c r="AP347" s="1131"/>
      <c r="AQ347" s="1131"/>
      <c r="AR347" s="1131"/>
      <c r="AS347" s="1131"/>
      <c r="AT347" s="1131"/>
      <c r="AU347" s="1131"/>
      <c r="AV347" s="1131"/>
      <c r="AW347" s="1131"/>
      <c r="AX347" s="1131"/>
      <c r="AY347" s="1131"/>
      <c r="AZ347" s="1131"/>
      <c r="BA347" s="1131"/>
      <c r="BB347" s="1131"/>
      <c r="BC347" s="1131"/>
      <c r="BD347" s="1131"/>
      <c r="BE347" s="1131"/>
      <c r="BF347" s="1131"/>
      <c r="BG347" s="1131"/>
      <c r="BH347" s="1131"/>
      <c r="BI347" s="1131"/>
      <c r="BJ347" s="1131"/>
      <c r="BK347" s="1131"/>
      <c r="BL347" s="1131"/>
      <c r="BM347" s="1131"/>
      <c r="BN347" s="1131"/>
      <c r="BO347" s="1131"/>
      <c r="BP347" s="1131"/>
      <c r="BQ347" s="1131"/>
      <c r="BR347" s="1131"/>
      <c r="BS347" s="1131"/>
      <c r="BT347" s="1131"/>
      <c r="BU347" s="1131"/>
      <c r="BV347" s="1131"/>
      <c r="BW347" s="1131"/>
      <c r="BX347" s="1131"/>
      <c r="BY347" s="1131"/>
      <c r="BZ347" s="1131"/>
      <c r="CA347" s="1131"/>
      <c r="CB347" s="1131"/>
      <c r="CC347" s="1131"/>
      <c r="CD347" s="1131"/>
      <c r="CE347" s="1131"/>
      <c r="CF347" s="1131"/>
      <c r="CG347" s="1131"/>
      <c r="CH347" s="29"/>
      <c r="CI347" s="185"/>
      <c r="CJ347" s="17"/>
    </row>
    <row r="348" spans="1:88" s="3" customFormat="1" hidden="1">
      <c r="A348" s="243" t="str">
        <f t="shared" si="5"/>
        <v>OK</v>
      </c>
      <c r="B348" s="1126" t="str">
        <f>IF(CONSOLIDA!BH120="","",CONSOLIDA!BH120)</f>
        <v/>
      </c>
      <c r="C348" s="1126"/>
      <c r="D348" s="1134" t="str">
        <f>IF(CONSOLIDA!BJ120="","",CONSOLIDA!BJ120)</f>
        <v/>
      </c>
      <c r="E348" s="1135"/>
      <c r="F348" s="1135"/>
      <c r="G348" s="1129" t="str">
        <f>IF(CONSOLIDA!BK120="","",CONSOLIDA!BK120)</f>
        <v/>
      </c>
      <c r="H348" s="1129"/>
      <c r="I348" s="1129"/>
      <c r="J348" s="1129"/>
      <c r="K348" s="1129"/>
      <c r="L348" s="1129"/>
      <c r="M348" s="1129"/>
      <c r="N348" s="1129"/>
      <c r="O348" s="1129"/>
      <c r="P348" s="1129"/>
      <c r="Q348" s="1129"/>
      <c r="R348" s="1129"/>
      <c r="S348" s="1129"/>
      <c r="T348" s="1129"/>
      <c r="U348" s="1129"/>
      <c r="V348" s="1129"/>
      <c r="W348" s="1129"/>
      <c r="X348" s="1129"/>
      <c r="Y348" s="1129"/>
      <c r="Z348" s="1129"/>
      <c r="AA348" s="1129"/>
      <c r="AB348" s="1129"/>
      <c r="AC348" s="1129"/>
      <c r="AD348" s="1129"/>
      <c r="AE348" s="1130"/>
      <c r="AF348" s="1131"/>
      <c r="AG348" s="1131"/>
      <c r="AH348" s="1131"/>
      <c r="AI348" s="1131"/>
      <c r="AJ348" s="1131"/>
      <c r="AK348" s="1131"/>
      <c r="AL348" s="1131"/>
      <c r="AM348" s="1131"/>
      <c r="AN348" s="1131"/>
      <c r="AO348" s="1131"/>
      <c r="AP348" s="1131"/>
      <c r="AQ348" s="1131"/>
      <c r="AR348" s="1131"/>
      <c r="AS348" s="1131"/>
      <c r="AT348" s="1131"/>
      <c r="AU348" s="1131"/>
      <c r="AV348" s="1131"/>
      <c r="AW348" s="1131"/>
      <c r="AX348" s="1131"/>
      <c r="AY348" s="1131"/>
      <c r="AZ348" s="1131"/>
      <c r="BA348" s="1131"/>
      <c r="BB348" s="1131"/>
      <c r="BC348" s="1131"/>
      <c r="BD348" s="1131"/>
      <c r="BE348" s="1131"/>
      <c r="BF348" s="1131"/>
      <c r="BG348" s="1131"/>
      <c r="BH348" s="1131"/>
      <c r="BI348" s="1131"/>
      <c r="BJ348" s="1131"/>
      <c r="BK348" s="1131"/>
      <c r="BL348" s="1131"/>
      <c r="BM348" s="1131"/>
      <c r="BN348" s="1131"/>
      <c r="BO348" s="1131"/>
      <c r="BP348" s="1131"/>
      <c r="BQ348" s="1131"/>
      <c r="BR348" s="1131"/>
      <c r="BS348" s="1131"/>
      <c r="BT348" s="1131"/>
      <c r="BU348" s="1131"/>
      <c r="BV348" s="1131"/>
      <c r="BW348" s="1131"/>
      <c r="BX348" s="1131"/>
      <c r="BY348" s="1131"/>
      <c r="BZ348" s="1131"/>
      <c r="CA348" s="1131"/>
      <c r="CB348" s="1131"/>
      <c r="CC348" s="1131"/>
      <c r="CD348" s="1131"/>
      <c r="CE348" s="1131"/>
      <c r="CF348" s="1131"/>
      <c r="CG348" s="1131"/>
      <c r="CH348" s="29"/>
      <c r="CI348" s="185"/>
      <c r="CJ348" s="17"/>
    </row>
    <row r="349" spans="1:88" s="3" customFormat="1" hidden="1">
      <c r="A349" s="243" t="str">
        <f t="shared" si="5"/>
        <v>OK</v>
      </c>
      <c r="B349" s="1126" t="str">
        <f>IF(CONSOLIDA!BH121="","",CONSOLIDA!BH121)</f>
        <v/>
      </c>
      <c r="C349" s="1126"/>
      <c r="D349" s="1134" t="str">
        <f>IF(CONSOLIDA!BJ121="","",CONSOLIDA!BJ121)</f>
        <v/>
      </c>
      <c r="E349" s="1135"/>
      <c r="F349" s="1135"/>
      <c r="G349" s="1129" t="str">
        <f>IF(CONSOLIDA!BK121="","",CONSOLIDA!BK121)</f>
        <v/>
      </c>
      <c r="H349" s="1129"/>
      <c r="I349" s="1129"/>
      <c r="J349" s="1129"/>
      <c r="K349" s="1129"/>
      <c r="L349" s="1129"/>
      <c r="M349" s="1129"/>
      <c r="N349" s="1129"/>
      <c r="O349" s="1129"/>
      <c r="P349" s="1129"/>
      <c r="Q349" s="1129"/>
      <c r="R349" s="1129"/>
      <c r="S349" s="1129"/>
      <c r="T349" s="1129"/>
      <c r="U349" s="1129"/>
      <c r="V349" s="1129"/>
      <c r="W349" s="1129"/>
      <c r="X349" s="1129"/>
      <c r="Y349" s="1129"/>
      <c r="Z349" s="1129"/>
      <c r="AA349" s="1129"/>
      <c r="AB349" s="1129"/>
      <c r="AC349" s="1129"/>
      <c r="AD349" s="1129"/>
      <c r="AE349" s="1130"/>
      <c r="AF349" s="1131"/>
      <c r="AG349" s="1131"/>
      <c r="AH349" s="1131"/>
      <c r="AI349" s="1131"/>
      <c r="AJ349" s="1131"/>
      <c r="AK349" s="1131"/>
      <c r="AL349" s="1131"/>
      <c r="AM349" s="1131"/>
      <c r="AN349" s="1131"/>
      <c r="AO349" s="1131"/>
      <c r="AP349" s="1131"/>
      <c r="AQ349" s="1131"/>
      <c r="AR349" s="1131"/>
      <c r="AS349" s="1131"/>
      <c r="AT349" s="1131"/>
      <c r="AU349" s="1131"/>
      <c r="AV349" s="1131"/>
      <c r="AW349" s="1131"/>
      <c r="AX349" s="1131"/>
      <c r="AY349" s="1131"/>
      <c r="AZ349" s="1131"/>
      <c r="BA349" s="1131"/>
      <c r="BB349" s="1131"/>
      <c r="BC349" s="1131"/>
      <c r="BD349" s="1131"/>
      <c r="BE349" s="1131"/>
      <c r="BF349" s="1131"/>
      <c r="BG349" s="1131"/>
      <c r="BH349" s="1131"/>
      <c r="BI349" s="1131"/>
      <c r="BJ349" s="1131"/>
      <c r="BK349" s="1131"/>
      <c r="BL349" s="1131"/>
      <c r="BM349" s="1131"/>
      <c r="BN349" s="1131"/>
      <c r="BO349" s="1131"/>
      <c r="BP349" s="1131"/>
      <c r="BQ349" s="1131"/>
      <c r="BR349" s="1131"/>
      <c r="BS349" s="1131"/>
      <c r="BT349" s="1131"/>
      <c r="BU349" s="1131"/>
      <c r="BV349" s="1131"/>
      <c r="BW349" s="1131"/>
      <c r="BX349" s="1131"/>
      <c r="BY349" s="1131"/>
      <c r="BZ349" s="1131"/>
      <c r="CA349" s="1131"/>
      <c r="CB349" s="1131"/>
      <c r="CC349" s="1131"/>
      <c r="CD349" s="1131"/>
      <c r="CE349" s="1131"/>
      <c r="CF349" s="1131"/>
      <c r="CG349" s="1131"/>
      <c r="CH349" s="29"/>
      <c r="CI349" s="185"/>
      <c r="CJ349" s="17"/>
    </row>
    <row r="350" spans="1:88" s="3" customFormat="1" hidden="1">
      <c r="A350" s="243" t="str">
        <f t="shared" si="5"/>
        <v>OK</v>
      </c>
      <c r="B350" s="1126" t="str">
        <f>IF(CONSOLIDA!BH122="","",CONSOLIDA!BH122)</f>
        <v/>
      </c>
      <c r="C350" s="1126"/>
      <c r="D350" s="1134" t="str">
        <f>IF(CONSOLIDA!BJ122="","",CONSOLIDA!BJ122)</f>
        <v/>
      </c>
      <c r="E350" s="1135"/>
      <c r="F350" s="1135"/>
      <c r="G350" s="1129" t="str">
        <f>IF(CONSOLIDA!BK122="","",CONSOLIDA!BK122)</f>
        <v/>
      </c>
      <c r="H350" s="1129"/>
      <c r="I350" s="1129"/>
      <c r="J350" s="1129"/>
      <c r="K350" s="1129"/>
      <c r="L350" s="1129"/>
      <c r="M350" s="1129"/>
      <c r="N350" s="1129"/>
      <c r="O350" s="1129"/>
      <c r="P350" s="1129"/>
      <c r="Q350" s="1129"/>
      <c r="R350" s="1129"/>
      <c r="S350" s="1129"/>
      <c r="T350" s="1129"/>
      <c r="U350" s="1129"/>
      <c r="V350" s="1129"/>
      <c r="W350" s="1129"/>
      <c r="X350" s="1129"/>
      <c r="Y350" s="1129"/>
      <c r="Z350" s="1129"/>
      <c r="AA350" s="1129"/>
      <c r="AB350" s="1129"/>
      <c r="AC350" s="1129"/>
      <c r="AD350" s="1129"/>
      <c r="AE350" s="1130"/>
      <c r="AF350" s="1131"/>
      <c r="AG350" s="1131"/>
      <c r="AH350" s="1131"/>
      <c r="AI350" s="1131"/>
      <c r="AJ350" s="1131"/>
      <c r="AK350" s="1131"/>
      <c r="AL350" s="1131"/>
      <c r="AM350" s="1131"/>
      <c r="AN350" s="1131"/>
      <c r="AO350" s="1131"/>
      <c r="AP350" s="1131"/>
      <c r="AQ350" s="1131"/>
      <c r="AR350" s="1131"/>
      <c r="AS350" s="1131"/>
      <c r="AT350" s="1131"/>
      <c r="AU350" s="1131"/>
      <c r="AV350" s="1131"/>
      <c r="AW350" s="1131"/>
      <c r="AX350" s="1131"/>
      <c r="AY350" s="1131"/>
      <c r="AZ350" s="1131"/>
      <c r="BA350" s="1131"/>
      <c r="BB350" s="1131"/>
      <c r="BC350" s="1131"/>
      <c r="BD350" s="1131"/>
      <c r="BE350" s="1131"/>
      <c r="BF350" s="1131"/>
      <c r="BG350" s="1131"/>
      <c r="BH350" s="1131"/>
      <c r="BI350" s="1131"/>
      <c r="BJ350" s="1131"/>
      <c r="BK350" s="1131"/>
      <c r="BL350" s="1131"/>
      <c r="BM350" s="1131"/>
      <c r="BN350" s="1131"/>
      <c r="BO350" s="1131"/>
      <c r="BP350" s="1131"/>
      <c r="BQ350" s="1131"/>
      <c r="BR350" s="1131"/>
      <c r="BS350" s="1131"/>
      <c r="BT350" s="1131"/>
      <c r="BU350" s="1131"/>
      <c r="BV350" s="1131"/>
      <c r="BW350" s="1131"/>
      <c r="BX350" s="1131"/>
      <c r="BY350" s="1131"/>
      <c r="BZ350" s="1131"/>
      <c r="CA350" s="1131"/>
      <c r="CB350" s="1131"/>
      <c r="CC350" s="1131"/>
      <c r="CD350" s="1131"/>
      <c r="CE350" s="1131"/>
      <c r="CF350" s="1131"/>
      <c r="CG350" s="1131"/>
      <c r="CH350" s="29"/>
      <c r="CI350" s="185"/>
      <c r="CJ350" s="17"/>
    </row>
    <row r="351" spans="1:88" s="3" customFormat="1" hidden="1">
      <c r="A351" s="243" t="str">
        <f t="shared" si="5"/>
        <v>OK</v>
      </c>
      <c r="B351" s="1126" t="str">
        <f>IF(CONSOLIDA!BH123="","",CONSOLIDA!BH123)</f>
        <v/>
      </c>
      <c r="C351" s="1126"/>
      <c r="D351" s="1134" t="str">
        <f>IF(CONSOLIDA!BJ123="","",CONSOLIDA!BJ123)</f>
        <v/>
      </c>
      <c r="E351" s="1135"/>
      <c r="F351" s="1135"/>
      <c r="G351" s="1129" t="str">
        <f>IF(CONSOLIDA!BK123="","",CONSOLIDA!BK123)</f>
        <v/>
      </c>
      <c r="H351" s="1129"/>
      <c r="I351" s="1129"/>
      <c r="J351" s="1129"/>
      <c r="K351" s="1129"/>
      <c r="L351" s="1129"/>
      <c r="M351" s="1129"/>
      <c r="N351" s="1129"/>
      <c r="O351" s="1129"/>
      <c r="P351" s="1129"/>
      <c r="Q351" s="1129"/>
      <c r="R351" s="1129"/>
      <c r="S351" s="1129"/>
      <c r="T351" s="1129"/>
      <c r="U351" s="1129"/>
      <c r="V351" s="1129"/>
      <c r="W351" s="1129"/>
      <c r="X351" s="1129"/>
      <c r="Y351" s="1129"/>
      <c r="Z351" s="1129"/>
      <c r="AA351" s="1129"/>
      <c r="AB351" s="1129"/>
      <c r="AC351" s="1129"/>
      <c r="AD351" s="1129"/>
      <c r="AE351" s="1130"/>
      <c r="AF351" s="1131"/>
      <c r="AG351" s="1131"/>
      <c r="AH351" s="1131"/>
      <c r="AI351" s="1131"/>
      <c r="AJ351" s="1131"/>
      <c r="AK351" s="1131"/>
      <c r="AL351" s="1131"/>
      <c r="AM351" s="1131"/>
      <c r="AN351" s="1131"/>
      <c r="AO351" s="1131"/>
      <c r="AP351" s="1131"/>
      <c r="AQ351" s="1131"/>
      <c r="AR351" s="1131"/>
      <c r="AS351" s="1131"/>
      <c r="AT351" s="1131"/>
      <c r="AU351" s="1131"/>
      <c r="AV351" s="1131"/>
      <c r="AW351" s="1131"/>
      <c r="AX351" s="1131"/>
      <c r="AY351" s="1131"/>
      <c r="AZ351" s="1131"/>
      <c r="BA351" s="1131"/>
      <c r="BB351" s="1131"/>
      <c r="BC351" s="1131"/>
      <c r="BD351" s="1131"/>
      <c r="BE351" s="1131"/>
      <c r="BF351" s="1131"/>
      <c r="BG351" s="1131"/>
      <c r="BH351" s="1131"/>
      <c r="BI351" s="1131"/>
      <c r="BJ351" s="1131"/>
      <c r="BK351" s="1131"/>
      <c r="BL351" s="1131"/>
      <c r="BM351" s="1131"/>
      <c r="BN351" s="1131"/>
      <c r="BO351" s="1131"/>
      <c r="BP351" s="1131"/>
      <c r="BQ351" s="1131"/>
      <c r="BR351" s="1131"/>
      <c r="BS351" s="1131"/>
      <c r="BT351" s="1131"/>
      <c r="BU351" s="1131"/>
      <c r="BV351" s="1131"/>
      <c r="BW351" s="1131"/>
      <c r="BX351" s="1131"/>
      <c r="BY351" s="1131"/>
      <c r="BZ351" s="1131"/>
      <c r="CA351" s="1131"/>
      <c r="CB351" s="1131"/>
      <c r="CC351" s="1131"/>
      <c r="CD351" s="1131"/>
      <c r="CE351" s="1131"/>
      <c r="CF351" s="1131"/>
      <c r="CG351" s="1131"/>
      <c r="CH351" s="29"/>
      <c r="CI351" s="185"/>
      <c r="CJ351" s="17"/>
    </row>
    <row r="352" spans="1:88" s="3" customFormat="1" hidden="1">
      <c r="A352" s="243" t="str">
        <f t="shared" si="5"/>
        <v>OK</v>
      </c>
      <c r="B352" s="1126" t="str">
        <f>IF(CONSOLIDA!BH124="","",CONSOLIDA!BH124)</f>
        <v/>
      </c>
      <c r="C352" s="1126"/>
      <c r="D352" s="1134" t="str">
        <f>IF(CONSOLIDA!BJ124="","",CONSOLIDA!BJ124)</f>
        <v/>
      </c>
      <c r="E352" s="1135"/>
      <c r="F352" s="1135"/>
      <c r="G352" s="1129" t="str">
        <f>IF(CONSOLIDA!BK124="","",CONSOLIDA!BK124)</f>
        <v/>
      </c>
      <c r="H352" s="1129"/>
      <c r="I352" s="1129"/>
      <c r="J352" s="1129"/>
      <c r="K352" s="1129"/>
      <c r="L352" s="1129"/>
      <c r="M352" s="1129"/>
      <c r="N352" s="1129"/>
      <c r="O352" s="1129"/>
      <c r="P352" s="1129"/>
      <c r="Q352" s="1129"/>
      <c r="R352" s="1129"/>
      <c r="S352" s="1129"/>
      <c r="T352" s="1129"/>
      <c r="U352" s="1129"/>
      <c r="V352" s="1129"/>
      <c r="W352" s="1129"/>
      <c r="X352" s="1129"/>
      <c r="Y352" s="1129"/>
      <c r="Z352" s="1129"/>
      <c r="AA352" s="1129"/>
      <c r="AB352" s="1129"/>
      <c r="AC352" s="1129"/>
      <c r="AD352" s="1129"/>
      <c r="AE352" s="1130"/>
      <c r="AF352" s="1131"/>
      <c r="AG352" s="1131"/>
      <c r="AH352" s="1131"/>
      <c r="AI352" s="1131"/>
      <c r="AJ352" s="1131"/>
      <c r="AK352" s="1131"/>
      <c r="AL352" s="1131"/>
      <c r="AM352" s="1131"/>
      <c r="AN352" s="1131"/>
      <c r="AO352" s="1131"/>
      <c r="AP352" s="1131"/>
      <c r="AQ352" s="1131"/>
      <c r="AR352" s="1131"/>
      <c r="AS352" s="1131"/>
      <c r="AT352" s="1131"/>
      <c r="AU352" s="1131"/>
      <c r="AV352" s="1131"/>
      <c r="AW352" s="1131"/>
      <c r="AX352" s="1131"/>
      <c r="AY352" s="1131"/>
      <c r="AZ352" s="1131"/>
      <c r="BA352" s="1131"/>
      <c r="BB352" s="1131"/>
      <c r="BC352" s="1131"/>
      <c r="BD352" s="1131"/>
      <c r="BE352" s="1131"/>
      <c r="BF352" s="1131"/>
      <c r="BG352" s="1131"/>
      <c r="BH352" s="1131"/>
      <c r="BI352" s="1131"/>
      <c r="BJ352" s="1131"/>
      <c r="BK352" s="1131"/>
      <c r="BL352" s="1131"/>
      <c r="BM352" s="1131"/>
      <c r="BN352" s="1131"/>
      <c r="BO352" s="1131"/>
      <c r="BP352" s="1131"/>
      <c r="BQ352" s="1131"/>
      <c r="BR352" s="1131"/>
      <c r="BS352" s="1131"/>
      <c r="BT352" s="1131"/>
      <c r="BU352" s="1131"/>
      <c r="BV352" s="1131"/>
      <c r="BW352" s="1131"/>
      <c r="BX352" s="1131"/>
      <c r="BY352" s="1131"/>
      <c r="BZ352" s="1131"/>
      <c r="CA352" s="1131"/>
      <c r="CB352" s="1131"/>
      <c r="CC352" s="1131"/>
      <c r="CD352" s="1131"/>
      <c r="CE352" s="1131"/>
      <c r="CF352" s="1131"/>
      <c r="CG352" s="1131"/>
      <c r="CH352" s="29"/>
      <c r="CI352" s="185"/>
      <c r="CJ352" s="17"/>
    </row>
    <row r="353" spans="1:88" s="3" customFormat="1" hidden="1">
      <c r="A353" s="243" t="str">
        <f t="shared" si="5"/>
        <v>OK</v>
      </c>
      <c r="B353" s="1126" t="str">
        <f>IF(CONSOLIDA!BH125="","",CONSOLIDA!BH125)</f>
        <v/>
      </c>
      <c r="C353" s="1126"/>
      <c r="D353" s="1134" t="str">
        <f>IF(CONSOLIDA!BJ125="","",CONSOLIDA!BJ125)</f>
        <v/>
      </c>
      <c r="E353" s="1135"/>
      <c r="F353" s="1135"/>
      <c r="G353" s="1129" t="str">
        <f>IF(CONSOLIDA!BK125="","",CONSOLIDA!BK125)</f>
        <v/>
      </c>
      <c r="H353" s="1129"/>
      <c r="I353" s="1129"/>
      <c r="J353" s="1129"/>
      <c r="K353" s="1129"/>
      <c r="L353" s="1129"/>
      <c r="M353" s="1129"/>
      <c r="N353" s="1129"/>
      <c r="O353" s="1129"/>
      <c r="P353" s="1129"/>
      <c r="Q353" s="1129"/>
      <c r="R353" s="1129"/>
      <c r="S353" s="1129"/>
      <c r="T353" s="1129"/>
      <c r="U353" s="1129"/>
      <c r="V353" s="1129"/>
      <c r="W353" s="1129"/>
      <c r="X353" s="1129"/>
      <c r="Y353" s="1129"/>
      <c r="Z353" s="1129"/>
      <c r="AA353" s="1129"/>
      <c r="AB353" s="1129"/>
      <c r="AC353" s="1129"/>
      <c r="AD353" s="1129"/>
      <c r="AE353" s="1130"/>
      <c r="AF353" s="1131"/>
      <c r="AG353" s="1131"/>
      <c r="AH353" s="1131"/>
      <c r="AI353" s="1131"/>
      <c r="AJ353" s="1131"/>
      <c r="AK353" s="1131"/>
      <c r="AL353" s="1131"/>
      <c r="AM353" s="1131"/>
      <c r="AN353" s="1131"/>
      <c r="AO353" s="1131"/>
      <c r="AP353" s="1131"/>
      <c r="AQ353" s="1131"/>
      <c r="AR353" s="1131"/>
      <c r="AS353" s="1131"/>
      <c r="AT353" s="1131"/>
      <c r="AU353" s="1131"/>
      <c r="AV353" s="1131"/>
      <c r="AW353" s="1131"/>
      <c r="AX353" s="1131"/>
      <c r="AY353" s="1131"/>
      <c r="AZ353" s="1131"/>
      <c r="BA353" s="1131"/>
      <c r="BB353" s="1131"/>
      <c r="BC353" s="1131"/>
      <c r="BD353" s="1131"/>
      <c r="BE353" s="1131"/>
      <c r="BF353" s="1131"/>
      <c r="BG353" s="1131"/>
      <c r="BH353" s="1131"/>
      <c r="BI353" s="1131"/>
      <c r="BJ353" s="1131"/>
      <c r="BK353" s="1131"/>
      <c r="BL353" s="1131"/>
      <c r="BM353" s="1131"/>
      <c r="BN353" s="1131"/>
      <c r="BO353" s="1131"/>
      <c r="BP353" s="1131"/>
      <c r="BQ353" s="1131"/>
      <c r="BR353" s="1131"/>
      <c r="BS353" s="1131"/>
      <c r="BT353" s="1131"/>
      <c r="BU353" s="1131"/>
      <c r="BV353" s="1131"/>
      <c r="BW353" s="1131"/>
      <c r="BX353" s="1131"/>
      <c r="BY353" s="1131"/>
      <c r="BZ353" s="1131"/>
      <c r="CA353" s="1131"/>
      <c r="CB353" s="1131"/>
      <c r="CC353" s="1131"/>
      <c r="CD353" s="1131"/>
      <c r="CE353" s="1131"/>
      <c r="CF353" s="1131"/>
      <c r="CG353" s="1131"/>
      <c r="CH353" s="29"/>
      <c r="CI353" s="185"/>
      <c r="CJ353" s="17"/>
    </row>
    <row r="354" spans="1:88" s="3" customFormat="1" hidden="1">
      <c r="A354" s="243" t="str">
        <f t="shared" si="5"/>
        <v>OK</v>
      </c>
      <c r="B354" s="1126" t="str">
        <f>IF(CONSOLIDA!BH126="","",CONSOLIDA!BH126)</f>
        <v/>
      </c>
      <c r="C354" s="1126"/>
      <c r="D354" s="1134" t="str">
        <f>IF(CONSOLIDA!BJ126="","",CONSOLIDA!BJ126)</f>
        <v/>
      </c>
      <c r="E354" s="1135"/>
      <c r="F354" s="1135"/>
      <c r="G354" s="1129" t="str">
        <f>IF(CONSOLIDA!BK126="","",CONSOLIDA!BK126)</f>
        <v/>
      </c>
      <c r="H354" s="1129"/>
      <c r="I354" s="1129"/>
      <c r="J354" s="1129"/>
      <c r="K354" s="1129"/>
      <c r="L354" s="1129"/>
      <c r="M354" s="1129"/>
      <c r="N354" s="1129"/>
      <c r="O354" s="1129"/>
      <c r="P354" s="1129"/>
      <c r="Q354" s="1129"/>
      <c r="R354" s="1129"/>
      <c r="S354" s="1129"/>
      <c r="T354" s="1129"/>
      <c r="U354" s="1129"/>
      <c r="V354" s="1129"/>
      <c r="W354" s="1129"/>
      <c r="X354" s="1129"/>
      <c r="Y354" s="1129"/>
      <c r="Z354" s="1129"/>
      <c r="AA354" s="1129"/>
      <c r="AB354" s="1129"/>
      <c r="AC354" s="1129"/>
      <c r="AD354" s="1129"/>
      <c r="AE354" s="1130"/>
      <c r="AF354" s="1131"/>
      <c r="AG354" s="1131"/>
      <c r="AH354" s="1131"/>
      <c r="AI354" s="1131"/>
      <c r="AJ354" s="1131"/>
      <c r="AK354" s="1131"/>
      <c r="AL354" s="1131"/>
      <c r="AM354" s="1131"/>
      <c r="AN354" s="1131"/>
      <c r="AO354" s="1131"/>
      <c r="AP354" s="1131"/>
      <c r="AQ354" s="1131"/>
      <c r="AR354" s="1131"/>
      <c r="AS354" s="1131"/>
      <c r="AT354" s="1131"/>
      <c r="AU354" s="1131"/>
      <c r="AV354" s="1131"/>
      <c r="AW354" s="1131"/>
      <c r="AX354" s="1131"/>
      <c r="AY354" s="1131"/>
      <c r="AZ354" s="1131"/>
      <c r="BA354" s="1131"/>
      <c r="BB354" s="1131"/>
      <c r="BC354" s="1131"/>
      <c r="BD354" s="1131"/>
      <c r="BE354" s="1131"/>
      <c r="BF354" s="1131"/>
      <c r="BG354" s="1131"/>
      <c r="BH354" s="1131"/>
      <c r="BI354" s="1131"/>
      <c r="BJ354" s="1131"/>
      <c r="BK354" s="1131"/>
      <c r="BL354" s="1131"/>
      <c r="BM354" s="1131"/>
      <c r="BN354" s="1131"/>
      <c r="BO354" s="1131"/>
      <c r="BP354" s="1131"/>
      <c r="BQ354" s="1131"/>
      <c r="BR354" s="1131"/>
      <c r="BS354" s="1131"/>
      <c r="BT354" s="1131"/>
      <c r="BU354" s="1131"/>
      <c r="BV354" s="1131"/>
      <c r="BW354" s="1131"/>
      <c r="BX354" s="1131"/>
      <c r="BY354" s="1131"/>
      <c r="BZ354" s="1131"/>
      <c r="CA354" s="1131"/>
      <c r="CB354" s="1131"/>
      <c r="CC354" s="1131"/>
      <c r="CD354" s="1131"/>
      <c r="CE354" s="1131"/>
      <c r="CF354" s="1131"/>
      <c r="CG354" s="1131"/>
      <c r="CH354" s="29"/>
      <c r="CI354" s="185"/>
      <c r="CJ354" s="17"/>
    </row>
    <row r="355" spans="1:88" s="3" customFormat="1" hidden="1">
      <c r="A355" s="243" t="str">
        <f t="shared" si="5"/>
        <v>OK</v>
      </c>
      <c r="B355" s="1126" t="str">
        <f>IF(CONSOLIDA!BH127="","",CONSOLIDA!BH127)</f>
        <v/>
      </c>
      <c r="C355" s="1126"/>
      <c r="D355" s="1134" t="str">
        <f>IF(CONSOLIDA!BJ127="","",CONSOLIDA!BJ127)</f>
        <v/>
      </c>
      <c r="E355" s="1135"/>
      <c r="F355" s="1135"/>
      <c r="G355" s="1129" t="str">
        <f>IF(CONSOLIDA!BK127="","",CONSOLIDA!BK127)</f>
        <v/>
      </c>
      <c r="H355" s="1129"/>
      <c r="I355" s="1129"/>
      <c r="J355" s="1129"/>
      <c r="K355" s="1129"/>
      <c r="L355" s="1129"/>
      <c r="M355" s="1129"/>
      <c r="N355" s="1129"/>
      <c r="O355" s="1129"/>
      <c r="P355" s="1129"/>
      <c r="Q355" s="1129"/>
      <c r="R355" s="1129"/>
      <c r="S355" s="1129"/>
      <c r="T355" s="1129"/>
      <c r="U355" s="1129"/>
      <c r="V355" s="1129"/>
      <c r="W355" s="1129"/>
      <c r="X355" s="1129"/>
      <c r="Y355" s="1129"/>
      <c r="Z355" s="1129"/>
      <c r="AA355" s="1129"/>
      <c r="AB355" s="1129"/>
      <c r="AC355" s="1129"/>
      <c r="AD355" s="1129"/>
      <c r="AE355" s="1130"/>
      <c r="AF355" s="1131"/>
      <c r="AG355" s="1131"/>
      <c r="AH355" s="1131"/>
      <c r="AI355" s="1131"/>
      <c r="AJ355" s="1131"/>
      <c r="AK355" s="1131"/>
      <c r="AL355" s="1131"/>
      <c r="AM355" s="1131"/>
      <c r="AN355" s="1131"/>
      <c r="AO355" s="1131"/>
      <c r="AP355" s="1131"/>
      <c r="AQ355" s="1131"/>
      <c r="AR355" s="1131"/>
      <c r="AS355" s="1131"/>
      <c r="AT355" s="1131"/>
      <c r="AU355" s="1131"/>
      <c r="AV355" s="1131"/>
      <c r="AW355" s="1131"/>
      <c r="AX355" s="1131"/>
      <c r="AY355" s="1131"/>
      <c r="AZ355" s="1131"/>
      <c r="BA355" s="1131"/>
      <c r="BB355" s="1131"/>
      <c r="BC355" s="1131"/>
      <c r="BD355" s="1131"/>
      <c r="BE355" s="1131"/>
      <c r="BF355" s="1131"/>
      <c r="BG355" s="1131"/>
      <c r="BH355" s="1131"/>
      <c r="BI355" s="1131"/>
      <c r="BJ355" s="1131"/>
      <c r="BK355" s="1131"/>
      <c r="BL355" s="1131"/>
      <c r="BM355" s="1131"/>
      <c r="BN355" s="1131"/>
      <c r="BO355" s="1131"/>
      <c r="BP355" s="1131"/>
      <c r="BQ355" s="1131"/>
      <c r="BR355" s="1131"/>
      <c r="BS355" s="1131"/>
      <c r="BT355" s="1131"/>
      <c r="BU355" s="1131"/>
      <c r="BV355" s="1131"/>
      <c r="BW355" s="1131"/>
      <c r="BX355" s="1131"/>
      <c r="BY355" s="1131"/>
      <c r="BZ355" s="1131"/>
      <c r="CA355" s="1131"/>
      <c r="CB355" s="1131"/>
      <c r="CC355" s="1131"/>
      <c r="CD355" s="1131"/>
      <c r="CE355" s="1131"/>
      <c r="CF355" s="1131"/>
      <c r="CG355" s="1131"/>
      <c r="CH355" s="29"/>
      <c r="CI355" s="185"/>
      <c r="CJ355" s="17"/>
    </row>
    <row r="356" spans="1:88" s="3" customFormat="1" hidden="1">
      <c r="A356" s="243" t="str">
        <f t="shared" si="5"/>
        <v>OK</v>
      </c>
      <c r="B356" s="1126" t="str">
        <f>IF(CONSOLIDA!BH128="","",CONSOLIDA!BH128)</f>
        <v/>
      </c>
      <c r="C356" s="1126"/>
      <c r="D356" s="1134" t="str">
        <f>IF(CONSOLIDA!BJ128="","",CONSOLIDA!BJ128)</f>
        <v/>
      </c>
      <c r="E356" s="1135"/>
      <c r="F356" s="1135"/>
      <c r="G356" s="1129" t="str">
        <f>IF(CONSOLIDA!BK128="","",CONSOLIDA!BK128)</f>
        <v/>
      </c>
      <c r="H356" s="1129"/>
      <c r="I356" s="1129"/>
      <c r="J356" s="1129"/>
      <c r="K356" s="1129"/>
      <c r="L356" s="1129"/>
      <c r="M356" s="1129"/>
      <c r="N356" s="1129"/>
      <c r="O356" s="1129"/>
      <c r="P356" s="1129"/>
      <c r="Q356" s="1129"/>
      <c r="R356" s="1129"/>
      <c r="S356" s="1129"/>
      <c r="T356" s="1129"/>
      <c r="U356" s="1129"/>
      <c r="V356" s="1129"/>
      <c r="W356" s="1129"/>
      <c r="X356" s="1129"/>
      <c r="Y356" s="1129"/>
      <c r="Z356" s="1129"/>
      <c r="AA356" s="1129"/>
      <c r="AB356" s="1129"/>
      <c r="AC356" s="1129"/>
      <c r="AD356" s="1129"/>
      <c r="AE356" s="1130"/>
      <c r="AF356" s="1131"/>
      <c r="AG356" s="1131"/>
      <c r="AH356" s="1131"/>
      <c r="AI356" s="1131"/>
      <c r="AJ356" s="1131"/>
      <c r="AK356" s="1131"/>
      <c r="AL356" s="1131"/>
      <c r="AM356" s="1131"/>
      <c r="AN356" s="1131"/>
      <c r="AO356" s="1131"/>
      <c r="AP356" s="1131"/>
      <c r="AQ356" s="1131"/>
      <c r="AR356" s="1131"/>
      <c r="AS356" s="1131"/>
      <c r="AT356" s="1131"/>
      <c r="AU356" s="1131"/>
      <c r="AV356" s="1131"/>
      <c r="AW356" s="1131"/>
      <c r="AX356" s="1131"/>
      <c r="AY356" s="1131"/>
      <c r="AZ356" s="1131"/>
      <c r="BA356" s="1131"/>
      <c r="BB356" s="1131"/>
      <c r="BC356" s="1131"/>
      <c r="BD356" s="1131"/>
      <c r="BE356" s="1131"/>
      <c r="BF356" s="1131"/>
      <c r="BG356" s="1131"/>
      <c r="BH356" s="1131"/>
      <c r="BI356" s="1131"/>
      <c r="BJ356" s="1131"/>
      <c r="BK356" s="1131"/>
      <c r="BL356" s="1131"/>
      <c r="BM356" s="1131"/>
      <c r="BN356" s="1131"/>
      <c r="BO356" s="1131"/>
      <c r="BP356" s="1131"/>
      <c r="BQ356" s="1131"/>
      <c r="BR356" s="1131"/>
      <c r="BS356" s="1131"/>
      <c r="BT356" s="1131"/>
      <c r="BU356" s="1131"/>
      <c r="BV356" s="1131"/>
      <c r="BW356" s="1131"/>
      <c r="BX356" s="1131"/>
      <c r="BY356" s="1131"/>
      <c r="BZ356" s="1131"/>
      <c r="CA356" s="1131"/>
      <c r="CB356" s="1131"/>
      <c r="CC356" s="1131"/>
      <c r="CD356" s="1131"/>
      <c r="CE356" s="1131"/>
      <c r="CF356" s="1131"/>
      <c r="CG356" s="1131"/>
      <c r="CH356" s="29"/>
      <c r="CI356" s="185"/>
      <c r="CJ356" s="17"/>
    </row>
    <row r="357" spans="1:88" s="3" customFormat="1" hidden="1">
      <c r="A357" s="243" t="str">
        <f t="shared" si="5"/>
        <v>OK</v>
      </c>
      <c r="B357" s="1126" t="str">
        <f>IF(CONSOLIDA!BH129="","",CONSOLIDA!BH129)</f>
        <v/>
      </c>
      <c r="C357" s="1126"/>
      <c r="D357" s="1134" t="str">
        <f>IF(CONSOLIDA!BJ129="","",CONSOLIDA!BJ129)</f>
        <v/>
      </c>
      <c r="E357" s="1135"/>
      <c r="F357" s="1135"/>
      <c r="G357" s="1129" t="str">
        <f>IF(CONSOLIDA!BK129="","",CONSOLIDA!BK129)</f>
        <v/>
      </c>
      <c r="H357" s="1129"/>
      <c r="I357" s="1129"/>
      <c r="J357" s="1129"/>
      <c r="K357" s="1129"/>
      <c r="L357" s="1129"/>
      <c r="M357" s="1129"/>
      <c r="N357" s="1129"/>
      <c r="O357" s="1129"/>
      <c r="P357" s="1129"/>
      <c r="Q357" s="1129"/>
      <c r="R357" s="1129"/>
      <c r="S357" s="1129"/>
      <c r="T357" s="1129"/>
      <c r="U357" s="1129"/>
      <c r="V357" s="1129"/>
      <c r="W357" s="1129"/>
      <c r="X357" s="1129"/>
      <c r="Y357" s="1129"/>
      <c r="Z357" s="1129"/>
      <c r="AA357" s="1129"/>
      <c r="AB357" s="1129"/>
      <c r="AC357" s="1129"/>
      <c r="AD357" s="1129"/>
      <c r="AE357" s="1130"/>
      <c r="AF357" s="1131"/>
      <c r="AG357" s="1131"/>
      <c r="AH357" s="1131"/>
      <c r="AI357" s="1131"/>
      <c r="AJ357" s="1131"/>
      <c r="AK357" s="1131"/>
      <c r="AL357" s="1131"/>
      <c r="AM357" s="1131"/>
      <c r="AN357" s="1131"/>
      <c r="AO357" s="1131"/>
      <c r="AP357" s="1131"/>
      <c r="AQ357" s="1131"/>
      <c r="AR357" s="1131"/>
      <c r="AS357" s="1131"/>
      <c r="AT357" s="1131"/>
      <c r="AU357" s="1131"/>
      <c r="AV357" s="1131"/>
      <c r="AW357" s="1131"/>
      <c r="AX357" s="1131"/>
      <c r="AY357" s="1131"/>
      <c r="AZ357" s="1131"/>
      <c r="BA357" s="1131"/>
      <c r="BB357" s="1131"/>
      <c r="BC357" s="1131"/>
      <c r="BD357" s="1131"/>
      <c r="BE357" s="1131"/>
      <c r="BF357" s="1131"/>
      <c r="BG357" s="1131"/>
      <c r="BH357" s="1131"/>
      <c r="BI357" s="1131"/>
      <c r="BJ357" s="1131"/>
      <c r="BK357" s="1131"/>
      <c r="BL357" s="1131"/>
      <c r="BM357" s="1131"/>
      <c r="BN357" s="1131"/>
      <c r="BO357" s="1131"/>
      <c r="BP357" s="1131"/>
      <c r="BQ357" s="1131"/>
      <c r="BR357" s="1131"/>
      <c r="BS357" s="1131"/>
      <c r="BT357" s="1131"/>
      <c r="BU357" s="1131"/>
      <c r="BV357" s="1131"/>
      <c r="BW357" s="1131"/>
      <c r="BX357" s="1131"/>
      <c r="BY357" s="1131"/>
      <c r="BZ357" s="1131"/>
      <c r="CA357" s="1131"/>
      <c r="CB357" s="1131"/>
      <c r="CC357" s="1131"/>
      <c r="CD357" s="1131"/>
      <c r="CE357" s="1131"/>
      <c r="CF357" s="1131"/>
      <c r="CG357" s="1131"/>
      <c r="CH357" s="29"/>
      <c r="CI357" s="185"/>
      <c r="CJ357" s="17"/>
    </row>
    <row r="358" spans="1:88" s="3" customFormat="1" hidden="1">
      <c r="A358" s="243" t="str">
        <f t="shared" si="5"/>
        <v>OK</v>
      </c>
      <c r="B358" s="1126" t="str">
        <f>IF(CONSOLIDA!BH130="","",CONSOLIDA!BH130)</f>
        <v/>
      </c>
      <c r="C358" s="1126"/>
      <c r="D358" s="1134" t="str">
        <f>IF(CONSOLIDA!BJ130="","",CONSOLIDA!BJ130)</f>
        <v/>
      </c>
      <c r="E358" s="1135"/>
      <c r="F358" s="1135"/>
      <c r="G358" s="1129" t="str">
        <f>IF(CONSOLIDA!BK130="","",CONSOLIDA!BK130)</f>
        <v/>
      </c>
      <c r="H358" s="1129"/>
      <c r="I358" s="1129"/>
      <c r="J358" s="1129"/>
      <c r="K358" s="1129"/>
      <c r="L358" s="1129"/>
      <c r="M358" s="1129"/>
      <c r="N358" s="1129"/>
      <c r="O358" s="1129"/>
      <c r="P358" s="1129"/>
      <c r="Q358" s="1129"/>
      <c r="R358" s="1129"/>
      <c r="S358" s="1129"/>
      <c r="T358" s="1129"/>
      <c r="U358" s="1129"/>
      <c r="V358" s="1129"/>
      <c r="W358" s="1129"/>
      <c r="X358" s="1129"/>
      <c r="Y358" s="1129"/>
      <c r="Z358" s="1129"/>
      <c r="AA358" s="1129"/>
      <c r="AB358" s="1129"/>
      <c r="AC358" s="1129"/>
      <c r="AD358" s="1129"/>
      <c r="AE358" s="1130"/>
      <c r="AF358" s="1131"/>
      <c r="AG358" s="1131"/>
      <c r="AH358" s="1131"/>
      <c r="AI358" s="1131"/>
      <c r="AJ358" s="1131"/>
      <c r="AK358" s="1131"/>
      <c r="AL358" s="1131"/>
      <c r="AM358" s="1131"/>
      <c r="AN358" s="1131"/>
      <c r="AO358" s="1131"/>
      <c r="AP358" s="1131"/>
      <c r="AQ358" s="1131"/>
      <c r="AR358" s="1131"/>
      <c r="AS358" s="1131"/>
      <c r="AT358" s="1131"/>
      <c r="AU358" s="1131"/>
      <c r="AV358" s="1131"/>
      <c r="AW358" s="1131"/>
      <c r="AX358" s="1131"/>
      <c r="AY358" s="1131"/>
      <c r="AZ358" s="1131"/>
      <c r="BA358" s="1131"/>
      <c r="BB358" s="1131"/>
      <c r="BC358" s="1131"/>
      <c r="BD358" s="1131"/>
      <c r="BE358" s="1131"/>
      <c r="BF358" s="1131"/>
      <c r="BG358" s="1131"/>
      <c r="BH358" s="1131"/>
      <c r="BI358" s="1131"/>
      <c r="BJ358" s="1131"/>
      <c r="BK358" s="1131"/>
      <c r="BL358" s="1131"/>
      <c r="BM358" s="1131"/>
      <c r="BN358" s="1131"/>
      <c r="BO358" s="1131"/>
      <c r="BP358" s="1131"/>
      <c r="BQ358" s="1131"/>
      <c r="BR358" s="1131"/>
      <c r="BS358" s="1131"/>
      <c r="BT358" s="1131"/>
      <c r="BU358" s="1131"/>
      <c r="BV358" s="1131"/>
      <c r="BW358" s="1131"/>
      <c r="BX358" s="1131"/>
      <c r="BY358" s="1131"/>
      <c r="BZ358" s="1131"/>
      <c r="CA358" s="1131"/>
      <c r="CB358" s="1131"/>
      <c r="CC358" s="1131"/>
      <c r="CD358" s="1131"/>
      <c r="CE358" s="1131"/>
      <c r="CF358" s="1131"/>
      <c r="CG358" s="1131"/>
      <c r="CH358" s="29"/>
      <c r="CI358" s="185"/>
      <c r="CJ358" s="17"/>
    </row>
    <row r="359" spans="1:88" s="3" customFormat="1" hidden="1">
      <c r="A359" s="243" t="str">
        <f t="shared" si="5"/>
        <v>OK</v>
      </c>
      <c r="B359" s="1126" t="str">
        <f>IF(CONSOLIDA!BH131="","",CONSOLIDA!BH131)</f>
        <v/>
      </c>
      <c r="C359" s="1126"/>
      <c r="D359" s="1134" t="str">
        <f>IF(CONSOLIDA!BJ131="","",CONSOLIDA!BJ131)</f>
        <v/>
      </c>
      <c r="E359" s="1135"/>
      <c r="F359" s="1135"/>
      <c r="G359" s="1129" t="str">
        <f>IF(CONSOLIDA!BK131="","",CONSOLIDA!BK131)</f>
        <v/>
      </c>
      <c r="H359" s="1129"/>
      <c r="I359" s="1129"/>
      <c r="J359" s="1129"/>
      <c r="K359" s="1129"/>
      <c r="L359" s="1129"/>
      <c r="M359" s="1129"/>
      <c r="N359" s="1129"/>
      <c r="O359" s="1129"/>
      <c r="P359" s="1129"/>
      <c r="Q359" s="1129"/>
      <c r="R359" s="1129"/>
      <c r="S359" s="1129"/>
      <c r="T359" s="1129"/>
      <c r="U359" s="1129"/>
      <c r="V359" s="1129"/>
      <c r="W359" s="1129"/>
      <c r="X359" s="1129"/>
      <c r="Y359" s="1129"/>
      <c r="Z359" s="1129"/>
      <c r="AA359" s="1129"/>
      <c r="AB359" s="1129"/>
      <c r="AC359" s="1129"/>
      <c r="AD359" s="1129"/>
      <c r="AE359" s="1130"/>
      <c r="AF359" s="1131"/>
      <c r="AG359" s="1131"/>
      <c r="AH359" s="1131"/>
      <c r="AI359" s="1131"/>
      <c r="AJ359" s="1131"/>
      <c r="AK359" s="1131"/>
      <c r="AL359" s="1131"/>
      <c r="AM359" s="1131"/>
      <c r="AN359" s="1131"/>
      <c r="AO359" s="1131"/>
      <c r="AP359" s="1131"/>
      <c r="AQ359" s="1131"/>
      <c r="AR359" s="1131"/>
      <c r="AS359" s="1131"/>
      <c r="AT359" s="1131"/>
      <c r="AU359" s="1131"/>
      <c r="AV359" s="1131"/>
      <c r="AW359" s="1131"/>
      <c r="AX359" s="1131"/>
      <c r="AY359" s="1131"/>
      <c r="AZ359" s="1131"/>
      <c r="BA359" s="1131"/>
      <c r="BB359" s="1131"/>
      <c r="BC359" s="1131"/>
      <c r="BD359" s="1131"/>
      <c r="BE359" s="1131"/>
      <c r="BF359" s="1131"/>
      <c r="BG359" s="1131"/>
      <c r="BH359" s="1131"/>
      <c r="BI359" s="1131"/>
      <c r="BJ359" s="1131"/>
      <c r="BK359" s="1131"/>
      <c r="BL359" s="1131"/>
      <c r="BM359" s="1131"/>
      <c r="BN359" s="1131"/>
      <c r="BO359" s="1131"/>
      <c r="BP359" s="1131"/>
      <c r="BQ359" s="1131"/>
      <c r="BR359" s="1131"/>
      <c r="BS359" s="1131"/>
      <c r="BT359" s="1131"/>
      <c r="BU359" s="1131"/>
      <c r="BV359" s="1131"/>
      <c r="BW359" s="1131"/>
      <c r="BX359" s="1131"/>
      <c r="BY359" s="1131"/>
      <c r="BZ359" s="1131"/>
      <c r="CA359" s="1131"/>
      <c r="CB359" s="1131"/>
      <c r="CC359" s="1131"/>
      <c r="CD359" s="1131"/>
      <c r="CE359" s="1131"/>
      <c r="CF359" s="1131"/>
      <c r="CG359" s="1131"/>
      <c r="CH359" s="29"/>
      <c r="CI359" s="185"/>
      <c r="CJ359" s="17"/>
    </row>
    <row r="360" spans="1:88" s="3" customFormat="1" hidden="1">
      <c r="A360" s="243" t="str">
        <f t="shared" ref="A360:A423" si="6">IF(D360="","OK","")</f>
        <v>OK</v>
      </c>
      <c r="B360" s="1126" t="str">
        <f>IF(CONSOLIDA!BH132="","",CONSOLIDA!BH132)</f>
        <v/>
      </c>
      <c r="C360" s="1126"/>
      <c r="D360" s="1134" t="str">
        <f>IF(CONSOLIDA!BJ132="","",CONSOLIDA!BJ132)</f>
        <v/>
      </c>
      <c r="E360" s="1135"/>
      <c r="F360" s="1135"/>
      <c r="G360" s="1129" t="str">
        <f>IF(CONSOLIDA!BK132="","",CONSOLIDA!BK132)</f>
        <v/>
      </c>
      <c r="H360" s="1129"/>
      <c r="I360" s="1129"/>
      <c r="J360" s="1129"/>
      <c r="K360" s="1129"/>
      <c r="L360" s="1129"/>
      <c r="M360" s="1129"/>
      <c r="N360" s="1129"/>
      <c r="O360" s="1129"/>
      <c r="P360" s="1129"/>
      <c r="Q360" s="1129"/>
      <c r="R360" s="1129"/>
      <c r="S360" s="1129"/>
      <c r="T360" s="1129"/>
      <c r="U360" s="1129"/>
      <c r="V360" s="1129"/>
      <c r="W360" s="1129"/>
      <c r="X360" s="1129"/>
      <c r="Y360" s="1129"/>
      <c r="Z360" s="1129"/>
      <c r="AA360" s="1129"/>
      <c r="AB360" s="1129"/>
      <c r="AC360" s="1129"/>
      <c r="AD360" s="1129"/>
      <c r="AE360" s="1130"/>
      <c r="AF360" s="1131"/>
      <c r="AG360" s="1131"/>
      <c r="AH360" s="1131"/>
      <c r="AI360" s="1131"/>
      <c r="AJ360" s="1131"/>
      <c r="AK360" s="1131"/>
      <c r="AL360" s="1131"/>
      <c r="AM360" s="1131"/>
      <c r="AN360" s="1131"/>
      <c r="AO360" s="1131"/>
      <c r="AP360" s="1131"/>
      <c r="AQ360" s="1131"/>
      <c r="AR360" s="1131"/>
      <c r="AS360" s="1131"/>
      <c r="AT360" s="1131"/>
      <c r="AU360" s="1131"/>
      <c r="AV360" s="1131"/>
      <c r="AW360" s="1131"/>
      <c r="AX360" s="1131"/>
      <c r="AY360" s="1131"/>
      <c r="AZ360" s="1131"/>
      <c r="BA360" s="1131"/>
      <c r="BB360" s="1131"/>
      <c r="BC360" s="1131"/>
      <c r="BD360" s="1131"/>
      <c r="BE360" s="1131"/>
      <c r="BF360" s="1131"/>
      <c r="BG360" s="1131"/>
      <c r="BH360" s="1131"/>
      <c r="BI360" s="1131"/>
      <c r="BJ360" s="1131"/>
      <c r="BK360" s="1131"/>
      <c r="BL360" s="1131"/>
      <c r="BM360" s="1131"/>
      <c r="BN360" s="1131"/>
      <c r="BO360" s="1131"/>
      <c r="BP360" s="1131"/>
      <c r="BQ360" s="1131"/>
      <c r="BR360" s="1131"/>
      <c r="BS360" s="1131"/>
      <c r="BT360" s="1131"/>
      <c r="BU360" s="1131"/>
      <c r="BV360" s="1131"/>
      <c r="BW360" s="1131"/>
      <c r="BX360" s="1131"/>
      <c r="BY360" s="1131"/>
      <c r="BZ360" s="1131"/>
      <c r="CA360" s="1131"/>
      <c r="CB360" s="1131"/>
      <c r="CC360" s="1131"/>
      <c r="CD360" s="1131"/>
      <c r="CE360" s="1131"/>
      <c r="CF360" s="1131"/>
      <c r="CG360" s="1131"/>
      <c r="CH360" s="29"/>
      <c r="CI360" s="185"/>
      <c r="CJ360" s="17"/>
    </row>
    <row r="361" spans="1:88" s="3" customFormat="1" hidden="1">
      <c r="A361" s="243" t="str">
        <f t="shared" si="6"/>
        <v>OK</v>
      </c>
      <c r="B361" s="1126" t="str">
        <f>IF(CONSOLIDA!BH133="","",CONSOLIDA!BH133)</f>
        <v/>
      </c>
      <c r="C361" s="1126"/>
      <c r="D361" s="1134" t="str">
        <f>IF(CONSOLIDA!BJ133="","",CONSOLIDA!BJ133)</f>
        <v/>
      </c>
      <c r="E361" s="1135"/>
      <c r="F361" s="1135"/>
      <c r="G361" s="1129" t="str">
        <f>IF(CONSOLIDA!BK133="","",CONSOLIDA!BK133)</f>
        <v/>
      </c>
      <c r="H361" s="1129"/>
      <c r="I361" s="1129"/>
      <c r="J361" s="1129"/>
      <c r="K361" s="1129"/>
      <c r="L361" s="1129"/>
      <c r="M361" s="1129"/>
      <c r="N361" s="1129"/>
      <c r="O361" s="1129"/>
      <c r="P361" s="1129"/>
      <c r="Q361" s="1129"/>
      <c r="R361" s="1129"/>
      <c r="S361" s="1129"/>
      <c r="T361" s="1129"/>
      <c r="U361" s="1129"/>
      <c r="V361" s="1129"/>
      <c r="W361" s="1129"/>
      <c r="X361" s="1129"/>
      <c r="Y361" s="1129"/>
      <c r="Z361" s="1129"/>
      <c r="AA361" s="1129"/>
      <c r="AB361" s="1129"/>
      <c r="AC361" s="1129"/>
      <c r="AD361" s="1129"/>
      <c r="AE361" s="1130"/>
      <c r="AF361" s="1131"/>
      <c r="AG361" s="1131"/>
      <c r="AH361" s="1131"/>
      <c r="AI361" s="1131"/>
      <c r="AJ361" s="1131"/>
      <c r="AK361" s="1131"/>
      <c r="AL361" s="1131"/>
      <c r="AM361" s="1131"/>
      <c r="AN361" s="1131"/>
      <c r="AO361" s="1131"/>
      <c r="AP361" s="1131"/>
      <c r="AQ361" s="1131"/>
      <c r="AR361" s="1131"/>
      <c r="AS361" s="1131"/>
      <c r="AT361" s="1131"/>
      <c r="AU361" s="1131"/>
      <c r="AV361" s="1131"/>
      <c r="AW361" s="1131"/>
      <c r="AX361" s="1131"/>
      <c r="AY361" s="1131"/>
      <c r="AZ361" s="1131"/>
      <c r="BA361" s="1131"/>
      <c r="BB361" s="1131"/>
      <c r="BC361" s="1131"/>
      <c r="BD361" s="1131"/>
      <c r="BE361" s="1131"/>
      <c r="BF361" s="1131"/>
      <c r="BG361" s="1131"/>
      <c r="BH361" s="1131"/>
      <c r="BI361" s="1131"/>
      <c r="BJ361" s="1131"/>
      <c r="BK361" s="1131"/>
      <c r="BL361" s="1131"/>
      <c r="BM361" s="1131"/>
      <c r="BN361" s="1131"/>
      <c r="BO361" s="1131"/>
      <c r="BP361" s="1131"/>
      <c r="BQ361" s="1131"/>
      <c r="BR361" s="1131"/>
      <c r="BS361" s="1131"/>
      <c r="BT361" s="1131"/>
      <c r="BU361" s="1131"/>
      <c r="BV361" s="1131"/>
      <c r="BW361" s="1131"/>
      <c r="BX361" s="1131"/>
      <c r="BY361" s="1131"/>
      <c r="BZ361" s="1131"/>
      <c r="CA361" s="1131"/>
      <c r="CB361" s="1131"/>
      <c r="CC361" s="1131"/>
      <c r="CD361" s="1131"/>
      <c r="CE361" s="1131"/>
      <c r="CF361" s="1131"/>
      <c r="CG361" s="1131"/>
      <c r="CH361" s="29"/>
      <c r="CI361" s="185"/>
      <c r="CJ361" s="17"/>
    </row>
    <row r="362" spans="1:88" s="3" customFormat="1" hidden="1">
      <c r="A362" s="243" t="str">
        <f t="shared" si="6"/>
        <v>OK</v>
      </c>
      <c r="B362" s="1126" t="str">
        <f>IF(CONSOLIDA!BH134="","",CONSOLIDA!BH134)</f>
        <v/>
      </c>
      <c r="C362" s="1126"/>
      <c r="D362" s="1134" t="str">
        <f>IF(CONSOLIDA!BJ134="","",CONSOLIDA!BJ134)</f>
        <v/>
      </c>
      <c r="E362" s="1135"/>
      <c r="F362" s="1135"/>
      <c r="G362" s="1129" t="str">
        <f>IF(CONSOLIDA!BK134="","",CONSOLIDA!BK134)</f>
        <v/>
      </c>
      <c r="H362" s="1129"/>
      <c r="I362" s="1129"/>
      <c r="J362" s="1129"/>
      <c r="K362" s="1129"/>
      <c r="L362" s="1129"/>
      <c r="M362" s="1129"/>
      <c r="N362" s="1129"/>
      <c r="O362" s="1129"/>
      <c r="P362" s="1129"/>
      <c r="Q362" s="1129"/>
      <c r="R362" s="1129"/>
      <c r="S362" s="1129"/>
      <c r="T362" s="1129"/>
      <c r="U362" s="1129"/>
      <c r="V362" s="1129"/>
      <c r="W362" s="1129"/>
      <c r="X362" s="1129"/>
      <c r="Y362" s="1129"/>
      <c r="Z362" s="1129"/>
      <c r="AA362" s="1129"/>
      <c r="AB362" s="1129"/>
      <c r="AC362" s="1129"/>
      <c r="AD362" s="1129"/>
      <c r="AE362" s="1130"/>
      <c r="AF362" s="1131"/>
      <c r="AG362" s="1131"/>
      <c r="AH362" s="1131"/>
      <c r="AI362" s="1131"/>
      <c r="AJ362" s="1131"/>
      <c r="AK362" s="1131"/>
      <c r="AL362" s="1131"/>
      <c r="AM362" s="1131"/>
      <c r="AN362" s="1131"/>
      <c r="AO362" s="1131"/>
      <c r="AP362" s="1131"/>
      <c r="AQ362" s="1131"/>
      <c r="AR362" s="1131"/>
      <c r="AS362" s="1131"/>
      <c r="AT362" s="1131"/>
      <c r="AU362" s="1131"/>
      <c r="AV362" s="1131"/>
      <c r="AW362" s="1131"/>
      <c r="AX362" s="1131"/>
      <c r="AY362" s="1131"/>
      <c r="AZ362" s="1131"/>
      <c r="BA362" s="1131"/>
      <c r="BB362" s="1131"/>
      <c r="BC362" s="1131"/>
      <c r="BD362" s="1131"/>
      <c r="BE362" s="1131"/>
      <c r="BF362" s="1131"/>
      <c r="BG362" s="1131"/>
      <c r="BH362" s="1131"/>
      <c r="BI362" s="1131"/>
      <c r="BJ362" s="1131"/>
      <c r="BK362" s="1131"/>
      <c r="BL362" s="1131"/>
      <c r="BM362" s="1131"/>
      <c r="BN362" s="1131"/>
      <c r="BO362" s="1131"/>
      <c r="BP362" s="1131"/>
      <c r="BQ362" s="1131"/>
      <c r="BR362" s="1131"/>
      <c r="BS362" s="1131"/>
      <c r="BT362" s="1131"/>
      <c r="BU362" s="1131"/>
      <c r="BV362" s="1131"/>
      <c r="BW362" s="1131"/>
      <c r="BX362" s="1131"/>
      <c r="BY362" s="1131"/>
      <c r="BZ362" s="1131"/>
      <c r="CA362" s="1131"/>
      <c r="CB362" s="1131"/>
      <c r="CC362" s="1131"/>
      <c r="CD362" s="1131"/>
      <c r="CE362" s="1131"/>
      <c r="CF362" s="1131"/>
      <c r="CG362" s="1131"/>
      <c r="CH362" s="29"/>
      <c r="CI362" s="185"/>
      <c r="CJ362" s="17"/>
    </row>
    <row r="363" spans="1:88" s="3" customFormat="1" hidden="1">
      <c r="A363" s="243" t="str">
        <f t="shared" si="6"/>
        <v>OK</v>
      </c>
      <c r="B363" s="1126" t="str">
        <f>IF(CONSOLIDA!BH135="","",CONSOLIDA!BH135)</f>
        <v/>
      </c>
      <c r="C363" s="1126"/>
      <c r="D363" s="1134" t="str">
        <f>IF(CONSOLIDA!BJ135="","",CONSOLIDA!BJ135)</f>
        <v/>
      </c>
      <c r="E363" s="1135"/>
      <c r="F363" s="1135"/>
      <c r="G363" s="1129" t="str">
        <f>IF(CONSOLIDA!BK135="","",CONSOLIDA!BK135)</f>
        <v/>
      </c>
      <c r="H363" s="1129"/>
      <c r="I363" s="1129"/>
      <c r="J363" s="1129"/>
      <c r="K363" s="1129"/>
      <c r="L363" s="1129"/>
      <c r="M363" s="1129"/>
      <c r="N363" s="1129"/>
      <c r="O363" s="1129"/>
      <c r="P363" s="1129"/>
      <c r="Q363" s="1129"/>
      <c r="R363" s="1129"/>
      <c r="S363" s="1129"/>
      <c r="T363" s="1129"/>
      <c r="U363" s="1129"/>
      <c r="V363" s="1129"/>
      <c r="W363" s="1129"/>
      <c r="X363" s="1129"/>
      <c r="Y363" s="1129"/>
      <c r="Z363" s="1129"/>
      <c r="AA363" s="1129"/>
      <c r="AB363" s="1129"/>
      <c r="AC363" s="1129"/>
      <c r="AD363" s="1129"/>
      <c r="AE363" s="1130"/>
      <c r="AF363" s="1131"/>
      <c r="AG363" s="1131"/>
      <c r="AH363" s="1131"/>
      <c r="AI363" s="1131"/>
      <c r="AJ363" s="1131"/>
      <c r="AK363" s="1131"/>
      <c r="AL363" s="1131"/>
      <c r="AM363" s="1131"/>
      <c r="AN363" s="1131"/>
      <c r="AO363" s="1131"/>
      <c r="AP363" s="1131"/>
      <c r="AQ363" s="1131"/>
      <c r="AR363" s="1131"/>
      <c r="AS363" s="1131"/>
      <c r="AT363" s="1131"/>
      <c r="AU363" s="1131"/>
      <c r="AV363" s="1131"/>
      <c r="AW363" s="1131"/>
      <c r="AX363" s="1131"/>
      <c r="AY363" s="1131"/>
      <c r="AZ363" s="1131"/>
      <c r="BA363" s="1131"/>
      <c r="BB363" s="1131"/>
      <c r="BC363" s="1131"/>
      <c r="BD363" s="1131"/>
      <c r="BE363" s="1131"/>
      <c r="BF363" s="1131"/>
      <c r="BG363" s="1131"/>
      <c r="BH363" s="1131"/>
      <c r="BI363" s="1131"/>
      <c r="BJ363" s="1131"/>
      <c r="BK363" s="1131"/>
      <c r="BL363" s="1131"/>
      <c r="BM363" s="1131"/>
      <c r="BN363" s="1131"/>
      <c r="BO363" s="1131"/>
      <c r="BP363" s="1131"/>
      <c r="BQ363" s="1131"/>
      <c r="BR363" s="1131"/>
      <c r="BS363" s="1131"/>
      <c r="BT363" s="1131"/>
      <c r="BU363" s="1131"/>
      <c r="BV363" s="1131"/>
      <c r="BW363" s="1131"/>
      <c r="BX363" s="1131"/>
      <c r="BY363" s="1131"/>
      <c r="BZ363" s="1131"/>
      <c r="CA363" s="1131"/>
      <c r="CB363" s="1131"/>
      <c r="CC363" s="1131"/>
      <c r="CD363" s="1131"/>
      <c r="CE363" s="1131"/>
      <c r="CF363" s="1131"/>
      <c r="CG363" s="1131"/>
      <c r="CH363" s="29"/>
      <c r="CI363" s="185"/>
      <c r="CJ363" s="17"/>
    </row>
    <row r="364" spans="1:88" s="3" customFormat="1" hidden="1">
      <c r="A364" s="243" t="str">
        <f t="shared" si="6"/>
        <v>OK</v>
      </c>
      <c r="B364" s="1126" t="str">
        <f>IF(CONSOLIDA!BH136="","",CONSOLIDA!BH136)</f>
        <v/>
      </c>
      <c r="C364" s="1126"/>
      <c r="D364" s="1134" t="str">
        <f>IF(CONSOLIDA!BJ136="","",CONSOLIDA!BJ136)</f>
        <v/>
      </c>
      <c r="E364" s="1135"/>
      <c r="F364" s="1135"/>
      <c r="G364" s="1129" t="str">
        <f>IF(CONSOLIDA!BK136="","",CONSOLIDA!BK136)</f>
        <v/>
      </c>
      <c r="H364" s="1129"/>
      <c r="I364" s="1129"/>
      <c r="J364" s="1129"/>
      <c r="K364" s="1129"/>
      <c r="L364" s="1129"/>
      <c r="M364" s="1129"/>
      <c r="N364" s="1129"/>
      <c r="O364" s="1129"/>
      <c r="P364" s="1129"/>
      <c r="Q364" s="1129"/>
      <c r="R364" s="1129"/>
      <c r="S364" s="1129"/>
      <c r="T364" s="1129"/>
      <c r="U364" s="1129"/>
      <c r="V364" s="1129"/>
      <c r="W364" s="1129"/>
      <c r="X364" s="1129"/>
      <c r="Y364" s="1129"/>
      <c r="Z364" s="1129"/>
      <c r="AA364" s="1129"/>
      <c r="AB364" s="1129"/>
      <c r="AC364" s="1129"/>
      <c r="AD364" s="1129"/>
      <c r="AE364" s="1130"/>
      <c r="AF364" s="1131"/>
      <c r="AG364" s="1131"/>
      <c r="AH364" s="1131"/>
      <c r="AI364" s="1131"/>
      <c r="AJ364" s="1131"/>
      <c r="AK364" s="1131"/>
      <c r="AL364" s="1131"/>
      <c r="AM364" s="1131"/>
      <c r="AN364" s="1131"/>
      <c r="AO364" s="1131"/>
      <c r="AP364" s="1131"/>
      <c r="AQ364" s="1131"/>
      <c r="AR364" s="1131"/>
      <c r="AS364" s="1131"/>
      <c r="AT364" s="1131"/>
      <c r="AU364" s="1131"/>
      <c r="AV364" s="1131"/>
      <c r="AW364" s="1131"/>
      <c r="AX364" s="1131"/>
      <c r="AY364" s="1131"/>
      <c r="AZ364" s="1131"/>
      <c r="BA364" s="1131"/>
      <c r="BB364" s="1131"/>
      <c r="BC364" s="1131"/>
      <c r="BD364" s="1131"/>
      <c r="BE364" s="1131"/>
      <c r="BF364" s="1131"/>
      <c r="BG364" s="1131"/>
      <c r="BH364" s="1131"/>
      <c r="BI364" s="1131"/>
      <c r="BJ364" s="1131"/>
      <c r="BK364" s="1131"/>
      <c r="BL364" s="1131"/>
      <c r="BM364" s="1131"/>
      <c r="BN364" s="1131"/>
      <c r="BO364" s="1131"/>
      <c r="BP364" s="1131"/>
      <c r="BQ364" s="1131"/>
      <c r="BR364" s="1131"/>
      <c r="BS364" s="1131"/>
      <c r="BT364" s="1131"/>
      <c r="BU364" s="1131"/>
      <c r="BV364" s="1131"/>
      <c r="BW364" s="1131"/>
      <c r="BX364" s="1131"/>
      <c r="BY364" s="1131"/>
      <c r="BZ364" s="1131"/>
      <c r="CA364" s="1131"/>
      <c r="CB364" s="1131"/>
      <c r="CC364" s="1131"/>
      <c r="CD364" s="1131"/>
      <c r="CE364" s="1131"/>
      <c r="CF364" s="1131"/>
      <c r="CG364" s="1131"/>
      <c r="CH364" s="29"/>
      <c r="CI364" s="185"/>
      <c r="CJ364" s="17"/>
    </row>
    <row r="365" spans="1:88" s="3" customFormat="1" hidden="1">
      <c r="A365" s="243" t="str">
        <f t="shared" si="6"/>
        <v>OK</v>
      </c>
      <c r="B365" s="1126" t="str">
        <f>IF(CONSOLIDA!BH137="","",CONSOLIDA!BH137)</f>
        <v/>
      </c>
      <c r="C365" s="1126"/>
      <c r="D365" s="1134" t="str">
        <f>IF(CONSOLIDA!BJ137="","",CONSOLIDA!BJ137)</f>
        <v/>
      </c>
      <c r="E365" s="1135"/>
      <c r="F365" s="1135"/>
      <c r="G365" s="1129" t="str">
        <f>IF(CONSOLIDA!BK137="","",CONSOLIDA!BK137)</f>
        <v/>
      </c>
      <c r="H365" s="1129"/>
      <c r="I365" s="1129"/>
      <c r="J365" s="1129"/>
      <c r="K365" s="1129"/>
      <c r="L365" s="1129"/>
      <c r="M365" s="1129"/>
      <c r="N365" s="1129"/>
      <c r="O365" s="1129"/>
      <c r="P365" s="1129"/>
      <c r="Q365" s="1129"/>
      <c r="R365" s="1129"/>
      <c r="S365" s="1129"/>
      <c r="T365" s="1129"/>
      <c r="U365" s="1129"/>
      <c r="V365" s="1129"/>
      <c r="W365" s="1129"/>
      <c r="X365" s="1129"/>
      <c r="Y365" s="1129"/>
      <c r="Z365" s="1129"/>
      <c r="AA365" s="1129"/>
      <c r="AB365" s="1129"/>
      <c r="AC365" s="1129"/>
      <c r="AD365" s="1129"/>
      <c r="AE365" s="1130"/>
      <c r="AF365" s="1131"/>
      <c r="AG365" s="1131"/>
      <c r="AH365" s="1131"/>
      <c r="AI365" s="1131"/>
      <c r="AJ365" s="1131"/>
      <c r="AK365" s="1131"/>
      <c r="AL365" s="1131"/>
      <c r="AM365" s="1131"/>
      <c r="AN365" s="1131"/>
      <c r="AO365" s="1131"/>
      <c r="AP365" s="1131"/>
      <c r="AQ365" s="1131"/>
      <c r="AR365" s="1131"/>
      <c r="AS365" s="1131"/>
      <c r="AT365" s="1131"/>
      <c r="AU365" s="1131"/>
      <c r="AV365" s="1131"/>
      <c r="AW365" s="1131"/>
      <c r="AX365" s="1131"/>
      <c r="AY365" s="1131"/>
      <c r="AZ365" s="1131"/>
      <c r="BA365" s="1131"/>
      <c r="BB365" s="1131"/>
      <c r="BC365" s="1131"/>
      <c r="BD365" s="1131"/>
      <c r="BE365" s="1131"/>
      <c r="BF365" s="1131"/>
      <c r="BG365" s="1131"/>
      <c r="BH365" s="1131"/>
      <c r="BI365" s="1131"/>
      <c r="BJ365" s="1131"/>
      <c r="BK365" s="1131"/>
      <c r="BL365" s="1131"/>
      <c r="BM365" s="1131"/>
      <c r="BN365" s="1131"/>
      <c r="BO365" s="1131"/>
      <c r="BP365" s="1131"/>
      <c r="BQ365" s="1131"/>
      <c r="BR365" s="1131"/>
      <c r="BS365" s="1131"/>
      <c r="BT365" s="1131"/>
      <c r="BU365" s="1131"/>
      <c r="BV365" s="1131"/>
      <c r="BW365" s="1131"/>
      <c r="BX365" s="1131"/>
      <c r="BY365" s="1131"/>
      <c r="BZ365" s="1131"/>
      <c r="CA365" s="1131"/>
      <c r="CB365" s="1131"/>
      <c r="CC365" s="1131"/>
      <c r="CD365" s="1131"/>
      <c r="CE365" s="1131"/>
      <c r="CF365" s="1131"/>
      <c r="CG365" s="1131"/>
      <c r="CH365" s="29"/>
      <c r="CI365" s="185"/>
      <c r="CJ365" s="17"/>
    </row>
    <row r="366" spans="1:88" s="3" customFormat="1" hidden="1">
      <c r="A366" s="243" t="str">
        <f t="shared" si="6"/>
        <v>OK</v>
      </c>
      <c r="B366" s="1126" t="str">
        <f>IF(CONSOLIDA!BH138="","",CONSOLIDA!BH138)</f>
        <v/>
      </c>
      <c r="C366" s="1126"/>
      <c r="D366" s="1134" t="str">
        <f>IF(CONSOLIDA!BJ138="","",CONSOLIDA!BJ138)</f>
        <v/>
      </c>
      <c r="E366" s="1135"/>
      <c r="F366" s="1135"/>
      <c r="G366" s="1129" t="str">
        <f>IF(CONSOLIDA!BK138="","",CONSOLIDA!BK138)</f>
        <v/>
      </c>
      <c r="H366" s="1129"/>
      <c r="I366" s="1129"/>
      <c r="J366" s="1129"/>
      <c r="K366" s="1129"/>
      <c r="L366" s="1129"/>
      <c r="M366" s="1129"/>
      <c r="N366" s="1129"/>
      <c r="O366" s="1129"/>
      <c r="P366" s="1129"/>
      <c r="Q366" s="1129"/>
      <c r="R366" s="1129"/>
      <c r="S366" s="1129"/>
      <c r="T366" s="1129"/>
      <c r="U366" s="1129"/>
      <c r="V366" s="1129"/>
      <c r="W366" s="1129"/>
      <c r="X366" s="1129"/>
      <c r="Y366" s="1129"/>
      <c r="Z366" s="1129"/>
      <c r="AA366" s="1129"/>
      <c r="AB366" s="1129"/>
      <c r="AC366" s="1129"/>
      <c r="AD366" s="1129"/>
      <c r="AE366" s="1130"/>
      <c r="AF366" s="1131"/>
      <c r="AG366" s="1131"/>
      <c r="AH366" s="1131"/>
      <c r="AI366" s="1131"/>
      <c r="AJ366" s="1131"/>
      <c r="AK366" s="1131"/>
      <c r="AL366" s="1131"/>
      <c r="AM366" s="1131"/>
      <c r="AN366" s="1131"/>
      <c r="AO366" s="1131"/>
      <c r="AP366" s="1131"/>
      <c r="AQ366" s="1131"/>
      <c r="AR366" s="1131"/>
      <c r="AS366" s="1131"/>
      <c r="AT366" s="1131"/>
      <c r="AU366" s="1131"/>
      <c r="AV366" s="1131"/>
      <c r="AW366" s="1131"/>
      <c r="AX366" s="1131"/>
      <c r="AY366" s="1131"/>
      <c r="AZ366" s="1131"/>
      <c r="BA366" s="1131"/>
      <c r="BB366" s="1131"/>
      <c r="BC366" s="1131"/>
      <c r="BD366" s="1131"/>
      <c r="BE366" s="1131"/>
      <c r="BF366" s="1131"/>
      <c r="BG366" s="1131"/>
      <c r="BH366" s="1131"/>
      <c r="BI366" s="1131"/>
      <c r="BJ366" s="1131"/>
      <c r="BK366" s="1131"/>
      <c r="BL366" s="1131"/>
      <c r="BM366" s="1131"/>
      <c r="BN366" s="1131"/>
      <c r="BO366" s="1131"/>
      <c r="BP366" s="1131"/>
      <c r="BQ366" s="1131"/>
      <c r="BR366" s="1131"/>
      <c r="BS366" s="1131"/>
      <c r="BT366" s="1131"/>
      <c r="BU366" s="1131"/>
      <c r="BV366" s="1131"/>
      <c r="BW366" s="1131"/>
      <c r="BX366" s="1131"/>
      <c r="BY366" s="1131"/>
      <c r="BZ366" s="1131"/>
      <c r="CA366" s="1131"/>
      <c r="CB366" s="1131"/>
      <c r="CC366" s="1131"/>
      <c r="CD366" s="1131"/>
      <c r="CE366" s="1131"/>
      <c r="CF366" s="1131"/>
      <c r="CG366" s="1131"/>
      <c r="CH366" s="29"/>
      <c r="CI366" s="185"/>
      <c r="CJ366" s="17"/>
    </row>
    <row r="367" spans="1:88" s="3" customFormat="1" hidden="1">
      <c r="A367" s="243" t="str">
        <f t="shared" si="6"/>
        <v>OK</v>
      </c>
      <c r="B367" s="1126" t="str">
        <f>IF(CONSOLIDA!BH139="","",CONSOLIDA!BH139)</f>
        <v/>
      </c>
      <c r="C367" s="1126"/>
      <c r="D367" s="1134" t="str">
        <f>IF(CONSOLIDA!BJ139="","",CONSOLIDA!BJ139)</f>
        <v/>
      </c>
      <c r="E367" s="1135"/>
      <c r="F367" s="1135"/>
      <c r="G367" s="1129" t="str">
        <f>IF(CONSOLIDA!BK139="","",CONSOLIDA!BK139)</f>
        <v/>
      </c>
      <c r="H367" s="1129"/>
      <c r="I367" s="1129"/>
      <c r="J367" s="1129"/>
      <c r="K367" s="1129"/>
      <c r="L367" s="1129"/>
      <c r="M367" s="1129"/>
      <c r="N367" s="1129"/>
      <c r="O367" s="1129"/>
      <c r="P367" s="1129"/>
      <c r="Q367" s="1129"/>
      <c r="R367" s="1129"/>
      <c r="S367" s="1129"/>
      <c r="T367" s="1129"/>
      <c r="U367" s="1129"/>
      <c r="V367" s="1129"/>
      <c r="W367" s="1129"/>
      <c r="X367" s="1129"/>
      <c r="Y367" s="1129"/>
      <c r="Z367" s="1129"/>
      <c r="AA367" s="1129"/>
      <c r="AB367" s="1129"/>
      <c r="AC367" s="1129"/>
      <c r="AD367" s="1129"/>
      <c r="AE367" s="1130"/>
      <c r="AF367" s="1131"/>
      <c r="AG367" s="1131"/>
      <c r="AH367" s="1131"/>
      <c r="AI367" s="1131"/>
      <c r="AJ367" s="1131"/>
      <c r="AK367" s="1131"/>
      <c r="AL367" s="1131"/>
      <c r="AM367" s="1131"/>
      <c r="AN367" s="1131"/>
      <c r="AO367" s="1131"/>
      <c r="AP367" s="1131"/>
      <c r="AQ367" s="1131"/>
      <c r="AR367" s="1131"/>
      <c r="AS367" s="1131"/>
      <c r="AT367" s="1131"/>
      <c r="AU367" s="1131"/>
      <c r="AV367" s="1131"/>
      <c r="AW367" s="1131"/>
      <c r="AX367" s="1131"/>
      <c r="AY367" s="1131"/>
      <c r="AZ367" s="1131"/>
      <c r="BA367" s="1131"/>
      <c r="BB367" s="1131"/>
      <c r="BC367" s="1131"/>
      <c r="BD367" s="1131"/>
      <c r="BE367" s="1131"/>
      <c r="BF367" s="1131"/>
      <c r="BG367" s="1131"/>
      <c r="BH367" s="1131"/>
      <c r="BI367" s="1131"/>
      <c r="BJ367" s="1131"/>
      <c r="BK367" s="1131"/>
      <c r="BL367" s="1131"/>
      <c r="BM367" s="1131"/>
      <c r="BN367" s="1131"/>
      <c r="BO367" s="1131"/>
      <c r="BP367" s="1131"/>
      <c r="BQ367" s="1131"/>
      <c r="BR367" s="1131"/>
      <c r="BS367" s="1131"/>
      <c r="BT367" s="1131"/>
      <c r="BU367" s="1131"/>
      <c r="BV367" s="1131"/>
      <c r="BW367" s="1131"/>
      <c r="BX367" s="1131"/>
      <c r="BY367" s="1131"/>
      <c r="BZ367" s="1131"/>
      <c r="CA367" s="1131"/>
      <c r="CB367" s="1131"/>
      <c r="CC367" s="1131"/>
      <c r="CD367" s="1131"/>
      <c r="CE367" s="1131"/>
      <c r="CF367" s="1131"/>
      <c r="CG367" s="1131"/>
      <c r="CH367" s="29"/>
      <c r="CI367" s="185"/>
      <c r="CJ367" s="17"/>
    </row>
    <row r="368" spans="1:88" s="3" customFormat="1" hidden="1">
      <c r="A368" s="243" t="str">
        <f t="shared" si="6"/>
        <v>OK</v>
      </c>
      <c r="B368" s="1126" t="str">
        <f>IF(CONSOLIDA!BH140="","",CONSOLIDA!BH140)</f>
        <v/>
      </c>
      <c r="C368" s="1126"/>
      <c r="D368" s="1134" t="str">
        <f>IF(CONSOLIDA!BJ140="","",CONSOLIDA!BJ140)</f>
        <v/>
      </c>
      <c r="E368" s="1135"/>
      <c r="F368" s="1135"/>
      <c r="G368" s="1129" t="str">
        <f>IF(CONSOLIDA!BK140="","",CONSOLIDA!BK140)</f>
        <v/>
      </c>
      <c r="H368" s="1129"/>
      <c r="I368" s="1129"/>
      <c r="J368" s="1129"/>
      <c r="K368" s="1129"/>
      <c r="L368" s="1129"/>
      <c r="M368" s="1129"/>
      <c r="N368" s="1129"/>
      <c r="O368" s="1129"/>
      <c r="P368" s="1129"/>
      <c r="Q368" s="1129"/>
      <c r="R368" s="1129"/>
      <c r="S368" s="1129"/>
      <c r="T368" s="1129"/>
      <c r="U368" s="1129"/>
      <c r="V368" s="1129"/>
      <c r="W368" s="1129"/>
      <c r="X368" s="1129"/>
      <c r="Y368" s="1129"/>
      <c r="Z368" s="1129"/>
      <c r="AA368" s="1129"/>
      <c r="AB368" s="1129"/>
      <c r="AC368" s="1129"/>
      <c r="AD368" s="1129"/>
      <c r="AE368" s="1130"/>
      <c r="AF368" s="1131"/>
      <c r="AG368" s="1131"/>
      <c r="AH368" s="1131"/>
      <c r="AI368" s="1131"/>
      <c r="AJ368" s="1131"/>
      <c r="AK368" s="1131"/>
      <c r="AL368" s="1131"/>
      <c r="AM368" s="1131"/>
      <c r="AN368" s="1131"/>
      <c r="AO368" s="1131"/>
      <c r="AP368" s="1131"/>
      <c r="AQ368" s="1131"/>
      <c r="AR368" s="1131"/>
      <c r="AS368" s="1131"/>
      <c r="AT368" s="1131"/>
      <c r="AU368" s="1131"/>
      <c r="AV368" s="1131"/>
      <c r="AW368" s="1131"/>
      <c r="AX368" s="1131"/>
      <c r="AY368" s="1131"/>
      <c r="AZ368" s="1131"/>
      <c r="BA368" s="1131"/>
      <c r="BB368" s="1131"/>
      <c r="BC368" s="1131"/>
      <c r="BD368" s="1131"/>
      <c r="BE368" s="1131"/>
      <c r="BF368" s="1131"/>
      <c r="BG368" s="1131"/>
      <c r="BH368" s="1131"/>
      <c r="BI368" s="1131"/>
      <c r="BJ368" s="1131"/>
      <c r="BK368" s="1131"/>
      <c r="BL368" s="1131"/>
      <c r="BM368" s="1131"/>
      <c r="BN368" s="1131"/>
      <c r="BO368" s="1131"/>
      <c r="BP368" s="1131"/>
      <c r="BQ368" s="1131"/>
      <c r="BR368" s="1131"/>
      <c r="BS368" s="1131"/>
      <c r="BT368" s="1131"/>
      <c r="BU368" s="1131"/>
      <c r="BV368" s="1131"/>
      <c r="BW368" s="1131"/>
      <c r="BX368" s="1131"/>
      <c r="BY368" s="1131"/>
      <c r="BZ368" s="1131"/>
      <c r="CA368" s="1131"/>
      <c r="CB368" s="1131"/>
      <c r="CC368" s="1131"/>
      <c r="CD368" s="1131"/>
      <c r="CE368" s="1131"/>
      <c r="CF368" s="1131"/>
      <c r="CG368" s="1131"/>
      <c r="CH368" s="29"/>
      <c r="CI368" s="185"/>
      <c r="CJ368" s="17"/>
    </row>
    <row r="369" spans="1:88" s="3" customFormat="1" hidden="1">
      <c r="A369" s="243" t="str">
        <f t="shared" si="6"/>
        <v>OK</v>
      </c>
      <c r="B369" s="1126" t="str">
        <f>IF(CONSOLIDA!BH141="","",CONSOLIDA!BH141)</f>
        <v/>
      </c>
      <c r="C369" s="1126"/>
      <c r="D369" s="1134" t="str">
        <f>IF(CONSOLIDA!BJ141="","",CONSOLIDA!BJ141)</f>
        <v/>
      </c>
      <c r="E369" s="1135"/>
      <c r="F369" s="1135"/>
      <c r="G369" s="1129" t="str">
        <f>IF(CONSOLIDA!BK141="","",CONSOLIDA!BK141)</f>
        <v/>
      </c>
      <c r="H369" s="1129"/>
      <c r="I369" s="1129"/>
      <c r="J369" s="1129"/>
      <c r="K369" s="1129"/>
      <c r="L369" s="1129"/>
      <c r="M369" s="1129"/>
      <c r="N369" s="1129"/>
      <c r="O369" s="1129"/>
      <c r="P369" s="1129"/>
      <c r="Q369" s="1129"/>
      <c r="R369" s="1129"/>
      <c r="S369" s="1129"/>
      <c r="T369" s="1129"/>
      <c r="U369" s="1129"/>
      <c r="V369" s="1129"/>
      <c r="W369" s="1129"/>
      <c r="X369" s="1129"/>
      <c r="Y369" s="1129"/>
      <c r="Z369" s="1129"/>
      <c r="AA369" s="1129"/>
      <c r="AB369" s="1129"/>
      <c r="AC369" s="1129"/>
      <c r="AD369" s="1129"/>
      <c r="AE369" s="1130"/>
      <c r="AF369" s="1131"/>
      <c r="AG369" s="1131"/>
      <c r="AH369" s="1131"/>
      <c r="AI369" s="1131"/>
      <c r="AJ369" s="1131"/>
      <c r="AK369" s="1131"/>
      <c r="AL369" s="1131"/>
      <c r="AM369" s="1131"/>
      <c r="AN369" s="1131"/>
      <c r="AO369" s="1131"/>
      <c r="AP369" s="1131"/>
      <c r="AQ369" s="1131"/>
      <c r="AR369" s="1131"/>
      <c r="AS369" s="1131"/>
      <c r="AT369" s="1131"/>
      <c r="AU369" s="1131"/>
      <c r="AV369" s="1131"/>
      <c r="AW369" s="1131"/>
      <c r="AX369" s="1131"/>
      <c r="AY369" s="1131"/>
      <c r="AZ369" s="1131"/>
      <c r="BA369" s="1131"/>
      <c r="BB369" s="1131"/>
      <c r="BC369" s="1131"/>
      <c r="BD369" s="1131"/>
      <c r="BE369" s="1131"/>
      <c r="BF369" s="1131"/>
      <c r="BG369" s="1131"/>
      <c r="BH369" s="1131"/>
      <c r="BI369" s="1131"/>
      <c r="BJ369" s="1131"/>
      <c r="BK369" s="1131"/>
      <c r="BL369" s="1131"/>
      <c r="BM369" s="1131"/>
      <c r="BN369" s="1131"/>
      <c r="BO369" s="1131"/>
      <c r="BP369" s="1131"/>
      <c r="BQ369" s="1131"/>
      <c r="BR369" s="1131"/>
      <c r="BS369" s="1131"/>
      <c r="BT369" s="1131"/>
      <c r="BU369" s="1131"/>
      <c r="BV369" s="1131"/>
      <c r="BW369" s="1131"/>
      <c r="BX369" s="1131"/>
      <c r="BY369" s="1131"/>
      <c r="BZ369" s="1131"/>
      <c r="CA369" s="1131"/>
      <c r="CB369" s="1131"/>
      <c r="CC369" s="1131"/>
      <c r="CD369" s="1131"/>
      <c r="CE369" s="1131"/>
      <c r="CF369" s="1131"/>
      <c r="CG369" s="1131"/>
      <c r="CH369" s="29"/>
      <c r="CI369" s="185"/>
      <c r="CJ369" s="17"/>
    </row>
    <row r="370" spans="1:88" s="3" customFormat="1" hidden="1">
      <c r="A370" s="243" t="str">
        <f t="shared" si="6"/>
        <v>OK</v>
      </c>
      <c r="B370" s="1126" t="str">
        <f>IF(CONSOLIDA!BH142="","",CONSOLIDA!BH142)</f>
        <v/>
      </c>
      <c r="C370" s="1126"/>
      <c r="D370" s="1134" t="str">
        <f>IF(CONSOLIDA!BJ142="","",CONSOLIDA!BJ142)</f>
        <v/>
      </c>
      <c r="E370" s="1135"/>
      <c r="F370" s="1135"/>
      <c r="G370" s="1129" t="str">
        <f>IF(CONSOLIDA!BK142="","",CONSOLIDA!BK142)</f>
        <v/>
      </c>
      <c r="H370" s="1129"/>
      <c r="I370" s="1129"/>
      <c r="J370" s="1129"/>
      <c r="K370" s="1129"/>
      <c r="L370" s="1129"/>
      <c r="M370" s="1129"/>
      <c r="N370" s="1129"/>
      <c r="O370" s="1129"/>
      <c r="P370" s="1129"/>
      <c r="Q370" s="1129"/>
      <c r="R370" s="1129"/>
      <c r="S370" s="1129"/>
      <c r="T370" s="1129"/>
      <c r="U370" s="1129"/>
      <c r="V370" s="1129"/>
      <c r="W370" s="1129"/>
      <c r="X370" s="1129"/>
      <c r="Y370" s="1129"/>
      <c r="Z370" s="1129"/>
      <c r="AA370" s="1129"/>
      <c r="AB370" s="1129"/>
      <c r="AC370" s="1129"/>
      <c r="AD370" s="1129"/>
      <c r="AE370" s="1130"/>
      <c r="AF370" s="1131"/>
      <c r="AG370" s="1131"/>
      <c r="AH370" s="1131"/>
      <c r="AI370" s="1131"/>
      <c r="AJ370" s="1131"/>
      <c r="AK370" s="1131"/>
      <c r="AL370" s="1131"/>
      <c r="AM370" s="1131"/>
      <c r="AN370" s="1131"/>
      <c r="AO370" s="1131"/>
      <c r="AP370" s="1131"/>
      <c r="AQ370" s="1131"/>
      <c r="AR370" s="1131"/>
      <c r="AS370" s="1131"/>
      <c r="AT370" s="1131"/>
      <c r="AU370" s="1131"/>
      <c r="AV370" s="1131"/>
      <c r="AW370" s="1131"/>
      <c r="AX370" s="1131"/>
      <c r="AY370" s="1131"/>
      <c r="AZ370" s="1131"/>
      <c r="BA370" s="1131"/>
      <c r="BB370" s="1131"/>
      <c r="BC370" s="1131"/>
      <c r="BD370" s="1131"/>
      <c r="BE370" s="1131"/>
      <c r="BF370" s="1131"/>
      <c r="BG370" s="1131"/>
      <c r="BH370" s="1131"/>
      <c r="BI370" s="1131"/>
      <c r="BJ370" s="1131"/>
      <c r="BK370" s="1131"/>
      <c r="BL370" s="1131"/>
      <c r="BM370" s="1131"/>
      <c r="BN370" s="1131"/>
      <c r="BO370" s="1131"/>
      <c r="BP370" s="1131"/>
      <c r="BQ370" s="1131"/>
      <c r="BR370" s="1131"/>
      <c r="BS370" s="1131"/>
      <c r="BT370" s="1131"/>
      <c r="BU370" s="1131"/>
      <c r="BV370" s="1131"/>
      <c r="BW370" s="1131"/>
      <c r="BX370" s="1131"/>
      <c r="BY370" s="1131"/>
      <c r="BZ370" s="1131"/>
      <c r="CA370" s="1131"/>
      <c r="CB370" s="1131"/>
      <c r="CC370" s="1131"/>
      <c r="CD370" s="1131"/>
      <c r="CE370" s="1131"/>
      <c r="CF370" s="1131"/>
      <c r="CG370" s="1131"/>
      <c r="CH370" s="29"/>
      <c r="CI370" s="185"/>
      <c r="CJ370" s="17"/>
    </row>
    <row r="371" spans="1:88" s="3" customFormat="1" hidden="1">
      <c r="A371" s="243" t="str">
        <f t="shared" si="6"/>
        <v>OK</v>
      </c>
      <c r="B371" s="1126" t="str">
        <f>IF(CONSOLIDA!BH143="","",CONSOLIDA!BH143)</f>
        <v/>
      </c>
      <c r="C371" s="1126"/>
      <c r="D371" s="1134" t="str">
        <f>IF(CONSOLIDA!BJ143="","",CONSOLIDA!BJ143)</f>
        <v/>
      </c>
      <c r="E371" s="1135"/>
      <c r="F371" s="1135"/>
      <c r="G371" s="1129" t="str">
        <f>IF(CONSOLIDA!BK143="","",CONSOLIDA!BK143)</f>
        <v/>
      </c>
      <c r="H371" s="1129"/>
      <c r="I371" s="1129"/>
      <c r="J371" s="1129"/>
      <c r="K371" s="1129"/>
      <c r="L371" s="1129"/>
      <c r="M371" s="1129"/>
      <c r="N371" s="1129"/>
      <c r="O371" s="1129"/>
      <c r="P371" s="1129"/>
      <c r="Q371" s="1129"/>
      <c r="R371" s="1129"/>
      <c r="S371" s="1129"/>
      <c r="T371" s="1129"/>
      <c r="U371" s="1129"/>
      <c r="V371" s="1129"/>
      <c r="W371" s="1129"/>
      <c r="X371" s="1129"/>
      <c r="Y371" s="1129"/>
      <c r="Z371" s="1129"/>
      <c r="AA371" s="1129"/>
      <c r="AB371" s="1129"/>
      <c r="AC371" s="1129"/>
      <c r="AD371" s="1129"/>
      <c r="AE371" s="1130"/>
      <c r="AF371" s="1131"/>
      <c r="AG371" s="1131"/>
      <c r="AH371" s="1131"/>
      <c r="AI371" s="1131"/>
      <c r="AJ371" s="1131"/>
      <c r="AK371" s="1131"/>
      <c r="AL371" s="1131"/>
      <c r="AM371" s="1131"/>
      <c r="AN371" s="1131"/>
      <c r="AO371" s="1131"/>
      <c r="AP371" s="1131"/>
      <c r="AQ371" s="1131"/>
      <c r="AR371" s="1131"/>
      <c r="AS371" s="1131"/>
      <c r="AT371" s="1131"/>
      <c r="AU371" s="1131"/>
      <c r="AV371" s="1131"/>
      <c r="AW371" s="1131"/>
      <c r="AX371" s="1131"/>
      <c r="AY371" s="1131"/>
      <c r="AZ371" s="1131"/>
      <c r="BA371" s="1131"/>
      <c r="BB371" s="1131"/>
      <c r="BC371" s="1131"/>
      <c r="BD371" s="1131"/>
      <c r="BE371" s="1131"/>
      <c r="BF371" s="1131"/>
      <c r="BG371" s="1131"/>
      <c r="BH371" s="1131"/>
      <c r="BI371" s="1131"/>
      <c r="BJ371" s="1131"/>
      <c r="BK371" s="1131"/>
      <c r="BL371" s="1131"/>
      <c r="BM371" s="1131"/>
      <c r="BN371" s="1131"/>
      <c r="BO371" s="1131"/>
      <c r="BP371" s="1131"/>
      <c r="BQ371" s="1131"/>
      <c r="BR371" s="1131"/>
      <c r="BS371" s="1131"/>
      <c r="BT371" s="1131"/>
      <c r="BU371" s="1131"/>
      <c r="BV371" s="1131"/>
      <c r="BW371" s="1131"/>
      <c r="BX371" s="1131"/>
      <c r="BY371" s="1131"/>
      <c r="BZ371" s="1131"/>
      <c r="CA371" s="1131"/>
      <c r="CB371" s="1131"/>
      <c r="CC371" s="1131"/>
      <c r="CD371" s="1131"/>
      <c r="CE371" s="1131"/>
      <c r="CF371" s="1131"/>
      <c r="CG371" s="1131"/>
      <c r="CH371" s="29"/>
      <c r="CI371" s="185"/>
      <c r="CJ371" s="17"/>
    </row>
    <row r="372" spans="1:88" s="3" customFormat="1" hidden="1">
      <c r="A372" s="243" t="str">
        <f t="shared" si="6"/>
        <v>OK</v>
      </c>
      <c r="B372" s="1126" t="str">
        <f>IF(CONSOLIDA!BH144="","",CONSOLIDA!BH144)</f>
        <v/>
      </c>
      <c r="C372" s="1126"/>
      <c r="D372" s="1134" t="str">
        <f>IF(CONSOLIDA!BJ144="","",CONSOLIDA!BJ144)</f>
        <v/>
      </c>
      <c r="E372" s="1135"/>
      <c r="F372" s="1135"/>
      <c r="G372" s="1129" t="str">
        <f>IF(CONSOLIDA!BK144="","",CONSOLIDA!BK144)</f>
        <v/>
      </c>
      <c r="H372" s="1129"/>
      <c r="I372" s="1129"/>
      <c r="J372" s="1129"/>
      <c r="K372" s="1129"/>
      <c r="L372" s="1129"/>
      <c r="M372" s="1129"/>
      <c r="N372" s="1129"/>
      <c r="O372" s="1129"/>
      <c r="P372" s="1129"/>
      <c r="Q372" s="1129"/>
      <c r="R372" s="1129"/>
      <c r="S372" s="1129"/>
      <c r="T372" s="1129"/>
      <c r="U372" s="1129"/>
      <c r="V372" s="1129"/>
      <c r="W372" s="1129"/>
      <c r="X372" s="1129"/>
      <c r="Y372" s="1129"/>
      <c r="Z372" s="1129"/>
      <c r="AA372" s="1129"/>
      <c r="AB372" s="1129"/>
      <c r="AC372" s="1129"/>
      <c r="AD372" s="1129"/>
      <c r="AE372" s="1130"/>
      <c r="AF372" s="1131"/>
      <c r="AG372" s="1131"/>
      <c r="AH372" s="1131"/>
      <c r="AI372" s="1131"/>
      <c r="AJ372" s="1131"/>
      <c r="AK372" s="1131"/>
      <c r="AL372" s="1131"/>
      <c r="AM372" s="1131"/>
      <c r="AN372" s="1131"/>
      <c r="AO372" s="1131"/>
      <c r="AP372" s="1131"/>
      <c r="AQ372" s="1131"/>
      <c r="AR372" s="1131"/>
      <c r="AS372" s="1131"/>
      <c r="AT372" s="1131"/>
      <c r="AU372" s="1131"/>
      <c r="AV372" s="1131"/>
      <c r="AW372" s="1131"/>
      <c r="AX372" s="1131"/>
      <c r="AY372" s="1131"/>
      <c r="AZ372" s="1131"/>
      <c r="BA372" s="1131"/>
      <c r="BB372" s="1131"/>
      <c r="BC372" s="1131"/>
      <c r="BD372" s="1131"/>
      <c r="BE372" s="1131"/>
      <c r="BF372" s="1131"/>
      <c r="BG372" s="1131"/>
      <c r="BH372" s="1131"/>
      <c r="BI372" s="1131"/>
      <c r="BJ372" s="1131"/>
      <c r="BK372" s="1131"/>
      <c r="BL372" s="1131"/>
      <c r="BM372" s="1131"/>
      <c r="BN372" s="1131"/>
      <c r="BO372" s="1131"/>
      <c r="BP372" s="1131"/>
      <c r="BQ372" s="1131"/>
      <c r="BR372" s="1131"/>
      <c r="BS372" s="1131"/>
      <c r="BT372" s="1131"/>
      <c r="BU372" s="1131"/>
      <c r="BV372" s="1131"/>
      <c r="BW372" s="1131"/>
      <c r="BX372" s="1131"/>
      <c r="BY372" s="1131"/>
      <c r="BZ372" s="1131"/>
      <c r="CA372" s="1131"/>
      <c r="CB372" s="1131"/>
      <c r="CC372" s="1131"/>
      <c r="CD372" s="1131"/>
      <c r="CE372" s="1131"/>
      <c r="CF372" s="1131"/>
      <c r="CG372" s="1131"/>
      <c r="CH372" s="29"/>
      <c r="CI372" s="185"/>
      <c r="CJ372" s="17"/>
    </row>
    <row r="373" spans="1:88" s="3" customFormat="1" hidden="1">
      <c r="A373" s="243" t="str">
        <f t="shared" si="6"/>
        <v>OK</v>
      </c>
      <c r="B373" s="1126" t="str">
        <f>IF(CONSOLIDA!BH145="","",CONSOLIDA!BH145)</f>
        <v/>
      </c>
      <c r="C373" s="1126"/>
      <c r="D373" s="1134" t="str">
        <f>IF(CONSOLIDA!BJ145="","",CONSOLIDA!BJ145)</f>
        <v/>
      </c>
      <c r="E373" s="1135"/>
      <c r="F373" s="1135"/>
      <c r="G373" s="1129" t="str">
        <f>IF(CONSOLIDA!BK145="","",CONSOLIDA!BK145)</f>
        <v/>
      </c>
      <c r="H373" s="1129"/>
      <c r="I373" s="1129"/>
      <c r="J373" s="1129"/>
      <c r="K373" s="1129"/>
      <c r="L373" s="1129"/>
      <c r="M373" s="1129"/>
      <c r="N373" s="1129"/>
      <c r="O373" s="1129"/>
      <c r="P373" s="1129"/>
      <c r="Q373" s="1129"/>
      <c r="R373" s="1129"/>
      <c r="S373" s="1129"/>
      <c r="T373" s="1129"/>
      <c r="U373" s="1129"/>
      <c r="V373" s="1129"/>
      <c r="W373" s="1129"/>
      <c r="X373" s="1129"/>
      <c r="Y373" s="1129"/>
      <c r="Z373" s="1129"/>
      <c r="AA373" s="1129"/>
      <c r="AB373" s="1129"/>
      <c r="AC373" s="1129"/>
      <c r="AD373" s="1129"/>
      <c r="AE373" s="1130"/>
      <c r="AF373" s="1131"/>
      <c r="AG373" s="1131"/>
      <c r="AH373" s="1131"/>
      <c r="AI373" s="1131"/>
      <c r="AJ373" s="1131"/>
      <c r="AK373" s="1131"/>
      <c r="AL373" s="1131"/>
      <c r="AM373" s="1131"/>
      <c r="AN373" s="1131"/>
      <c r="AO373" s="1131"/>
      <c r="AP373" s="1131"/>
      <c r="AQ373" s="1131"/>
      <c r="AR373" s="1131"/>
      <c r="AS373" s="1131"/>
      <c r="AT373" s="1131"/>
      <c r="AU373" s="1131"/>
      <c r="AV373" s="1131"/>
      <c r="AW373" s="1131"/>
      <c r="AX373" s="1131"/>
      <c r="AY373" s="1131"/>
      <c r="AZ373" s="1131"/>
      <c r="BA373" s="1131"/>
      <c r="BB373" s="1131"/>
      <c r="BC373" s="1131"/>
      <c r="BD373" s="1131"/>
      <c r="BE373" s="1131"/>
      <c r="BF373" s="1131"/>
      <c r="BG373" s="1131"/>
      <c r="BH373" s="1131"/>
      <c r="BI373" s="1131"/>
      <c r="BJ373" s="1131"/>
      <c r="BK373" s="1131"/>
      <c r="BL373" s="1131"/>
      <c r="BM373" s="1131"/>
      <c r="BN373" s="1131"/>
      <c r="BO373" s="1131"/>
      <c r="BP373" s="1131"/>
      <c r="BQ373" s="1131"/>
      <c r="BR373" s="1131"/>
      <c r="BS373" s="1131"/>
      <c r="BT373" s="1131"/>
      <c r="BU373" s="1131"/>
      <c r="BV373" s="1131"/>
      <c r="BW373" s="1131"/>
      <c r="BX373" s="1131"/>
      <c r="BY373" s="1131"/>
      <c r="BZ373" s="1131"/>
      <c r="CA373" s="1131"/>
      <c r="CB373" s="1131"/>
      <c r="CC373" s="1131"/>
      <c r="CD373" s="1131"/>
      <c r="CE373" s="1131"/>
      <c r="CF373" s="1131"/>
      <c r="CG373" s="1131"/>
      <c r="CH373" s="29"/>
      <c r="CI373" s="185"/>
      <c r="CJ373" s="17"/>
    </row>
    <row r="374" spans="1:88" s="3" customFormat="1" hidden="1">
      <c r="A374" s="243" t="str">
        <f t="shared" si="6"/>
        <v>OK</v>
      </c>
      <c r="B374" s="1126" t="str">
        <f>IF(CONSOLIDA!BH146="","",CONSOLIDA!BH146)</f>
        <v/>
      </c>
      <c r="C374" s="1126"/>
      <c r="D374" s="1134" t="str">
        <f>IF(CONSOLIDA!BJ146="","",CONSOLIDA!BJ146)</f>
        <v/>
      </c>
      <c r="E374" s="1135"/>
      <c r="F374" s="1135"/>
      <c r="G374" s="1129" t="str">
        <f>IF(CONSOLIDA!BK146="","",CONSOLIDA!BK146)</f>
        <v/>
      </c>
      <c r="H374" s="1129"/>
      <c r="I374" s="1129"/>
      <c r="J374" s="1129"/>
      <c r="K374" s="1129"/>
      <c r="L374" s="1129"/>
      <c r="M374" s="1129"/>
      <c r="N374" s="1129"/>
      <c r="O374" s="1129"/>
      <c r="P374" s="1129"/>
      <c r="Q374" s="1129"/>
      <c r="R374" s="1129"/>
      <c r="S374" s="1129"/>
      <c r="T374" s="1129"/>
      <c r="U374" s="1129"/>
      <c r="V374" s="1129"/>
      <c r="W374" s="1129"/>
      <c r="X374" s="1129"/>
      <c r="Y374" s="1129"/>
      <c r="Z374" s="1129"/>
      <c r="AA374" s="1129"/>
      <c r="AB374" s="1129"/>
      <c r="AC374" s="1129"/>
      <c r="AD374" s="1129"/>
      <c r="AE374" s="1130"/>
      <c r="AF374" s="1131"/>
      <c r="AG374" s="1131"/>
      <c r="AH374" s="1131"/>
      <c r="AI374" s="1131"/>
      <c r="AJ374" s="1131"/>
      <c r="AK374" s="1131"/>
      <c r="AL374" s="1131"/>
      <c r="AM374" s="1131"/>
      <c r="AN374" s="1131"/>
      <c r="AO374" s="1131"/>
      <c r="AP374" s="1131"/>
      <c r="AQ374" s="1131"/>
      <c r="AR374" s="1131"/>
      <c r="AS374" s="1131"/>
      <c r="AT374" s="1131"/>
      <c r="AU374" s="1131"/>
      <c r="AV374" s="1131"/>
      <c r="AW374" s="1131"/>
      <c r="AX374" s="1131"/>
      <c r="AY374" s="1131"/>
      <c r="AZ374" s="1131"/>
      <c r="BA374" s="1131"/>
      <c r="BB374" s="1131"/>
      <c r="BC374" s="1131"/>
      <c r="BD374" s="1131"/>
      <c r="BE374" s="1131"/>
      <c r="BF374" s="1131"/>
      <c r="BG374" s="1131"/>
      <c r="BH374" s="1131"/>
      <c r="BI374" s="1131"/>
      <c r="BJ374" s="1131"/>
      <c r="BK374" s="1131"/>
      <c r="BL374" s="1131"/>
      <c r="BM374" s="1131"/>
      <c r="BN374" s="1131"/>
      <c r="BO374" s="1131"/>
      <c r="BP374" s="1131"/>
      <c r="BQ374" s="1131"/>
      <c r="BR374" s="1131"/>
      <c r="BS374" s="1131"/>
      <c r="BT374" s="1131"/>
      <c r="BU374" s="1131"/>
      <c r="BV374" s="1131"/>
      <c r="BW374" s="1131"/>
      <c r="BX374" s="1131"/>
      <c r="BY374" s="1131"/>
      <c r="BZ374" s="1131"/>
      <c r="CA374" s="1131"/>
      <c r="CB374" s="1131"/>
      <c r="CC374" s="1131"/>
      <c r="CD374" s="1131"/>
      <c r="CE374" s="1131"/>
      <c r="CF374" s="1131"/>
      <c r="CG374" s="1131"/>
      <c r="CH374" s="29"/>
      <c r="CI374" s="185"/>
      <c r="CJ374" s="17"/>
    </row>
    <row r="375" spans="1:88" s="3" customFormat="1" hidden="1">
      <c r="A375" s="243" t="str">
        <f t="shared" si="6"/>
        <v>OK</v>
      </c>
      <c r="B375" s="1126" t="str">
        <f>IF(CONSOLIDA!BH147="","",CONSOLIDA!BH147)</f>
        <v/>
      </c>
      <c r="C375" s="1126"/>
      <c r="D375" s="1134" t="str">
        <f>IF(CONSOLIDA!BJ147="","",CONSOLIDA!BJ147)</f>
        <v/>
      </c>
      <c r="E375" s="1135"/>
      <c r="F375" s="1135"/>
      <c r="G375" s="1129" t="str">
        <f>IF(CONSOLIDA!BK147="","",CONSOLIDA!BK147)</f>
        <v/>
      </c>
      <c r="H375" s="1129"/>
      <c r="I375" s="1129"/>
      <c r="J375" s="1129"/>
      <c r="K375" s="1129"/>
      <c r="L375" s="1129"/>
      <c r="M375" s="1129"/>
      <c r="N375" s="1129"/>
      <c r="O375" s="1129"/>
      <c r="P375" s="1129"/>
      <c r="Q375" s="1129"/>
      <c r="R375" s="1129"/>
      <c r="S375" s="1129"/>
      <c r="T375" s="1129"/>
      <c r="U375" s="1129"/>
      <c r="V375" s="1129"/>
      <c r="W375" s="1129"/>
      <c r="X375" s="1129"/>
      <c r="Y375" s="1129"/>
      <c r="Z375" s="1129"/>
      <c r="AA375" s="1129"/>
      <c r="AB375" s="1129"/>
      <c r="AC375" s="1129"/>
      <c r="AD375" s="1129"/>
      <c r="AE375" s="1130"/>
      <c r="AF375" s="1131"/>
      <c r="AG375" s="1131"/>
      <c r="AH375" s="1131"/>
      <c r="AI375" s="1131"/>
      <c r="AJ375" s="1131"/>
      <c r="AK375" s="1131"/>
      <c r="AL375" s="1131"/>
      <c r="AM375" s="1131"/>
      <c r="AN375" s="1131"/>
      <c r="AO375" s="1131"/>
      <c r="AP375" s="1131"/>
      <c r="AQ375" s="1131"/>
      <c r="AR375" s="1131"/>
      <c r="AS375" s="1131"/>
      <c r="AT375" s="1131"/>
      <c r="AU375" s="1131"/>
      <c r="AV375" s="1131"/>
      <c r="AW375" s="1131"/>
      <c r="AX375" s="1131"/>
      <c r="AY375" s="1131"/>
      <c r="AZ375" s="1131"/>
      <c r="BA375" s="1131"/>
      <c r="BB375" s="1131"/>
      <c r="BC375" s="1131"/>
      <c r="BD375" s="1131"/>
      <c r="BE375" s="1131"/>
      <c r="BF375" s="1131"/>
      <c r="BG375" s="1131"/>
      <c r="BH375" s="1131"/>
      <c r="BI375" s="1131"/>
      <c r="BJ375" s="1131"/>
      <c r="BK375" s="1131"/>
      <c r="BL375" s="1131"/>
      <c r="BM375" s="1131"/>
      <c r="BN375" s="1131"/>
      <c r="BO375" s="1131"/>
      <c r="BP375" s="1131"/>
      <c r="BQ375" s="1131"/>
      <c r="BR375" s="1131"/>
      <c r="BS375" s="1131"/>
      <c r="BT375" s="1131"/>
      <c r="BU375" s="1131"/>
      <c r="BV375" s="1131"/>
      <c r="BW375" s="1131"/>
      <c r="BX375" s="1131"/>
      <c r="BY375" s="1131"/>
      <c r="BZ375" s="1131"/>
      <c r="CA375" s="1131"/>
      <c r="CB375" s="1131"/>
      <c r="CC375" s="1131"/>
      <c r="CD375" s="1131"/>
      <c r="CE375" s="1131"/>
      <c r="CF375" s="1131"/>
      <c r="CG375" s="1131"/>
      <c r="CH375" s="29"/>
      <c r="CI375" s="185"/>
      <c r="CJ375" s="17"/>
    </row>
    <row r="376" spans="1:88" s="3" customFormat="1" hidden="1">
      <c r="A376" s="243" t="str">
        <f t="shared" si="6"/>
        <v>OK</v>
      </c>
      <c r="B376" s="1126" t="str">
        <f>IF(CONSOLIDA!BH148="","",CONSOLIDA!BH148)</f>
        <v/>
      </c>
      <c r="C376" s="1126"/>
      <c r="D376" s="1134" t="str">
        <f>IF(CONSOLIDA!BJ148="","",CONSOLIDA!BJ148)</f>
        <v/>
      </c>
      <c r="E376" s="1135"/>
      <c r="F376" s="1135"/>
      <c r="G376" s="1129" t="str">
        <f>IF(CONSOLIDA!BK148="","",CONSOLIDA!BK148)</f>
        <v/>
      </c>
      <c r="H376" s="1129"/>
      <c r="I376" s="1129"/>
      <c r="J376" s="1129"/>
      <c r="K376" s="1129"/>
      <c r="L376" s="1129"/>
      <c r="M376" s="1129"/>
      <c r="N376" s="1129"/>
      <c r="O376" s="1129"/>
      <c r="P376" s="1129"/>
      <c r="Q376" s="1129"/>
      <c r="R376" s="1129"/>
      <c r="S376" s="1129"/>
      <c r="T376" s="1129"/>
      <c r="U376" s="1129"/>
      <c r="V376" s="1129"/>
      <c r="W376" s="1129"/>
      <c r="X376" s="1129"/>
      <c r="Y376" s="1129"/>
      <c r="Z376" s="1129"/>
      <c r="AA376" s="1129"/>
      <c r="AB376" s="1129"/>
      <c r="AC376" s="1129"/>
      <c r="AD376" s="1129"/>
      <c r="AE376" s="1130"/>
      <c r="AF376" s="1131"/>
      <c r="AG376" s="1131"/>
      <c r="AH376" s="1131"/>
      <c r="AI376" s="1131"/>
      <c r="AJ376" s="1131"/>
      <c r="AK376" s="1131"/>
      <c r="AL376" s="1131"/>
      <c r="AM376" s="1131"/>
      <c r="AN376" s="1131"/>
      <c r="AO376" s="1131"/>
      <c r="AP376" s="1131"/>
      <c r="AQ376" s="1131"/>
      <c r="AR376" s="1131"/>
      <c r="AS376" s="1131"/>
      <c r="AT376" s="1131"/>
      <c r="AU376" s="1131"/>
      <c r="AV376" s="1131"/>
      <c r="AW376" s="1131"/>
      <c r="AX376" s="1131"/>
      <c r="AY376" s="1131"/>
      <c r="AZ376" s="1131"/>
      <c r="BA376" s="1131"/>
      <c r="BB376" s="1131"/>
      <c r="BC376" s="1131"/>
      <c r="BD376" s="1131"/>
      <c r="BE376" s="1131"/>
      <c r="BF376" s="1131"/>
      <c r="BG376" s="1131"/>
      <c r="BH376" s="1131"/>
      <c r="BI376" s="1131"/>
      <c r="BJ376" s="1131"/>
      <c r="BK376" s="1131"/>
      <c r="BL376" s="1131"/>
      <c r="BM376" s="1131"/>
      <c r="BN376" s="1131"/>
      <c r="BO376" s="1131"/>
      <c r="BP376" s="1131"/>
      <c r="BQ376" s="1131"/>
      <c r="BR376" s="1131"/>
      <c r="BS376" s="1131"/>
      <c r="BT376" s="1131"/>
      <c r="BU376" s="1131"/>
      <c r="BV376" s="1131"/>
      <c r="BW376" s="1131"/>
      <c r="BX376" s="1131"/>
      <c r="BY376" s="1131"/>
      <c r="BZ376" s="1131"/>
      <c r="CA376" s="1131"/>
      <c r="CB376" s="1131"/>
      <c r="CC376" s="1131"/>
      <c r="CD376" s="1131"/>
      <c r="CE376" s="1131"/>
      <c r="CF376" s="1131"/>
      <c r="CG376" s="1131"/>
      <c r="CH376" s="29"/>
      <c r="CI376" s="185"/>
      <c r="CJ376" s="17"/>
    </row>
    <row r="377" spans="1:88" s="3" customFormat="1" hidden="1">
      <c r="A377" s="243" t="str">
        <f t="shared" si="6"/>
        <v>OK</v>
      </c>
      <c r="B377" s="1126" t="str">
        <f>IF(CONSOLIDA!BH149="","",CONSOLIDA!BH149)</f>
        <v/>
      </c>
      <c r="C377" s="1126"/>
      <c r="D377" s="1134" t="str">
        <f>IF(CONSOLIDA!BJ149="","",CONSOLIDA!BJ149)</f>
        <v/>
      </c>
      <c r="E377" s="1135"/>
      <c r="F377" s="1135"/>
      <c r="G377" s="1129" t="str">
        <f>IF(CONSOLIDA!BK149="","",CONSOLIDA!BK149)</f>
        <v/>
      </c>
      <c r="H377" s="1129"/>
      <c r="I377" s="1129"/>
      <c r="J377" s="1129"/>
      <c r="K377" s="1129"/>
      <c r="L377" s="1129"/>
      <c r="M377" s="1129"/>
      <c r="N377" s="1129"/>
      <c r="O377" s="1129"/>
      <c r="P377" s="1129"/>
      <c r="Q377" s="1129"/>
      <c r="R377" s="1129"/>
      <c r="S377" s="1129"/>
      <c r="T377" s="1129"/>
      <c r="U377" s="1129"/>
      <c r="V377" s="1129"/>
      <c r="W377" s="1129"/>
      <c r="X377" s="1129"/>
      <c r="Y377" s="1129"/>
      <c r="Z377" s="1129"/>
      <c r="AA377" s="1129"/>
      <c r="AB377" s="1129"/>
      <c r="AC377" s="1129"/>
      <c r="AD377" s="1129"/>
      <c r="AE377" s="1130"/>
      <c r="AF377" s="1131"/>
      <c r="AG377" s="1131"/>
      <c r="AH377" s="1131"/>
      <c r="AI377" s="1131"/>
      <c r="AJ377" s="1131"/>
      <c r="AK377" s="1131"/>
      <c r="AL377" s="1131"/>
      <c r="AM377" s="1131"/>
      <c r="AN377" s="1131"/>
      <c r="AO377" s="1131"/>
      <c r="AP377" s="1131"/>
      <c r="AQ377" s="1131"/>
      <c r="AR377" s="1131"/>
      <c r="AS377" s="1131"/>
      <c r="AT377" s="1131"/>
      <c r="AU377" s="1131"/>
      <c r="AV377" s="1131"/>
      <c r="AW377" s="1131"/>
      <c r="AX377" s="1131"/>
      <c r="AY377" s="1131"/>
      <c r="AZ377" s="1131"/>
      <c r="BA377" s="1131"/>
      <c r="BB377" s="1131"/>
      <c r="BC377" s="1131"/>
      <c r="BD377" s="1131"/>
      <c r="BE377" s="1131"/>
      <c r="BF377" s="1131"/>
      <c r="BG377" s="1131"/>
      <c r="BH377" s="1131"/>
      <c r="BI377" s="1131"/>
      <c r="BJ377" s="1131"/>
      <c r="BK377" s="1131"/>
      <c r="BL377" s="1131"/>
      <c r="BM377" s="1131"/>
      <c r="BN377" s="1131"/>
      <c r="BO377" s="1131"/>
      <c r="BP377" s="1131"/>
      <c r="BQ377" s="1131"/>
      <c r="BR377" s="1131"/>
      <c r="BS377" s="1131"/>
      <c r="BT377" s="1131"/>
      <c r="BU377" s="1131"/>
      <c r="BV377" s="1131"/>
      <c r="BW377" s="1131"/>
      <c r="BX377" s="1131"/>
      <c r="BY377" s="1131"/>
      <c r="BZ377" s="1131"/>
      <c r="CA377" s="1131"/>
      <c r="CB377" s="1131"/>
      <c r="CC377" s="1131"/>
      <c r="CD377" s="1131"/>
      <c r="CE377" s="1131"/>
      <c r="CF377" s="1131"/>
      <c r="CG377" s="1131"/>
      <c r="CH377" s="29"/>
      <c r="CI377" s="185"/>
      <c r="CJ377" s="17"/>
    </row>
    <row r="378" spans="1:88" s="3" customFormat="1" hidden="1">
      <c r="A378" s="243" t="str">
        <f t="shared" si="6"/>
        <v>OK</v>
      </c>
      <c r="B378" s="1126" t="str">
        <f>IF(CONSOLIDA!BH150="","",CONSOLIDA!BH150)</f>
        <v/>
      </c>
      <c r="C378" s="1126"/>
      <c r="D378" s="1134" t="str">
        <f>IF(CONSOLIDA!BJ150="","",CONSOLIDA!BJ150)</f>
        <v/>
      </c>
      <c r="E378" s="1135"/>
      <c r="F378" s="1135"/>
      <c r="G378" s="1129" t="str">
        <f>IF(CONSOLIDA!BK150="","",CONSOLIDA!BK150)</f>
        <v/>
      </c>
      <c r="H378" s="1129"/>
      <c r="I378" s="1129"/>
      <c r="J378" s="1129"/>
      <c r="K378" s="1129"/>
      <c r="L378" s="1129"/>
      <c r="M378" s="1129"/>
      <c r="N378" s="1129"/>
      <c r="O378" s="1129"/>
      <c r="P378" s="1129"/>
      <c r="Q378" s="1129"/>
      <c r="R378" s="1129"/>
      <c r="S378" s="1129"/>
      <c r="T378" s="1129"/>
      <c r="U378" s="1129"/>
      <c r="V378" s="1129"/>
      <c r="W378" s="1129"/>
      <c r="X378" s="1129"/>
      <c r="Y378" s="1129"/>
      <c r="Z378" s="1129"/>
      <c r="AA378" s="1129"/>
      <c r="AB378" s="1129"/>
      <c r="AC378" s="1129"/>
      <c r="AD378" s="1129"/>
      <c r="AE378" s="1130"/>
      <c r="AF378" s="1131"/>
      <c r="AG378" s="1131"/>
      <c r="AH378" s="1131"/>
      <c r="AI378" s="1131"/>
      <c r="AJ378" s="1131"/>
      <c r="AK378" s="1131"/>
      <c r="AL378" s="1131"/>
      <c r="AM378" s="1131"/>
      <c r="AN378" s="1131"/>
      <c r="AO378" s="1131"/>
      <c r="AP378" s="1131"/>
      <c r="AQ378" s="1131"/>
      <c r="AR378" s="1131"/>
      <c r="AS378" s="1131"/>
      <c r="AT378" s="1131"/>
      <c r="AU378" s="1131"/>
      <c r="AV378" s="1131"/>
      <c r="AW378" s="1131"/>
      <c r="AX378" s="1131"/>
      <c r="AY378" s="1131"/>
      <c r="AZ378" s="1131"/>
      <c r="BA378" s="1131"/>
      <c r="BB378" s="1131"/>
      <c r="BC378" s="1131"/>
      <c r="BD378" s="1131"/>
      <c r="BE378" s="1131"/>
      <c r="BF378" s="1131"/>
      <c r="BG378" s="1131"/>
      <c r="BH378" s="1131"/>
      <c r="BI378" s="1131"/>
      <c r="BJ378" s="1131"/>
      <c r="BK378" s="1131"/>
      <c r="BL378" s="1131"/>
      <c r="BM378" s="1131"/>
      <c r="BN378" s="1131"/>
      <c r="BO378" s="1131"/>
      <c r="BP378" s="1131"/>
      <c r="BQ378" s="1131"/>
      <c r="BR378" s="1131"/>
      <c r="BS378" s="1131"/>
      <c r="BT378" s="1131"/>
      <c r="BU378" s="1131"/>
      <c r="BV378" s="1131"/>
      <c r="BW378" s="1131"/>
      <c r="BX378" s="1131"/>
      <c r="BY378" s="1131"/>
      <c r="BZ378" s="1131"/>
      <c r="CA378" s="1131"/>
      <c r="CB378" s="1131"/>
      <c r="CC378" s="1131"/>
      <c r="CD378" s="1131"/>
      <c r="CE378" s="1131"/>
      <c r="CF378" s="1131"/>
      <c r="CG378" s="1131"/>
      <c r="CH378" s="29"/>
      <c r="CI378" s="185"/>
      <c r="CJ378" s="17"/>
    </row>
    <row r="379" spans="1:88" s="3" customFormat="1" ht="12.75" hidden="1" customHeight="1">
      <c r="A379" s="243" t="str">
        <f t="shared" si="6"/>
        <v>OK</v>
      </c>
      <c r="B379" s="1126" t="str">
        <f>IF(CONSOLIDA!BH151="","",CONSOLIDA!BH151)</f>
        <v/>
      </c>
      <c r="C379" s="1126"/>
      <c r="D379" s="1134" t="str">
        <f>IF(CONSOLIDA!BJ151="","",CONSOLIDA!BJ151)</f>
        <v/>
      </c>
      <c r="E379" s="1135"/>
      <c r="F379" s="1135"/>
      <c r="G379" s="1129" t="str">
        <f>IF(CONSOLIDA!BK151="","",CONSOLIDA!BK151)</f>
        <v/>
      </c>
      <c r="H379" s="1129"/>
      <c r="I379" s="1129"/>
      <c r="J379" s="1129"/>
      <c r="K379" s="1129"/>
      <c r="L379" s="1129"/>
      <c r="M379" s="1129"/>
      <c r="N379" s="1129"/>
      <c r="O379" s="1129"/>
      <c r="P379" s="1129"/>
      <c r="Q379" s="1129"/>
      <c r="R379" s="1129"/>
      <c r="S379" s="1129"/>
      <c r="T379" s="1129"/>
      <c r="U379" s="1129"/>
      <c r="V379" s="1129"/>
      <c r="W379" s="1129"/>
      <c r="X379" s="1129"/>
      <c r="Y379" s="1129"/>
      <c r="Z379" s="1129"/>
      <c r="AA379" s="1129"/>
      <c r="AB379" s="1129"/>
      <c r="AC379" s="1129"/>
      <c r="AD379" s="1129"/>
      <c r="AE379" s="1130"/>
      <c r="AF379" s="1131"/>
      <c r="AG379" s="1131"/>
      <c r="AH379" s="1131"/>
      <c r="AI379" s="1131"/>
      <c r="AJ379" s="1131"/>
      <c r="AK379" s="1131"/>
      <c r="AL379" s="1131"/>
      <c r="AM379" s="1131"/>
      <c r="AN379" s="1131"/>
      <c r="AO379" s="1131"/>
      <c r="AP379" s="1131"/>
      <c r="AQ379" s="1131"/>
      <c r="AR379" s="1131"/>
      <c r="AS379" s="1131"/>
      <c r="AT379" s="1131"/>
      <c r="AU379" s="1131"/>
      <c r="AV379" s="1131"/>
      <c r="AW379" s="1131"/>
      <c r="AX379" s="1131"/>
      <c r="AY379" s="1131"/>
      <c r="AZ379" s="1131"/>
      <c r="BA379" s="1131"/>
      <c r="BB379" s="1131"/>
      <c r="BC379" s="1131"/>
      <c r="BD379" s="1131"/>
      <c r="BE379" s="1131"/>
      <c r="BF379" s="1131"/>
      <c r="BG379" s="1131"/>
      <c r="BH379" s="1131"/>
      <c r="BI379" s="1131"/>
      <c r="BJ379" s="1131"/>
      <c r="BK379" s="1131"/>
      <c r="BL379" s="1131"/>
      <c r="BM379" s="1131"/>
      <c r="BN379" s="1131"/>
      <c r="BO379" s="1131"/>
      <c r="BP379" s="1131"/>
      <c r="BQ379" s="1131"/>
      <c r="BR379" s="1131"/>
      <c r="BS379" s="1131"/>
      <c r="BT379" s="1131"/>
      <c r="BU379" s="1131"/>
      <c r="BV379" s="1131"/>
      <c r="BW379" s="1131"/>
      <c r="BX379" s="1131"/>
      <c r="BY379" s="1131"/>
      <c r="BZ379" s="1131"/>
      <c r="CA379" s="1131"/>
      <c r="CB379" s="1131"/>
      <c r="CC379" s="1131"/>
      <c r="CD379" s="1131"/>
      <c r="CE379" s="1131"/>
      <c r="CF379" s="1131"/>
      <c r="CG379" s="1131"/>
      <c r="CH379" s="29"/>
      <c r="CI379" s="185"/>
      <c r="CJ379" s="17"/>
    </row>
    <row r="380" spans="1:88" s="3" customFormat="1" hidden="1">
      <c r="A380" s="243" t="str">
        <f t="shared" si="6"/>
        <v>OK</v>
      </c>
      <c r="B380" s="1126" t="str">
        <f>IF(CONSOLIDA!BH152="","",CONSOLIDA!BH152)</f>
        <v/>
      </c>
      <c r="C380" s="1126"/>
      <c r="D380" s="1134" t="str">
        <f>IF(CONSOLIDA!BJ152="","",CONSOLIDA!BJ152)</f>
        <v/>
      </c>
      <c r="E380" s="1135"/>
      <c r="F380" s="1135"/>
      <c r="G380" s="1129" t="str">
        <f>IF(CONSOLIDA!BK152="","",CONSOLIDA!BK152)</f>
        <v/>
      </c>
      <c r="H380" s="1129"/>
      <c r="I380" s="1129"/>
      <c r="J380" s="1129"/>
      <c r="K380" s="1129"/>
      <c r="L380" s="1129"/>
      <c r="M380" s="1129"/>
      <c r="N380" s="1129"/>
      <c r="O380" s="1129"/>
      <c r="P380" s="1129"/>
      <c r="Q380" s="1129"/>
      <c r="R380" s="1129"/>
      <c r="S380" s="1129"/>
      <c r="T380" s="1129"/>
      <c r="U380" s="1129"/>
      <c r="V380" s="1129"/>
      <c r="W380" s="1129"/>
      <c r="X380" s="1129"/>
      <c r="Y380" s="1129"/>
      <c r="Z380" s="1129"/>
      <c r="AA380" s="1129"/>
      <c r="AB380" s="1129"/>
      <c r="AC380" s="1129"/>
      <c r="AD380" s="1129"/>
      <c r="AE380" s="1130"/>
      <c r="AF380" s="1131"/>
      <c r="AG380" s="1131"/>
      <c r="AH380" s="1131"/>
      <c r="AI380" s="1131"/>
      <c r="AJ380" s="1131"/>
      <c r="AK380" s="1131"/>
      <c r="AL380" s="1131"/>
      <c r="AM380" s="1131"/>
      <c r="AN380" s="1131"/>
      <c r="AO380" s="1131"/>
      <c r="AP380" s="1131"/>
      <c r="AQ380" s="1131"/>
      <c r="AR380" s="1131"/>
      <c r="AS380" s="1131"/>
      <c r="AT380" s="1131"/>
      <c r="AU380" s="1131"/>
      <c r="AV380" s="1131"/>
      <c r="AW380" s="1131"/>
      <c r="AX380" s="1131"/>
      <c r="AY380" s="1131"/>
      <c r="AZ380" s="1131"/>
      <c r="BA380" s="1131"/>
      <c r="BB380" s="1131"/>
      <c r="BC380" s="1131"/>
      <c r="BD380" s="1131"/>
      <c r="BE380" s="1131"/>
      <c r="BF380" s="1131"/>
      <c r="BG380" s="1131"/>
      <c r="BH380" s="1131"/>
      <c r="BI380" s="1131"/>
      <c r="BJ380" s="1131"/>
      <c r="BK380" s="1131"/>
      <c r="BL380" s="1131"/>
      <c r="BM380" s="1131"/>
      <c r="BN380" s="1131"/>
      <c r="BO380" s="1131"/>
      <c r="BP380" s="1131"/>
      <c r="BQ380" s="1131"/>
      <c r="BR380" s="1131"/>
      <c r="BS380" s="1131"/>
      <c r="BT380" s="1131"/>
      <c r="BU380" s="1131"/>
      <c r="BV380" s="1131"/>
      <c r="BW380" s="1131"/>
      <c r="BX380" s="1131"/>
      <c r="BY380" s="1131"/>
      <c r="BZ380" s="1131"/>
      <c r="CA380" s="1131"/>
      <c r="CB380" s="1131"/>
      <c r="CC380" s="1131"/>
      <c r="CD380" s="1131"/>
      <c r="CE380" s="1131"/>
      <c r="CF380" s="1131"/>
      <c r="CG380" s="1131"/>
      <c r="CH380" s="29"/>
      <c r="CI380" s="185"/>
      <c r="CJ380" s="17"/>
    </row>
    <row r="381" spans="1:88" s="3" customFormat="1" hidden="1">
      <c r="A381" s="243" t="str">
        <f t="shared" si="6"/>
        <v>OK</v>
      </c>
      <c r="B381" s="1126" t="str">
        <f>IF(CONSOLIDA!BH153="","",CONSOLIDA!BH153)</f>
        <v/>
      </c>
      <c r="C381" s="1126"/>
      <c r="D381" s="1134" t="str">
        <f>IF(CONSOLIDA!BJ153="","",CONSOLIDA!BJ153)</f>
        <v/>
      </c>
      <c r="E381" s="1135"/>
      <c r="F381" s="1135"/>
      <c r="G381" s="1129" t="str">
        <f>IF(CONSOLIDA!BK153="","",CONSOLIDA!BK153)</f>
        <v/>
      </c>
      <c r="H381" s="1129"/>
      <c r="I381" s="1129"/>
      <c r="J381" s="1129"/>
      <c r="K381" s="1129"/>
      <c r="L381" s="1129"/>
      <c r="M381" s="1129"/>
      <c r="N381" s="1129"/>
      <c r="O381" s="1129"/>
      <c r="P381" s="1129"/>
      <c r="Q381" s="1129"/>
      <c r="R381" s="1129"/>
      <c r="S381" s="1129"/>
      <c r="T381" s="1129"/>
      <c r="U381" s="1129"/>
      <c r="V381" s="1129"/>
      <c r="W381" s="1129"/>
      <c r="X381" s="1129"/>
      <c r="Y381" s="1129"/>
      <c r="Z381" s="1129"/>
      <c r="AA381" s="1129"/>
      <c r="AB381" s="1129"/>
      <c r="AC381" s="1129"/>
      <c r="AD381" s="1129"/>
      <c r="AE381" s="1130"/>
      <c r="AF381" s="1131"/>
      <c r="AG381" s="1131"/>
      <c r="AH381" s="1131"/>
      <c r="AI381" s="1131"/>
      <c r="AJ381" s="1131"/>
      <c r="AK381" s="1131"/>
      <c r="AL381" s="1131"/>
      <c r="AM381" s="1131"/>
      <c r="AN381" s="1131"/>
      <c r="AO381" s="1131"/>
      <c r="AP381" s="1131"/>
      <c r="AQ381" s="1131"/>
      <c r="AR381" s="1131"/>
      <c r="AS381" s="1131"/>
      <c r="AT381" s="1131"/>
      <c r="AU381" s="1131"/>
      <c r="AV381" s="1131"/>
      <c r="AW381" s="1131"/>
      <c r="AX381" s="1131"/>
      <c r="AY381" s="1131"/>
      <c r="AZ381" s="1131"/>
      <c r="BA381" s="1131"/>
      <c r="BB381" s="1131"/>
      <c r="BC381" s="1131"/>
      <c r="BD381" s="1131"/>
      <c r="BE381" s="1131"/>
      <c r="BF381" s="1131"/>
      <c r="BG381" s="1131"/>
      <c r="BH381" s="1131"/>
      <c r="BI381" s="1131"/>
      <c r="BJ381" s="1131"/>
      <c r="BK381" s="1131"/>
      <c r="BL381" s="1131"/>
      <c r="BM381" s="1131"/>
      <c r="BN381" s="1131"/>
      <c r="BO381" s="1131"/>
      <c r="BP381" s="1131"/>
      <c r="BQ381" s="1131"/>
      <c r="BR381" s="1131"/>
      <c r="BS381" s="1131"/>
      <c r="BT381" s="1131"/>
      <c r="BU381" s="1131"/>
      <c r="BV381" s="1131"/>
      <c r="BW381" s="1131"/>
      <c r="BX381" s="1131"/>
      <c r="BY381" s="1131"/>
      <c r="BZ381" s="1131"/>
      <c r="CA381" s="1131"/>
      <c r="CB381" s="1131"/>
      <c r="CC381" s="1131"/>
      <c r="CD381" s="1131"/>
      <c r="CE381" s="1131"/>
      <c r="CF381" s="1131"/>
      <c r="CG381" s="1131"/>
      <c r="CH381" s="29"/>
      <c r="CI381" s="185"/>
      <c r="CJ381" s="17"/>
    </row>
    <row r="382" spans="1:88" s="3" customFormat="1" hidden="1">
      <c r="A382" s="243" t="str">
        <f t="shared" si="6"/>
        <v>OK</v>
      </c>
      <c r="B382" s="1126" t="str">
        <f>IF(CONSOLIDA!BH154="","",CONSOLIDA!BH154)</f>
        <v/>
      </c>
      <c r="C382" s="1126"/>
      <c r="D382" s="1134" t="str">
        <f>IF(CONSOLIDA!BJ154="","",CONSOLIDA!BJ154)</f>
        <v/>
      </c>
      <c r="E382" s="1135"/>
      <c r="F382" s="1135"/>
      <c r="G382" s="1129" t="str">
        <f>IF(CONSOLIDA!BK154="","",CONSOLIDA!BK154)</f>
        <v/>
      </c>
      <c r="H382" s="1129"/>
      <c r="I382" s="1129"/>
      <c r="J382" s="1129"/>
      <c r="K382" s="1129"/>
      <c r="L382" s="1129"/>
      <c r="M382" s="1129"/>
      <c r="N382" s="1129"/>
      <c r="O382" s="1129"/>
      <c r="P382" s="1129"/>
      <c r="Q382" s="1129"/>
      <c r="R382" s="1129"/>
      <c r="S382" s="1129"/>
      <c r="T382" s="1129"/>
      <c r="U382" s="1129"/>
      <c r="V382" s="1129"/>
      <c r="W382" s="1129"/>
      <c r="X382" s="1129"/>
      <c r="Y382" s="1129"/>
      <c r="Z382" s="1129"/>
      <c r="AA382" s="1129"/>
      <c r="AB382" s="1129"/>
      <c r="AC382" s="1129"/>
      <c r="AD382" s="1129"/>
      <c r="AE382" s="1130"/>
      <c r="AF382" s="1131"/>
      <c r="AG382" s="1131"/>
      <c r="AH382" s="1131"/>
      <c r="AI382" s="1131"/>
      <c r="AJ382" s="1131"/>
      <c r="AK382" s="1131"/>
      <c r="AL382" s="1131"/>
      <c r="AM382" s="1131"/>
      <c r="AN382" s="1131"/>
      <c r="AO382" s="1131"/>
      <c r="AP382" s="1131"/>
      <c r="AQ382" s="1131"/>
      <c r="AR382" s="1131"/>
      <c r="AS382" s="1131"/>
      <c r="AT382" s="1131"/>
      <c r="AU382" s="1131"/>
      <c r="AV382" s="1131"/>
      <c r="AW382" s="1131"/>
      <c r="AX382" s="1131"/>
      <c r="AY382" s="1131"/>
      <c r="AZ382" s="1131"/>
      <c r="BA382" s="1131"/>
      <c r="BB382" s="1131"/>
      <c r="BC382" s="1131"/>
      <c r="BD382" s="1131"/>
      <c r="BE382" s="1131"/>
      <c r="BF382" s="1131"/>
      <c r="BG382" s="1131"/>
      <c r="BH382" s="1131"/>
      <c r="BI382" s="1131"/>
      <c r="BJ382" s="1131"/>
      <c r="BK382" s="1131"/>
      <c r="BL382" s="1131"/>
      <c r="BM382" s="1131"/>
      <c r="BN382" s="1131"/>
      <c r="BO382" s="1131"/>
      <c r="BP382" s="1131"/>
      <c r="BQ382" s="1131"/>
      <c r="BR382" s="1131"/>
      <c r="BS382" s="1131"/>
      <c r="BT382" s="1131"/>
      <c r="BU382" s="1131"/>
      <c r="BV382" s="1131"/>
      <c r="BW382" s="1131"/>
      <c r="BX382" s="1131"/>
      <c r="BY382" s="1131"/>
      <c r="BZ382" s="1131"/>
      <c r="CA382" s="1131"/>
      <c r="CB382" s="1131"/>
      <c r="CC382" s="1131"/>
      <c r="CD382" s="1131"/>
      <c r="CE382" s="1131"/>
      <c r="CF382" s="1131"/>
      <c r="CG382" s="1131"/>
      <c r="CH382" s="29"/>
      <c r="CI382" s="185"/>
      <c r="CJ382" s="17"/>
    </row>
    <row r="383" spans="1:88" s="3" customFormat="1" hidden="1">
      <c r="A383" s="243" t="str">
        <f t="shared" si="6"/>
        <v>OK</v>
      </c>
      <c r="B383" s="1126" t="str">
        <f>IF(CONSOLIDA!BH155="","",CONSOLIDA!BH155)</f>
        <v/>
      </c>
      <c r="C383" s="1126"/>
      <c r="D383" s="1134" t="str">
        <f>IF(CONSOLIDA!BJ155="","",CONSOLIDA!BJ155)</f>
        <v/>
      </c>
      <c r="E383" s="1135"/>
      <c r="F383" s="1135"/>
      <c r="G383" s="1129" t="str">
        <f>IF(CONSOLIDA!BK155="","",CONSOLIDA!BK155)</f>
        <v/>
      </c>
      <c r="H383" s="1129"/>
      <c r="I383" s="1129"/>
      <c r="J383" s="1129"/>
      <c r="K383" s="1129"/>
      <c r="L383" s="1129"/>
      <c r="M383" s="1129"/>
      <c r="N383" s="1129"/>
      <c r="O383" s="1129"/>
      <c r="P383" s="1129"/>
      <c r="Q383" s="1129"/>
      <c r="R383" s="1129"/>
      <c r="S383" s="1129"/>
      <c r="T383" s="1129"/>
      <c r="U383" s="1129"/>
      <c r="V383" s="1129"/>
      <c r="W383" s="1129"/>
      <c r="X383" s="1129"/>
      <c r="Y383" s="1129"/>
      <c r="Z383" s="1129"/>
      <c r="AA383" s="1129"/>
      <c r="AB383" s="1129"/>
      <c r="AC383" s="1129"/>
      <c r="AD383" s="1129"/>
      <c r="AE383" s="1130"/>
      <c r="AF383" s="1131"/>
      <c r="AG383" s="1131"/>
      <c r="AH383" s="1131"/>
      <c r="AI383" s="1131"/>
      <c r="AJ383" s="1131"/>
      <c r="AK383" s="1131"/>
      <c r="AL383" s="1131"/>
      <c r="AM383" s="1131"/>
      <c r="AN383" s="1131"/>
      <c r="AO383" s="1131"/>
      <c r="AP383" s="1131"/>
      <c r="AQ383" s="1131"/>
      <c r="AR383" s="1131"/>
      <c r="AS383" s="1131"/>
      <c r="AT383" s="1131"/>
      <c r="AU383" s="1131"/>
      <c r="AV383" s="1131"/>
      <c r="AW383" s="1131"/>
      <c r="AX383" s="1131"/>
      <c r="AY383" s="1131"/>
      <c r="AZ383" s="1131"/>
      <c r="BA383" s="1131"/>
      <c r="BB383" s="1131"/>
      <c r="BC383" s="1131"/>
      <c r="BD383" s="1131"/>
      <c r="BE383" s="1131"/>
      <c r="BF383" s="1131"/>
      <c r="BG383" s="1131"/>
      <c r="BH383" s="1131"/>
      <c r="BI383" s="1131"/>
      <c r="BJ383" s="1131"/>
      <c r="BK383" s="1131"/>
      <c r="BL383" s="1131"/>
      <c r="BM383" s="1131"/>
      <c r="BN383" s="1131"/>
      <c r="BO383" s="1131"/>
      <c r="BP383" s="1131"/>
      <c r="BQ383" s="1131"/>
      <c r="BR383" s="1131"/>
      <c r="BS383" s="1131"/>
      <c r="BT383" s="1131"/>
      <c r="BU383" s="1131"/>
      <c r="BV383" s="1131"/>
      <c r="BW383" s="1131"/>
      <c r="BX383" s="1131"/>
      <c r="BY383" s="1131"/>
      <c r="BZ383" s="1131"/>
      <c r="CA383" s="1131"/>
      <c r="CB383" s="1131"/>
      <c r="CC383" s="1131"/>
      <c r="CD383" s="1131"/>
      <c r="CE383" s="1131"/>
      <c r="CF383" s="1131"/>
      <c r="CG383" s="1131"/>
      <c r="CH383" s="29"/>
      <c r="CI383" s="185"/>
      <c r="CJ383" s="17"/>
    </row>
    <row r="384" spans="1:88" s="3" customFormat="1" hidden="1">
      <c r="A384" s="243" t="str">
        <f t="shared" si="6"/>
        <v>OK</v>
      </c>
      <c r="B384" s="1126" t="str">
        <f>IF(CONSOLIDA!BH156="","",CONSOLIDA!BH156)</f>
        <v/>
      </c>
      <c r="C384" s="1126"/>
      <c r="D384" s="1134" t="str">
        <f>IF(CONSOLIDA!BJ156="","",CONSOLIDA!BJ156)</f>
        <v/>
      </c>
      <c r="E384" s="1135"/>
      <c r="F384" s="1135"/>
      <c r="G384" s="1129" t="str">
        <f>IF(CONSOLIDA!BK156="","",CONSOLIDA!BK156)</f>
        <v/>
      </c>
      <c r="H384" s="1129"/>
      <c r="I384" s="1129"/>
      <c r="J384" s="1129"/>
      <c r="K384" s="1129"/>
      <c r="L384" s="1129"/>
      <c r="M384" s="1129"/>
      <c r="N384" s="1129"/>
      <c r="O384" s="1129"/>
      <c r="P384" s="1129"/>
      <c r="Q384" s="1129"/>
      <c r="R384" s="1129"/>
      <c r="S384" s="1129"/>
      <c r="T384" s="1129"/>
      <c r="U384" s="1129"/>
      <c r="V384" s="1129"/>
      <c r="W384" s="1129"/>
      <c r="X384" s="1129"/>
      <c r="Y384" s="1129"/>
      <c r="Z384" s="1129"/>
      <c r="AA384" s="1129"/>
      <c r="AB384" s="1129"/>
      <c r="AC384" s="1129"/>
      <c r="AD384" s="1129"/>
      <c r="AE384" s="1130"/>
      <c r="AF384" s="1131"/>
      <c r="AG384" s="1131"/>
      <c r="AH384" s="1131"/>
      <c r="AI384" s="1131"/>
      <c r="AJ384" s="1131"/>
      <c r="AK384" s="1131"/>
      <c r="AL384" s="1131"/>
      <c r="AM384" s="1131"/>
      <c r="AN384" s="1131"/>
      <c r="AO384" s="1131"/>
      <c r="AP384" s="1131"/>
      <c r="AQ384" s="1131"/>
      <c r="AR384" s="1131"/>
      <c r="AS384" s="1131"/>
      <c r="AT384" s="1131"/>
      <c r="AU384" s="1131"/>
      <c r="AV384" s="1131"/>
      <c r="AW384" s="1131"/>
      <c r="AX384" s="1131"/>
      <c r="AY384" s="1131"/>
      <c r="AZ384" s="1131"/>
      <c r="BA384" s="1131"/>
      <c r="BB384" s="1131"/>
      <c r="BC384" s="1131"/>
      <c r="BD384" s="1131"/>
      <c r="BE384" s="1131"/>
      <c r="BF384" s="1131"/>
      <c r="BG384" s="1131"/>
      <c r="BH384" s="1131"/>
      <c r="BI384" s="1131"/>
      <c r="BJ384" s="1131"/>
      <c r="BK384" s="1131"/>
      <c r="BL384" s="1131"/>
      <c r="BM384" s="1131"/>
      <c r="BN384" s="1131"/>
      <c r="BO384" s="1131"/>
      <c r="BP384" s="1131"/>
      <c r="BQ384" s="1131"/>
      <c r="BR384" s="1131"/>
      <c r="BS384" s="1131"/>
      <c r="BT384" s="1131"/>
      <c r="BU384" s="1131"/>
      <c r="BV384" s="1131"/>
      <c r="BW384" s="1131"/>
      <c r="BX384" s="1131"/>
      <c r="BY384" s="1131"/>
      <c r="BZ384" s="1131"/>
      <c r="CA384" s="1131"/>
      <c r="CB384" s="1131"/>
      <c r="CC384" s="1131"/>
      <c r="CD384" s="1131"/>
      <c r="CE384" s="1131"/>
      <c r="CF384" s="1131"/>
      <c r="CG384" s="1131"/>
      <c r="CH384" s="29"/>
      <c r="CI384" s="185"/>
      <c r="CJ384" s="17"/>
    </row>
    <row r="385" spans="1:88" s="3" customFormat="1" hidden="1">
      <c r="A385" s="243" t="str">
        <f t="shared" si="6"/>
        <v>OK</v>
      </c>
      <c r="B385" s="1126" t="str">
        <f>IF(CONSOLIDA!BH157="","",CONSOLIDA!BH157)</f>
        <v/>
      </c>
      <c r="C385" s="1126"/>
      <c r="D385" s="1134" t="str">
        <f>IF(CONSOLIDA!BJ157="","",CONSOLIDA!BJ157)</f>
        <v/>
      </c>
      <c r="E385" s="1135"/>
      <c r="F385" s="1135"/>
      <c r="G385" s="1129" t="str">
        <f>IF(CONSOLIDA!BK157="","",CONSOLIDA!BK157)</f>
        <v/>
      </c>
      <c r="H385" s="1129"/>
      <c r="I385" s="1129"/>
      <c r="J385" s="1129"/>
      <c r="K385" s="1129"/>
      <c r="L385" s="1129"/>
      <c r="M385" s="1129"/>
      <c r="N385" s="1129"/>
      <c r="O385" s="1129"/>
      <c r="P385" s="1129"/>
      <c r="Q385" s="1129"/>
      <c r="R385" s="1129"/>
      <c r="S385" s="1129"/>
      <c r="T385" s="1129"/>
      <c r="U385" s="1129"/>
      <c r="V385" s="1129"/>
      <c r="W385" s="1129"/>
      <c r="X385" s="1129"/>
      <c r="Y385" s="1129"/>
      <c r="Z385" s="1129"/>
      <c r="AA385" s="1129"/>
      <c r="AB385" s="1129"/>
      <c r="AC385" s="1129"/>
      <c r="AD385" s="1129"/>
      <c r="AE385" s="1130"/>
      <c r="AF385" s="1131"/>
      <c r="AG385" s="1131"/>
      <c r="AH385" s="1131"/>
      <c r="AI385" s="1131"/>
      <c r="AJ385" s="1131"/>
      <c r="AK385" s="1131"/>
      <c r="AL385" s="1131"/>
      <c r="AM385" s="1131"/>
      <c r="AN385" s="1131"/>
      <c r="AO385" s="1131"/>
      <c r="AP385" s="1131"/>
      <c r="AQ385" s="1131"/>
      <c r="AR385" s="1131"/>
      <c r="AS385" s="1131"/>
      <c r="AT385" s="1131"/>
      <c r="AU385" s="1131"/>
      <c r="AV385" s="1131"/>
      <c r="AW385" s="1131"/>
      <c r="AX385" s="1131"/>
      <c r="AY385" s="1131"/>
      <c r="AZ385" s="1131"/>
      <c r="BA385" s="1131"/>
      <c r="BB385" s="1131"/>
      <c r="BC385" s="1131"/>
      <c r="BD385" s="1131"/>
      <c r="BE385" s="1131"/>
      <c r="BF385" s="1131"/>
      <c r="BG385" s="1131"/>
      <c r="BH385" s="1131"/>
      <c r="BI385" s="1131"/>
      <c r="BJ385" s="1131"/>
      <c r="BK385" s="1131"/>
      <c r="BL385" s="1131"/>
      <c r="BM385" s="1131"/>
      <c r="BN385" s="1131"/>
      <c r="BO385" s="1131"/>
      <c r="BP385" s="1131"/>
      <c r="BQ385" s="1131"/>
      <c r="BR385" s="1131"/>
      <c r="BS385" s="1131"/>
      <c r="BT385" s="1131"/>
      <c r="BU385" s="1131"/>
      <c r="BV385" s="1131"/>
      <c r="BW385" s="1131"/>
      <c r="BX385" s="1131"/>
      <c r="BY385" s="1131"/>
      <c r="BZ385" s="1131"/>
      <c r="CA385" s="1131"/>
      <c r="CB385" s="1131"/>
      <c r="CC385" s="1131"/>
      <c r="CD385" s="1131"/>
      <c r="CE385" s="1131"/>
      <c r="CF385" s="1131"/>
      <c r="CG385" s="1131"/>
      <c r="CH385" s="29"/>
      <c r="CI385" s="185"/>
      <c r="CJ385" s="17"/>
    </row>
    <row r="386" spans="1:88" s="3" customFormat="1" hidden="1">
      <c r="A386" s="243" t="str">
        <f t="shared" si="6"/>
        <v>OK</v>
      </c>
      <c r="B386" s="1126" t="str">
        <f>IF(CONSOLIDA!BH158="","",CONSOLIDA!BH158)</f>
        <v/>
      </c>
      <c r="C386" s="1126"/>
      <c r="D386" s="1134" t="str">
        <f>IF(CONSOLIDA!BJ158="","",CONSOLIDA!BJ158)</f>
        <v/>
      </c>
      <c r="E386" s="1135"/>
      <c r="F386" s="1135"/>
      <c r="G386" s="1129" t="str">
        <f>IF(CONSOLIDA!BK158="","",CONSOLIDA!BK158)</f>
        <v/>
      </c>
      <c r="H386" s="1129"/>
      <c r="I386" s="1129"/>
      <c r="J386" s="1129"/>
      <c r="K386" s="1129"/>
      <c r="L386" s="1129"/>
      <c r="M386" s="1129"/>
      <c r="N386" s="1129"/>
      <c r="O386" s="1129"/>
      <c r="P386" s="1129"/>
      <c r="Q386" s="1129"/>
      <c r="R386" s="1129"/>
      <c r="S386" s="1129"/>
      <c r="T386" s="1129"/>
      <c r="U386" s="1129"/>
      <c r="V386" s="1129"/>
      <c r="W386" s="1129"/>
      <c r="X386" s="1129"/>
      <c r="Y386" s="1129"/>
      <c r="Z386" s="1129"/>
      <c r="AA386" s="1129"/>
      <c r="AB386" s="1129"/>
      <c r="AC386" s="1129"/>
      <c r="AD386" s="1129"/>
      <c r="AE386" s="1130"/>
      <c r="AF386" s="1131"/>
      <c r="AG386" s="1131"/>
      <c r="AH386" s="1131"/>
      <c r="AI386" s="1131"/>
      <c r="AJ386" s="1131"/>
      <c r="AK386" s="1131"/>
      <c r="AL386" s="1131"/>
      <c r="AM386" s="1131"/>
      <c r="AN386" s="1131"/>
      <c r="AO386" s="1131"/>
      <c r="AP386" s="1131"/>
      <c r="AQ386" s="1131"/>
      <c r="AR386" s="1131"/>
      <c r="AS386" s="1131"/>
      <c r="AT386" s="1131"/>
      <c r="AU386" s="1131"/>
      <c r="AV386" s="1131"/>
      <c r="AW386" s="1131"/>
      <c r="AX386" s="1131"/>
      <c r="AY386" s="1131"/>
      <c r="AZ386" s="1131"/>
      <c r="BA386" s="1131"/>
      <c r="BB386" s="1131"/>
      <c r="BC386" s="1131"/>
      <c r="BD386" s="1131"/>
      <c r="BE386" s="1131"/>
      <c r="BF386" s="1131"/>
      <c r="BG386" s="1131"/>
      <c r="BH386" s="1131"/>
      <c r="BI386" s="1131"/>
      <c r="BJ386" s="1131"/>
      <c r="BK386" s="1131"/>
      <c r="BL386" s="1131"/>
      <c r="BM386" s="1131"/>
      <c r="BN386" s="1131"/>
      <c r="BO386" s="1131"/>
      <c r="BP386" s="1131"/>
      <c r="BQ386" s="1131"/>
      <c r="BR386" s="1131"/>
      <c r="BS386" s="1131"/>
      <c r="BT386" s="1131"/>
      <c r="BU386" s="1131"/>
      <c r="BV386" s="1131"/>
      <c r="BW386" s="1131"/>
      <c r="BX386" s="1131"/>
      <c r="BY386" s="1131"/>
      <c r="BZ386" s="1131"/>
      <c r="CA386" s="1131"/>
      <c r="CB386" s="1131"/>
      <c r="CC386" s="1131"/>
      <c r="CD386" s="1131"/>
      <c r="CE386" s="1131"/>
      <c r="CF386" s="1131"/>
      <c r="CG386" s="1131"/>
      <c r="CH386" s="29"/>
      <c r="CI386" s="185"/>
      <c r="CJ386" s="17"/>
    </row>
    <row r="387" spans="1:88" s="3" customFormat="1" hidden="1">
      <c r="A387" s="243" t="str">
        <f t="shared" si="6"/>
        <v>OK</v>
      </c>
      <c r="B387" s="1126" t="str">
        <f>IF(CONSOLIDA!BH159="","",CONSOLIDA!BH159)</f>
        <v/>
      </c>
      <c r="C387" s="1126"/>
      <c r="D387" s="1134" t="str">
        <f>IF(CONSOLIDA!BJ159="","",CONSOLIDA!BJ159)</f>
        <v/>
      </c>
      <c r="E387" s="1135"/>
      <c r="F387" s="1135"/>
      <c r="G387" s="1129" t="str">
        <f>IF(CONSOLIDA!BK159="","",CONSOLIDA!BK159)</f>
        <v/>
      </c>
      <c r="H387" s="1129"/>
      <c r="I387" s="1129"/>
      <c r="J387" s="1129"/>
      <c r="K387" s="1129"/>
      <c r="L387" s="1129"/>
      <c r="M387" s="1129"/>
      <c r="N387" s="1129"/>
      <c r="O387" s="1129"/>
      <c r="P387" s="1129"/>
      <c r="Q387" s="1129"/>
      <c r="R387" s="1129"/>
      <c r="S387" s="1129"/>
      <c r="T387" s="1129"/>
      <c r="U387" s="1129"/>
      <c r="V387" s="1129"/>
      <c r="W387" s="1129"/>
      <c r="X387" s="1129"/>
      <c r="Y387" s="1129"/>
      <c r="Z387" s="1129"/>
      <c r="AA387" s="1129"/>
      <c r="AB387" s="1129"/>
      <c r="AC387" s="1129"/>
      <c r="AD387" s="1129"/>
      <c r="AE387" s="1130"/>
      <c r="AF387" s="1131"/>
      <c r="AG387" s="1131"/>
      <c r="AH387" s="1131"/>
      <c r="AI387" s="1131"/>
      <c r="AJ387" s="1131"/>
      <c r="AK387" s="1131"/>
      <c r="AL387" s="1131"/>
      <c r="AM387" s="1131"/>
      <c r="AN387" s="1131"/>
      <c r="AO387" s="1131"/>
      <c r="AP387" s="1131"/>
      <c r="AQ387" s="1131"/>
      <c r="AR387" s="1131"/>
      <c r="AS387" s="1131"/>
      <c r="AT387" s="1131"/>
      <c r="AU387" s="1131"/>
      <c r="AV387" s="1131"/>
      <c r="AW387" s="1131"/>
      <c r="AX387" s="1131"/>
      <c r="AY387" s="1131"/>
      <c r="AZ387" s="1131"/>
      <c r="BA387" s="1131"/>
      <c r="BB387" s="1131"/>
      <c r="BC387" s="1131"/>
      <c r="BD387" s="1131"/>
      <c r="BE387" s="1131"/>
      <c r="BF387" s="1131"/>
      <c r="BG387" s="1131"/>
      <c r="BH387" s="1131"/>
      <c r="BI387" s="1131"/>
      <c r="BJ387" s="1131"/>
      <c r="BK387" s="1131"/>
      <c r="BL387" s="1131"/>
      <c r="BM387" s="1131"/>
      <c r="BN387" s="1131"/>
      <c r="BO387" s="1131"/>
      <c r="BP387" s="1131"/>
      <c r="BQ387" s="1131"/>
      <c r="BR387" s="1131"/>
      <c r="BS387" s="1131"/>
      <c r="BT387" s="1131"/>
      <c r="BU387" s="1131"/>
      <c r="BV387" s="1131"/>
      <c r="BW387" s="1131"/>
      <c r="BX387" s="1131"/>
      <c r="BY387" s="1131"/>
      <c r="BZ387" s="1131"/>
      <c r="CA387" s="1131"/>
      <c r="CB387" s="1131"/>
      <c r="CC387" s="1131"/>
      <c r="CD387" s="1131"/>
      <c r="CE387" s="1131"/>
      <c r="CF387" s="1131"/>
      <c r="CG387" s="1131"/>
      <c r="CH387" s="29"/>
      <c r="CI387" s="185"/>
      <c r="CJ387" s="17"/>
    </row>
    <row r="388" spans="1:88" s="3" customFormat="1" hidden="1">
      <c r="A388" s="243" t="str">
        <f t="shared" si="6"/>
        <v>OK</v>
      </c>
      <c r="B388" s="1126" t="str">
        <f>IF(CONSOLIDA!BH160="","",CONSOLIDA!BH160)</f>
        <v/>
      </c>
      <c r="C388" s="1126"/>
      <c r="D388" s="1134" t="str">
        <f>IF(CONSOLIDA!BJ160="","",CONSOLIDA!BJ160)</f>
        <v/>
      </c>
      <c r="E388" s="1135"/>
      <c r="F388" s="1135"/>
      <c r="G388" s="1129" t="str">
        <f>IF(CONSOLIDA!BK160="","",CONSOLIDA!BK160)</f>
        <v/>
      </c>
      <c r="H388" s="1129"/>
      <c r="I388" s="1129"/>
      <c r="J388" s="1129"/>
      <c r="K388" s="1129"/>
      <c r="L388" s="1129"/>
      <c r="M388" s="1129"/>
      <c r="N388" s="1129"/>
      <c r="O388" s="1129"/>
      <c r="P388" s="1129"/>
      <c r="Q388" s="1129"/>
      <c r="R388" s="1129"/>
      <c r="S388" s="1129"/>
      <c r="T388" s="1129"/>
      <c r="U388" s="1129"/>
      <c r="V388" s="1129"/>
      <c r="W388" s="1129"/>
      <c r="X388" s="1129"/>
      <c r="Y388" s="1129"/>
      <c r="Z388" s="1129"/>
      <c r="AA388" s="1129"/>
      <c r="AB388" s="1129"/>
      <c r="AC388" s="1129"/>
      <c r="AD388" s="1129"/>
      <c r="AE388" s="1130"/>
      <c r="AF388" s="1131"/>
      <c r="AG388" s="1131"/>
      <c r="AH388" s="1131"/>
      <c r="AI388" s="1131"/>
      <c r="AJ388" s="1131"/>
      <c r="AK388" s="1131"/>
      <c r="AL388" s="1131"/>
      <c r="AM388" s="1131"/>
      <c r="AN388" s="1131"/>
      <c r="AO388" s="1131"/>
      <c r="AP388" s="1131"/>
      <c r="AQ388" s="1131"/>
      <c r="AR388" s="1131"/>
      <c r="AS388" s="1131"/>
      <c r="AT388" s="1131"/>
      <c r="AU388" s="1131"/>
      <c r="AV388" s="1131"/>
      <c r="AW388" s="1131"/>
      <c r="AX388" s="1131"/>
      <c r="AY388" s="1131"/>
      <c r="AZ388" s="1131"/>
      <c r="BA388" s="1131"/>
      <c r="BB388" s="1131"/>
      <c r="BC388" s="1131"/>
      <c r="BD388" s="1131"/>
      <c r="BE388" s="1131"/>
      <c r="BF388" s="1131"/>
      <c r="BG388" s="1131"/>
      <c r="BH388" s="1131"/>
      <c r="BI388" s="1131"/>
      <c r="BJ388" s="1131"/>
      <c r="BK388" s="1131"/>
      <c r="BL388" s="1131"/>
      <c r="BM388" s="1131"/>
      <c r="BN388" s="1131"/>
      <c r="BO388" s="1131"/>
      <c r="BP388" s="1131"/>
      <c r="BQ388" s="1131"/>
      <c r="BR388" s="1131"/>
      <c r="BS388" s="1131"/>
      <c r="BT388" s="1131"/>
      <c r="BU388" s="1131"/>
      <c r="BV388" s="1131"/>
      <c r="BW388" s="1131"/>
      <c r="BX388" s="1131"/>
      <c r="BY388" s="1131"/>
      <c r="BZ388" s="1131"/>
      <c r="CA388" s="1131"/>
      <c r="CB388" s="1131"/>
      <c r="CC388" s="1131"/>
      <c r="CD388" s="1131"/>
      <c r="CE388" s="1131"/>
      <c r="CF388" s="1131"/>
      <c r="CG388" s="1131"/>
      <c r="CH388" s="29"/>
      <c r="CI388" s="185"/>
      <c r="CJ388" s="17"/>
    </row>
    <row r="389" spans="1:88" s="3" customFormat="1" hidden="1">
      <c r="A389" s="243" t="str">
        <f t="shared" si="6"/>
        <v>OK</v>
      </c>
      <c r="B389" s="1126" t="str">
        <f>IF(CONSOLIDA!BH161="","",CONSOLIDA!BH161)</f>
        <v/>
      </c>
      <c r="C389" s="1126"/>
      <c r="D389" s="1134" t="str">
        <f>IF(CONSOLIDA!BJ161="","",CONSOLIDA!BJ161)</f>
        <v/>
      </c>
      <c r="E389" s="1135"/>
      <c r="F389" s="1135"/>
      <c r="G389" s="1129" t="str">
        <f>IF(CONSOLIDA!BK161="","",CONSOLIDA!BK161)</f>
        <v/>
      </c>
      <c r="H389" s="1129"/>
      <c r="I389" s="1129"/>
      <c r="J389" s="1129"/>
      <c r="K389" s="1129"/>
      <c r="L389" s="1129"/>
      <c r="M389" s="1129"/>
      <c r="N389" s="1129"/>
      <c r="O389" s="1129"/>
      <c r="P389" s="1129"/>
      <c r="Q389" s="1129"/>
      <c r="R389" s="1129"/>
      <c r="S389" s="1129"/>
      <c r="T389" s="1129"/>
      <c r="U389" s="1129"/>
      <c r="V389" s="1129"/>
      <c r="W389" s="1129"/>
      <c r="X389" s="1129"/>
      <c r="Y389" s="1129"/>
      <c r="Z389" s="1129"/>
      <c r="AA389" s="1129"/>
      <c r="AB389" s="1129"/>
      <c r="AC389" s="1129"/>
      <c r="AD389" s="1129"/>
      <c r="AE389" s="1130"/>
      <c r="AF389" s="1131"/>
      <c r="AG389" s="1131"/>
      <c r="AH389" s="1131"/>
      <c r="AI389" s="1131"/>
      <c r="AJ389" s="1131"/>
      <c r="AK389" s="1131"/>
      <c r="AL389" s="1131"/>
      <c r="AM389" s="1131"/>
      <c r="AN389" s="1131"/>
      <c r="AO389" s="1131"/>
      <c r="AP389" s="1131"/>
      <c r="AQ389" s="1131"/>
      <c r="AR389" s="1131"/>
      <c r="AS389" s="1131"/>
      <c r="AT389" s="1131"/>
      <c r="AU389" s="1131"/>
      <c r="AV389" s="1131"/>
      <c r="AW389" s="1131"/>
      <c r="AX389" s="1131"/>
      <c r="AY389" s="1131"/>
      <c r="AZ389" s="1131"/>
      <c r="BA389" s="1131"/>
      <c r="BB389" s="1131"/>
      <c r="BC389" s="1131"/>
      <c r="BD389" s="1131"/>
      <c r="BE389" s="1131"/>
      <c r="BF389" s="1131"/>
      <c r="BG389" s="1131"/>
      <c r="BH389" s="1131"/>
      <c r="BI389" s="1131"/>
      <c r="BJ389" s="1131"/>
      <c r="BK389" s="1131"/>
      <c r="BL389" s="1131"/>
      <c r="BM389" s="1131"/>
      <c r="BN389" s="1131"/>
      <c r="BO389" s="1131"/>
      <c r="BP389" s="1131"/>
      <c r="BQ389" s="1131"/>
      <c r="BR389" s="1131"/>
      <c r="BS389" s="1131"/>
      <c r="BT389" s="1131"/>
      <c r="BU389" s="1131"/>
      <c r="BV389" s="1131"/>
      <c r="BW389" s="1131"/>
      <c r="BX389" s="1131"/>
      <c r="BY389" s="1131"/>
      <c r="BZ389" s="1131"/>
      <c r="CA389" s="1131"/>
      <c r="CB389" s="1131"/>
      <c r="CC389" s="1131"/>
      <c r="CD389" s="1131"/>
      <c r="CE389" s="1131"/>
      <c r="CF389" s="1131"/>
      <c r="CG389" s="1131"/>
      <c r="CH389" s="29"/>
      <c r="CI389" s="185"/>
      <c r="CJ389" s="17"/>
    </row>
    <row r="390" spans="1:88" s="3" customFormat="1" hidden="1">
      <c r="A390" s="243" t="str">
        <f t="shared" si="6"/>
        <v>OK</v>
      </c>
      <c r="B390" s="1126" t="str">
        <f>IF(CONSOLIDA!BH162="","",CONSOLIDA!BH162)</f>
        <v/>
      </c>
      <c r="C390" s="1126"/>
      <c r="D390" s="1134" t="str">
        <f>IF(CONSOLIDA!BJ162="","",CONSOLIDA!BJ162)</f>
        <v/>
      </c>
      <c r="E390" s="1135"/>
      <c r="F390" s="1135"/>
      <c r="G390" s="1129" t="str">
        <f>IF(CONSOLIDA!BK162="","",CONSOLIDA!BK162)</f>
        <v/>
      </c>
      <c r="H390" s="1129"/>
      <c r="I390" s="1129"/>
      <c r="J390" s="1129"/>
      <c r="K390" s="1129"/>
      <c r="L390" s="1129"/>
      <c r="M390" s="1129"/>
      <c r="N390" s="1129"/>
      <c r="O390" s="1129"/>
      <c r="P390" s="1129"/>
      <c r="Q390" s="1129"/>
      <c r="R390" s="1129"/>
      <c r="S390" s="1129"/>
      <c r="T390" s="1129"/>
      <c r="U390" s="1129"/>
      <c r="V390" s="1129"/>
      <c r="W390" s="1129"/>
      <c r="X390" s="1129"/>
      <c r="Y390" s="1129"/>
      <c r="Z390" s="1129"/>
      <c r="AA390" s="1129"/>
      <c r="AB390" s="1129"/>
      <c r="AC390" s="1129"/>
      <c r="AD390" s="1129"/>
      <c r="AE390" s="1130"/>
      <c r="AF390" s="1131"/>
      <c r="AG390" s="1131"/>
      <c r="AH390" s="1131"/>
      <c r="AI390" s="1131"/>
      <c r="AJ390" s="1131"/>
      <c r="AK390" s="1131"/>
      <c r="AL390" s="1131"/>
      <c r="AM390" s="1131"/>
      <c r="AN390" s="1131"/>
      <c r="AO390" s="1131"/>
      <c r="AP390" s="1131"/>
      <c r="AQ390" s="1131"/>
      <c r="AR390" s="1131"/>
      <c r="AS390" s="1131"/>
      <c r="AT390" s="1131"/>
      <c r="AU390" s="1131"/>
      <c r="AV390" s="1131"/>
      <c r="AW390" s="1131"/>
      <c r="AX390" s="1131"/>
      <c r="AY390" s="1131"/>
      <c r="AZ390" s="1131"/>
      <c r="BA390" s="1131"/>
      <c r="BB390" s="1131"/>
      <c r="BC390" s="1131"/>
      <c r="BD390" s="1131"/>
      <c r="BE390" s="1131"/>
      <c r="BF390" s="1131"/>
      <c r="BG390" s="1131"/>
      <c r="BH390" s="1131"/>
      <c r="BI390" s="1131"/>
      <c r="BJ390" s="1131"/>
      <c r="BK390" s="1131"/>
      <c r="BL390" s="1131"/>
      <c r="BM390" s="1131"/>
      <c r="BN390" s="1131"/>
      <c r="BO390" s="1131"/>
      <c r="BP390" s="1131"/>
      <c r="BQ390" s="1131"/>
      <c r="BR390" s="1131"/>
      <c r="BS390" s="1131"/>
      <c r="BT390" s="1131"/>
      <c r="BU390" s="1131"/>
      <c r="BV390" s="1131"/>
      <c r="BW390" s="1131"/>
      <c r="BX390" s="1131"/>
      <c r="BY390" s="1131"/>
      <c r="BZ390" s="1131"/>
      <c r="CA390" s="1131"/>
      <c r="CB390" s="1131"/>
      <c r="CC390" s="1131"/>
      <c r="CD390" s="1131"/>
      <c r="CE390" s="1131"/>
      <c r="CF390" s="1131"/>
      <c r="CG390" s="1131"/>
      <c r="CH390" s="29"/>
      <c r="CI390" s="185"/>
      <c r="CJ390" s="17"/>
    </row>
    <row r="391" spans="1:88" s="3" customFormat="1" hidden="1">
      <c r="A391" s="243" t="str">
        <f t="shared" si="6"/>
        <v>OK</v>
      </c>
      <c r="B391" s="1126" t="str">
        <f>IF(CONSOLIDA!BH163="","",CONSOLIDA!BH163)</f>
        <v/>
      </c>
      <c r="C391" s="1126"/>
      <c r="D391" s="1134" t="str">
        <f>IF(CONSOLIDA!BJ163="","",CONSOLIDA!BJ163)</f>
        <v/>
      </c>
      <c r="E391" s="1135"/>
      <c r="F391" s="1135"/>
      <c r="G391" s="1129" t="str">
        <f>IF(CONSOLIDA!BK163="","",CONSOLIDA!BK163)</f>
        <v/>
      </c>
      <c r="H391" s="1129"/>
      <c r="I391" s="1129"/>
      <c r="J391" s="1129"/>
      <c r="K391" s="1129"/>
      <c r="L391" s="1129"/>
      <c r="M391" s="1129"/>
      <c r="N391" s="1129"/>
      <c r="O391" s="1129"/>
      <c r="P391" s="1129"/>
      <c r="Q391" s="1129"/>
      <c r="R391" s="1129"/>
      <c r="S391" s="1129"/>
      <c r="T391" s="1129"/>
      <c r="U391" s="1129"/>
      <c r="V391" s="1129"/>
      <c r="W391" s="1129"/>
      <c r="X391" s="1129"/>
      <c r="Y391" s="1129"/>
      <c r="Z391" s="1129"/>
      <c r="AA391" s="1129"/>
      <c r="AB391" s="1129"/>
      <c r="AC391" s="1129"/>
      <c r="AD391" s="1129"/>
      <c r="AE391" s="1130"/>
      <c r="AF391" s="1131"/>
      <c r="AG391" s="1131"/>
      <c r="AH391" s="1131"/>
      <c r="AI391" s="1131"/>
      <c r="AJ391" s="1131"/>
      <c r="AK391" s="1131"/>
      <c r="AL391" s="1131"/>
      <c r="AM391" s="1131"/>
      <c r="AN391" s="1131"/>
      <c r="AO391" s="1131"/>
      <c r="AP391" s="1131"/>
      <c r="AQ391" s="1131"/>
      <c r="AR391" s="1131"/>
      <c r="AS391" s="1131"/>
      <c r="AT391" s="1131"/>
      <c r="AU391" s="1131"/>
      <c r="AV391" s="1131"/>
      <c r="AW391" s="1131"/>
      <c r="AX391" s="1131"/>
      <c r="AY391" s="1131"/>
      <c r="AZ391" s="1131"/>
      <c r="BA391" s="1131"/>
      <c r="BB391" s="1131"/>
      <c r="BC391" s="1131"/>
      <c r="BD391" s="1131"/>
      <c r="BE391" s="1131"/>
      <c r="BF391" s="1131"/>
      <c r="BG391" s="1131"/>
      <c r="BH391" s="1131"/>
      <c r="BI391" s="1131"/>
      <c r="BJ391" s="1131"/>
      <c r="BK391" s="1131"/>
      <c r="BL391" s="1131"/>
      <c r="BM391" s="1131"/>
      <c r="BN391" s="1131"/>
      <c r="BO391" s="1131"/>
      <c r="BP391" s="1131"/>
      <c r="BQ391" s="1131"/>
      <c r="BR391" s="1131"/>
      <c r="BS391" s="1131"/>
      <c r="BT391" s="1131"/>
      <c r="BU391" s="1131"/>
      <c r="BV391" s="1131"/>
      <c r="BW391" s="1131"/>
      <c r="BX391" s="1131"/>
      <c r="BY391" s="1131"/>
      <c r="BZ391" s="1131"/>
      <c r="CA391" s="1131"/>
      <c r="CB391" s="1131"/>
      <c r="CC391" s="1131"/>
      <c r="CD391" s="1131"/>
      <c r="CE391" s="1131"/>
      <c r="CF391" s="1131"/>
      <c r="CG391" s="1131"/>
      <c r="CH391" s="29"/>
      <c r="CI391" s="185"/>
      <c r="CJ391" s="17"/>
    </row>
    <row r="392" spans="1:88" s="3" customFormat="1" hidden="1">
      <c r="A392" s="243" t="str">
        <f t="shared" si="6"/>
        <v>OK</v>
      </c>
      <c r="B392" s="1126" t="str">
        <f>IF(CONSOLIDA!BH164="","",CONSOLIDA!BH164)</f>
        <v/>
      </c>
      <c r="C392" s="1126"/>
      <c r="D392" s="1134" t="str">
        <f>IF(CONSOLIDA!BJ164="","",CONSOLIDA!BJ164)</f>
        <v/>
      </c>
      <c r="E392" s="1135"/>
      <c r="F392" s="1135"/>
      <c r="G392" s="1129" t="str">
        <f>IF(CONSOLIDA!BK164="","",CONSOLIDA!BK164)</f>
        <v/>
      </c>
      <c r="H392" s="1129"/>
      <c r="I392" s="1129"/>
      <c r="J392" s="1129"/>
      <c r="K392" s="1129"/>
      <c r="L392" s="1129"/>
      <c r="M392" s="1129"/>
      <c r="N392" s="1129"/>
      <c r="O392" s="1129"/>
      <c r="P392" s="1129"/>
      <c r="Q392" s="1129"/>
      <c r="R392" s="1129"/>
      <c r="S392" s="1129"/>
      <c r="T392" s="1129"/>
      <c r="U392" s="1129"/>
      <c r="V392" s="1129"/>
      <c r="W392" s="1129"/>
      <c r="X392" s="1129"/>
      <c r="Y392" s="1129"/>
      <c r="Z392" s="1129"/>
      <c r="AA392" s="1129"/>
      <c r="AB392" s="1129"/>
      <c r="AC392" s="1129"/>
      <c r="AD392" s="1129"/>
      <c r="AE392" s="1130"/>
      <c r="AF392" s="1131"/>
      <c r="AG392" s="1131"/>
      <c r="AH392" s="1131"/>
      <c r="AI392" s="1131"/>
      <c r="AJ392" s="1131"/>
      <c r="AK392" s="1131"/>
      <c r="AL392" s="1131"/>
      <c r="AM392" s="1131"/>
      <c r="AN392" s="1131"/>
      <c r="AO392" s="1131"/>
      <c r="AP392" s="1131"/>
      <c r="AQ392" s="1131"/>
      <c r="AR392" s="1131"/>
      <c r="AS392" s="1131"/>
      <c r="AT392" s="1131"/>
      <c r="AU392" s="1131"/>
      <c r="AV392" s="1131"/>
      <c r="AW392" s="1131"/>
      <c r="AX392" s="1131"/>
      <c r="AY392" s="1131"/>
      <c r="AZ392" s="1131"/>
      <c r="BA392" s="1131"/>
      <c r="BB392" s="1131"/>
      <c r="BC392" s="1131"/>
      <c r="BD392" s="1131"/>
      <c r="BE392" s="1131"/>
      <c r="BF392" s="1131"/>
      <c r="BG392" s="1131"/>
      <c r="BH392" s="1131"/>
      <c r="BI392" s="1131"/>
      <c r="BJ392" s="1131"/>
      <c r="BK392" s="1131"/>
      <c r="BL392" s="1131"/>
      <c r="BM392" s="1131"/>
      <c r="BN392" s="1131"/>
      <c r="BO392" s="1131"/>
      <c r="BP392" s="1131"/>
      <c r="BQ392" s="1131"/>
      <c r="BR392" s="1131"/>
      <c r="BS392" s="1131"/>
      <c r="BT392" s="1131"/>
      <c r="BU392" s="1131"/>
      <c r="BV392" s="1131"/>
      <c r="BW392" s="1131"/>
      <c r="BX392" s="1131"/>
      <c r="BY392" s="1131"/>
      <c r="BZ392" s="1131"/>
      <c r="CA392" s="1131"/>
      <c r="CB392" s="1131"/>
      <c r="CC392" s="1131"/>
      <c r="CD392" s="1131"/>
      <c r="CE392" s="1131"/>
      <c r="CF392" s="1131"/>
      <c r="CG392" s="1131"/>
      <c r="CH392" s="29"/>
      <c r="CI392" s="185"/>
      <c r="CJ392" s="17"/>
    </row>
    <row r="393" spans="1:88" s="3" customFormat="1" hidden="1">
      <c r="A393" s="243" t="str">
        <f t="shared" si="6"/>
        <v>OK</v>
      </c>
      <c r="B393" s="1126" t="str">
        <f>IF(CONSOLIDA!BH165="","",CONSOLIDA!BH165)</f>
        <v/>
      </c>
      <c r="C393" s="1126"/>
      <c r="D393" s="1134" t="str">
        <f>IF(CONSOLIDA!BJ165="","",CONSOLIDA!BJ165)</f>
        <v/>
      </c>
      <c r="E393" s="1135"/>
      <c r="F393" s="1135"/>
      <c r="G393" s="1129" t="str">
        <f>IF(CONSOLIDA!BK165="","",CONSOLIDA!BK165)</f>
        <v/>
      </c>
      <c r="H393" s="1129"/>
      <c r="I393" s="1129"/>
      <c r="J393" s="1129"/>
      <c r="K393" s="1129"/>
      <c r="L393" s="1129"/>
      <c r="M393" s="1129"/>
      <c r="N393" s="1129"/>
      <c r="O393" s="1129"/>
      <c r="P393" s="1129"/>
      <c r="Q393" s="1129"/>
      <c r="R393" s="1129"/>
      <c r="S393" s="1129"/>
      <c r="T393" s="1129"/>
      <c r="U393" s="1129"/>
      <c r="V393" s="1129"/>
      <c r="W393" s="1129"/>
      <c r="X393" s="1129"/>
      <c r="Y393" s="1129"/>
      <c r="Z393" s="1129"/>
      <c r="AA393" s="1129"/>
      <c r="AB393" s="1129"/>
      <c r="AC393" s="1129"/>
      <c r="AD393" s="1129"/>
      <c r="AE393" s="1130"/>
      <c r="AF393" s="1131"/>
      <c r="AG393" s="1131"/>
      <c r="AH393" s="1131"/>
      <c r="AI393" s="1131"/>
      <c r="AJ393" s="1131"/>
      <c r="AK393" s="1131"/>
      <c r="AL393" s="1131"/>
      <c r="AM393" s="1131"/>
      <c r="AN393" s="1131"/>
      <c r="AO393" s="1131"/>
      <c r="AP393" s="1131"/>
      <c r="AQ393" s="1131"/>
      <c r="AR393" s="1131"/>
      <c r="AS393" s="1131"/>
      <c r="AT393" s="1131"/>
      <c r="AU393" s="1131"/>
      <c r="AV393" s="1131"/>
      <c r="AW393" s="1131"/>
      <c r="AX393" s="1131"/>
      <c r="AY393" s="1131"/>
      <c r="AZ393" s="1131"/>
      <c r="BA393" s="1131"/>
      <c r="BB393" s="1131"/>
      <c r="BC393" s="1131"/>
      <c r="BD393" s="1131"/>
      <c r="BE393" s="1131"/>
      <c r="BF393" s="1131"/>
      <c r="BG393" s="1131"/>
      <c r="BH393" s="1131"/>
      <c r="BI393" s="1131"/>
      <c r="BJ393" s="1131"/>
      <c r="BK393" s="1131"/>
      <c r="BL393" s="1131"/>
      <c r="BM393" s="1131"/>
      <c r="BN393" s="1131"/>
      <c r="BO393" s="1131"/>
      <c r="BP393" s="1131"/>
      <c r="BQ393" s="1131"/>
      <c r="BR393" s="1131"/>
      <c r="BS393" s="1131"/>
      <c r="BT393" s="1131"/>
      <c r="BU393" s="1131"/>
      <c r="BV393" s="1131"/>
      <c r="BW393" s="1131"/>
      <c r="BX393" s="1131"/>
      <c r="BY393" s="1131"/>
      <c r="BZ393" s="1131"/>
      <c r="CA393" s="1131"/>
      <c r="CB393" s="1131"/>
      <c r="CC393" s="1131"/>
      <c r="CD393" s="1131"/>
      <c r="CE393" s="1131"/>
      <c r="CF393" s="1131"/>
      <c r="CG393" s="1131"/>
      <c r="CH393" s="29"/>
      <c r="CI393" s="185"/>
      <c r="CJ393" s="17"/>
    </row>
    <row r="394" spans="1:88" s="3" customFormat="1" hidden="1">
      <c r="A394" s="243" t="str">
        <f t="shared" si="6"/>
        <v>OK</v>
      </c>
      <c r="B394" s="1126" t="str">
        <f>IF(CONSOLIDA!BH166="","",CONSOLIDA!BH166)</f>
        <v/>
      </c>
      <c r="C394" s="1126"/>
      <c r="D394" s="1134" t="str">
        <f>IF(CONSOLIDA!BJ166="","",CONSOLIDA!BJ166)</f>
        <v/>
      </c>
      <c r="E394" s="1135"/>
      <c r="F394" s="1135"/>
      <c r="G394" s="1129" t="str">
        <f>IF(CONSOLIDA!BK166="","",CONSOLIDA!BK166)</f>
        <v/>
      </c>
      <c r="H394" s="1129"/>
      <c r="I394" s="1129"/>
      <c r="J394" s="1129"/>
      <c r="K394" s="1129"/>
      <c r="L394" s="1129"/>
      <c r="M394" s="1129"/>
      <c r="N394" s="1129"/>
      <c r="O394" s="1129"/>
      <c r="P394" s="1129"/>
      <c r="Q394" s="1129"/>
      <c r="R394" s="1129"/>
      <c r="S394" s="1129"/>
      <c r="T394" s="1129"/>
      <c r="U394" s="1129"/>
      <c r="V394" s="1129"/>
      <c r="W394" s="1129"/>
      <c r="X394" s="1129"/>
      <c r="Y394" s="1129"/>
      <c r="Z394" s="1129"/>
      <c r="AA394" s="1129"/>
      <c r="AB394" s="1129"/>
      <c r="AC394" s="1129"/>
      <c r="AD394" s="1129"/>
      <c r="AE394" s="1130"/>
      <c r="AF394" s="1131"/>
      <c r="AG394" s="1131"/>
      <c r="AH394" s="1131"/>
      <c r="AI394" s="1131"/>
      <c r="AJ394" s="1131"/>
      <c r="AK394" s="1131"/>
      <c r="AL394" s="1131"/>
      <c r="AM394" s="1131"/>
      <c r="AN394" s="1131"/>
      <c r="AO394" s="1131"/>
      <c r="AP394" s="1131"/>
      <c r="AQ394" s="1131"/>
      <c r="AR394" s="1131"/>
      <c r="AS394" s="1131"/>
      <c r="AT394" s="1131"/>
      <c r="AU394" s="1131"/>
      <c r="AV394" s="1131"/>
      <c r="AW394" s="1131"/>
      <c r="AX394" s="1131"/>
      <c r="AY394" s="1131"/>
      <c r="AZ394" s="1131"/>
      <c r="BA394" s="1131"/>
      <c r="BB394" s="1131"/>
      <c r="BC394" s="1131"/>
      <c r="BD394" s="1131"/>
      <c r="BE394" s="1131"/>
      <c r="BF394" s="1131"/>
      <c r="BG394" s="1131"/>
      <c r="BH394" s="1131"/>
      <c r="BI394" s="1131"/>
      <c r="BJ394" s="1131"/>
      <c r="BK394" s="1131"/>
      <c r="BL394" s="1131"/>
      <c r="BM394" s="1131"/>
      <c r="BN394" s="1131"/>
      <c r="BO394" s="1131"/>
      <c r="BP394" s="1131"/>
      <c r="BQ394" s="1131"/>
      <c r="BR394" s="1131"/>
      <c r="BS394" s="1131"/>
      <c r="BT394" s="1131"/>
      <c r="BU394" s="1131"/>
      <c r="BV394" s="1131"/>
      <c r="BW394" s="1131"/>
      <c r="BX394" s="1131"/>
      <c r="BY394" s="1131"/>
      <c r="BZ394" s="1131"/>
      <c r="CA394" s="1131"/>
      <c r="CB394" s="1131"/>
      <c r="CC394" s="1131"/>
      <c r="CD394" s="1131"/>
      <c r="CE394" s="1131"/>
      <c r="CF394" s="1131"/>
      <c r="CG394" s="1131"/>
      <c r="CH394" s="29"/>
      <c r="CI394" s="185"/>
      <c r="CJ394" s="17"/>
    </row>
    <row r="395" spans="1:88" s="3" customFormat="1" hidden="1">
      <c r="A395" s="243" t="str">
        <f t="shared" si="6"/>
        <v>OK</v>
      </c>
      <c r="B395" s="1126" t="str">
        <f>IF(CONSOLIDA!BH167="","",CONSOLIDA!BH167)</f>
        <v/>
      </c>
      <c r="C395" s="1126"/>
      <c r="D395" s="1134" t="str">
        <f>IF(CONSOLIDA!BJ167="","",CONSOLIDA!BJ167)</f>
        <v/>
      </c>
      <c r="E395" s="1135"/>
      <c r="F395" s="1135"/>
      <c r="G395" s="1129" t="str">
        <f>IF(CONSOLIDA!BK167="","",CONSOLIDA!BK167)</f>
        <v/>
      </c>
      <c r="H395" s="1129"/>
      <c r="I395" s="1129"/>
      <c r="J395" s="1129"/>
      <c r="K395" s="1129"/>
      <c r="L395" s="1129"/>
      <c r="M395" s="1129"/>
      <c r="N395" s="1129"/>
      <c r="O395" s="1129"/>
      <c r="P395" s="1129"/>
      <c r="Q395" s="1129"/>
      <c r="R395" s="1129"/>
      <c r="S395" s="1129"/>
      <c r="T395" s="1129"/>
      <c r="U395" s="1129"/>
      <c r="V395" s="1129"/>
      <c r="W395" s="1129"/>
      <c r="X395" s="1129"/>
      <c r="Y395" s="1129"/>
      <c r="Z395" s="1129"/>
      <c r="AA395" s="1129"/>
      <c r="AB395" s="1129"/>
      <c r="AC395" s="1129"/>
      <c r="AD395" s="1129"/>
      <c r="AE395" s="1130"/>
      <c r="AF395" s="1131"/>
      <c r="AG395" s="1131"/>
      <c r="AH395" s="1131"/>
      <c r="AI395" s="1131"/>
      <c r="AJ395" s="1131"/>
      <c r="AK395" s="1131"/>
      <c r="AL395" s="1131"/>
      <c r="AM395" s="1131"/>
      <c r="AN395" s="1131"/>
      <c r="AO395" s="1131"/>
      <c r="AP395" s="1131"/>
      <c r="AQ395" s="1131"/>
      <c r="AR395" s="1131"/>
      <c r="AS395" s="1131"/>
      <c r="AT395" s="1131"/>
      <c r="AU395" s="1131"/>
      <c r="AV395" s="1131"/>
      <c r="AW395" s="1131"/>
      <c r="AX395" s="1131"/>
      <c r="AY395" s="1131"/>
      <c r="AZ395" s="1131"/>
      <c r="BA395" s="1131"/>
      <c r="BB395" s="1131"/>
      <c r="BC395" s="1131"/>
      <c r="BD395" s="1131"/>
      <c r="BE395" s="1131"/>
      <c r="BF395" s="1131"/>
      <c r="BG395" s="1131"/>
      <c r="BH395" s="1131"/>
      <c r="BI395" s="1131"/>
      <c r="BJ395" s="1131"/>
      <c r="BK395" s="1131"/>
      <c r="BL395" s="1131"/>
      <c r="BM395" s="1131"/>
      <c r="BN395" s="1131"/>
      <c r="BO395" s="1131"/>
      <c r="BP395" s="1131"/>
      <c r="BQ395" s="1131"/>
      <c r="BR395" s="1131"/>
      <c r="BS395" s="1131"/>
      <c r="BT395" s="1131"/>
      <c r="BU395" s="1131"/>
      <c r="BV395" s="1131"/>
      <c r="BW395" s="1131"/>
      <c r="BX395" s="1131"/>
      <c r="BY395" s="1131"/>
      <c r="BZ395" s="1131"/>
      <c r="CA395" s="1131"/>
      <c r="CB395" s="1131"/>
      <c r="CC395" s="1131"/>
      <c r="CD395" s="1131"/>
      <c r="CE395" s="1131"/>
      <c r="CF395" s="1131"/>
      <c r="CG395" s="1131"/>
      <c r="CH395" s="29"/>
      <c r="CI395" s="185"/>
      <c r="CJ395" s="17"/>
    </row>
    <row r="396" spans="1:88" s="3" customFormat="1" hidden="1">
      <c r="A396" s="243" t="str">
        <f t="shared" si="6"/>
        <v>OK</v>
      </c>
      <c r="B396" s="1126" t="str">
        <f>IF(CONSOLIDA!BH168="","",CONSOLIDA!BH168)</f>
        <v/>
      </c>
      <c r="C396" s="1126"/>
      <c r="D396" s="1134" t="str">
        <f>IF(CONSOLIDA!BJ168="","",CONSOLIDA!BJ168)</f>
        <v/>
      </c>
      <c r="E396" s="1135"/>
      <c r="F396" s="1135"/>
      <c r="G396" s="1129" t="str">
        <f>IF(CONSOLIDA!BK168="","",CONSOLIDA!BK168)</f>
        <v/>
      </c>
      <c r="H396" s="1129"/>
      <c r="I396" s="1129"/>
      <c r="J396" s="1129"/>
      <c r="K396" s="1129"/>
      <c r="L396" s="1129"/>
      <c r="M396" s="1129"/>
      <c r="N396" s="1129"/>
      <c r="O396" s="1129"/>
      <c r="P396" s="1129"/>
      <c r="Q396" s="1129"/>
      <c r="R396" s="1129"/>
      <c r="S396" s="1129"/>
      <c r="T396" s="1129"/>
      <c r="U396" s="1129"/>
      <c r="V396" s="1129"/>
      <c r="W396" s="1129"/>
      <c r="X396" s="1129"/>
      <c r="Y396" s="1129"/>
      <c r="Z396" s="1129"/>
      <c r="AA396" s="1129"/>
      <c r="AB396" s="1129"/>
      <c r="AC396" s="1129"/>
      <c r="AD396" s="1129"/>
      <c r="AE396" s="1130"/>
      <c r="AF396" s="1131"/>
      <c r="AG396" s="1131"/>
      <c r="AH396" s="1131"/>
      <c r="AI396" s="1131"/>
      <c r="AJ396" s="1131"/>
      <c r="AK396" s="1131"/>
      <c r="AL396" s="1131"/>
      <c r="AM396" s="1131"/>
      <c r="AN396" s="1131"/>
      <c r="AO396" s="1131"/>
      <c r="AP396" s="1131"/>
      <c r="AQ396" s="1131"/>
      <c r="AR396" s="1131"/>
      <c r="AS396" s="1131"/>
      <c r="AT396" s="1131"/>
      <c r="AU396" s="1131"/>
      <c r="AV396" s="1131"/>
      <c r="AW396" s="1131"/>
      <c r="AX396" s="1131"/>
      <c r="AY396" s="1131"/>
      <c r="AZ396" s="1131"/>
      <c r="BA396" s="1131"/>
      <c r="BB396" s="1131"/>
      <c r="BC396" s="1131"/>
      <c r="BD396" s="1131"/>
      <c r="BE396" s="1131"/>
      <c r="BF396" s="1131"/>
      <c r="BG396" s="1131"/>
      <c r="BH396" s="1131"/>
      <c r="BI396" s="1131"/>
      <c r="BJ396" s="1131"/>
      <c r="BK396" s="1131"/>
      <c r="BL396" s="1131"/>
      <c r="BM396" s="1131"/>
      <c r="BN396" s="1131"/>
      <c r="BO396" s="1131"/>
      <c r="BP396" s="1131"/>
      <c r="BQ396" s="1131"/>
      <c r="BR396" s="1131"/>
      <c r="BS396" s="1131"/>
      <c r="BT396" s="1131"/>
      <c r="BU396" s="1131"/>
      <c r="BV396" s="1131"/>
      <c r="BW396" s="1131"/>
      <c r="BX396" s="1131"/>
      <c r="BY396" s="1131"/>
      <c r="BZ396" s="1131"/>
      <c r="CA396" s="1131"/>
      <c r="CB396" s="1131"/>
      <c r="CC396" s="1131"/>
      <c r="CD396" s="1131"/>
      <c r="CE396" s="1131"/>
      <c r="CF396" s="1131"/>
      <c r="CG396" s="1131"/>
      <c r="CH396" s="29"/>
      <c r="CI396" s="185"/>
      <c r="CJ396" s="17"/>
    </row>
    <row r="397" spans="1:88" s="3" customFormat="1" hidden="1">
      <c r="A397" s="243" t="str">
        <f t="shared" si="6"/>
        <v>OK</v>
      </c>
      <c r="B397" s="1126" t="str">
        <f>IF(CONSOLIDA!BH169="","",CONSOLIDA!BH169)</f>
        <v/>
      </c>
      <c r="C397" s="1126"/>
      <c r="D397" s="1134" t="str">
        <f>IF(CONSOLIDA!BJ169="","",CONSOLIDA!BJ169)</f>
        <v/>
      </c>
      <c r="E397" s="1135"/>
      <c r="F397" s="1135"/>
      <c r="G397" s="1129" t="str">
        <f>IF(CONSOLIDA!BK169="","",CONSOLIDA!BK169)</f>
        <v/>
      </c>
      <c r="H397" s="1129"/>
      <c r="I397" s="1129"/>
      <c r="J397" s="1129"/>
      <c r="K397" s="1129"/>
      <c r="L397" s="1129"/>
      <c r="M397" s="1129"/>
      <c r="N397" s="1129"/>
      <c r="O397" s="1129"/>
      <c r="P397" s="1129"/>
      <c r="Q397" s="1129"/>
      <c r="R397" s="1129"/>
      <c r="S397" s="1129"/>
      <c r="T397" s="1129"/>
      <c r="U397" s="1129"/>
      <c r="V397" s="1129"/>
      <c r="W397" s="1129"/>
      <c r="X397" s="1129"/>
      <c r="Y397" s="1129"/>
      <c r="Z397" s="1129"/>
      <c r="AA397" s="1129"/>
      <c r="AB397" s="1129"/>
      <c r="AC397" s="1129"/>
      <c r="AD397" s="1129"/>
      <c r="AE397" s="1130"/>
      <c r="AF397" s="1131"/>
      <c r="AG397" s="1131"/>
      <c r="AH397" s="1131"/>
      <c r="AI397" s="1131"/>
      <c r="AJ397" s="1131"/>
      <c r="AK397" s="1131"/>
      <c r="AL397" s="1131"/>
      <c r="AM397" s="1131"/>
      <c r="AN397" s="1131"/>
      <c r="AO397" s="1131"/>
      <c r="AP397" s="1131"/>
      <c r="AQ397" s="1131"/>
      <c r="AR397" s="1131"/>
      <c r="AS397" s="1131"/>
      <c r="AT397" s="1131"/>
      <c r="AU397" s="1131"/>
      <c r="AV397" s="1131"/>
      <c r="AW397" s="1131"/>
      <c r="AX397" s="1131"/>
      <c r="AY397" s="1131"/>
      <c r="AZ397" s="1131"/>
      <c r="BA397" s="1131"/>
      <c r="BB397" s="1131"/>
      <c r="BC397" s="1131"/>
      <c r="BD397" s="1131"/>
      <c r="BE397" s="1131"/>
      <c r="BF397" s="1131"/>
      <c r="BG397" s="1131"/>
      <c r="BH397" s="1131"/>
      <c r="BI397" s="1131"/>
      <c r="BJ397" s="1131"/>
      <c r="BK397" s="1131"/>
      <c r="BL397" s="1131"/>
      <c r="BM397" s="1131"/>
      <c r="BN397" s="1131"/>
      <c r="BO397" s="1131"/>
      <c r="BP397" s="1131"/>
      <c r="BQ397" s="1131"/>
      <c r="BR397" s="1131"/>
      <c r="BS397" s="1131"/>
      <c r="BT397" s="1131"/>
      <c r="BU397" s="1131"/>
      <c r="BV397" s="1131"/>
      <c r="BW397" s="1131"/>
      <c r="BX397" s="1131"/>
      <c r="BY397" s="1131"/>
      <c r="BZ397" s="1131"/>
      <c r="CA397" s="1131"/>
      <c r="CB397" s="1131"/>
      <c r="CC397" s="1131"/>
      <c r="CD397" s="1131"/>
      <c r="CE397" s="1131"/>
      <c r="CF397" s="1131"/>
      <c r="CG397" s="1131"/>
      <c r="CH397" s="29"/>
      <c r="CI397" s="185"/>
      <c r="CJ397" s="17"/>
    </row>
    <row r="398" spans="1:88" s="3" customFormat="1" hidden="1">
      <c r="A398" s="243" t="str">
        <f t="shared" si="6"/>
        <v>OK</v>
      </c>
      <c r="B398" s="1126" t="str">
        <f>IF(CONSOLIDA!BH170="","",CONSOLIDA!BH170)</f>
        <v/>
      </c>
      <c r="C398" s="1126"/>
      <c r="D398" s="1134" t="str">
        <f>IF(CONSOLIDA!BJ170="","",CONSOLIDA!BJ170)</f>
        <v/>
      </c>
      <c r="E398" s="1135"/>
      <c r="F398" s="1135"/>
      <c r="G398" s="1129" t="str">
        <f>IF(CONSOLIDA!BK170="","",CONSOLIDA!BK170)</f>
        <v/>
      </c>
      <c r="H398" s="1129"/>
      <c r="I398" s="1129"/>
      <c r="J398" s="1129"/>
      <c r="K398" s="1129"/>
      <c r="L398" s="1129"/>
      <c r="M398" s="1129"/>
      <c r="N398" s="1129"/>
      <c r="O398" s="1129"/>
      <c r="P398" s="1129"/>
      <c r="Q398" s="1129"/>
      <c r="R398" s="1129"/>
      <c r="S398" s="1129"/>
      <c r="T398" s="1129"/>
      <c r="U398" s="1129"/>
      <c r="V398" s="1129"/>
      <c r="W398" s="1129"/>
      <c r="X398" s="1129"/>
      <c r="Y398" s="1129"/>
      <c r="Z398" s="1129"/>
      <c r="AA398" s="1129"/>
      <c r="AB398" s="1129"/>
      <c r="AC398" s="1129"/>
      <c r="AD398" s="1129"/>
      <c r="AE398" s="1130"/>
      <c r="AF398" s="1131"/>
      <c r="AG398" s="1131"/>
      <c r="AH398" s="1131"/>
      <c r="AI398" s="1131"/>
      <c r="AJ398" s="1131"/>
      <c r="AK398" s="1131"/>
      <c r="AL398" s="1131"/>
      <c r="AM398" s="1131"/>
      <c r="AN398" s="1131"/>
      <c r="AO398" s="1131"/>
      <c r="AP398" s="1131"/>
      <c r="AQ398" s="1131"/>
      <c r="AR398" s="1131"/>
      <c r="AS398" s="1131"/>
      <c r="AT398" s="1131"/>
      <c r="AU398" s="1131"/>
      <c r="AV398" s="1131"/>
      <c r="AW398" s="1131"/>
      <c r="AX398" s="1131"/>
      <c r="AY398" s="1131"/>
      <c r="AZ398" s="1131"/>
      <c r="BA398" s="1131"/>
      <c r="BB398" s="1131"/>
      <c r="BC398" s="1131"/>
      <c r="BD398" s="1131"/>
      <c r="BE398" s="1131"/>
      <c r="BF398" s="1131"/>
      <c r="BG398" s="1131"/>
      <c r="BH398" s="1131"/>
      <c r="BI398" s="1131"/>
      <c r="BJ398" s="1131"/>
      <c r="BK398" s="1131"/>
      <c r="BL398" s="1131"/>
      <c r="BM398" s="1131"/>
      <c r="BN398" s="1131"/>
      <c r="BO398" s="1131"/>
      <c r="BP398" s="1131"/>
      <c r="BQ398" s="1131"/>
      <c r="BR398" s="1131"/>
      <c r="BS398" s="1131"/>
      <c r="BT398" s="1131"/>
      <c r="BU398" s="1131"/>
      <c r="BV398" s="1131"/>
      <c r="BW398" s="1131"/>
      <c r="BX398" s="1131"/>
      <c r="BY398" s="1131"/>
      <c r="BZ398" s="1131"/>
      <c r="CA398" s="1131"/>
      <c r="CB398" s="1131"/>
      <c r="CC398" s="1131"/>
      <c r="CD398" s="1131"/>
      <c r="CE398" s="1131"/>
      <c r="CF398" s="1131"/>
      <c r="CG398" s="1131"/>
      <c r="CH398" s="29"/>
      <c r="CI398" s="185"/>
      <c r="CJ398" s="17"/>
    </row>
    <row r="399" spans="1:88" s="3" customFormat="1" hidden="1">
      <c r="A399" s="243" t="str">
        <f t="shared" si="6"/>
        <v>OK</v>
      </c>
      <c r="B399" s="1126" t="str">
        <f>IF(CONSOLIDA!BH171="","",CONSOLIDA!BH171)</f>
        <v/>
      </c>
      <c r="C399" s="1126"/>
      <c r="D399" s="1134" t="str">
        <f>IF(CONSOLIDA!BJ171="","",CONSOLIDA!BJ171)</f>
        <v/>
      </c>
      <c r="E399" s="1135"/>
      <c r="F399" s="1135"/>
      <c r="G399" s="1129" t="str">
        <f>IF(CONSOLIDA!BK171="","",CONSOLIDA!BK171)</f>
        <v/>
      </c>
      <c r="H399" s="1129"/>
      <c r="I399" s="1129"/>
      <c r="J399" s="1129"/>
      <c r="K399" s="1129"/>
      <c r="L399" s="1129"/>
      <c r="M399" s="1129"/>
      <c r="N399" s="1129"/>
      <c r="O399" s="1129"/>
      <c r="P399" s="1129"/>
      <c r="Q399" s="1129"/>
      <c r="R399" s="1129"/>
      <c r="S399" s="1129"/>
      <c r="T399" s="1129"/>
      <c r="U399" s="1129"/>
      <c r="V399" s="1129"/>
      <c r="W399" s="1129"/>
      <c r="X399" s="1129"/>
      <c r="Y399" s="1129"/>
      <c r="Z399" s="1129"/>
      <c r="AA399" s="1129"/>
      <c r="AB399" s="1129"/>
      <c r="AC399" s="1129"/>
      <c r="AD399" s="1129"/>
      <c r="AE399" s="1130"/>
      <c r="AF399" s="1131"/>
      <c r="AG399" s="1131"/>
      <c r="AH399" s="1131"/>
      <c r="AI399" s="1131"/>
      <c r="AJ399" s="1131"/>
      <c r="AK399" s="1131"/>
      <c r="AL399" s="1131"/>
      <c r="AM399" s="1131"/>
      <c r="AN399" s="1131"/>
      <c r="AO399" s="1131"/>
      <c r="AP399" s="1131"/>
      <c r="AQ399" s="1131"/>
      <c r="AR399" s="1131"/>
      <c r="AS399" s="1131"/>
      <c r="AT399" s="1131"/>
      <c r="AU399" s="1131"/>
      <c r="AV399" s="1131"/>
      <c r="AW399" s="1131"/>
      <c r="AX399" s="1131"/>
      <c r="AY399" s="1131"/>
      <c r="AZ399" s="1131"/>
      <c r="BA399" s="1131"/>
      <c r="BB399" s="1131"/>
      <c r="BC399" s="1131"/>
      <c r="BD399" s="1131"/>
      <c r="BE399" s="1131"/>
      <c r="BF399" s="1131"/>
      <c r="BG399" s="1131"/>
      <c r="BH399" s="1131"/>
      <c r="BI399" s="1131"/>
      <c r="BJ399" s="1131"/>
      <c r="BK399" s="1131"/>
      <c r="BL399" s="1131"/>
      <c r="BM399" s="1131"/>
      <c r="BN399" s="1131"/>
      <c r="BO399" s="1131"/>
      <c r="BP399" s="1131"/>
      <c r="BQ399" s="1131"/>
      <c r="BR399" s="1131"/>
      <c r="BS399" s="1131"/>
      <c r="BT399" s="1131"/>
      <c r="BU399" s="1131"/>
      <c r="BV399" s="1131"/>
      <c r="BW399" s="1131"/>
      <c r="BX399" s="1131"/>
      <c r="BY399" s="1131"/>
      <c r="BZ399" s="1131"/>
      <c r="CA399" s="1131"/>
      <c r="CB399" s="1131"/>
      <c r="CC399" s="1131"/>
      <c r="CD399" s="1131"/>
      <c r="CE399" s="1131"/>
      <c r="CF399" s="1131"/>
      <c r="CG399" s="1131"/>
      <c r="CH399" s="29"/>
      <c r="CI399" s="185"/>
      <c r="CJ399" s="17"/>
    </row>
    <row r="400" spans="1:88" s="3" customFormat="1" hidden="1">
      <c r="A400" s="243" t="str">
        <f t="shared" si="6"/>
        <v>OK</v>
      </c>
      <c r="B400" s="1126" t="str">
        <f>IF(CONSOLIDA!BH172="","",CONSOLIDA!BH172)</f>
        <v/>
      </c>
      <c r="C400" s="1126"/>
      <c r="D400" s="1134" t="str">
        <f>IF(CONSOLIDA!BJ172="","",CONSOLIDA!BJ172)</f>
        <v/>
      </c>
      <c r="E400" s="1135"/>
      <c r="F400" s="1135"/>
      <c r="G400" s="1129" t="str">
        <f>IF(CONSOLIDA!BK172="","",CONSOLIDA!BK172)</f>
        <v/>
      </c>
      <c r="H400" s="1129"/>
      <c r="I400" s="1129"/>
      <c r="J400" s="1129"/>
      <c r="K400" s="1129"/>
      <c r="L400" s="1129"/>
      <c r="M400" s="1129"/>
      <c r="N400" s="1129"/>
      <c r="O400" s="1129"/>
      <c r="P400" s="1129"/>
      <c r="Q400" s="1129"/>
      <c r="R400" s="1129"/>
      <c r="S400" s="1129"/>
      <c r="T400" s="1129"/>
      <c r="U400" s="1129"/>
      <c r="V400" s="1129"/>
      <c r="W400" s="1129"/>
      <c r="X400" s="1129"/>
      <c r="Y400" s="1129"/>
      <c r="Z400" s="1129"/>
      <c r="AA400" s="1129"/>
      <c r="AB400" s="1129"/>
      <c r="AC400" s="1129"/>
      <c r="AD400" s="1129"/>
      <c r="AE400" s="1130"/>
      <c r="AF400" s="1131"/>
      <c r="AG400" s="1131"/>
      <c r="AH400" s="1131"/>
      <c r="AI400" s="1131"/>
      <c r="AJ400" s="1131"/>
      <c r="AK400" s="1131"/>
      <c r="AL400" s="1131"/>
      <c r="AM400" s="1131"/>
      <c r="AN400" s="1131"/>
      <c r="AO400" s="1131"/>
      <c r="AP400" s="1131"/>
      <c r="AQ400" s="1131"/>
      <c r="AR400" s="1131"/>
      <c r="AS400" s="1131"/>
      <c r="AT400" s="1131"/>
      <c r="AU400" s="1131"/>
      <c r="AV400" s="1131"/>
      <c r="AW400" s="1131"/>
      <c r="AX400" s="1131"/>
      <c r="AY400" s="1131"/>
      <c r="AZ400" s="1131"/>
      <c r="BA400" s="1131"/>
      <c r="BB400" s="1131"/>
      <c r="BC400" s="1131"/>
      <c r="BD400" s="1131"/>
      <c r="BE400" s="1131"/>
      <c r="BF400" s="1131"/>
      <c r="BG400" s="1131"/>
      <c r="BH400" s="1131"/>
      <c r="BI400" s="1131"/>
      <c r="BJ400" s="1131"/>
      <c r="BK400" s="1131"/>
      <c r="BL400" s="1131"/>
      <c r="BM400" s="1131"/>
      <c r="BN400" s="1131"/>
      <c r="BO400" s="1131"/>
      <c r="BP400" s="1131"/>
      <c r="BQ400" s="1131"/>
      <c r="BR400" s="1131"/>
      <c r="BS400" s="1131"/>
      <c r="BT400" s="1131"/>
      <c r="BU400" s="1131"/>
      <c r="BV400" s="1131"/>
      <c r="BW400" s="1131"/>
      <c r="BX400" s="1131"/>
      <c r="BY400" s="1131"/>
      <c r="BZ400" s="1131"/>
      <c r="CA400" s="1131"/>
      <c r="CB400" s="1131"/>
      <c r="CC400" s="1131"/>
      <c r="CD400" s="1131"/>
      <c r="CE400" s="1131"/>
      <c r="CF400" s="1131"/>
      <c r="CG400" s="1131"/>
      <c r="CH400" s="29"/>
      <c r="CI400" s="185"/>
      <c r="CJ400" s="17"/>
    </row>
    <row r="401" spans="1:88" s="3" customFormat="1" hidden="1">
      <c r="A401" s="243" t="str">
        <f t="shared" si="6"/>
        <v>OK</v>
      </c>
      <c r="B401" s="1126" t="str">
        <f>IF(CONSOLIDA!BH173="","",CONSOLIDA!BH173)</f>
        <v/>
      </c>
      <c r="C401" s="1126"/>
      <c r="D401" s="1134" t="str">
        <f>IF(CONSOLIDA!BJ173="","",CONSOLIDA!BJ173)</f>
        <v/>
      </c>
      <c r="E401" s="1135"/>
      <c r="F401" s="1135"/>
      <c r="G401" s="1129" t="str">
        <f>IF(CONSOLIDA!BK173="","",CONSOLIDA!BK173)</f>
        <v/>
      </c>
      <c r="H401" s="1129"/>
      <c r="I401" s="1129"/>
      <c r="J401" s="1129"/>
      <c r="K401" s="1129"/>
      <c r="L401" s="1129"/>
      <c r="M401" s="1129"/>
      <c r="N401" s="1129"/>
      <c r="O401" s="1129"/>
      <c r="P401" s="1129"/>
      <c r="Q401" s="1129"/>
      <c r="R401" s="1129"/>
      <c r="S401" s="1129"/>
      <c r="T401" s="1129"/>
      <c r="U401" s="1129"/>
      <c r="V401" s="1129"/>
      <c r="W401" s="1129"/>
      <c r="X401" s="1129"/>
      <c r="Y401" s="1129"/>
      <c r="Z401" s="1129"/>
      <c r="AA401" s="1129"/>
      <c r="AB401" s="1129"/>
      <c r="AC401" s="1129"/>
      <c r="AD401" s="1129"/>
      <c r="AE401" s="1130"/>
      <c r="AF401" s="1131"/>
      <c r="AG401" s="1131"/>
      <c r="AH401" s="1131"/>
      <c r="AI401" s="1131"/>
      <c r="AJ401" s="1131"/>
      <c r="AK401" s="1131"/>
      <c r="AL401" s="1131"/>
      <c r="AM401" s="1131"/>
      <c r="AN401" s="1131"/>
      <c r="AO401" s="1131"/>
      <c r="AP401" s="1131"/>
      <c r="AQ401" s="1131"/>
      <c r="AR401" s="1131"/>
      <c r="AS401" s="1131"/>
      <c r="AT401" s="1131"/>
      <c r="AU401" s="1131"/>
      <c r="AV401" s="1131"/>
      <c r="AW401" s="1131"/>
      <c r="AX401" s="1131"/>
      <c r="AY401" s="1131"/>
      <c r="AZ401" s="1131"/>
      <c r="BA401" s="1131"/>
      <c r="BB401" s="1131"/>
      <c r="BC401" s="1131"/>
      <c r="BD401" s="1131"/>
      <c r="BE401" s="1131"/>
      <c r="BF401" s="1131"/>
      <c r="BG401" s="1131"/>
      <c r="BH401" s="1131"/>
      <c r="BI401" s="1131"/>
      <c r="BJ401" s="1131"/>
      <c r="BK401" s="1131"/>
      <c r="BL401" s="1131"/>
      <c r="BM401" s="1131"/>
      <c r="BN401" s="1131"/>
      <c r="BO401" s="1131"/>
      <c r="BP401" s="1131"/>
      <c r="BQ401" s="1131"/>
      <c r="BR401" s="1131"/>
      <c r="BS401" s="1131"/>
      <c r="BT401" s="1131"/>
      <c r="BU401" s="1131"/>
      <c r="BV401" s="1131"/>
      <c r="BW401" s="1131"/>
      <c r="BX401" s="1131"/>
      <c r="BY401" s="1131"/>
      <c r="BZ401" s="1131"/>
      <c r="CA401" s="1131"/>
      <c r="CB401" s="1131"/>
      <c r="CC401" s="1131"/>
      <c r="CD401" s="1131"/>
      <c r="CE401" s="1131"/>
      <c r="CF401" s="1131"/>
      <c r="CG401" s="1131"/>
      <c r="CH401" s="29"/>
      <c r="CI401" s="185"/>
      <c r="CJ401" s="17"/>
    </row>
    <row r="402" spans="1:88" s="3" customFormat="1" hidden="1">
      <c r="A402" s="243" t="str">
        <f t="shared" si="6"/>
        <v>OK</v>
      </c>
      <c r="B402" s="1126" t="str">
        <f>IF(CONSOLIDA!BH174="","",CONSOLIDA!BH174)</f>
        <v/>
      </c>
      <c r="C402" s="1126"/>
      <c r="D402" s="1134" t="str">
        <f>IF(CONSOLIDA!BJ174="","",CONSOLIDA!BJ174)</f>
        <v/>
      </c>
      <c r="E402" s="1135"/>
      <c r="F402" s="1135"/>
      <c r="G402" s="1129" t="str">
        <f>IF(CONSOLIDA!BK174="","",CONSOLIDA!BK174)</f>
        <v/>
      </c>
      <c r="H402" s="1129"/>
      <c r="I402" s="1129"/>
      <c r="J402" s="1129"/>
      <c r="K402" s="1129"/>
      <c r="L402" s="1129"/>
      <c r="M402" s="1129"/>
      <c r="N402" s="1129"/>
      <c r="O402" s="1129"/>
      <c r="P402" s="1129"/>
      <c r="Q402" s="1129"/>
      <c r="R402" s="1129"/>
      <c r="S402" s="1129"/>
      <c r="T402" s="1129"/>
      <c r="U402" s="1129"/>
      <c r="V402" s="1129"/>
      <c r="W402" s="1129"/>
      <c r="X402" s="1129"/>
      <c r="Y402" s="1129"/>
      <c r="Z402" s="1129"/>
      <c r="AA402" s="1129"/>
      <c r="AB402" s="1129"/>
      <c r="AC402" s="1129"/>
      <c r="AD402" s="1129"/>
      <c r="AE402" s="1130"/>
      <c r="AF402" s="1131"/>
      <c r="AG402" s="1131"/>
      <c r="AH402" s="1131"/>
      <c r="AI402" s="1131"/>
      <c r="AJ402" s="1131"/>
      <c r="AK402" s="1131"/>
      <c r="AL402" s="1131"/>
      <c r="AM402" s="1131"/>
      <c r="AN402" s="1131"/>
      <c r="AO402" s="1131"/>
      <c r="AP402" s="1131"/>
      <c r="AQ402" s="1131"/>
      <c r="AR402" s="1131"/>
      <c r="AS402" s="1131"/>
      <c r="AT402" s="1131"/>
      <c r="AU402" s="1131"/>
      <c r="AV402" s="1131"/>
      <c r="AW402" s="1131"/>
      <c r="AX402" s="1131"/>
      <c r="AY402" s="1131"/>
      <c r="AZ402" s="1131"/>
      <c r="BA402" s="1131"/>
      <c r="BB402" s="1131"/>
      <c r="BC402" s="1131"/>
      <c r="BD402" s="1131"/>
      <c r="BE402" s="1131"/>
      <c r="BF402" s="1131"/>
      <c r="BG402" s="1131"/>
      <c r="BH402" s="1131"/>
      <c r="BI402" s="1131"/>
      <c r="BJ402" s="1131"/>
      <c r="BK402" s="1131"/>
      <c r="BL402" s="1131"/>
      <c r="BM402" s="1131"/>
      <c r="BN402" s="1131"/>
      <c r="BO402" s="1131"/>
      <c r="BP402" s="1131"/>
      <c r="BQ402" s="1131"/>
      <c r="BR402" s="1131"/>
      <c r="BS402" s="1131"/>
      <c r="BT402" s="1131"/>
      <c r="BU402" s="1131"/>
      <c r="BV402" s="1131"/>
      <c r="BW402" s="1131"/>
      <c r="BX402" s="1131"/>
      <c r="BY402" s="1131"/>
      <c r="BZ402" s="1131"/>
      <c r="CA402" s="1131"/>
      <c r="CB402" s="1131"/>
      <c r="CC402" s="1131"/>
      <c r="CD402" s="1131"/>
      <c r="CE402" s="1131"/>
      <c r="CF402" s="1131"/>
      <c r="CG402" s="1131"/>
      <c r="CH402" s="29"/>
      <c r="CI402" s="185"/>
      <c r="CJ402" s="17"/>
    </row>
    <row r="403" spans="1:88" s="3" customFormat="1" hidden="1">
      <c r="A403" s="243" t="str">
        <f t="shared" si="6"/>
        <v>OK</v>
      </c>
      <c r="B403" s="1126" t="str">
        <f>IF(CONSOLIDA!BH175="","",CONSOLIDA!BH175)</f>
        <v/>
      </c>
      <c r="C403" s="1126"/>
      <c r="D403" s="1134" t="str">
        <f>IF(CONSOLIDA!BJ175="","",CONSOLIDA!BJ175)</f>
        <v/>
      </c>
      <c r="E403" s="1135"/>
      <c r="F403" s="1135"/>
      <c r="G403" s="1129" t="str">
        <f>IF(CONSOLIDA!BK175="","",CONSOLIDA!BK175)</f>
        <v/>
      </c>
      <c r="H403" s="1129"/>
      <c r="I403" s="1129"/>
      <c r="J403" s="1129"/>
      <c r="K403" s="1129"/>
      <c r="L403" s="1129"/>
      <c r="M403" s="1129"/>
      <c r="N403" s="1129"/>
      <c r="O403" s="1129"/>
      <c r="P403" s="1129"/>
      <c r="Q403" s="1129"/>
      <c r="R403" s="1129"/>
      <c r="S403" s="1129"/>
      <c r="T403" s="1129"/>
      <c r="U403" s="1129"/>
      <c r="V403" s="1129"/>
      <c r="W403" s="1129"/>
      <c r="X403" s="1129"/>
      <c r="Y403" s="1129"/>
      <c r="Z403" s="1129"/>
      <c r="AA403" s="1129"/>
      <c r="AB403" s="1129"/>
      <c r="AC403" s="1129"/>
      <c r="AD403" s="1129"/>
      <c r="AE403" s="1130"/>
      <c r="AF403" s="1131"/>
      <c r="AG403" s="1131"/>
      <c r="AH403" s="1131"/>
      <c r="AI403" s="1131"/>
      <c r="AJ403" s="1131"/>
      <c r="AK403" s="1131"/>
      <c r="AL403" s="1131"/>
      <c r="AM403" s="1131"/>
      <c r="AN403" s="1131"/>
      <c r="AO403" s="1131"/>
      <c r="AP403" s="1131"/>
      <c r="AQ403" s="1131"/>
      <c r="AR403" s="1131"/>
      <c r="AS403" s="1131"/>
      <c r="AT403" s="1131"/>
      <c r="AU403" s="1131"/>
      <c r="AV403" s="1131"/>
      <c r="AW403" s="1131"/>
      <c r="AX403" s="1131"/>
      <c r="AY403" s="1131"/>
      <c r="AZ403" s="1131"/>
      <c r="BA403" s="1131"/>
      <c r="BB403" s="1131"/>
      <c r="BC403" s="1131"/>
      <c r="BD403" s="1131"/>
      <c r="BE403" s="1131"/>
      <c r="BF403" s="1131"/>
      <c r="BG403" s="1131"/>
      <c r="BH403" s="1131"/>
      <c r="BI403" s="1131"/>
      <c r="BJ403" s="1131"/>
      <c r="BK403" s="1131"/>
      <c r="BL403" s="1131"/>
      <c r="BM403" s="1131"/>
      <c r="BN403" s="1131"/>
      <c r="BO403" s="1131"/>
      <c r="BP403" s="1131"/>
      <c r="BQ403" s="1131"/>
      <c r="BR403" s="1131"/>
      <c r="BS403" s="1131"/>
      <c r="BT403" s="1131"/>
      <c r="BU403" s="1131"/>
      <c r="BV403" s="1131"/>
      <c r="BW403" s="1131"/>
      <c r="BX403" s="1131"/>
      <c r="BY403" s="1131"/>
      <c r="BZ403" s="1131"/>
      <c r="CA403" s="1131"/>
      <c r="CB403" s="1131"/>
      <c r="CC403" s="1131"/>
      <c r="CD403" s="1131"/>
      <c r="CE403" s="1131"/>
      <c r="CF403" s="1131"/>
      <c r="CG403" s="1131"/>
      <c r="CH403" s="29"/>
      <c r="CI403" s="185"/>
      <c r="CJ403" s="17"/>
    </row>
    <row r="404" spans="1:88" s="3" customFormat="1" hidden="1">
      <c r="A404" s="243" t="str">
        <f t="shared" si="6"/>
        <v>OK</v>
      </c>
      <c r="B404" s="1126" t="str">
        <f>IF(CONSOLIDA!BH176="","",CONSOLIDA!BH176)</f>
        <v/>
      </c>
      <c r="C404" s="1126"/>
      <c r="D404" s="1134" t="str">
        <f>IF(CONSOLIDA!BJ176="","",CONSOLIDA!BJ176)</f>
        <v/>
      </c>
      <c r="E404" s="1135"/>
      <c r="F404" s="1135"/>
      <c r="G404" s="1129" t="str">
        <f>IF(CONSOLIDA!BK176="","",CONSOLIDA!BK176)</f>
        <v/>
      </c>
      <c r="H404" s="1129"/>
      <c r="I404" s="1129"/>
      <c r="J404" s="1129"/>
      <c r="K404" s="1129"/>
      <c r="L404" s="1129"/>
      <c r="M404" s="1129"/>
      <c r="N404" s="1129"/>
      <c r="O404" s="1129"/>
      <c r="P404" s="1129"/>
      <c r="Q404" s="1129"/>
      <c r="R404" s="1129"/>
      <c r="S404" s="1129"/>
      <c r="T404" s="1129"/>
      <c r="U404" s="1129"/>
      <c r="V404" s="1129"/>
      <c r="W404" s="1129"/>
      <c r="X404" s="1129"/>
      <c r="Y404" s="1129"/>
      <c r="Z404" s="1129"/>
      <c r="AA404" s="1129"/>
      <c r="AB404" s="1129"/>
      <c r="AC404" s="1129"/>
      <c r="AD404" s="1129"/>
      <c r="AE404" s="1130"/>
      <c r="AF404" s="1131"/>
      <c r="AG404" s="1131"/>
      <c r="AH404" s="1131"/>
      <c r="AI404" s="1131"/>
      <c r="AJ404" s="1131"/>
      <c r="AK404" s="1131"/>
      <c r="AL404" s="1131"/>
      <c r="AM404" s="1131"/>
      <c r="AN404" s="1131"/>
      <c r="AO404" s="1131"/>
      <c r="AP404" s="1131"/>
      <c r="AQ404" s="1131"/>
      <c r="AR404" s="1131"/>
      <c r="AS404" s="1131"/>
      <c r="AT404" s="1131"/>
      <c r="AU404" s="1131"/>
      <c r="AV404" s="1131"/>
      <c r="AW404" s="1131"/>
      <c r="AX404" s="1131"/>
      <c r="AY404" s="1131"/>
      <c r="AZ404" s="1131"/>
      <c r="BA404" s="1131"/>
      <c r="BB404" s="1131"/>
      <c r="BC404" s="1131"/>
      <c r="BD404" s="1131"/>
      <c r="BE404" s="1131"/>
      <c r="BF404" s="1131"/>
      <c r="BG404" s="1131"/>
      <c r="BH404" s="1131"/>
      <c r="BI404" s="1131"/>
      <c r="BJ404" s="1131"/>
      <c r="BK404" s="1131"/>
      <c r="BL404" s="1131"/>
      <c r="BM404" s="1131"/>
      <c r="BN404" s="1131"/>
      <c r="BO404" s="1131"/>
      <c r="BP404" s="1131"/>
      <c r="BQ404" s="1131"/>
      <c r="BR404" s="1131"/>
      <c r="BS404" s="1131"/>
      <c r="BT404" s="1131"/>
      <c r="BU404" s="1131"/>
      <c r="BV404" s="1131"/>
      <c r="BW404" s="1131"/>
      <c r="BX404" s="1131"/>
      <c r="BY404" s="1131"/>
      <c r="BZ404" s="1131"/>
      <c r="CA404" s="1131"/>
      <c r="CB404" s="1131"/>
      <c r="CC404" s="1131"/>
      <c r="CD404" s="1131"/>
      <c r="CE404" s="1131"/>
      <c r="CF404" s="1131"/>
      <c r="CG404" s="1131"/>
      <c r="CH404" s="29"/>
      <c r="CI404" s="185"/>
      <c r="CJ404" s="17"/>
    </row>
    <row r="405" spans="1:88" s="3" customFormat="1" hidden="1">
      <c r="A405" s="243" t="str">
        <f t="shared" si="6"/>
        <v>OK</v>
      </c>
      <c r="B405" s="1126" t="str">
        <f>IF(CONSOLIDA!BH177="","",CONSOLIDA!BH177)</f>
        <v/>
      </c>
      <c r="C405" s="1126"/>
      <c r="D405" s="1134" t="str">
        <f>IF(CONSOLIDA!BJ177="","",CONSOLIDA!BJ177)</f>
        <v/>
      </c>
      <c r="E405" s="1135"/>
      <c r="F405" s="1135"/>
      <c r="G405" s="1129" t="str">
        <f>IF(CONSOLIDA!BK177="","",CONSOLIDA!BK177)</f>
        <v/>
      </c>
      <c r="H405" s="1129"/>
      <c r="I405" s="1129"/>
      <c r="J405" s="1129"/>
      <c r="K405" s="1129"/>
      <c r="L405" s="1129"/>
      <c r="M405" s="1129"/>
      <c r="N405" s="1129"/>
      <c r="O405" s="1129"/>
      <c r="P405" s="1129"/>
      <c r="Q405" s="1129"/>
      <c r="R405" s="1129"/>
      <c r="S405" s="1129"/>
      <c r="T405" s="1129"/>
      <c r="U405" s="1129"/>
      <c r="V405" s="1129"/>
      <c r="W405" s="1129"/>
      <c r="X405" s="1129"/>
      <c r="Y405" s="1129"/>
      <c r="Z405" s="1129"/>
      <c r="AA405" s="1129"/>
      <c r="AB405" s="1129"/>
      <c r="AC405" s="1129"/>
      <c r="AD405" s="1129"/>
      <c r="AE405" s="1130"/>
      <c r="AF405" s="1131"/>
      <c r="AG405" s="1131"/>
      <c r="AH405" s="1131"/>
      <c r="AI405" s="1131"/>
      <c r="AJ405" s="1131"/>
      <c r="AK405" s="1131"/>
      <c r="AL405" s="1131"/>
      <c r="AM405" s="1131"/>
      <c r="AN405" s="1131"/>
      <c r="AO405" s="1131"/>
      <c r="AP405" s="1131"/>
      <c r="AQ405" s="1131"/>
      <c r="AR405" s="1131"/>
      <c r="AS405" s="1131"/>
      <c r="AT405" s="1131"/>
      <c r="AU405" s="1131"/>
      <c r="AV405" s="1131"/>
      <c r="AW405" s="1131"/>
      <c r="AX405" s="1131"/>
      <c r="AY405" s="1131"/>
      <c r="AZ405" s="1131"/>
      <c r="BA405" s="1131"/>
      <c r="BB405" s="1131"/>
      <c r="BC405" s="1131"/>
      <c r="BD405" s="1131"/>
      <c r="BE405" s="1131"/>
      <c r="BF405" s="1131"/>
      <c r="BG405" s="1131"/>
      <c r="BH405" s="1131"/>
      <c r="BI405" s="1131"/>
      <c r="BJ405" s="1131"/>
      <c r="BK405" s="1131"/>
      <c r="BL405" s="1131"/>
      <c r="BM405" s="1131"/>
      <c r="BN405" s="1131"/>
      <c r="BO405" s="1131"/>
      <c r="BP405" s="1131"/>
      <c r="BQ405" s="1131"/>
      <c r="BR405" s="1131"/>
      <c r="BS405" s="1131"/>
      <c r="BT405" s="1131"/>
      <c r="BU405" s="1131"/>
      <c r="BV405" s="1131"/>
      <c r="BW405" s="1131"/>
      <c r="BX405" s="1131"/>
      <c r="BY405" s="1131"/>
      <c r="BZ405" s="1131"/>
      <c r="CA405" s="1131"/>
      <c r="CB405" s="1131"/>
      <c r="CC405" s="1131"/>
      <c r="CD405" s="1131"/>
      <c r="CE405" s="1131"/>
      <c r="CF405" s="1131"/>
      <c r="CG405" s="1131"/>
      <c r="CH405" s="29"/>
      <c r="CI405" s="185"/>
      <c r="CJ405" s="17"/>
    </row>
    <row r="406" spans="1:88" s="3" customFormat="1" hidden="1">
      <c r="A406" s="243" t="str">
        <f t="shared" si="6"/>
        <v>OK</v>
      </c>
      <c r="B406" s="1126" t="str">
        <f>IF(CONSOLIDA!BH178="","",CONSOLIDA!BH178)</f>
        <v/>
      </c>
      <c r="C406" s="1126"/>
      <c r="D406" s="1134" t="str">
        <f>IF(CONSOLIDA!BJ178="","",CONSOLIDA!BJ178)</f>
        <v/>
      </c>
      <c r="E406" s="1135"/>
      <c r="F406" s="1135"/>
      <c r="G406" s="1129" t="str">
        <f>IF(CONSOLIDA!BK178="","",CONSOLIDA!BK178)</f>
        <v/>
      </c>
      <c r="H406" s="1129"/>
      <c r="I406" s="1129"/>
      <c r="J406" s="1129"/>
      <c r="K406" s="1129"/>
      <c r="L406" s="1129"/>
      <c r="M406" s="1129"/>
      <c r="N406" s="1129"/>
      <c r="O406" s="1129"/>
      <c r="P406" s="1129"/>
      <c r="Q406" s="1129"/>
      <c r="R406" s="1129"/>
      <c r="S406" s="1129"/>
      <c r="T406" s="1129"/>
      <c r="U406" s="1129"/>
      <c r="V406" s="1129"/>
      <c r="W406" s="1129"/>
      <c r="X406" s="1129"/>
      <c r="Y406" s="1129"/>
      <c r="Z406" s="1129"/>
      <c r="AA406" s="1129"/>
      <c r="AB406" s="1129"/>
      <c r="AC406" s="1129"/>
      <c r="AD406" s="1129"/>
      <c r="AE406" s="1130"/>
      <c r="AF406" s="1131"/>
      <c r="AG406" s="1131"/>
      <c r="AH406" s="1131"/>
      <c r="AI406" s="1131"/>
      <c r="AJ406" s="1131"/>
      <c r="AK406" s="1131"/>
      <c r="AL406" s="1131"/>
      <c r="AM406" s="1131"/>
      <c r="AN406" s="1131"/>
      <c r="AO406" s="1131"/>
      <c r="AP406" s="1131"/>
      <c r="AQ406" s="1131"/>
      <c r="AR406" s="1131"/>
      <c r="AS406" s="1131"/>
      <c r="AT406" s="1131"/>
      <c r="AU406" s="1131"/>
      <c r="AV406" s="1131"/>
      <c r="AW406" s="1131"/>
      <c r="AX406" s="1131"/>
      <c r="AY406" s="1131"/>
      <c r="AZ406" s="1131"/>
      <c r="BA406" s="1131"/>
      <c r="BB406" s="1131"/>
      <c r="BC406" s="1131"/>
      <c r="BD406" s="1131"/>
      <c r="BE406" s="1131"/>
      <c r="BF406" s="1131"/>
      <c r="BG406" s="1131"/>
      <c r="BH406" s="1131"/>
      <c r="BI406" s="1131"/>
      <c r="BJ406" s="1131"/>
      <c r="BK406" s="1131"/>
      <c r="BL406" s="1131"/>
      <c r="BM406" s="1131"/>
      <c r="BN406" s="1131"/>
      <c r="BO406" s="1131"/>
      <c r="BP406" s="1131"/>
      <c r="BQ406" s="1131"/>
      <c r="BR406" s="1131"/>
      <c r="BS406" s="1131"/>
      <c r="BT406" s="1131"/>
      <c r="BU406" s="1131"/>
      <c r="BV406" s="1131"/>
      <c r="BW406" s="1131"/>
      <c r="BX406" s="1131"/>
      <c r="BY406" s="1131"/>
      <c r="BZ406" s="1131"/>
      <c r="CA406" s="1131"/>
      <c r="CB406" s="1131"/>
      <c r="CC406" s="1131"/>
      <c r="CD406" s="1131"/>
      <c r="CE406" s="1131"/>
      <c r="CF406" s="1131"/>
      <c r="CG406" s="1131"/>
      <c r="CH406" s="29"/>
      <c r="CI406" s="185"/>
      <c r="CJ406" s="17"/>
    </row>
    <row r="407" spans="1:88" s="3" customFormat="1" hidden="1">
      <c r="A407" s="243" t="str">
        <f t="shared" si="6"/>
        <v>OK</v>
      </c>
      <c r="B407" s="1126" t="str">
        <f>IF(CONSOLIDA!BH179="","",CONSOLIDA!BH179)</f>
        <v/>
      </c>
      <c r="C407" s="1126"/>
      <c r="D407" s="1134" t="str">
        <f>IF(CONSOLIDA!BJ179="","",CONSOLIDA!BJ179)</f>
        <v/>
      </c>
      <c r="E407" s="1135"/>
      <c r="F407" s="1135"/>
      <c r="G407" s="1129" t="str">
        <f>IF(CONSOLIDA!BK179="","",CONSOLIDA!BK179)</f>
        <v/>
      </c>
      <c r="H407" s="1129"/>
      <c r="I407" s="1129"/>
      <c r="J407" s="1129"/>
      <c r="K407" s="1129"/>
      <c r="L407" s="1129"/>
      <c r="M407" s="1129"/>
      <c r="N407" s="1129"/>
      <c r="O407" s="1129"/>
      <c r="P407" s="1129"/>
      <c r="Q407" s="1129"/>
      <c r="R407" s="1129"/>
      <c r="S407" s="1129"/>
      <c r="T407" s="1129"/>
      <c r="U407" s="1129"/>
      <c r="V407" s="1129"/>
      <c r="W407" s="1129"/>
      <c r="X407" s="1129"/>
      <c r="Y407" s="1129"/>
      <c r="Z407" s="1129"/>
      <c r="AA407" s="1129"/>
      <c r="AB407" s="1129"/>
      <c r="AC407" s="1129"/>
      <c r="AD407" s="1129"/>
      <c r="AE407" s="1130"/>
      <c r="AF407" s="1131"/>
      <c r="AG407" s="1131"/>
      <c r="AH407" s="1131"/>
      <c r="AI407" s="1131"/>
      <c r="AJ407" s="1131"/>
      <c r="AK407" s="1131"/>
      <c r="AL407" s="1131"/>
      <c r="AM407" s="1131"/>
      <c r="AN407" s="1131"/>
      <c r="AO407" s="1131"/>
      <c r="AP407" s="1131"/>
      <c r="AQ407" s="1131"/>
      <c r="AR407" s="1131"/>
      <c r="AS407" s="1131"/>
      <c r="AT407" s="1131"/>
      <c r="AU407" s="1131"/>
      <c r="AV407" s="1131"/>
      <c r="AW407" s="1131"/>
      <c r="AX407" s="1131"/>
      <c r="AY407" s="1131"/>
      <c r="AZ407" s="1131"/>
      <c r="BA407" s="1131"/>
      <c r="BB407" s="1131"/>
      <c r="BC407" s="1131"/>
      <c r="BD407" s="1131"/>
      <c r="BE407" s="1131"/>
      <c r="BF407" s="1131"/>
      <c r="BG407" s="1131"/>
      <c r="BH407" s="1131"/>
      <c r="BI407" s="1131"/>
      <c r="BJ407" s="1131"/>
      <c r="BK407" s="1131"/>
      <c r="BL407" s="1131"/>
      <c r="BM407" s="1131"/>
      <c r="BN407" s="1131"/>
      <c r="BO407" s="1131"/>
      <c r="BP407" s="1131"/>
      <c r="BQ407" s="1131"/>
      <c r="BR407" s="1131"/>
      <c r="BS407" s="1131"/>
      <c r="BT407" s="1131"/>
      <c r="BU407" s="1131"/>
      <c r="BV407" s="1131"/>
      <c r="BW407" s="1131"/>
      <c r="BX407" s="1131"/>
      <c r="BY407" s="1131"/>
      <c r="BZ407" s="1131"/>
      <c r="CA407" s="1131"/>
      <c r="CB407" s="1131"/>
      <c r="CC407" s="1131"/>
      <c r="CD407" s="1131"/>
      <c r="CE407" s="1131"/>
      <c r="CF407" s="1131"/>
      <c r="CG407" s="1131"/>
      <c r="CH407" s="29"/>
      <c r="CI407" s="185"/>
      <c r="CJ407" s="17"/>
    </row>
    <row r="408" spans="1:88" s="3" customFormat="1" hidden="1">
      <c r="A408" s="243" t="str">
        <f t="shared" si="6"/>
        <v>OK</v>
      </c>
      <c r="B408" s="1126" t="str">
        <f>IF(CONSOLIDA!BH180="","",CONSOLIDA!BH180)</f>
        <v/>
      </c>
      <c r="C408" s="1126"/>
      <c r="D408" s="1134" t="str">
        <f>IF(CONSOLIDA!BJ180="","",CONSOLIDA!BJ180)</f>
        <v/>
      </c>
      <c r="E408" s="1135"/>
      <c r="F408" s="1135"/>
      <c r="G408" s="1129" t="str">
        <f>IF(CONSOLIDA!BK180="","",CONSOLIDA!BK180)</f>
        <v/>
      </c>
      <c r="H408" s="1129"/>
      <c r="I408" s="1129"/>
      <c r="J408" s="1129"/>
      <c r="K408" s="1129"/>
      <c r="L408" s="1129"/>
      <c r="M408" s="1129"/>
      <c r="N408" s="1129"/>
      <c r="O408" s="1129"/>
      <c r="P408" s="1129"/>
      <c r="Q408" s="1129"/>
      <c r="R408" s="1129"/>
      <c r="S408" s="1129"/>
      <c r="T408" s="1129"/>
      <c r="U408" s="1129"/>
      <c r="V408" s="1129"/>
      <c r="W408" s="1129"/>
      <c r="X408" s="1129"/>
      <c r="Y408" s="1129"/>
      <c r="Z408" s="1129"/>
      <c r="AA408" s="1129"/>
      <c r="AB408" s="1129"/>
      <c r="AC408" s="1129"/>
      <c r="AD408" s="1129"/>
      <c r="AE408" s="1130"/>
      <c r="AF408" s="1131"/>
      <c r="AG408" s="1131"/>
      <c r="AH408" s="1131"/>
      <c r="AI408" s="1131"/>
      <c r="AJ408" s="1131"/>
      <c r="AK408" s="1131"/>
      <c r="AL408" s="1131"/>
      <c r="AM408" s="1131"/>
      <c r="AN408" s="1131"/>
      <c r="AO408" s="1131"/>
      <c r="AP408" s="1131"/>
      <c r="AQ408" s="1131"/>
      <c r="AR408" s="1131"/>
      <c r="AS408" s="1131"/>
      <c r="AT408" s="1131"/>
      <c r="AU408" s="1131"/>
      <c r="AV408" s="1131"/>
      <c r="AW408" s="1131"/>
      <c r="AX408" s="1131"/>
      <c r="AY408" s="1131"/>
      <c r="AZ408" s="1131"/>
      <c r="BA408" s="1131"/>
      <c r="BB408" s="1131"/>
      <c r="BC408" s="1131"/>
      <c r="BD408" s="1131"/>
      <c r="BE408" s="1131"/>
      <c r="BF408" s="1131"/>
      <c r="BG408" s="1131"/>
      <c r="BH408" s="1131"/>
      <c r="BI408" s="1131"/>
      <c r="BJ408" s="1131"/>
      <c r="BK408" s="1131"/>
      <c r="BL408" s="1131"/>
      <c r="BM408" s="1131"/>
      <c r="BN408" s="1131"/>
      <c r="BO408" s="1131"/>
      <c r="BP408" s="1131"/>
      <c r="BQ408" s="1131"/>
      <c r="BR408" s="1131"/>
      <c r="BS408" s="1131"/>
      <c r="BT408" s="1131"/>
      <c r="BU408" s="1131"/>
      <c r="BV408" s="1131"/>
      <c r="BW408" s="1131"/>
      <c r="BX408" s="1131"/>
      <c r="BY408" s="1131"/>
      <c r="BZ408" s="1131"/>
      <c r="CA408" s="1131"/>
      <c r="CB408" s="1131"/>
      <c r="CC408" s="1131"/>
      <c r="CD408" s="1131"/>
      <c r="CE408" s="1131"/>
      <c r="CF408" s="1131"/>
      <c r="CG408" s="1131"/>
      <c r="CH408" s="29"/>
      <c r="CI408" s="185"/>
      <c r="CJ408" s="17"/>
    </row>
    <row r="409" spans="1:88" s="3" customFormat="1" hidden="1">
      <c r="A409" s="243" t="str">
        <f t="shared" si="6"/>
        <v>OK</v>
      </c>
      <c r="B409" s="1126" t="str">
        <f>IF(CONSOLIDA!BH181="","",CONSOLIDA!BH181)</f>
        <v/>
      </c>
      <c r="C409" s="1126"/>
      <c r="D409" s="1134" t="str">
        <f>IF(CONSOLIDA!BJ181="","",CONSOLIDA!BJ181)</f>
        <v/>
      </c>
      <c r="E409" s="1135"/>
      <c r="F409" s="1135"/>
      <c r="G409" s="1129" t="str">
        <f>IF(CONSOLIDA!BK181="","",CONSOLIDA!BK181)</f>
        <v/>
      </c>
      <c r="H409" s="1129"/>
      <c r="I409" s="1129"/>
      <c r="J409" s="1129"/>
      <c r="K409" s="1129"/>
      <c r="L409" s="1129"/>
      <c r="M409" s="1129"/>
      <c r="N409" s="1129"/>
      <c r="O409" s="1129"/>
      <c r="P409" s="1129"/>
      <c r="Q409" s="1129"/>
      <c r="R409" s="1129"/>
      <c r="S409" s="1129"/>
      <c r="T409" s="1129"/>
      <c r="U409" s="1129"/>
      <c r="V409" s="1129"/>
      <c r="W409" s="1129"/>
      <c r="X409" s="1129"/>
      <c r="Y409" s="1129"/>
      <c r="Z409" s="1129"/>
      <c r="AA409" s="1129"/>
      <c r="AB409" s="1129"/>
      <c r="AC409" s="1129"/>
      <c r="AD409" s="1129"/>
      <c r="AE409" s="1130"/>
      <c r="AF409" s="1131"/>
      <c r="AG409" s="1131"/>
      <c r="AH409" s="1131"/>
      <c r="AI409" s="1131"/>
      <c r="AJ409" s="1131"/>
      <c r="AK409" s="1131"/>
      <c r="AL409" s="1131"/>
      <c r="AM409" s="1131"/>
      <c r="AN409" s="1131"/>
      <c r="AO409" s="1131"/>
      <c r="AP409" s="1131"/>
      <c r="AQ409" s="1131"/>
      <c r="AR409" s="1131"/>
      <c r="AS409" s="1131"/>
      <c r="AT409" s="1131"/>
      <c r="AU409" s="1131"/>
      <c r="AV409" s="1131"/>
      <c r="AW409" s="1131"/>
      <c r="AX409" s="1131"/>
      <c r="AY409" s="1131"/>
      <c r="AZ409" s="1131"/>
      <c r="BA409" s="1131"/>
      <c r="BB409" s="1131"/>
      <c r="BC409" s="1131"/>
      <c r="BD409" s="1131"/>
      <c r="BE409" s="1131"/>
      <c r="BF409" s="1131"/>
      <c r="BG409" s="1131"/>
      <c r="BH409" s="1131"/>
      <c r="BI409" s="1131"/>
      <c r="BJ409" s="1131"/>
      <c r="BK409" s="1131"/>
      <c r="BL409" s="1131"/>
      <c r="BM409" s="1131"/>
      <c r="BN409" s="1131"/>
      <c r="BO409" s="1131"/>
      <c r="BP409" s="1131"/>
      <c r="BQ409" s="1131"/>
      <c r="BR409" s="1131"/>
      <c r="BS409" s="1131"/>
      <c r="BT409" s="1131"/>
      <c r="BU409" s="1131"/>
      <c r="BV409" s="1131"/>
      <c r="BW409" s="1131"/>
      <c r="BX409" s="1131"/>
      <c r="BY409" s="1131"/>
      <c r="BZ409" s="1131"/>
      <c r="CA409" s="1131"/>
      <c r="CB409" s="1131"/>
      <c r="CC409" s="1131"/>
      <c r="CD409" s="1131"/>
      <c r="CE409" s="1131"/>
      <c r="CF409" s="1131"/>
      <c r="CG409" s="1131"/>
      <c r="CH409" s="29"/>
      <c r="CI409" s="185"/>
      <c r="CJ409" s="17"/>
    </row>
    <row r="410" spans="1:88" s="3" customFormat="1" hidden="1">
      <c r="A410" s="243" t="str">
        <f t="shared" si="6"/>
        <v>OK</v>
      </c>
      <c r="B410" s="1126" t="str">
        <f>IF(CONSOLIDA!BH182="","",CONSOLIDA!BH182)</f>
        <v/>
      </c>
      <c r="C410" s="1126"/>
      <c r="D410" s="1134" t="str">
        <f>IF(CONSOLIDA!BJ182="","",CONSOLIDA!BJ182)</f>
        <v/>
      </c>
      <c r="E410" s="1135"/>
      <c r="F410" s="1135"/>
      <c r="G410" s="1129" t="str">
        <f>IF(CONSOLIDA!BK182="","",CONSOLIDA!BK182)</f>
        <v/>
      </c>
      <c r="H410" s="1129"/>
      <c r="I410" s="1129"/>
      <c r="J410" s="1129"/>
      <c r="K410" s="1129"/>
      <c r="L410" s="1129"/>
      <c r="M410" s="1129"/>
      <c r="N410" s="1129"/>
      <c r="O410" s="1129"/>
      <c r="P410" s="1129"/>
      <c r="Q410" s="1129"/>
      <c r="R410" s="1129"/>
      <c r="S410" s="1129"/>
      <c r="T410" s="1129"/>
      <c r="U410" s="1129"/>
      <c r="V410" s="1129"/>
      <c r="W410" s="1129"/>
      <c r="X410" s="1129"/>
      <c r="Y410" s="1129"/>
      <c r="Z410" s="1129"/>
      <c r="AA410" s="1129"/>
      <c r="AB410" s="1129"/>
      <c r="AC410" s="1129"/>
      <c r="AD410" s="1129"/>
      <c r="AE410" s="1130"/>
      <c r="AF410" s="1131"/>
      <c r="AG410" s="1131"/>
      <c r="AH410" s="1131"/>
      <c r="AI410" s="1131"/>
      <c r="AJ410" s="1131"/>
      <c r="AK410" s="1131"/>
      <c r="AL410" s="1131"/>
      <c r="AM410" s="1131"/>
      <c r="AN410" s="1131"/>
      <c r="AO410" s="1131"/>
      <c r="AP410" s="1131"/>
      <c r="AQ410" s="1131"/>
      <c r="AR410" s="1131"/>
      <c r="AS410" s="1131"/>
      <c r="AT410" s="1131"/>
      <c r="AU410" s="1131"/>
      <c r="AV410" s="1131"/>
      <c r="AW410" s="1131"/>
      <c r="AX410" s="1131"/>
      <c r="AY410" s="1131"/>
      <c r="AZ410" s="1131"/>
      <c r="BA410" s="1131"/>
      <c r="BB410" s="1131"/>
      <c r="BC410" s="1131"/>
      <c r="BD410" s="1131"/>
      <c r="BE410" s="1131"/>
      <c r="BF410" s="1131"/>
      <c r="BG410" s="1131"/>
      <c r="BH410" s="1131"/>
      <c r="BI410" s="1131"/>
      <c r="BJ410" s="1131"/>
      <c r="BK410" s="1131"/>
      <c r="BL410" s="1131"/>
      <c r="BM410" s="1131"/>
      <c r="BN410" s="1131"/>
      <c r="BO410" s="1131"/>
      <c r="BP410" s="1131"/>
      <c r="BQ410" s="1131"/>
      <c r="BR410" s="1131"/>
      <c r="BS410" s="1131"/>
      <c r="BT410" s="1131"/>
      <c r="BU410" s="1131"/>
      <c r="BV410" s="1131"/>
      <c r="BW410" s="1131"/>
      <c r="BX410" s="1131"/>
      <c r="BY410" s="1131"/>
      <c r="BZ410" s="1131"/>
      <c r="CA410" s="1131"/>
      <c r="CB410" s="1131"/>
      <c r="CC410" s="1131"/>
      <c r="CD410" s="1131"/>
      <c r="CE410" s="1131"/>
      <c r="CF410" s="1131"/>
      <c r="CG410" s="1131"/>
      <c r="CH410" s="29"/>
      <c r="CI410" s="185"/>
      <c r="CJ410" s="17"/>
    </row>
    <row r="411" spans="1:88" s="3" customFormat="1" hidden="1">
      <c r="A411" s="243" t="str">
        <f t="shared" si="6"/>
        <v>OK</v>
      </c>
      <c r="B411" s="1126" t="str">
        <f>IF(CONSOLIDA!BH183="","",CONSOLIDA!BH183)</f>
        <v/>
      </c>
      <c r="C411" s="1126"/>
      <c r="D411" s="1134" t="str">
        <f>IF(CONSOLIDA!BJ183="","",CONSOLIDA!BJ183)</f>
        <v/>
      </c>
      <c r="E411" s="1135"/>
      <c r="F411" s="1135"/>
      <c r="G411" s="1129" t="str">
        <f>IF(CONSOLIDA!BK183="","",CONSOLIDA!BK183)</f>
        <v/>
      </c>
      <c r="H411" s="1129"/>
      <c r="I411" s="1129"/>
      <c r="J411" s="1129"/>
      <c r="K411" s="1129"/>
      <c r="L411" s="1129"/>
      <c r="M411" s="1129"/>
      <c r="N411" s="1129"/>
      <c r="O411" s="1129"/>
      <c r="P411" s="1129"/>
      <c r="Q411" s="1129"/>
      <c r="R411" s="1129"/>
      <c r="S411" s="1129"/>
      <c r="T411" s="1129"/>
      <c r="U411" s="1129"/>
      <c r="V411" s="1129"/>
      <c r="W411" s="1129"/>
      <c r="X411" s="1129"/>
      <c r="Y411" s="1129"/>
      <c r="Z411" s="1129"/>
      <c r="AA411" s="1129"/>
      <c r="AB411" s="1129"/>
      <c r="AC411" s="1129"/>
      <c r="AD411" s="1129"/>
      <c r="AE411" s="1130"/>
      <c r="AF411" s="1131"/>
      <c r="AG411" s="1131"/>
      <c r="AH411" s="1131"/>
      <c r="AI411" s="1131"/>
      <c r="AJ411" s="1131"/>
      <c r="AK411" s="1131"/>
      <c r="AL411" s="1131"/>
      <c r="AM411" s="1131"/>
      <c r="AN411" s="1131"/>
      <c r="AO411" s="1131"/>
      <c r="AP411" s="1131"/>
      <c r="AQ411" s="1131"/>
      <c r="AR411" s="1131"/>
      <c r="AS411" s="1131"/>
      <c r="AT411" s="1131"/>
      <c r="AU411" s="1131"/>
      <c r="AV411" s="1131"/>
      <c r="AW411" s="1131"/>
      <c r="AX411" s="1131"/>
      <c r="AY411" s="1131"/>
      <c r="AZ411" s="1131"/>
      <c r="BA411" s="1131"/>
      <c r="BB411" s="1131"/>
      <c r="BC411" s="1131"/>
      <c r="BD411" s="1131"/>
      <c r="BE411" s="1131"/>
      <c r="BF411" s="1131"/>
      <c r="BG411" s="1131"/>
      <c r="BH411" s="1131"/>
      <c r="BI411" s="1131"/>
      <c r="BJ411" s="1131"/>
      <c r="BK411" s="1131"/>
      <c r="BL411" s="1131"/>
      <c r="BM411" s="1131"/>
      <c r="BN411" s="1131"/>
      <c r="BO411" s="1131"/>
      <c r="BP411" s="1131"/>
      <c r="BQ411" s="1131"/>
      <c r="BR411" s="1131"/>
      <c r="BS411" s="1131"/>
      <c r="BT411" s="1131"/>
      <c r="BU411" s="1131"/>
      <c r="BV411" s="1131"/>
      <c r="BW411" s="1131"/>
      <c r="BX411" s="1131"/>
      <c r="BY411" s="1131"/>
      <c r="BZ411" s="1131"/>
      <c r="CA411" s="1131"/>
      <c r="CB411" s="1131"/>
      <c r="CC411" s="1131"/>
      <c r="CD411" s="1131"/>
      <c r="CE411" s="1131"/>
      <c r="CF411" s="1131"/>
      <c r="CG411" s="1131"/>
      <c r="CH411" s="29"/>
      <c r="CI411" s="185"/>
      <c r="CJ411" s="17"/>
    </row>
    <row r="412" spans="1:88" s="3" customFormat="1" hidden="1">
      <c r="A412" s="243" t="str">
        <f t="shared" si="6"/>
        <v>OK</v>
      </c>
      <c r="B412" s="1126" t="str">
        <f>IF(CONSOLIDA!BH184="","",CONSOLIDA!BH184)</f>
        <v/>
      </c>
      <c r="C412" s="1126"/>
      <c r="D412" s="1134" t="str">
        <f>IF(CONSOLIDA!BJ184="","",CONSOLIDA!BJ184)</f>
        <v/>
      </c>
      <c r="E412" s="1135"/>
      <c r="F412" s="1135"/>
      <c r="G412" s="1129" t="str">
        <f>IF(CONSOLIDA!BK184="","",CONSOLIDA!BK184)</f>
        <v/>
      </c>
      <c r="H412" s="1129"/>
      <c r="I412" s="1129"/>
      <c r="J412" s="1129"/>
      <c r="K412" s="1129"/>
      <c r="L412" s="1129"/>
      <c r="M412" s="1129"/>
      <c r="N412" s="1129"/>
      <c r="O412" s="1129"/>
      <c r="P412" s="1129"/>
      <c r="Q412" s="1129"/>
      <c r="R412" s="1129"/>
      <c r="S412" s="1129"/>
      <c r="T412" s="1129"/>
      <c r="U412" s="1129"/>
      <c r="V412" s="1129"/>
      <c r="W412" s="1129"/>
      <c r="X412" s="1129"/>
      <c r="Y412" s="1129"/>
      <c r="Z412" s="1129"/>
      <c r="AA412" s="1129"/>
      <c r="AB412" s="1129"/>
      <c r="AC412" s="1129"/>
      <c r="AD412" s="1129"/>
      <c r="AE412" s="1130"/>
      <c r="AF412" s="1131"/>
      <c r="AG412" s="1131"/>
      <c r="AH412" s="1131"/>
      <c r="AI412" s="1131"/>
      <c r="AJ412" s="1131"/>
      <c r="AK412" s="1131"/>
      <c r="AL412" s="1131"/>
      <c r="AM412" s="1131"/>
      <c r="AN412" s="1131"/>
      <c r="AO412" s="1131"/>
      <c r="AP412" s="1131"/>
      <c r="AQ412" s="1131"/>
      <c r="AR412" s="1131"/>
      <c r="AS412" s="1131"/>
      <c r="AT412" s="1131"/>
      <c r="AU412" s="1131"/>
      <c r="AV412" s="1131"/>
      <c r="AW412" s="1131"/>
      <c r="AX412" s="1131"/>
      <c r="AY412" s="1131"/>
      <c r="AZ412" s="1131"/>
      <c r="BA412" s="1131"/>
      <c r="BB412" s="1131"/>
      <c r="BC412" s="1131"/>
      <c r="BD412" s="1131"/>
      <c r="BE412" s="1131"/>
      <c r="BF412" s="1131"/>
      <c r="BG412" s="1131"/>
      <c r="BH412" s="1131"/>
      <c r="BI412" s="1131"/>
      <c r="BJ412" s="1131"/>
      <c r="BK412" s="1131"/>
      <c r="BL412" s="1131"/>
      <c r="BM412" s="1131"/>
      <c r="BN412" s="1131"/>
      <c r="BO412" s="1131"/>
      <c r="BP412" s="1131"/>
      <c r="BQ412" s="1131"/>
      <c r="BR412" s="1131"/>
      <c r="BS412" s="1131"/>
      <c r="BT412" s="1131"/>
      <c r="BU412" s="1131"/>
      <c r="BV412" s="1131"/>
      <c r="BW412" s="1131"/>
      <c r="BX412" s="1131"/>
      <c r="BY412" s="1131"/>
      <c r="BZ412" s="1131"/>
      <c r="CA412" s="1131"/>
      <c r="CB412" s="1131"/>
      <c r="CC412" s="1131"/>
      <c r="CD412" s="1131"/>
      <c r="CE412" s="1131"/>
      <c r="CF412" s="1131"/>
      <c r="CG412" s="1131"/>
      <c r="CH412" s="29"/>
      <c r="CI412" s="185"/>
      <c r="CJ412" s="17"/>
    </row>
    <row r="413" spans="1:88" s="3" customFormat="1" hidden="1">
      <c r="A413" s="243" t="str">
        <f t="shared" si="6"/>
        <v>OK</v>
      </c>
      <c r="B413" s="1126" t="str">
        <f>IF(CONSOLIDA!BH185="","",CONSOLIDA!BH185)</f>
        <v/>
      </c>
      <c r="C413" s="1126"/>
      <c r="D413" s="1134" t="str">
        <f>IF(CONSOLIDA!BJ185="","",CONSOLIDA!BJ185)</f>
        <v/>
      </c>
      <c r="E413" s="1135"/>
      <c r="F413" s="1135"/>
      <c r="G413" s="1129" t="str">
        <f>IF(CONSOLIDA!BK185="","",CONSOLIDA!BK185)</f>
        <v/>
      </c>
      <c r="H413" s="1129"/>
      <c r="I413" s="1129"/>
      <c r="J413" s="1129"/>
      <c r="K413" s="1129"/>
      <c r="L413" s="1129"/>
      <c r="M413" s="1129"/>
      <c r="N413" s="1129"/>
      <c r="O413" s="1129"/>
      <c r="P413" s="1129"/>
      <c r="Q413" s="1129"/>
      <c r="R413" s="1129"/>
      <c r="S413" s="1129"/>
      <c r="T413" s="1129"/>
      <c r="U413" s="1129"/>
      <c r="V413" s="1129"/>
      <c r="W413" s="1129"/>
      <c r="X413" s="1129"/>
      <c r="Y413" s="1129"/>
      <c r="Z413" s="1129"/>
      <c r="AA413" s="1129"/>
      <c r="AB413" s="1129"/>
      <c r="AC413" s="1129"/>
      <c r="AD413" s="1129"/>
      <c r="AE413" s="1130"/>
      <c r="AF413" s="1131"/>
      <c r="AG413" s="1131"/>
      <c r="AH413" s="1131"/>
      <c r="AI413" s="1131"/>
      <c r="AJ413" s="1131"/>
      <c r="AK413" s="1131"/>
      <c r="AL413" s="1131"/>
      <c r="AM413" s="1131"/>
      <c r="AN413" s="1131"/>
      <c r="AO413" s="1131"/>
      <c r="AP413" s="1131"/>
      <c r="AQ413" s="1131"/>
      <c r="AR413" s="1131"/>
      <c r="AS413" s="1131"/>
      <c r="AT413" s="1131"/>
      <c r="AU413" s="1131"/>
      <c r="AV413" s="1131"/>
      <c r="AW413" s="1131"/>
      <c r="AX413" s="1131"/>
      <c r="AY413" s="1131"/>
      <c r="AZ413" s="1131"/>
      <c r="BA413" s="1131"/>
      <c r="BB413" s="1131"/>
      <c r="BC413" s="1131"/>
      <c r="BD413" s="1131"/>
      <c r="BE413" s="1131"/>
      <c r="BF413" s="1131"/>
      <c r="BG413" s="1131"/>
      <c r="BH413" s="1131"/>
      <c r="BI413" s="1131"/>
      <c r="BJ413" s="1131"/>
      <c r="BK413" s="1131"/>
      <c r="BL413" s="1131"/>
      <c r="BM413" s="1131"/>
      <c r="BN413" s="1131"/>
      <c r="BO413" s="1131"/>
      <c r="BP413" s="1131"/>
      <c r="BQ413" s="1131"/>
      <c r="BR413" s="1131"/>
      <c r="BS413" s="1131"/>
      <c r="BT413" s="1131"/>
      <c r="BU413" s="1131"/>
      <c r="BV413" s="1131"/>
      <c r="BW413" s="1131"/>
      <c r="BX413" s="1131"/>
      <c r="BY413" s="1131"/>
      <c r="BZ413" s="1131"/>
      <c r="CA413" s="1131"/>
      <c r="CB413" s="1131"/>
      <c r="CC413" s="1131"/>
      <c r="CD413" s="1131"/>
      <c r="CE413" s="1131"/>
      <c r="CF413" s="1131"/>
      <c r="CG413" s="1131"/>
      <c r="CH413" s="29"/>
      <c r="CI413" s="185"/>
      <c r="CJ413" s="17"/>
    </row>
    <row r="414" spans="1:88" s="3" customFormat="1" hidden="1">
      <c r="A414" s="243" t="str">
        <f t="shared" si="6"/>
        <v>OK</v>
      </c>
      <c r="B414" s="1126" t="str">
        <f>IF(CONSOLIDA!BH186="","",CONSOLIDA!BH186)</f>
        <v/>
      </c>
      <c r="C414" s="1126"/>
      <c r="D414" s="1134" t="str">
        <f>IF(CONSOLIDA!BJ186="","",CONSOLIDA!BJ186)</f>
        <v/>
      </c>
      <c r="E414" s="1135"/>
      <c r="F414" s="1135"/>
      <c r="G414" s="1129" t="str">
        <f>IF(CONSOLIDA!BK186="","",CONSOLIDA!BK186)</f>
        <v/>
      </c>
      <c r="H414" s="1129"/>
      <c r="I414" s="1129"/>
      <c r="J414" s="1129"/>
      <c r="K414" s="1129"/>
      <c r="L414" s="1129"/>
      <c r="M414" s="1129"/>
      <c r="N414" s="1129"/>
      <c r="O414" s="1129"/>
      <c r="P414" s="1129"/>
      <c r="Q414" s="1129"/>
      <c r="R414" s="1129"/>
      <c r="S414" s="1129"/>
      <c r="T414" s="1129"/>
      <c r="U414" s="1129"/>
      <c r="V414" s="1129"/>
      <c r="W414" s="1129"/>
      <c r="X414" s="1129"/>
      <c r="Y414" s="1129"/>
      <c r="Z414" s="1129"/>
      <c r="AA414" s="1129"/>
      <c r="AB414" s="1129"/>
      <c r="AC414" s="1129"/>
      <c r="AD414" s="1129"/>
      <c r="AE414" s="1130"/>
      <c r="AF414" s="1131"/>
      <c r="AG414" s="1131"/>
      <c r="AH414" s="1131"/>
      <c r="AI414" s="1131"/>
      <c r="AJ414" s="1131"/>
      <c r="AK414" s="1131"/>
      <c r="AL414" s="1131"/>
      <c r="AM414" s="1131"/>
      <c r="AN414" s="1131"/>
      <c r="AO414" s="1131"/>
      <c r="AP414" s="1131"/>
      <c r="AQ414" s="1131"/>
      <c r="AR414" s="1131"/>
      <c r="AS414" s="1131"/>
      <c r="AT414" s="1131"/>
      <c r="AU414" s="1131"/>
      <c r="AV414" s="1131"/>
      <c r="AW414" s="1131"/>
      <c r="AX414" s="1131"/>
      <c r="AY414" s="1131"/>
      <c r="AZ414" s="1131"/>
      <c r="BA414" s="1131"/>
      <c r="BB414" s="1131"/>
      <c r="BC414" s="1131"/>
      <c r="BD414" s="1131"/>
      <c r="BE414" s="1131"/>
      <c r="BF414" s="1131"/>
      <c r="BG414" s="1131"/>
      <c r="BH414" s="1131"/>
      <c r="BI414" s="1131"/>
      <c r="BJ414" s="1131"/>
      <c r="BK414" s="1131"/>
      <c r="BL414" s="1131"/>
      <c r="BM414" s="1131"/>
      <c r="BN414" s="1131"/>
      <c r="BO414" s="1131"/>
      <c r="BP414" s="1131"/>
      <c r="BQ414" s="1131"/>
      <c r="BR414" s="1131"/>
      <c r="BS414" s="1131"/>
      <c r="BT414" s="1131"/>
      <c r="BU414" s="1131"/>
      <c r="BV414" s="1131"/>
      <c r="BW414" s="1131"/>
      <c r="BX414" s="1131"/>
      <c r="BY414" s="1131"/>
      <c r="BZ414" s="1131"/>
      <c r="CA414" s="1131"/>
      <c r="CB414" s="1131"/>
      <c r="CC414" s="1131"/>
      <c r="CD414" s="1131"/>
      <c r="CE414" s="1131"/>
      <c r="CF414" s="1131"/>
      <c r="CG414" s="1131"/>
      <c r="CH414" s="29"/>
      <c r="CI414" s="185"/>
      <c r="CJ414" s="17"/>
    </row>
    <row r="415" spans="1:88" s="3" customFormat="1" hidden="1">
      <c r="A415" s="243" t="str">
        <f t="shared" si="6"/>
        <v>OK</v>
      </c>
      <c r="B415" s="1126" t="str">
        <f>IF(CONSOLIDA!BH187="","",CONSOLIDA!BH187)</f>
        <v/>
      </c>
      <c r="C415" s="1126"/>
      <c r="D415" s="1134" t="str">
        <f>IF(CONSOLIDA!BJ187="","",CONSOLIDA!BJ187)</f>
        <v/>
      </c>
      <c r="E415" s="1135"/>
      <c r="F415" s="1135"/>
      <c r="G415" s="1129" t="str">
        <f>IF(CONSOLIDA!BK187="","",CONSOLIDA!BK187)</f>
        <v/>
      </c>
      <c r="H415" s="1129"/>
      <c r="I415" s="1129"/>
      <c r="J415" s="1129"/>
      <c r="K415" s="1129"/>
      <c r="L415" s="1129"/>
      <c r="M415" s="1129"/>
      <c r="N415" s="1129"/>
      <c r="O415" s="1129"/>
      <c r="P415" s="1129"/>
      <c r="Q415" s="1129"/>
      <c r="R415" s="1129"/>
      <c r="S415" s="1129"/>
      <c r="T415" s="1129"/>
      <c r="U415" s="1129"/>
      <c r="V415" s="1129"/>
      <c r="W415" s="1129"/>
      <c r="X415" s="1129"/>
      <c r="Y415" s="1129"/>
      <c r="Z415" s="1129"/>
      <c r="AA415" s="1129"/>
      <c r="AB415" s="1129"/>
      <c r="AC415" s="1129"/>
      <c r="AD415" s="1129"/>
      <c r="AE415" s="1130"/>
      <c r="AF415" s="1131"/>
      <c r="AG415" s="1131"/>
      <c r="AH415" s="1131"/>
      <c r="AI415" s="1131"/>
      <c r="AJ415" s="1131"/>
      <c r="AK415" s="1131"/>
      <c r="AL415" s="1131"/>
      <c r="AM415" s="1131"/>
      <c r="AN415" s="1131"/>
      <c r="AO415" s="1131"/>
      <c r="AP415" s="1131"/>
      <c r="AQ415" s="1131"/>
      <c r="AR415" s="1131"/>
      <c r="AS415" s="1131"/>
      <c r="AT415" s="1131"/>
      <c r="AU415" s="1131"/>
      <c r="AV415" s="1131"/>
      <c r="AW415" s="1131"/>
      <c r="AX415" s="1131"/>
      <c r="AY415" s="1131"/>
      <c r="AZ415" s="1131"/>
      <c r="BA415" s="1131"/>
      <c r="BB415" s="1131"/>
      <c r="BC415" s="1131"/>
      <c r="BD415" s="1131"/>
      <c r="BE415" s="1131"/>
      <c r="BF415" s="1131"/>
      <c r="BG415" s="1131"/>
      <c r="BH415" s="1131"/>
      <c r="BI415" s="1131"/>
      <c r="BJ415" s="1131"/>
      <c r="BK415" s="1131"/>
      <c r="BL415" s="1131"/>
      <c r="BM415" s="1131"/>
      <c r="BN415" s="1131"/>
      <c r="BO415" s="1131"/>
      <c r="BP415" s="1131"/>
      <c r="BQ415" s="1131"/>
      <c r="BR415" s="1131"/>
      <c r="BS415" s="1131"/>
      <c r="BT415" s="1131"/>
      <c r="BU415" s="1131"/>
      <c r="BV415" s="1131"/>
      <c r="BW415" s="1131"/>
      <c r="BX415" s="1131"/>
      <c r="BY415" s="1131"/>
      <c r="BZ415" s="1131"/>
      <c r="CA415" s="1131"/>
      <c r="CB415" s="1131"/>
      <c r="CC415" s="1131"/>
      <c r="CD415" s="1131"/>
      <c r="CE415" s="1131"/>
      <c r="CF415" s="1131"/>
      <c r="CG415" s="1131"/>
      <c r="CH415" s="29"/>
      <c r="CI415" s="185"/>
      <c r="CJ415" s="17"/>
    </row>
    <row r="416" spans="1:88" s="3" customFormat="1" hidden="1">
      <c r="A416" s="243" t="str">
        <f t="shared" si="6"/>
        <v>OK</v>
      </c>
      <c r="B416" s="1126" t="str">
        <f>IF(CONSOLIDA!BH188="","",CONSOLIDA!BH188)</f>
        <v/>
      </c>
      <c r="C416" s="1126"/>
      <c r="D416" s="1134" t="str">
        <f>IF(CONSOLIDA!BJ188="","",CONSOLIDA!BJ188)</f>
        <v/>
      </c>
      <c r="E416" s="1135"/>
      <c r="F416" s="1135"/>
      <c r="G416" s="1129" t="str">
        <f>IF(CONSOLIDA!BK188="","",CONSOLIDA!BK188)</f>
        <v/>
      </c>
      <c r="H416" s="1129"/>
      <c r="I416" s="1129"/>
      <c r="J416" s="1129"/>
      <c r="K416" s="1129"/>
      <c r="L416" s="1129"/>
      <c r="M416" s="1129"/>
      <c r="N416" s="1129"/>
      <c r="O416" s="1129"/>
      <c r="P416" s="1129"/>
      <c r="Q416" s="1129"/>
      <c r="R416" s="1129"/>
      <c r="S416" s="1129"/>
      <c r="T416" s="1129"/>
      <c r="U416" s="1129"/>
      <c r="V416" s="1129"/>
      <c r="W416" s="1129"/>
      <c r="X416" s="1129"/>
      <c r="Y416" s="1129"/>
      <c r="Z416" s="1129"/>
      <c r="AA416" s="1129"/>
      <c r="AB416" s="1129"/>
      <c r="AC416" s="1129"/>
      <c r="AD416" s="1129"/>
      <c r="AE416" s="1130"/>
      <c r="AF416" s="1131"/>
      <c r="AG416" s="1131"/>
      <c r="AH416" s="1131"/>
      <c r="AI416" s="1131"/>
      <c r="AJ416" s="1131"/>
      <c r="AK416" s="1131"/>
      <c r="AL416" s="1131"/>
      <c r="AM416" s="1131"/>
      <c r="AN416" s="1131"/>
      <c r="AO416" s="1131"/>
      <c r="AP416" s="1131"/>
      <c r="AQ416" s="1131"/>
      <c r="AR416" s="1131"/>
      <c r="AS416" s="1131"/>
      <c r="AT416" s="1131"/>
      <c r="AU416" s="1131"/>
      <c r="AV416" s="1131"/>
      <c r="AW416" s="1131"/>
      <c r="AX416" s="1131"/>
      <c r="AY416" s="1131"/>
      <c r="AZ416" s="1131"/>
      <c r="BA416" s="1131"/>
      <c r="BB416" s="1131"/>
      <c r="BC416" s="1131"/>
      <c r="BD416" s="1131"/>
      <c r="BE416" s="1131"/>
      <c r="BF416" s="1131"/>
      <c r="BG416" s="1131"/>
      <c r="BH416" s="1131"/>
      <c r="BI416" s="1131"/>
      <c r="BJ416" s="1131"/>
      <c r="BK416" s="1131"/>
      <c r="BL416" s="1131"/>
      <c r="BM416" s="1131"/>
      <c r="BN416" s="1131"/>
      <c r="BO416" s="1131"/>
      <c r="BP416" s="1131"/>
      <c r="BQ416" s="1131"/>
      <c r="BR416" s="1131"/>
      <c r="BS416" s="1131"/>
      <c r="BT416" s="1131"/>
      <c r="BU416" s="1131"/>
      <c r="BV416" s="1131"/>
      <c r="BW416" s="1131"/>
      <c r="BX416" s="1131"/>
      <c r="BY416" s="1131"/>
      <c r="BZ416" s="1131"/>
      <c r="CA416" s="1131"/>
      <c r="CB416" s="1131"/>
      <c r="CC416" s="1131"/>
      <c r="CD416" s="1131"/>
      <c r="CE416" s="1131"/>
      <c r="CF416" s="1131"/>
      <c r="CG416" s="1131"/>
      <c r="CH416" s="29"/>
      <c r="CI416" s="185"/>
      <c r="CJ416" s="17"/>
    </row>
    <row r="417" spans="1:88" s="3" customFormat="1" hidden="1">
      <c r="A417" s="243" t="str">
        <f t="shared" si="6"/>
        <v>OK</v>
      </c>
      <c r="B417" s="1126" t="str">
        <f>IF(CONSOLIDA!BH189="","",CONSOLIDA!BH189)</f>
        <v/>
      </c>
      <c r="C417" s="1126"/>
      <c r="D417" s="1134" t="str">
        <f>IF(CONSOLIDA!BJ189="","",CONSOLIDA!BJ189)</f>
        <v/>
      </c>
      <c r="E417" s="1135"/>
      <c r="F417" s="1135"/>
      <c r="G417" s="1129" t="str">
        <f>IF(CONSOLIDA!BK189="","",CONSOLIDA!BK189)</f>
        <v/>
      </c>
      <c r="H417" s="1129"/>
      <c r="I417" s="1129"/>
      <c r="J417" s="1129"/>
      <c r="K417" s="1129"/>
      <c r="L417" s="1129"/>
      <c r="M417" s="1129"/>
      <c r="N417" s="1129"/>
      <c r="O417" s="1129"/>
      <c r="P417" s="1129"/>
      <c r="Q417" s="1129"/>
      <c r="R417" s="1129"/>
      <c r="S417" s="1129"/>
      <c r="T417" s="1129"/>
      <c r="U417" s="1129"/>
      <c r="V417" s="1129"/>
      <c r="W417" s="1129"/>
      <c r="X417" s="1129"/>
      <c r="Y417" s="1129"/>
      <c r="Z417" s="1129"/>
      <c r="AA417" s="1129"/>
      <c r="AB417" s="1129"/>
      <c r="AC417" s="1129"/>
      <c r="AD417" s="1129"/>
      <c r="AE417" s="1130"/>
      <c r="AF417" s="1131"/>
      <c r="AG417" s="1131"/>
      <c r="AH417" s="1131"/>
      <c r="AI417" s="1131"/>
      <c r="AJ417" s="1131"/>
      <c r="AK417" s="1131"/>
      <c r="AL417" s="1131"/>
      <c r="AM417" s="1131"/>
      <c r="AN417" s="1131"/>
      <c r="AO417" s="1131"/>
      <c r="AP417" s="1131"/>
      <c r="AQ417" s="1131"/>
      <c r="AR417" s="1131"/>
      <c r="AS417" s="1131"/>
      <c r="AT417" s="1131"/>
      <c r="AU417" s="1131"/>
      <c r="AV417" s="1131"/>
      <c r="AW417" s="1131"/>
      <c r="AX417" s="1131"/>
      <c r="AY417" s="1131"/>
      <c r="AZ417" s="1131"/>
      <c r="BA417" s="1131"/>
      <c r="BB417" s="1131"/>
      <c r="BC417" s="1131"/>
      <c r="BD417" s="1131"/>
      <c r="BE417" s="1131"/>
      <c r="BF417" s="1131"/>
      <c r="BG417" s="1131"/>
      <c r="BH417" s="1131"/>
      <c r="BI417" s="1131"/>
      <c r="BJ417" s="1131"/>
      <c r="BK417" s="1131"/>
      <c r="BL417" s="1131"/>
      <c r="BM417" s="1131"/>
      <c r="BN417" s="1131"/>
      <c r="BO417" s="1131"/>
      <c r="BP417" s="1131"/>
      <c r="BQ417" s="1131"/>
      <c r="BR417" s="1131"/>
      <c r="BS417" s="1131"/>
      <c r="BT417" s="1131"/>
      <c r="BU417" s="1131"/>
      <c r="BV417" s="1131"/>
      <c r="BW417" s="1131"/>
      <c r="BX417" s="1131"/>
      <c r="BY417" s="1131"/>
      <c r="BZ417" s="1131"/>
      <c r="CA417" s="1131"/>
      <c r="CB417" s="1131"/>
      <c r="CC417" s="1131"/>
      <c r="CD417" s="1131"/>
      <c r="CE417" s="1131"/>
      <c r="CF417" s="1131"/>
      <c r="CG417" s="1131"/>
      <c r="CH417" s="29"/>
      <c r="CI417" s="185"/>
      <c r="CJ417" s="17"/>
    </row>
    <row r="418" spans="1:88" s="3" customFormat="1" hidden="1">
      <c r="A418" s="243" t="str">
        <f t="shared" si="6"/>
        <v>OK</v>
      </c>
      <c r="B418" s="1126" t="str">
        <f>IF(CONSOLIDA!BH190="","",CONSOLIDA!BH190)</f>
        <v/>
      </c>
      <c r="C418" s="1126"/>
      <c r="D418" s="1134" t="str">
        <f>IF(CONSOLIDA!BJ190="","",CONSOLIDA!BJ190)</f>
        <v/>
      </c>
      <c r="E418" s="1135"/>
      <c r="F418" s="1135"/>
      <c r="G418" s="1129" t="str">
        <f>IF(CONSOLIDA!BK190="","",CONSOLIDA!BK190)</f>
        <v/>
      </c>
      <c r="H418" s="1129"/>
      <c r="I418" s="1129"/>
      <c r="J418" s="1129"/>
      <c r="K418" s="1129"/>
      <c r="L418" s="1129"/>
      <c r="M418" s="1129"/>
      <c r="N418" s="1129"/>
      <c r="O418" s="1129"/>
      <c r="P418" s="1129"/>
      <c r="Q418" s="1129"/>
      <c r="R418" s="1129"/>
      <c r="S418" s="1129"/>
      <c r="T418" s="1129"/>
      <c r="U418" s="1129"/>
      <c r="V418" s="1129"/>
      <c r="W418" s="1129"/>
      <c r="X418" s="1129"/>
      <c r="Y418" s="1129"/>
      <c r="Z418" s="1129"/>
      <c r="AA418" s="1129"/>
      <c r="AB418" s="1129"/>
      <c r="AC418" s="1129"/>
      <c r="AD418" s="1129"/>
      <c r="AE418" s="1130"/>
      <c r="AF418" s="1131"/>
      <c r="AG418" s="1131"/>
      <c r="AH418" s="1131"/>
      <c r="AI418" s="1131"/>
      <c r="AJ418" s="1131"/>
      <c r="AK418" s="1131"/>
      <c r="AL418" s="1131"/>
      <c r="AM418" s="1131"/>
      <c r="AN418" s="1131"/>
      <c r="AO418" s="1131"/>
      <c r="AP418" s="1131"/>
      <c r="AQ418" s="1131"/>
      <c r="AR418" s="1131"/>
      <c r="AS418" s="1131"/>
      <c r="AT418" s="1131"/>
      <c r="AU418" s="1131"/>
      <c r="AV418" s="1131"/>
      <c r="AW418" s="1131"/>
      <c r="AX418" s="1131"/>
      <c r="AY418" s="1131"/>
      <c r="AZ418" s="1131"/>
      <c r="BA418" s="1131"/>
      <c r="BB418" s="1131"/>
      <c r="BC418" s="1131"/>
      <c r="BD418" s="1131"/>
      <c r="BE418" s="1131"/>
      <c r="BF418" s="1131"/>
      <c r="BG418" s="1131"/>
      <c r="BH418" s="1131"/>
      <c r="BI418" s="1131"/>
      <c r="BJ418" s="1131"/>
      <c r="BK418" s="1131"/>
      <c r="BL418" s="1131"/>
      <c r="BM418" s="1131"/>
      <c r="BN418" s="1131"/>
      <c r="BO418" s="1131"/>
      <c r="BP418" s="1131"/>
      <c r="BQ418" s="1131"/>
      <c r="BR418" s="1131"/>
      <c r="BS418" s="1131"/>
      <c r="BT418" s="1131"/>
      <c r="BU418" s="1131"/>
      <c r="BV418" s="1131"/>
      <c r="BW418" s="1131"/>
      <c r="BX418" s="1131"/>
      <c r="BY418" s="1131"/>
      <c r="BZ418" s="1131"/>
      <c r="CA418" s="1131"/>
      <c r="CB418" s="1131"/>
      <c r="CC418" s="1131"/>
      <c r="CD418" s="1131"/>
      <c r="CE418" s="1131"/>
      <c r="CF418" s="1131"/>
      <c r="CG418" s="1131"/>
      <c r="CH418" s="29"/>
      <c r="CI418" s="185"/>
      <c r="CJ418" s="17"/>
    </row>
    <row r="419" spans="1:88" s="3" customFormat="1" hidden="1">
      <c r="A419" s="243" t="str">
        <f t="shared" si="6"/>
        <v>OK</v>
      </c>
      <c r="B419" s="1126" t="str">
        <f>IF(CONSOLIDA!BH191="","",CONSOLIDA!BH191)</f>
        <v/>
      </c>
      <c r="C419" s="1126"/>
      <c r="D419" s="1134" t="str">
        <f>IF(CONSOLIDA!BJ191="","",CONSOLIDA!BJ191)</f>
        <v/>
      </c>
      <c r="E419" s="1135"/>
      <c r="F419" s="1135"/>
      <c r="G419" s="1129" t="str">
        <f>IF(CONSOLIDA!BK191="","",CONSOLIDA!BK191)</f>
        <v/>
      </c>
      <c r="H419" s="1129"/>
      <c r="I419" s="1129"/>
      <c r="J419" s="1129"/>
      <c r="K419" s="1129"/>
      <c r="L419" s="1129"/>
      <c r="M419" s="1129"/>
      <c r="N419" s="1129"/>
      <c r="O419" s="1129"/>
      <c r="P419" s="1129"/>
      <c r="Q419" s="1129"/>
      <c r="R419" s="1129"/>
      <c r="S419" s="1129"/>
      <c r="T419" s="1129"/>
      <c r="U419" s="1129"/>
      <c r="V419" s="1129"/>
      <c r="W419" s="1129"/>
      <c r="X419" s="1129"/>
      <c r="Y419" s="1129"/>
      <c r="Z419" s="1129"/>
      <c r="AA419" s="1129"/>
      <c r="AB419" s="1129"/>
      <c r="AC419" s="1129"/>
      <c r="AD419" s="1129"/>
      <c r="AE419" s="1130"/>
      <c r="AF419" s="1131"/>
      <c r="AG419" s="1131"/>
      <c r="AH419" s="1131"/>
      <c r="AI419" s="1131"/>
      <c r="AJ419" s="1131"/>
      <c r="AK419" s="1131"/>
      <c r="AL419" s="1131"/>
      <c r="AM419" s="1131"/>
      <c r="AN419" s="1131"/>
      <c r="AO419" s="1131"/>
      <c r="AP419" s="1131"/>
      <c r="AQ419" s="1131"/>
      <c r="AR419" s="1131"/>
      <c r="AS419" s="1131"/>
      <c r="AT419" s="1131"/>
      <c r="AU419" s="1131"/>
      <c r="AV419" s="1131"/>
      <c r="AW419" s="1131"/>
      <c r="AX419" s="1131"/>
      <c r="AY419" s="1131"/>
      <c r="AZ419" s="1131"/>
      <c r="BA419" s="1131"/>
      <c r="BB419" s="1131"/>
      <c r="BC419" s="1131"/>
      <c r="BD419" s="1131"/>
      <c r="BE419" s="1131"/>
      <c r="BF419" s="1131"/>
      <c r="BG419" s="1131"/>
      <c r="BH419" s="1131"/>
      <c r="BI419" s="1131"/>
      <c r="BJ419" s="1131"/>
      <c r="BK419" s="1131"/>
      <c r="BL419" s="1131"/>
      <c r="BM419" s="1131"/>
      <c r="BN419" s="1131"/>
      <c r="BO419" s="1131"/>
      <c r="BP419" s="1131"/>
      <c r="BQ419" s="1131"/>
      <c r="BR419" s="1131"/>
      <c r="BS419" s="1131"/>
      <c r="BT419" s="1131"/>
      <c r="BU419" s="1131"/>
      <c r="BV419" s="1131"/>
      <c r="BW419" s="1131"/>
      <c r="BX419" s="1131"/>
      <c r="BY419" s="1131"/>
      <c r="BZ419" s="1131"/>
      <c r="CA419" s="1131"/>
      <c r="CB419" s="1131"/>
      <c r="CC419" s="1131"/>
      <c r="CD419" s="1131"/>
      <c r="CE419" s="1131"/>
      <c r="CF419" s="1131"/>
      <c r="CG419" s="1131"/>
      <c r="CH419" s="29"/>
      <c r="CI419" s="185"/>
      <c r="CJ419" s="17"/>
    </row>
    <row r="420" spans="1:88" s="3" customFormat="1" hidden="1">
      <c r="A420" s="243" t="str">
        <f t="shared" si="6"/>
        <v>OK</v>
      </c>
      <c r="B420" s="1126" t="str">
        <f>IF(CONSOLIDA!BH192="","",CONSOLIDA!BH192)</f>
        <v/>
      </c>
      <c r="C420" s="1126"/>
      <c r="D420" s="1134" t="str">
        <f>IF(CONSOLIDA!BJ192="","",CONSOLIDA!BJ192)</f>
        <v/>
      </c>
      <c r="E420" s="1135"/>
      <c r="F420" s="1135"/>
      <c r="G420" s="1129" t="str">
        <f>IF(CONSOLIDA!BK192="","",CONSOLIDA!BK192)</f>
        <v/>
      </c>
      <c r="H420" s="1129"/>
      <c r="I420" s="1129"/>
      <c r="J420" s="1129"/>
      <c r="K420" s="1129"/>
      <c r="L420" s="1129"/>
      <c r="M420" s="1129"/>
      <c r="N420" s="1129"/>
      <c r="O420" s="1129"/>
      <c r="P420" s="1129"/>
      <c r="Q420" s="1129"/>
      <c r="R420" s="1129"/>
      <c r="S420" s="1129"/>
      <c r="T420" s="1129"/>
      <c r="U420" s="1129"/>
      <c r="V420" s="1129"/>
      <c r="W420" s="1129"/>
      <c r="X420" s="1129"/>
      <c r="Y420" s="1129"/>
      <c r="Z420" s="1129"/>
      <c r="AA420" s="1129"/>
      <c r="AB420" s="1129"/>
      <c r="AC420" s="1129"/>
      <c r="AD420" s="1129"/>
      <c r="AE420" s="1130"/>
      <c r="AF420" s="1131"/>
      <c r="AG420" s="1131"/>
      <c r="AH420" s="1131"/>
      <c r="AI420" s="1131"/>
      <c r="AJ420" s="1131"/>
      <c r="AK420" s="1131"/>
      <c r="AL420" s="1131"/>
      <c r="AM420" s="1131"/>
      <c r="AN420" s="1131"/>
      <c r="AO420" s="1131"/>
      <c r="AP420" s="1131"/>
      <c r="AQ420" s="1131"/>
      <c r="AR420" s="1131"/>
      <c r="AS420" s="1131"/>
      <c r="AT420" s="1131"/>
      <c r="AU420" s="1131"/>
      <c r="AV420" s="1131"/>
      <c r="AW420" s="1131"/>
      <c r="AX420" s="1131"/>
      <c r="AY420" s="1131"/>
      <c r="AZ420" s="1131"/>
      <c r="BA420" s="1131"/>
      <c r="BB420" s="1131"/>
      <c r="BC420" s="1131"/>
      <c r="BD420" s="1131"/>
      <c r="BE420" s="1131"/>
      <c r="BF420" s="1131"/>
      <c r="BG420" s="1131"/>
      <c r="BH420" s="1131"/>
      <c r="BI420" s="1131"/>
      <c r="BJ420" s="1131"/>
      <c r="BK420" s="1131"/>
      <c r="BL420" s="1131"/>
      <c r="BM420" s="1131"/>
      <c r="BN420" s="1131"/>
      <c r="BO420" s="1131"/>
      <c r="BP420" s="1131"/>
      <c r="BQ420" s="1131"/>
      <c r="BR420" s="1131"/>
      <c r="BS420" s="1131"/>
      <c r="BT420" s="1131"/>
      <c r="BU420" s="1131"/>
      <c r="BV420" s="1131"/>
      <c r="BW420" s="1131"/>
      <c r="BX420" s="1131"/>
      <c r="BY420" s="1131"/>
      <c r="BZ420" s="1131"/>
      <c r="CA420" s="1131"/>
      <c r="CB420" s="1131"/>
      <c r="CC420" s="1131"/>
      <c r="CD420" s="1131"/>
      <c r="CE420" s="1131"/>
      <c r="CF420" s="1131"/>
      <c r="CG420" s="1131"/>
      <c r="CH420" s="29"/>
      <c r="CI420" s="185"/>
      <c r="CJ420" s="17"/>
    </row>
    <row r="421" spans="1:88" s="3" customFormat="1" hidden="1">
      <c r="A421" s="243" t="str">
        <f t="shared" si="6"/>
        <v>OK</v>
      </c>
      <c r="B421" s="1126" t="str">
        <f>IF(CONSOLIDA!BH193="","",CONSOLIDA!BH193)</f>
        <v/>
      </c>
      <c r="C421" s="1126"/>
      <c r="D421" s="1134" t="str">
        <f>IF(CONSOLIDA!BJ193="","",CONSOLIDA!BJ193)</f>
        <v/>
      </c>
      <c r="E421" s="1135"/>
      <c r="F421" s="1135"/>
      <c r="G421" s="1129" t="str">
        <f>IF(CONSOLIDA!BK193="","",CONSOLIDA!BK193)</f>
        <v/>
      </c>
      <c r="H421" s="1129"/>
      <c r="I421" s="1129"/>
      <c r="J421" s="1129"/>
      <c r="K421" s="1129"/>
      <c r="L421" s="1129"/>
      <c r="M421" s="1129"/>
      <c r="N421" s="1129"/>
      <c r="O421" s="1129"/>
      <c r="P421" s="1129"/>
      <c r="Q421" s="1129"/>
      <c r="R421" s="1129"/>
      <c r="S421" s="1129"/>
      <c r="T421" s="1129"/>
      <c r="U421" s="1129"/>
      <c r="V421" s="1129"/>
      <c r="W421" s="1129"/>
      <c r="X421" s="1129"/>
      <c r="Y421" s="1129"/>
      <c r="Z421" s="1129"/>
      <c r="AA421" s="1129"/>
      <c r="AB421" s="1129"/>
      <c r="AC421" s="1129"/>
      <c r="AD421" s="1129"/>
      <c r="AE421" s="1130"/>
      <c r="AF421" s="1131"/>
      <c r="AG421" s="1131"/>
      <c r="AH421" s="1131"/>
      <c r="AI421" s="1131"/>
      <c r="AJ421" s="1131"/>
      <c r="AK421" s="1131"/>
      <c r="AL421" s="1131"/>
      <c r="AM421" s="1131"/>
      <c r="AN421" s="1131"/>
      <c r="AO421" s="1131"/>
      <c r="AP421" s="1131"/>
      <c r="AQ421" s="1131"/>
      <c r="AR421" s="1131"/>
      <c r="AS421" s="1131"/>
      <c r="AT421" s="1131"/>
      <c r="AU421" s="1131"/>
      <c r="AV421" s="1131"/>
      <c r="AW421" s="1131"/>
      <c r="AX421" s="1131"/>
      <c r="AY421" s="1131"/>
      <c r="AZ421" s="1131"/>
      <c r="BA421" s="1131"/>
      <c r="BB421" s="1131"/>
      <c r="BC421" s="1131"/>
      <c r="BD421" s="1131"/>
      <c r="BE421" s="1131"/>
      <c r="BF421" s="1131"/>
      <c r="BG421" s="1131"/>
      <c r="BH421" s="1131"/>
      <c r="BI421" s="1131"/>
      <c r="BJ421" s="1131"/>
      <c r="BK421" s="1131"/>
      <c r="BL421" s="1131"/>
      <c r="BM421" s="1131"/>
      <c r="BN421" s="1131"/>
      <c r="BO421" s="1131"/>
      <c r="BP421" s="1131"/>
      <c r="BQ421" s="1131"/>
      <c r="BR421" s="1131"/>
      <c r="BS421" s="1131"/>
      <c r="BT421" s="1131"/>
      <c r="BU421" s="1131"/>
      <c r="BV421" s="1131"/>
      <c r="BW421" s="1131"/>
      <c r="BX421" s="1131"/>
      <c r="BY421" s="1131"/>
      <c r="BZ421" s="1131"/>
      <c r="CA421" s="1131"/>
      <c r="CB421" s="1131"/>
      <c r="CC421" s="1131"/>
      <c r="CD421" s="1131"/>
      <c r="CE421" s="1131"/>
      <c r="CF421" s="1131"/>
      <c r="CG421" s="1131"/>
      <c r="CH421" s="29"/>
      <c r="CI421" s="185"/>
      <c r="CJ421" s="17"/>
    </row>
    <row r="422" spans="1:88" s="3" customFormat="1" hidden="1">
      <c r="A422" s="243" t="str">
        <f t="shared" si="6"/>
        <v>OK</v>
      </c>
      <c r="B422" s="1126" t="str">
        <f>IF(CONSOLIDA!BH194="","",CONSOLIDA!BH194)</f>
        <v/>
      </c>
      <c r="C422" s="1126"/>
      <c r="D422" s="1134" t="str">
        <f>IF(CONSOLIDA!BJ194="","",CONSOLIDA!BJ194)</f>
        <v/>
      </c>
      <c r="E422" s="1135"/>
      <c r="F422" s="1135"/>
      <c r="G422" s="1129" t="str">
        <f>IF(CONSOLIDA!BK194="","",CONSOLIDA!BK194)</f>
        <v/>
      </c>
      <c r="H422" s="1129"/>
      <c r="I422" s="1129"/>
      <c r="J422" s="1129"/>
      <c r="K422" s="1129"/>
      <c r="L422" s="1129"/>
      <c r="M422" s="1129"/>
      <c r="N422" s="1129"/>
      <c r="O422" s="1129"/>
      <c r="P422" s="1129"/>
      <c r="Q422" s="1129"/>
      <c r="R422" s="1129"/>
      <c r="S422" s="1129"/>
      <c r="T422" s="1129"/>
      <c r="U422" s="1129"/>
      <c r="V422" s="1129"/>
      <c r="W422" s="1129"/>
      <c r="X422" s="1129"/>
      <c r="Y422" s="1129"/>
      <c r="Z422" s="1129"/>
      <c r="AA422" s="1129"/>
      <c r="AB422" s="1129"/>
      <c r="AC422" s="1129"/>
      <c r="AD422" s="1129"/>
      <c r="AE422" s="1130"/>
      <c r="AF422" s="1131"/>
      <c r="AG422" s="1131"/>
      <c r="AH422" s="1131"/>
      <c r="AI422" s="1131"/>
      <c r="AJ422" s="1131"/>
      <c r="AK422" s="1131"/>
      <c r="AL422" s="1131"/>
      <c r="AM422" s="1131"/>
      <c r="AN422" s="1131"/>
      <c r="AO422" s="1131"/>
      <c r="AP422" s="1131"/>
      <c r="AQ422" s="1131"/>
      <c r="AR422" s="1131"/>
      <c r="AS422" s="1131"/>
      <c r="AT422" s="1131"/>
      <c r="AU422" s="1131"/>
      <c r="AV422" s="1131"/>
      <c r="AW422" s="1131"/>
      <c r="AX422" s="1131"/>
      <c r="AY422" s="1131"/>
      <c r="AZ422" s="1131"/>
      <c r="BA422" s="1131"/>
      <c r="BB422" s="1131"/>
      <c r="BC422" s="1131"/>
      <c r="BD422" s="1131"/>
      <c r="BE422" s="1131"/>
      <c r="BF422" s="1131"/>
      <c r="BG422" s="1131"/>
      <c r="BH422" s="1131"/>
      <c r="BI422" s="1131"/>
      <c r="BJ422" s="1131"/>
      <c r="BK422" s="1131"/>
      <c r="BL422" s="1131"/>
      <c r="BM422" s="1131"/>
      <c r="BN422" s="1131"/>
      <c r="BO422" s="1131"/>
      <c r="BP422" s="1131"/>
      <c r="BQ422" s="1131"/>
      <c r="BR422" s="1131"/>
      <c r="BS422" s="1131"/>
      <c r="BT422" s="1131"/>
      <c r="BU422" s="1131"/>
      <c r="BV422" s="1131"/>
      <c r="BW422" s="1131"/>
      <c r="BX422" s="1131"/>
      <c r="BY422" s="1131"/>
      <c r="BZ422" s="1131"/>
      <c r="CA422" s="1131"/>
      <c r="CB422" s="1131"/>
      <c r="CC422" s="1131"/>
      <c r="CD422" s="1131"/>
      <c r="CE422" s="1131"/>
      <c r="CF422" s="1131"/>
      <c r="CG422" s="1131"/>
      <c r="CH422" s="29"/>
      <c r="CI422" s="185"/>
      <c r="CJ422" s="17"/>
    </row>
    <row r="423" spans="1:88" s="3" customFormat="1" hidden="1">
      <c r="A423" s="243" t="str">
        <f t="shared" si="6"/>
        <v>OK</v>
      </c>
      <c r="B423" s="1126" t="str">
        <f>IF(CONSOLIDA!BH195="","",CONSOLIDA!BH195)</f>
        <v/>
      </c>
      <c r="C423" s="1126"/>
      <c r="D423" s="1134" t="str">
        <f>IF(CONSOLIDA!BJ195="","",CONSOLIDA!BJ195)</f>
        <v/>
      </c>
      <c r="E423" s="1135"/>
      <c r="F423" s="1135"/>
      <c r="G423" s="1129" t="str">
        <f>IF(CONSOLIDA!BK195="","",CONSOLIDA!BK195)</f>
        <v/>
      </c>
      <c r="H423" s="1129"/>
      <c r="I423" s="1129"/>
      <c r="J423" s="1129"/>
      <c r="K423" s="1129"/>
      <c r="L423" s="1129"/>
      <c r="M423" s="1129"/>
      <c r="N423" s="1129"/>
      <c r="O423" s="1129"/>
      <c r="P423" s="1129"/>
      <c r="Q423" s="1129"/>
      <c r="R423" s="1129"/>
      <c r="S423" s="1129"/>
      <c r="T423" s="1129"/>
      <c r="U423" s="1129"/>
      <c r="V423" s="1129"/>
      <c r="W423" s="1129"/>
      <c r="X423" s="1129"/>
      <c r="Y423" s="1129"/>
      <c r="Z423" s="1129"/>
      <c r="AA423" s="1129"/>
      <c r="AB423" s="1129"/>
      <c r="AC423" s="1129"/>
      <c r="AD423" s="1129"/>
      <c r="AE423" s="1130"/>
      <c r="AF423" s="1131"/>
      <c r="AG423" s="1131"/>
      <c r="AH423" s="1131"/>
      <c r="AI423" s="1131"/>
      <c r="AJ423" s="1131"/>
      <c r="AK423" s="1131"/>
      <c r="AL423" s="1131"/>
      <c r="AM423" s="1131"/>
      <c r="AN423" s="1131"/>
      <c r="AO423" s="1131"/>
      <c r="AP423" s="1131"/>
      <c r="AQ423" s="1131"/>
      <c r="AR423" s="1131"/>
      <c r="AS423" s="1131"/>
      <c r="AT423" s="1131"/>
      <c r="AU423" s="1131"/>
      <c r="AV423" s="1131"/>
      <c r="AW423" s="1131"/>
      <c r="AX423" s="1131"/>
      <c r="AY423" s="1131"/>
      <c r="AZ423" s="1131"/>
      <c r="BA423" s="1131"/>
      <c r="BB423" s="1131"/>
      <c r="BC423" s="1131"/>
      <c r="BD423" s="1131"/>
      <c r="BE423" s="1131"/>
      <c r="BF423" s="1131"/>
      <c r="BG423" s="1131"/>
      <c r="BH423" s="1131"/>
      <c r="BI423" s="1131"/>
      <c r="BJ423" s="1131"/>
      <c r="BK423" s="1131"/>
      <c r="BL423" s="1131"/>
      <c r="BM423" s="1131"/>
      <c r="BN423" s="1131"/>
      <c r="BO423" s="1131"/>
      <c r="BP423" s="1131"/>
      <c r="BQ423" s="1131"/>
      <c r="BR423" s="1131"/>
      <c r="BS423" s="1131"/>
      <c r="BT423" s="1131"/>
      <c r="BU423" s="1131"/>
      <c r="BV423" s="1131"/>
      <c r="BW423" s="1131"/>
      <c r="BX423" s="1131"/>
      <c r="BY423" s="1131"/>
      <c r="BZ423" s="1131"/>
      <c r="CA423" s="1131"/>
      <c r="CB423" s="1131"/>
      <c r="CC423" s="1131"/>
      <c r="CD423" s="1131"/>
      <c r="CE423" s="1131"/>
      <c r="CF423" s="1131"/>
      <c r="CG423" s="1131"/>
      <c r="CH423" s="29"/>
      <c r="CI423" s="185"/>
      <c r="CJ423" s="17"/>
    </row>
    <row r="424" spans="1:88" s="3" customFormat="1" hidden="1">
      <c r="A424" s="243" t="str">
        <f t="shared" ref="A424:A435" si="7">IF(D424="","OK","")</f>
        <v>OK</v>
      </c>
      <c r="B424" s="1126" t="str">
        <f>IF(CONSOLIDA!BH196="","",CONSOLIDA!BH196)</f>
        <v/>
      </c>
      <c r="C424" s="1126"/>
      <c r="D424" s="1134" t="str">
        <f>IF(CONSOLIDA!BJ196="","",CONSOLIDA!BJ196)</f>
        <v/>
      </c>
      <c r="E424" s="1135"/>
      <c r="F424" s="1135"/>
      <c r="G424" s="1129" t="str">
        <f>IF(CONSOLIDA!BK196="","",CONSOLIDA!BK196)</f>
        <v/>
      </c>
      <c r="H424" s="1129"/>
      <c r="I424" s="1129"/>
      <c r="J424" s="1129"/>
      <c r="K424" s="1129"/>
      <c r="L424" s="1129"/>
      <c r="M424" s="1129"/>
      <c r="N424" s="1129"/>
      <c r="O424" s="1129"/>
      <c r="P424" s="1129"/>
      <c r="Q424" s="1129"/>
      <c r="R424" s="1129"/>
      <c r="S424" s="1129"/>
      <c r="T424" s="1129"/>
      <c r="U424" s="1129"/>
      <c r="V424" s="1129"/>
      <c r="W424" s="1129"/>
      <c r="X424" s="1129"/>
      <c r="Y424" s="1129"/>
      <c r="Z424" s="1129"/>
      <c r="AA424" s="1129"/>
      <c r="AB424" s="1129"/>
      <c r="AC424" s="1129"/>
      <c r="AD424" s="1129"/>
      <c r="AE424" s="1130"/>
      <c r="AF424" s="1131"/>
      <c r="AG424" s="1131"/>
      <c r="AH424" s="1131"/>
      <c r="AI424" s="1131"/>
      <c r="AJ424" s="1131"/>
      <c r="AK424" s="1131"/>
      <c r="AL424" s="1131"/>
      <c r="AM424" s="1131"/>
      <c r="AN424" s="1131"/>
      <c r="AO424" s="1131"/>
      <c r="AP424" s="1131"/>
      <c r="AQ424" s="1131"/>
      <c r="AR424" s="1131"/>
      <c r="AS424" s="1131"/>
      <c r="AT424" s="1131"/>
      <c r="AU424" s="1131"/>
      <c r="AV424" s="1131"/>
      <c r="AW424" s="1131"/>
      <c r="AX424" s="1131"/>
      <c r="AY424" s="1131"/>
      <c r="AZ424" s="1131"/>
      <c r="BA424" s="1131"/>
      <c r="BB424" s="1131"/>
      <c r="BC424" s="1131"/>
      <c r="BD424" s="1131"/>
      <c r="BE424" s="1131"/>
      <c r="BF424" s="1131"/>
      <c r="BG424" s="1131"/>
      <c r="BH424" s="1131"/>
      <c r="BI424" s="1131"/>
      <c r="BJ424" s="1131"/>
      <c r="BK424" s="1131"/>
      <c r="BL424" s="1131"/>
      <c r="BM424" s="1131"/>
      <c r="BN424" s="1131"/>
      <c r="BO424" s="1131"/>
      <c r="BP424" s="1131"/>
      <c r="BQ424" s="1131"/>
      <c r="BR424" s="1131"/>
      <c r="BS424" s="1131"/>
      <c r="BT424" s="1131"/>
      <c r="BU424" s="1131"/>
      <c r="BV424" s="1131"/>
      <c r="BW424" s="1131"/>
      <c r="BX424" s="1131"/>
      <c r="BY424" s="1131"/>
      <c r="BZ424" s="1131"/>
      <c r="CA424" s="1131"/>
      <c r="CB424" s="1131"/>
      <c r="CC424" s="1131"/>
      <c r="CD424" s="1131"/>
      <c r="CE424" s="1131"/>
      <c r="CF424" s="1131"/>
      <c r="CG424" s="1131"/>
      <c r="CH424" s="29"/>
      <c r="CI424" s="185"/>
      <c r="CJ424" s="17"/>
    </row>
    <row r="425" spans="1:88" s="3" customFormat="1" hidden="1">
      <c r="A425" s="243" t="str">
        <f t="shared" si="7"/>
        <v>OK</v>
      </c>
      <c r="B425" s="1126" t="str">
        <f>IF(CONSOLIDA!BH197="","",CONSOLIDA!BH197)</f>
        <v/>
      </c>
      <c r="C425" s="1126"/>
      <c r="D425" s="1134" t="str">
        <f>IF(CONSOLIDA!BJ197="","",CONSOLIDA!BJ197)</f>
        <v/>
      </c>
      <c r="E425" s="1135"/>
      <c r="F425" s="1135"/>
      <c r="G425" s="1129" t="str">
        <f>IF(CONSOLIDA!BK197="","",CONSOLIDA!BK197)</f>
        <v/>
      </c>
      <c r="H425" s="1129"/>
      <c r="I425" s="1129"/>
      <c r="J425" s="1129"/>
      <c r="K425" s="1129"/>
      <c r="L425" s="1129"/>
      <c r="M425" s="1129"/>
      <c r="N425" s="1129"/>
      <c r="O425" s="1129"/>
      <c r="P425" s="1129"/>
      <c r="Q425" s="1129"/>
      <c r="R425" s="1129"/>
      <c r="S425" s="1129"/>
      <c r="T425" s="1129"/>
      <c r="U425" s="1129"/>
      <c r="V425" s="1129"/>
      <c r="W425" s="1129"/>
      <c r="X425" s="1129"/>
      <c r="Y425" s="1129"/>
      <c r="Z425" s="1129"/>
      <c r="AA425" s="1129"/>
      <c r="AB425" s="1129"/>
      <c r="AC425" s="1129"/>
      <c r="AD425" s="1129"/>
      <c r="AE425" s="1130"/>
      <c r="AF425" s="1131"/>
      <c r="AG425" s="1131"/>
      <c r="AH425" s="1131"/>
      <c r="AI425" s="1131"/>
      <c r="AJ425" s="1131"/>
      <c r="AK425" s="1131"/>
      <c r="AL425" s="1131"/>
      <c r="AM425" s="1131"/>
      <c r="AN425" s="1131"/>
      <c r="AO425" s="1131"/>
      <c r="AP425" s="1131"/>
      <c r="AQ425" s="1131"/>
      <c r="AR425" s="1131"/>
      <c r="AS425" s="1131"/>
      <c r="AT425" s="1131"/>
      <c r="AU425" s="1131"/>
      <c r="AV425" s="1131"/>
      <c r="AW425" s="1131"/>
      <c r="AX425" s="1131"/>
      <c r="AY425" s="1131"/>
      <c r="AZ425" s="1131"/>
      <c r="BA425" s="1131"/>
      <c r="BB425" s="1131"/>
      <c r="BC425" s="1131"/>
      <c r="BD425" s="1131"/>
      <c r="BE425" s="1131"/>
      <c r="BF425" s="1131"/>
      <c r="BG425" s="1131"/>
      <c r="BH425" s="1131"/>
      <c r="BI425" s="1131"/>
      <c r="BJ425" s="1131"/>
      <c r="BK425" s="1131"/>
      <c r="BL425" s="1131"/>
      <c r="BM425" s="1131"/>
      <c r="BN425" s="1131"/>
      <c r="BO425" s="1131"/>
      <c r="BP425" s="1131"/>
      <c r="BQ425" s="1131"/>
      <c r="BR425" s="1131"/>
      <c r="BS425" s="1131"/>
      <c r="BT425" s="1131"/>
      <c r="BU425" s="1131"/>
      <c r="BV425" s="1131"/>
      <c r="BW425" s="1131"/>
      <c r="BX425" s="1131"/>
      <c r="BY425" s="1131"/>
      <c r="BZ425" s="1131"/>
      <c r="CA425" s="1131"/>
      <c r="CB425" s="1131"/>
      <c r="CC425" s="1131"/>
      <c r="CD425" s="1131"/>
      <c r="CE425" s="1131"/>
      <c r="CF425" s="1131"/>
      <c r="CG425" s="1131"/>
      <c r="CH425" s="29"/>
      <c r="CI425" s="185"/>
      <c r="CJ425" s="17"/>
    </row>
    <row r="426" spans="1:88" s="3" customFormat="1" hidden="1">
      <c r="A426" s="243" t="str">
        <f t="shared" si="7"/>
        <v>OK</v>
      </c>
      <c r="B426" s="1126" t="str">
        <f>IF(CONSOLIDA!BH198="","",CONSOLIDA!BH198)</f>
        <v/>
      </c>
      <c r="C426" s="1126"/>
      <c r="D426" s="1134" t="str">
        <f>IF(CONSOLIDA!BJ198="","",CONSOLIDA!BJ198)</f>
        <v/>
      </c>
      <c r="E426" s="1135"/>
      <c r="F426" s="1135"/>
      <c r="G426" s="1129" t="str">
        <f>IF(CONSOLIDA!BK198="","",CONSOLIDA!BK198)</f>
        <v/>
      </c>
      <c r="H426" s="1129"/>
      <c r="I426" s="1129"/>
      <c r="J426" s="1129"/>
      <c r="K426" s="1129"/>
      <c r="L426" s="1129"/>
      <c r="M426" s="1129"/>
      <c r="N426" s="1129"/>
      <c r="O426" s="1129"/>
      <c r="P426" s="1129"/>
      <c r="Q426" s="1129"/>
      <c r="R426" s="1129"/>
      <c r="S426" s="1129"/>
      <c r="T426" s="1129"/>
      <c r="U426" s="1129"/>
      <c r="V426" s="1129"/>
      <c r="W426" s="1129"/>
      <c r="X426" s="1129"/>
      <c r="Y426" s="1129"/>
      <c r="Z426" s="1129"/>
      <c r="AA426" s="1129"/>
      <c r="AB426" s="1129"/>
      <c r="AC426" s="1129"/>
      <c r="AD426" s="1129"/>
      <c r="AE426" s="1130"/>
      <c r="AF426" s="1131"/>
      <c r="AG426" s="1131"/>
      <c r="AH426" s="1131"/>
      <c r="AI426" s="1131"/>
      <c r="AJ426" s="1131"/>
      <c r="AK426" s="1131"/>
      <c r="AL426" s="1131"/>
      <c r="AM426" s="1131"/>
      <c r="AN426" s="1131"/>
      <c r="AO426" s="1131"/>
      <c r="AP426" s="1131"/>
      <c r="AQ426" s="1131"/>
      <c r="AR426" s="1131"/>
      <c r="AS426" s="1131"/>
      <c r="AT426" s="1131"/>
      <c r="AU426" s="1131"/>
      <c r="AV426" s="1131"/>
      <c r="AW426" s="1131"/>
      <c r="AX426" s="1131"/>
      <c r="AY426" s="1131"/>
      <c r="AZ426" s="1131"/>
      <c r="BA426" s="1131"/>
      <c r="BB426" s="1131"/>
      <c r="BC426" s="1131"/>
      <c r="BD426" s="1131"/>
      <c r="BE426" s="1131"/>
      <c r="BF426" s="1131"/>
      <c r="BG426" s="1131"/>
      <c r="BH426" s="1131"/>
      <c r="BI426" s="1131"/>
      <c r="BJ426" s="1131"/>
      <c r="BK426" s="1131"/>
      <c r="BL426" s="1131"/>
      <c r="BM426" s="1131"/>
      <c r="BN426" s="1131"/>
      <c r="BO426" s="1131"/>
      <c r="BP426" s="1131"/>
      <c r="BQ426" s="1131"/>
      <c r="BR426" s="1131"/>
      <c r="BS426" s="1131"/>
      <c r="BT426" s="1131"/>
      <c r="BU426" s="1131"/>
      <c r="BV426" s="1131"/>
      <c r="BW426" s="1131"/>
      <c r="BX426" s="1131"/>
      <c r="BY426" s="1131"/>
      <c r="BZ426" s="1131"/>
      <c r="CA426" s="1131"/>
      <c r="CB426" s="1131"/>
      <c r="CC426" s="1131"/>
      <c r="CD426" s="1131"/>
      <c r="CE426" s="1131"/>
      <c r="CF426" s="1131"/>
      <c r="CG426" s="1131"/>
      <c r="CH426" s="29"/>
      <c r="CI426" s="185"/>
      <c r="CJ426" s="17"/>
    </row>
    <row r="427" spans="1:88" s="3" customFormat="1" hidden="1">
      <c r="A427" s="243" t="str">
        <f t="shared" si="7"/>
        <v>OK</v>
      </c>
      <c r="B427" s="1126" t="str">
        <f>IF(CONSOLIDA!BH199="","",CONSOLIDA!BH199)</f>
        <v/>
      </c>
      <c r="C427" s="1126"/>
      <c r="D427" s="1134" t="str">
        <f>IF(CONSOLIDA!BJ199="","",CONSOLIDA!BJ199)</f>
        <v/>
      </c>
      <c r="E427" s="1135"/>
      <c r="F427" s="1135"/>
      <c r="G427" s="1129" t="str">
        <f>IF(CONSOLIDA!BK199="","",CONSOLIDA!BK199)</f>
        <v/>
      </c>
      <c r="H427" s="1129"/>
      <c r="I427" s="1129"/>
      <c r="J427" s="1129"/>
      <c r="K427" s="1129"/>
      <c r="L427" s="1129"/>
      <c r="M427" s="1129"/>
      <c r="N427" s="1129"/>
      <c r="O427" s="1129"/>
      <c r="P427" s="1129"/>
      <c r="Q427" s="1129"/>
      <c r="R427" s="1129"/>
      <c r="S427" s="1129"/>
      <c r="T427" s="1129"/>
      <c r="U427" s="1129"/>
      <c r="V427" s="1129"/>
      <c r="W427" s="1129"/>
      <c r="X427" s="1129"/>
      <c r="Y427" s="1129"/>
      <c r="Z427" s="1129"/>
      <c r="AA427" s="1129"/>
      <c r="AB427" s="1129"/>
      <c r="AC427" s="1129"/>
      <c r="AD427" s="1129"/>
      <c r="AE427" s="1130"/>
      <c r="AF427" s="1131"/>
      <c r="AG427" s="1131"/>
      <c r="AH427" s="1131"/>
      <c r="AI427" s="1131"/>
      <c r="AJ427" s="1131"/>
      <c r="AK427" s="1131"/>
      <c r="AL427" s="1131"/>
      <c r="AM427" s="1131"/>
      <c r="AN427" s="1131"/>
      <c r="AO427" s="1131"/>
      <c r="AP427" s="1131"/>
      <c r="AQ427" s="1131"/>
      <c r="AR427" s="1131"/>
      <c r="AS427" s="1131"/>
      <c r="AT427" s="1131"/>
      <c r="AU427" s="1131"/>
      <c r="AV427" s="1131"/>
      <c r="AW427" s="1131"/>
      <c r="AX427" s="1131"/>
      <c r="AY427" s="1131"/>
      <c r="AZ427" s="1131"/>
      <c r="BA427" s="1131"/>
      <c r="BB427" s="1131"/>
      <c r="BC427" s="1131"/>
      <c r="BD427" s="1131"/>
      <c r="BE427" s="1131"/>
      <c r="BF427" s="1131"/>
      <c r="BG427" s="1131"/>
      <c r="BH427" s="1131"/>
      <c r="BI427" s="1131"/>
      <c r="BJ427" s="1131"/>
      <c r="BK427" s="1131"/>
      <c r="BL427" s="1131"/>
      <c r="BM427" s="1131"/>
      <c r="BN427" s="1131"/>
      <c r="BO427" s="1131"/>
      <c r="BP427" s="1131"/>
      <c r="BQ427" s="1131"/>
      <c r="BR427" s="1131"/>
      <c r="BS427" s="1131"/>
      <c r="BT427" s="1131"/>
      <c r="BU427" s="1131"/>
      <c r="BV427" s="1131"/>
      <c r="BW427" s="1131"/>
      <c r="BX427" s="1131"/>
      <c r="BY427" s="1131"/>
      <c r="BZ427" s="1131"/>
      <c r="CA427" s="1131"/>
      <c r="CB427" s="1131"/>
      <c r="CC427" s="1131"/>
      <c r="CD427" s="1131"/>
      <c r="CE427" s="1131"/>
      <c r="CF427" s="1131"/>
      <c r="CG427" s="1131"/>
      <c r="CH427" s="29"/>
      <c r="CI427" s="185"/>
      <c r="CJ427" s="17"/>
    </row>
    <row r="428" spans="1:88" s="3" customFormat="1" hidden="1">
      <c r="A428" s="243" t="str">
        <f t="shared" si="7"/>
        <v>OK</v>
      </c>
      <c r="B428" s="1126" t="str">
        <f>IF(CONSOLIDA!BH200="","",CONSOLIDA!BH200)</f>
        <v/>
      </c>
      <c r="C428" s="1126"/>
      <c r="D428" s="1134" t="str">
        <f>IF(CONSOLIDA!BJ200="","",CONSOLIDA!BJ200)</f>
        <v/>
      </c>
      <c r="E428" s="1135"/>
      <c r="F428" s="1135"/>
      <c r="G428" s="1129" t="str">
        <f>IF(CONSOLIDA!BK200="","",CONSOLIDA!BK200)</f>
        <v/>
      </c>
      <c r="H428" s="1129"/>
      <c r="I428" s="1129"/>
      <c r="J428" s="1129"/>
      <c r="K428" s="1129"/>
      <c r="L428" s="1129"/>
      <c r="M428" s="1129"/>
      <c r="N428" s="1129"/>
      <c r="O428" s="1129"/>
      <c r="P428" s="1129"/>
      <c r="Q428" s="1129"/>
      <c r="R428" s="1129"/>
      <c r="S428" s="1129"/>
      <c r="T428" s="1129"/>
      <c r="U428" s="1129"/>
      <c r="V428" s="1129"/>
      <c r="W428" s="1129"/>
      <c r="X428" s="1129"/>
      <c r="Y428" s="1129"/>
      <c r="Z428" s="1129"/>
      <c r="AA428" s="1129"/>
      <c r="AB428" s="1129"/>
      <c r="AC428" s="1129"/>
      <c r="AD428" s="1129"/>
      <c r="AE428" s="1130"/>
      <c r="AF428" s="1131"/>
      <c r="AG428" s="1131"/>
      <c r="AH428" s="1131"/>
      <c r="AI428" s="1131"/>
      <c r="AJ428" s="1131"/>
      <c r="AK428" s="1131"/>
      <c r="AL428" s="1131"/>
      <c r="AM428" s="1131"/>
      <c r="AN428" s="1131"/>
      <c r="AO428" s="1131"/>
      <c r="AP428" s="1131"/>
      <c r="AQ428" s="1131"/>
      <c r="AR428" s="1131"/>
      <c r="AS428" s="1131"/>
      <c r="AT428" s="1131"/>
      <c r="AU428" s="1131"/>
      <c r="AV428" s="1131"/>
      <c r="AW428" s="1131"/>
      <c r="AX428" s="1131"/>
      <c r="AY428" s="1131"/>
      <c r="AZ428" s="1131"/>
      <c r="BA428" s="1131"/>
      <c r="BB428" s="1131"/>
      <c r="BC428" s="1131"/>
      <c r="BD428" s="1131"/>
      <c r="BE428" s="1131"/>
      <c r="BF428" s="1131"/>
      <c r="BG428" s="1131"/>
      <c r="BH428" s="1131"/>
      <c r="BI428" s="1131"/>
      <c r="BJ428" s="1131"/>
      <c r="BK428" s="1131"/>
      <c r="BL428" s="1131"/>
      <c r="BM428" s="1131"/>
      <c r="BN428" s="1131"/>
      <c r="BO428" s="1131"/>
      <c r="BP428" s="1131"/>
      <c r="BQ428" s="1131"/>
      <c r="BR428" s="1131"/>
      <c r="BS428" s="1131"/>
      <c r="BT428" s="1131"/>
      <c r="BU428" s="1131"/>
      <c r="BV428" s="1131"/>
      <c r="BW428" s="1131"/>
      <c r="BX428" s="1131"/>
      <c r="BY428" s="1131"/>
      <c r="BZ428" s="1131"/>
      <c r="CA428" s="1131"/>
      <c r="CB428" s="1131"/>
      <c r="CC428" s="1131"/>
      <c r="CD428" s="1131"/>
      <c r="CE428" s="1131"/>
      <c r="CF428" s="1131"/>
      <c r="CG428" s="1131"/>
      <c r="CH428" s="29"/>
      <c r="CI428" s="185"/>
      <c r="CJ428" s="17"/>
    </row>
    <row r="429" spans="1:88" s="3" customFormat="1" hidden="1">
      <c r="A429" s="243" t="str">
        <f t="shared" si="7"/>
        <v>OK</v>
      </c>
      <c r="B429" s="1126" t="str">
        <f>IF(CONSOLIDA!BH201="","",CONSOLIDA!BH201)</f>
        <v/>
      </c>
      <c r="C429" s="1126"/>
      <c r="D429" s="1134" t="str">
        <f>IF(CONSOLIDA!BJ201="","",CONSOLIDA!BJ201)</f>
        <v/>
      </c>
      <c r="E429" s="1135"/>
      <c r="F429" s="1135"/>
      <c r="G429" s="1129" t="str">
        <f>IF(CONSOLIDA!BK201="","",CONSOLIDA!BK201)</f>
        <v/>
      </c>
      <c r="H429" s="1129"/>
      <c r="I429" s="1129"/>
      <c r="J429" s="1129"/>
      <c r="K429" s="1129"/>
      <c r="L429" s="1129"/>
      <c r="M429" s="1129"/>
      <c r="N429" s="1129"/>
      <c r="O429" s="1129"/>
      <c r="P429" s="1129"/>
      <c r="Q429" s="1129"/>
      <c r="R429" s="1129"/>
      <c r="S429" s="1129"/>
      <c r="T429" s="1129"/>
      <c r="U429" s="1129"/>
      <c r="V429" s="1129"/>
      <c r="W429" s="1129"/>
      <c r="X429" s="1129"/>
      <c r="Y429" s="1129"/>
      <c r="Z429" s="1129"/>
      <c r="AA429" s="1129"/>
      <c r="AB429" s="1129"/>
      <c r="AC429" s="1129"/>
      <c r="AD429" s="1129"/>
      <c r="AE429" s="1130"/>
      <c r="AF429" s="1131"/>
      <c r="AG429" s="1131"/>
      <c r="AH429" s="1131"/>
      <c r="AI429" s="1131"/>
      <c r="AJ429" s="1131"/>
      <c r="AK429" s="1131"/>
      <c r="AL429" s="1131"/>
      <c r="AM429" s="1131"/>
      <c r="AN429" s="1131"/>
      <c r="AO429" s="1131"/>
      <c r="AP429" s="1131"/>
      <c r="AQ429" s="1131"/>
      <c r="AR429" s="1131"/>
      <c r="AS429" s="1131"/>
      <c r="AT429" s="1131"/>
      <c r="AU429" s="1131"/>
      <c r="AV429" s="1131"/>
      <c r="AW429" s="1131"/>
      <c r="AX429" s="1131"/>
      <c r="AY429" s="1131"/>
      <c r="AZ429" s="1131"/>
      <c r="BA429" s="1131"/>
      <c r="BB429" s="1131"/>
      <c r="BC429" s="1131"/>
      <c r="BD429" s="1131"/>
      <c r="BE429" s="1131"/>
      <c r="BF429" s="1131"/>
      <c r="BG429" s="1131"/>
      <c r="BH429" s="1131"/>
      <c r="BI429" s="1131"/>
      <c r="BJ429" s="1131"/>
      <c r="BK429" s="1131"/>
      <c r="BL429" s="1131"/>
      <c r="BM429" s="1131"/>
      <c r="BN429" s="1131"/>
      <c r="BO429" s="1131"/>
      <c r="BP429" s="1131"/>
      <c r="BQ429" s="1131"/>
      <c r="BR429" s="1131"/>
      <c r="BS429" s="1131"/>
      <c r="BT429" s="1131"/>
      <c r="BU429" s="1131"/>
      <c r="BV429" s="1131"/>
      <c r="BW429" s="1131"/>
      <c r="BX429" s="1131"/>
      <c r="BY429" s="1131"/>
      <c r="BZ429" s="1131"/>
      <c r="CA429" s="1131"/>
      <c r="CB429" s="1131"/>
      <c r="CC429" s="1131"/>
      <c r="CD429" s="1131"/>
      <c r="CE429" s="1131"/>
      <c r="CF429" s="1131"/>
      <c r="CG429" s="1131"/>
      <c r="CH429" s="29"/>
      <c r="CI429" s="185"/>
      <c r="CJ429" s="17"/>
    </row>
    <row r="430" spans="1:88" s="3" customFormat="1" hidden="1">
      <c r="A430" s="243" t="str">
        <f t="shared" si="7"/>
        <v>OK</v>
      </c>
      <c r="B430" s="1126" t="str">
        <f>IF(CONSOLIDA!BH202="","",CONSOLIDA!BH202)</f>
        <v/>
      </c>
      <c r="C430" s="1126"/>
      <c r="D430" s="1134" t="str">
        <f>IF(CONSOLIDA!BJ202="","",CONSOLIDA!BJ202)</f>
        <v/>
      </c>
      <c r="E430" s="1135"/>
      <c r="F430" s="1135"/>
      <c r="G430" s="1129" t="str">
        <f>IF(CONSOLIDA!BK202="","",CONSOLIDA!BK202)</f>
        <v/>
      </c>
      <c r="H430" s="1129"/>
      <c r="I430" s="1129"/>
      <c r="J430" s="1129"/>
      <c r="K430" s="1129"/>
      <c r="L430" s="1129"/>
      <c r="M430" s="1129"/>
      <c r="N430" s="1129"/>
      <c r="O430" s="1129"/>
      <c r="P430" s="1129"/>
      <c r="Q430" s="1129"/>
      <c r="R430" s="1129"/>
      <c r="S430" s="1129"/>
      <c r="T430" s="1129"/>
      <c r="U430" s="1129"/>
      <c r="V430" s="1129"/>
      <c r="W430" s="1129"/>
      <c r="X430" s="1129"/>
      <c r="Y430" s="1129"/>
      <c r="Z430" s="1129"/>
      <c r="AA430" s="1129"/>
      <c r="AB430" s="1129"/>
      <c r="AC430" s="1129"/>
      <c r="AD430" s="1129"/>
      <c r="AE430" s="1130"/>
      <c r="AF430" s="1131"/>
      <c r="AG430" s="1131"/>
      <c r="AH430" s="1131"/>
      <c r="AI430" s="1131"/>
      <c r="AJ430" s="1131"/>
      <c r="AK430" s="1131"/>
      <c r="AL430" s="1131"/>
      <c r="AM430" s="1131"/>
      <c r="AN430" s="1131"/>
      <c r="AO430" s="1131"/>
      <c r="AP430" s="1131"/>
      <c r="AQ430" s="1131"/>
      <c r="AR430" s="1131"/>
      <c r="AS430" s="1131"/>
      <c r="AT430" s="1131"/>
      <c r="AU430" s="1131"/>
      <c r="AV430" s="1131"/>
      <c r="AW430" s="1131"/>
      <c r="AX430" s="1131"/>
      <c r="AY430" s="1131"/>
      <c r="AZ430" s="1131"/>
      <c r="BA430" s="1131"/>
      <c r="BB430" s="1131"/>
      <c r="BC430" s="1131"/>
      <c r="BD430" s="1131"/>
      <c r="BE430" s="1131"/>
      <c r="BF430" s="1131"/>
      <c r="BG430" s="1131"/>
      <c r="BH430" s="1131"/>
      <c r="BI430" s="1131"/>
      <c r="BJ430" s="1131"/>
      <c r="BK430" s="1131"/>
      <c r="BL430" s="1131"/>
      <c r="BM430" s="1131"/>
      <c r="BN430" s="1131"/>
      <c r="BO430" s="1131"/>
      <c r="BP430" s="1131"/>
      <c r="BQ430" s="1131"/>
      <c r="BR430" s="1131"/>
      <c r="BS430" s="1131"/>
      <c r="BT430" s="1131"/>
      <c r="BU430" s="1131"/>
      <c r="BV430" s="1131"/>
      <c r="BW430" s="1131"/>
      <c r="BX430" s="1131"/>
      <c r="BY430" s="1131"/>
      <c r="BZ430" s="1131"/>
      <c r="CA430" s="1131"/>
      <c r="CB430" s="1131"/>
      <c r="CC430" s="1131"/>
      <c r="CD430" s="1131"/>
      <c r="CE430" s="1131"/>
      <c r="CF430" s="1131"/>
      <c r="CG430" s="1131"/>
      <c r="CH430" s="29"/>
      <c r="CI430" s="185"/>
      <c r="CJ430" s="17"/>
    </row>
    <row r="431" spans="1:88" s="3" customFormat="1" hidden="1">
      <c r="A431" s="243" t="str">
        <f t="shared" si="7"/>
        <v>OK</v>
      </c>
      <c r="B431" s="1126" t="str">
        <f>IF(CONSOLIDA!BH203="","",CONSOLIDA!BH203)</f>
        <v/>
      </c>
      <c r="C431" s="1126"/>
      <c r="D431" s="1134" t="str">
        <f>IF(CONSOLIDA!BJ203="","",CONSOLIDA!BJ203)</f>
        <v/>
      </c>
      <c r="E431" s="1135"/>
      <c r="F431" s="1135"/>
      <c r="G431" s="1129" t="str">
        <f>IF(CONSOLIDA!BK203="","",CONSOLIDA!BK203)</f>
        <v/>
      </c>
      <c r="H431" s="1129"/>
      <c r="I431" s="1129"/>
      <c r="J431" s="1129"/>
      <c r="K431" s="1129"/>
      <c r="L431" s="1129"/>
      <c r="M431" s="1129"/>
      <c r="N431" s="1129"/>
      <c r="O431" s="1129"/>
      <c r="P431" s="1129"/>
      <c r="Q431" s="1129"/>
      <c r="R431" s="1129"/>
      <c r="S431" s="1129"/>
      <c r="T431" s="1129"/>
      <c r="U431" s="1129"/>
      <c r="V431" s="1129"/>
      <c r="W431" s="1129"/>
      <c r="X431" s="1129"/>
      <c r="Y431" s="1129"/>
      <c r="Z431" s="1129"/>
      <c r="AA431" s="1129"/>
      <c r="AB431" s="1129"/>
      <c r="AC431" s="1129"/>
      <c r="AD431" s="1129"/>
      <c r="AE431" s="1130"/>
      <c r="AF431" s="1131"/>
      <c r="AG431" s="1131"/>
      <c r="AH431" s="1131"/>
      <c r="AI431" s="1131"/>
      <c r="AJ431" s="1131"/>
      <c r="AK431" s="1131"/>
      <c r="AL431" s="1131"/>
      <c r="AM431" s="1131"/>
      <c r="AN431" s="1131"/>
      <c r="AO431" s="1131"/>
      <c r="AP431" s="1131"/>
      <c r="AQ431" s="1131"/>
      <c r="AR431" s="1131"/>
      <c r="AS431" s="1131"/>
      <c r="AT431" s="1131"/>
      <c r="AU431" s="1131"/>
      <c r="AV431" s="1131"/>
      <c r="AW431" s="1131"/>
      <c r="AX431" s="1131"/>
      <c r="AY431" s="1131"/>
      <c r="AZ431" s="1131"/>
      <c r="BA431" s="1131"/>
      <c r="BB431" s="1131"/>
      <c r="BC431" s="1131"/>
      <c r="BD431" s="1131"/>
      <c r="BE431" s="1131"/>
      <c r="BF431" s="1131"/>
      <c r="BG431" s="1131"/>
      <c r="BH431" s="1131"/>
      <c r="BI431" s="1131"/>
      <c r="BJ431" s="1131"/>
      <c r="BK431" s="1131"/>
      <c r="BL431" s="1131"/>
      <c r="BM431" s="1131"/>
      <c r="BN431" s="1131"/>
      <c r="BO431" s="1131"/>
      <c r="BP431" s="1131"/>
      <c r="BQ431" s="1131"/>
      <c r="BR431" s="1131"/>
      <c r="BS431" s="1131"/>
      <c r="BT431" s="1131"/>
      <c r="BU431" s="1131"/>
      <c r="BV431" s="1131"/>
      <c r="BW431" s="1131"/>
      <c r="BX431" s="1131"/>
      <c r="BY431" s="1131"/>
      <c r="BZ431" s="1131"/>
      <c r="CA431" s="1131"/>
      <c r="CB431" s="1131"/>
      <c r="CC431" s="1131"/>
      <c r="CD431" s="1131"/>
      <c r="CE431" s="1131"/>
      <c r="CF431" s="1131"/>
      <c r="CG431" s="1131"/>
      <c r="CH431" s="29"/>
      <c r="CI431" s="185"/>
      <c r="CJ431" s="17"/>
    </row>
    <row r="432" spans="1:88" s="3" customFormat="1" hidden="1">
      <c r="A432" s="243" t="str">
        <f t="shared" si="7"/>
        <v>OK</v>
      </c>
      <c r="B432" s="1126" t="str">
        <f>IF(CONSOLIDA!BH204="","",CONSOLIDA!BH204)</f>
        <v/>
      </c>
      <c r="C432" s="1126"/>
      <c r="D432" s="1134" t="str">
        <f>IF(CONSOLIDA!BJ204="","",CONSOLIDA!BJ204)</f>
        <v/>
      </c>
      <c r="E432" s="1135"/>
      <c r="F432" s="1135"/>
      <c r="G432" s="1129" t="str">
        <f>IF(CONSOLIDA!BK204="","",CONSOLIDA!BK204)</f>
        <v/>
      </c>
      <c r="H432" s="1129"/>
      <c r="I432" s="1129"/>
      <c r="J432" s="1129"/>
      <c r="K432" s="1129"/>
      <c r="L432" s="1129"/>
      <c r="M432" s="1129"/>
      <c r="N432" s="1129"/>
      <c r="O432" s="1129"/>
      <c r="P432" s="1129"/>
      <c r="Q432" s="1129"/>
      <c r="R432" s="1129"/>
      <c r="S432" s="1129"/>
      <c r="T432" s="1129"/>
      <c r="U432" s="1129"/>
      <c r="V432" s="1129"/>
      <c r="W432" s="1129"/>
      <c r="X432" s="1129"/>
      <c r="Y432" s="1129"/>
      <c r="Z432" s="1129"/>
      <c r="AA432" s="1129"/>
      <c r="AB432" s="1129"/>
      <c r="AC432" s="1129"/>
      <c r="AD432" s="1129"/>
      <c r="AE432" s="1130"/>
      <c r="AF432" s="1131"/>
      <c r="AG432" s="1131"/>
      <c r="AH432" s="1131"/>
      <c r="AI432" s="1131"/>
      <c r="AJ432" s="1131"/>
      <c r="AK432" s="1131"/>
      <c r="AL432" s="1131"/>
      <c r="AM432" s="1131"/>
      <c r="AN432" s="1131"/>
      <c r="AO432" s="1131"/>
      <c r="AP432" s="1131"/>
      <c r="AQ432" s="1131"/>
      <c r="AR432" s="1131"/>
      <c r="AS432" s="1131"/>
      <c r="AT432" s="1131"/>
      <c r="AU432" s="1131"/>
      <c r="AV432" s="1131"/>
      <c r="AW432" s="1131"/>
      <c r="AX432" s="1131"/>
      <c r="AY432" s="1131"/>
      <c r="AZ432" s="1131"/>
      <c r="BA432" s="1131"/>
      <c r="BB432" s="1131"/>
      <c r="BC432" s="1131"/>
      <c r="BD432" s="1131"/>
      <c r="BE432" s="1131"/>
      <c r="BF432" s="1131"/>
      <c r="BG432" s="1131"/>
      <c r="BH432" s="1131"/>
      <c r="BI432" s="1131"/>
      <c r="BJ432" s="1131"/>
      <c r="BK432" s="1131"/>
      <c r="BL432" s="1131"/>
      <c r="BM432" s="1131"/>
      <c r="BN432" s="1131"/>
      <c r="BO432" s="1131"/>
      <c r="BP432" s="1131"/>
      <c r="BQ432" s="1131"/>
      <c r="BR432" s="1131"/>
      <c r="BS432" s="1131"/>
      <c r="BT432" s="1131"/>
      <c r="BU432" s="1131"/>
      <c r="BV432" s="1131"/>
      <c r="BW432" s="1131"/>
      <c r="BX432" s="1131"/>
      <c r="BY432" s="1131"/>
      <c r="BZ432" s="1131"/>
      <c r="CA432" s="1131"/>
      <c r="CB432" s="1131"/>
      <c r="CC432" s="1131"/>
      <c r="CD432" s="1131"/>
      <c r="CE432" s="1131"/>
      <c r="CF432" s="1131"/>
      <c r="CG432" s="1131"/>
      <c r="CH432" s="29"/>
      <c r="CI432" s="185"/>
      <c r="CJ432" s="17"/>
    </row>
    <row r="433" spans="1:88" s="3" customFormat="1" hidden="1">
      <c r="A433" s="243" t="str">
        <f t="shared" si="7"/>
        <v>OK</v>
      </c>
      <c r="B433" s="1126" t="str">
        <f>IF(CONSOLIDA!BH205="","",CONSOLIDA!BH205)</f>
        <v/>
      </c>
      <c r="C433" s="1126"/>
      <c r="D433" s="1134" t="str">
        <f>IF(CONSOLIDA!BJ205="","",CONSOLIDA!BJ205)</f>
        <v/>
      </c>
      <c r="E433" s="1135"/>
      <c r="F433" s="1135"/>
      <c r="G433" s="1129" t="str">
        <f>IF(CONSOLIDA!BK205="","",CONSOLIDA!BK205)</f>
        <v/>
      </c>
      <c r="H433" s="1129"/>
      <c r="I433" s="1129"/>
      <c r="J433" s="1129"/>
      <c r="K433" s="1129"/>
      <c r="L433" s="1129"/>
      <c r="M433" s="1129"/>
      <c r="N433" s="1129"/>
      <c r="O433" s="1129"/>
      <c r="P433" s="1129"/>
      <c r="Q433" s="1129"/>
      <c r="R433" s="1129"/>
      <c r="S433" s="1129"/>
      <c r="T433" s="1129"/>
      <c r="U433" s="1129"/>
      <c r="V433" s="1129"/>
      <c r="W433" s="1129"/>
      <c r="X433" s="1129"/>
      <c r="Y433" s="1129"/>
      <c r="Z433" s="1129"/>
      <c r="AA433" s="1129"/>
      <c r="AB433" s="1129"/>
      <c r="AC433" s="1129"/>
      <c r="AD433" s="1129"/>
      <c r="AE433" s="1130"/>
      <c r="AF433" s="1131"/>
      <c r="AG433" s="1131"/>
      <c r="AH433" s="1131"/>
      <c r="AI433" s="1131"/>
      <c r="AJ433" s="1131"/>
      <c r="AK433" s="1131"/>
      <c r="AL433" s="1131"/>
      <c r="AM433" s="1131"/>
      <c r="AN433" s="1131"/>
      <c r="AO433" s="1131"/>
      <c r="AP433" s="1131"/>
      <c r="AQ433" s="1131"/>
      <c r="AR433" s="1131"/>
      <c r="AS433" s="1131"/>
      <c r="AT433" s="1131"/>
      <c r="AU433" s="1131"/>
      <c r="AV433" s="1131"/>
      <c r="AW433" s="1131"/>
      <c r="AX433" s="1131"/>
      <c r="AY433" s="1131"/>
      <c r="AZ433" s="1131"/>
      <c r="BA433" s="1131"/>
      <c r="BB433" s="1131"/>
      <c r="BC433" s="1131"/>
      <c r="BD433" s="1131"/>
      <c r="BE433" s="1131"/>
      <c r="BF433" s="1131"/>
      <c r="BG433" s="1131"/>
      <c r="BH433" s="1131"/>
      <c r="BI433" s="1131"/>
      <c r="BJ433" s="1131"/>
      <c r="BK433" s="1131"/>
      <c r="BL433" s="1131"/>
      <c r="BM433" s="1131"/>
      <c r="BN433" s="1131"/>
      <c r="BO433" s="1131"/>
      <c r="BP433" s="1131"/>
      <c r="BQ433" s="1131"/>
      <c r="BR433" s="1131"/>
      <c r="BS433" s="1131"/>
      <c r="BT433" s="1131"/>
      <c r="BU433" s="1131"/>
      <c r="BV433" s="1131"/>
      <c r="BW433" s="1131"/>
      <c r="BX433" s="1131"/>
      <c r="BY433" s="1131"/>
      <c r="BZ433" s="1131"/>
      <c r="CA433" s="1131"/>
      <c r="CB433" s="1131"/>
      <c r="CC433" s="1131"/>
      <c r="CD433" s="1131"/>
      <c r="CE433" s="1131"/>
      <c r="CF433" s="1131"/>
      <c r="CG433" s="1131"/>
      <c r="CH433" s="29"/>
      <c r="CI433" s="185"/>
      <c r="CJ433" s="17"/>
    </row>
    <row r="434" spans="1:88" s="3" customFormat="1" hidden="1">
      <c r="A434" s="243" t="str">
        <f t="shared" si="7"/>
        <v>OK</v>
      </c>
      <c r="B434" s="1126" t="str">
        <f>IF(CONSOLIDA!BH206="","",CONSOLIDA!BH206)</f>
        <v/>
      </c>
      <c r="C434" s="1126"/>
      <c r="D434" s="1134" t="str">
        <f>IF(CONSOLIDA!BJ206="","",CONSOLIDA!BJ206)</f>
        <v/>
      </c>
      <c r="E434" s="1135"/>
      <c r="F434" s="1135"/>
      <c r="G434" s="1129" t="str">
        <f>IF(CONSOLIDA!BK206="","",CONSOLIDA!BK206)</f>
        <v/>
      </c>
      <c r="H434" s="1129"/>
      <c r="I434" s="1129"/>
      <c r="J434" s="1129"/>
      <c r="K434" s="1129"/>
      <c r="L434" s="1129"/>
      <c r="M434" s="1129"/>
      <c r="N434" s="1129"/>
      <c r="O434" s="1129"/>
      <c r="P434" s="1129"/>
      <c r="Q434" s="1129"/>
      <c r="R434" s="1129"/>
      <c r="S434" s="1129"/>
      <c r="T434" s="1129"/>
      <c r="U434" s="1129"/>
      <c r="V434" s="1129"/>
      <c r="W434" s="1129"/>
      <c r="X434" s="1129"/>
      <c r="Y434" s="1129"/>
      <c r="Z434" s="1129"/>
      <c r="AA434" s="1129"/>
      <c r="AB434" s="1129"/>
      <c r="AC434" s="1129"/>
      <c r="AD434" s="1129"/>
      <c r="AE434" s="1130"/>
      <c r="AF434" s="1131"/>
      <c r="AG434" s="1131"/>
      <c r="AH434" s="1131"/>
      <c r="AI434" s="1131"/>
      <c r="AJ434" s="1131"/>
      <c r="AK434" s="1131"/>
      <c r="AL434" s="1131"/>
      <c r="AM434" s="1131"/>
      <c r="AN434" s="1131"/>
      <c r="AO434" s="1131"/>
      <c r="AP434" s="1131"/>
      <c r="AQ434" s="1131"/>
      <c r="AR434" s="1131"/>
      <c r="AS434" s="1131"/>
      <c r="AT434" s="1131"/>
      <c r="AU434" s="1131"/>
      <c r="AV434" s="1131"/>
      <c r="AW434" s="1131"/>
      <c r="AX434" s="1131"/>
      <c r="AY434" s="1131"/>
      <c r="AZ434" s="1131"/>
      <c r="BA434" s="1131"/>
      <c r="BB434" s="1131"/>
      <c r="BC434" s="1131"/>
      <c r="BD434" s="1131"/>
      <c r="BE434" s="1131"/>
      <c r="BF434" s="1131"/>
      <c r="BG434" s="1131"/>
      <c r="BH434" s="1131"/>
      <c r="BI434" s="1131"/>
      <c r="BJ434" s="1131"/>
      <c r="BK434" s="1131"/>
      <c r="BL434" s="1131"/>
      <c r="BM434" s="1131"/>
      <c r="BN434" s="1131"/>
      <c r="BO434" s="1131"/>
      <c r="BP434" s="1131"/>
      <c r="BQ434" s="1131"/>
      <c r="BR434" s="1131"/>
      <c r="BS434" s="1131"/>
      <c r="BT434" s="1131"/>
      <c r="BU434" s="1131"/>
      <c r="BV434" s="1131"/>
      <c r="BW434" s="1131"/>
      <c r="BX434" s="1131"/>
      <c r="BY434" s="1131"/>
      <c r="BZ434" s="1131"/>
      <c r="CA434" s="1131"/>
      <c r="CB434" s="1131"/>
      <c r="CC434" s="1131"/>
      <c r="CD434" s="1131"/>
      <c r="CE434" s="1131"/>
      <c r="CF434" s="1131"/>
      <c r="CG434" s="1131"/>
      <c r="CH434" s="29"/>
      <c r="CI434" s="185"/>
      <c r="CJ434" s="17"/>
    </row>
    <row r="435" spans="1:88" s="3" customFormat="1" hidden="1">
      <c r="A435" s="243" t="str">
        <f t="shared" si="7"/>
        <v>OK</v>
      </c>
      <c r="B435" s="1126" t="str">
        <f>IF(CONSOLIDA!BH207="","",CONSOLIDA!BH207)</f>
        <v/>
      </c>
      <c r="C435" s="1126"/>
      <c r="D435" s="1134" t="str">
        <f>IF(CONSOLIDA!BJ207="","",CONSOLIDA!BJ207)</f>
        <v/>
      </c>
      <c r="E435" s="1135"/>
      <c r="F435" s="1135"/>
      <c r="G435" s="1129" t="str">
        <f>IF(CONSOLIDA!BK207="","",CONSOLIDA!BK207)</f>
        <v/>
      </c>
      <c r="H435" s="1129"/>
      <c r="I435" s="1129"/>
      <c r="J435" s="1129"/>
      <c r="K435" s="1129"/>
      <c r="L435" s="1129"/>
      <c r="M435" s="1129"/>
      <c r="N435" s="1129"/>
      <c r="O435" s="1129"/>
      <c r="P435" s="1129"/>
      <c r="Q435" s="1129"/>
      <c r="R435" s="1129"/>
      <c r="S435" s="1129"/>
      <c r="T435" s="1129"/>
      <c r="U435" s="1129"/>
      <c r="V435" s="1129"/>
      <c r="W435" s="1129"/>
      <c r="X435" s="1129"/>
      <c r="Y435" s="1129"/>
      <c r="Z435" s="1129"/>
      <c r="AA435" s="1129"/>
      <c r="AB435" s="1129"/>
      <c r="AC435" s="1129"/>
      <c r="AD435" s="1129"/>
      <c r="AE435" s="1130"/>
      <c r="AF435" s="1131"/>
      <c r="AG435" s="1131"/>
      <c r="AH435" s="1131"/>
      <c r="AI435" s="1131"/>
      <c r="AJ435" s="1131"/>
      <c r="AK435" s="1131"/>
      <c r="AL435" s="1131"/>
      <c r="AM435" s="1131"/>
      <c r="AN435" s="1131"/>
      <c r="AO435" s="1131"/>
      <c r="AP435" s="1131"/>
      <c r="AQ435" s="1131"/>
      <c r="AR435" s="1131"/>
      <c r="AS435" s="1131"/>
      <c r="AT435" s="1131"/>
      <c r="AU435" s="1131"/>
      <c r="AV435" s="1131"/>
      <c r="AW435" s="1131"/>
      <c r="AX435" s="1131"/>
      <c r="AY435" s="1131"/>
      <c r="AZ435" s="1131"/>
      <c r="BA435" s="1131"/>
      <c r="BB435" s="1131"/>
      <c r="BC435" s="1131"/>
      <c r="BD435" s="1131"/>
      <c r="BE435" s="1131"/>
      <c r="BF435" s="1131"/>
      <c r="BG435" s="1131"/>
      <c r="BH435" s="1131"/>
      <c r="BI435" s="1131"/>
      <c r="BJ435" s="1131"/>
      <c r="BK435" s="1131"/>
      <c r="BL435" s="1131"/>
      <c r="BM435" s="1131"/>
      <c r="BN435" s="1131"/>
      <c r="BO435" s="1131"/>
      <c r="BP435" s="1131"/>
      <c r="BQ435" s="1131"/>
      <c r="BR435" s="1131"/>
      <c r="BS435" s="1131"/>
      <c r="BT435" s="1131"/>
      <c r="BU435" s="1131"/>
      <c r="BV435" s="1131"/>
      <c r="BW435" s="1131"/>
      <c r="BX435" s="1131"/>
      <c r="BY435" s="1131"/>
      <c r="BZ435" s="1131"/>
      <c r="CA435" s="1131"/>
      <c r="CB435" s="1131"/>
      <c r="CC435" s="1131"/>
      <c r="CD435" s="1131"/>
      <c r="CE435" s="1131"/>
      <c r="CF435" s="1131"/>
      <c r="CG435" s="1131"/>
      <c r="CH435" s="29"/>
      <c r="CI435" s="185"/>
      <c r="CJ435" s="17"/>
    </row>
    <row r="436" spans="1:88" s="3" customFormat="1" hidden="1">
      <c r="A436" s="243" t="str">
        <f>IF(B439=0,"OK","")</f>
        <v>OK</v>
      </c>
      <c r="B436" s="1180"/>
      <c r="C436" s="1180"/>
      <c r="D436" s="1180"/>
      <c r="E436" s="1180"/>
      <c r="F436" s="1180"/>
      <c r="G436" s="1180"/>
      <c r="H436" s="1180"/>
      <c r="I436" s="1180"/>
      <c r="J436" s="1180"/>
      <c r="K436" s="1180"/>
      <c r="L436" s="1180"/>
      <c r="M436" s="1180"/>
      <c r="N436" s="1180"/>
      <c r="O436" s="1180"/>
      <c r="P436" s="1180"/>
      <c r="Q436" s="1180"/>
      <c r="R436" s="1180"/>
      <c r="S436" s="1180"/>
      <c r="T436" s="1180"/>
      <c r="U436" s="1180"/>
      <c r="V436" s="1180"/>
      <c r="W436" s="1180"/>
      <c r="X436" s="1180"/>
      <c r="Y436" s="1180"/>
      <c r="Z436" s="1180"/>
      <c r="AA436" s="1180"/>
      <c r="AB436" s="1180"/>
      <c r="AC436" s="1180"/>
      <c r="AD436" s="1180"/>
      <c r="AE436" s="1180"/>
      <c r="AF436" s="1180"/>
      <c r="AG436" s="1180"/>
      <c r="AH436" s="1180"/>
      <c r="AI436" s="1180"/>
      <c r="AJ436" s="1180"/>
      <c r="AK436" s="1180"/>
      <c r="AL436" s="1180"/>
      <c r="AM436" s="1180"/>
      <c r="AN436" s="1180"/>
      <c r="AO436" s="1180"/>
      <c r="AP436" s="1180"/>
      <c r="AQ436" s="1180"/>
      <c r="AR436" s="1180"/>
      <c r="AS436" s="1180"/>
      <c r="AT436" s="1180"/>
      <c r="AU436" s="1180"/>
      <c r="AV436" s="1180"/>
      <c r="AW436" s="1180"/>
      <c r="AX436" s="1180"/>
      <c r="AY436" s="1180"/>
      <c r="AZ436" s="1180"/>
      <c r="BA436" s="1180"/>
      <c r="BB436" s="1180"/>
      <c r="BC436" s="1180"/>
      <c r="BD436" s="1180"/>
      <c r="BE436" s="1180"/>
      <c r="BF436" s="1180"/>
      <c r="BG436" s="1180"/>
      <c r="BH436" s="1180"/>
      <c r="BI436" s="1180"/>
      <c r="BJ436" s="1180"/>
      <c r="BK436" s="1180"/>
      <c r="BL436" s="1180"/>
      <c r="BM436" s="1180"/>
      <c r="BN436" s="1180"/>
      <c r="BO436" s="1180"/>
      <c r="BP436" s="1180"/>
      <c r="BQ436" s="1180"/>
      <c r="BR436" s="1180"/>
      <c r="BS436" s="1180"/>
      <c r="BT436" s="1180"/>
      <c r="BU436" s="1180"/>
      <c r="BV436" s="1180"/>
      <c r="BW436" s="1180"/>
      <c r="BX436" s="1180"/>
      <c r="BY436" s="1180"/>
      <c r="BZ436" s="1180"/>
      <c r="CA436" s="1180"/>
      <c r="CB436" s="1180"/>
      <c r="CC436" s="1180"/>
      <c r="CD436" s="1180"/>
      <c r="CE436" s="1180"/>
      <c r="CF436" s="1180"/>
      <c r="CG436" s="1180"/>
      <c r="CH436" s="29"/>
      <c r="CI436" s="185"/>
      <c r="CJ436" s="17"/>
    </row>
    <row r="437" spans="1:88" s="3" customFormat="1" hidden="1">
      <c r="A437" s="243" t="str">
        <f>IF(B439=0,"OK","")</f>
        <v>OK</v>
      </c>
      <c r="B437" s="105"/>
      <c r="C437" s="105"/>
      <c r="D437" s="1124" t="str">
        <f>IF(B439&gt;1,"C) APMs que não apresentaram as prestações de contas:","C) APM que não apresentou prestação de contas:")</f>
        <v>C) APM que não apresentou prestação de contas:</v>
      </c>
      <c r="E437" s="1124"/>
      <c r="F437" s="1124"/>
      <c r="G437" s="1124"/>
      <c r="H437" s="1124"/>
      <c r="I437" s="1124"/>
      <c r="J437" s="1124"/>
      <c r="K437" s="1124"/>
      <c r="L437" s="1124"/>
      <c r="M437" s="1124"/>
      <c r="N437" s="1124"/>
      <c r="O437" s="1124"/>
      <c r="P437" s="1124"/>
      <c r="Q437" s="1124"/>
      <c r="R437" s="1124"/>
      <c r="S437" s="1124"/>
      <c r="T437" s="1124"/>
      <c r="U437" s="1124"/>
      <c r="V437" s="1124"/>
      <c r="W437" s="1124"/>
      <c r="X437" s="1124"/>
      <c r="Y437" s="1124"/>
      <c r="Z437" s="1124"/>
      <c r="AA437" s="1124"/>
      <c r="AB437" s="1124"/>
      <c r="AC437" s="1124"/>
      <c r="AD437" s="1124"/>
      <c r="AE437" s="1124"/>
      <c r="AF437" s="1124"/>
      <c r="AG437" s="1124"/>
      <c r="AH437" s="1124"/>
      <c r="AI437" s="1124"/>
      <c r="AJ437" s="1124"/>
      <c r="AK437" s="1124"/>
      <c r="AL437" s="1124"/>
      <c r="AM437" s="1124"/>
      <c r="AN437" s="1124"/>
      <c r="AO437" s="1124"/>
      <c r="AP437" s="1124"/>
      <c r="AQ437" s="1124"/>
      <c r="AR437" s="1124"/>
      <c r="AS437" s="1124"/>
      <c r="AT437" s="1124"/>
      <c r="AU437" s="1124"/>
      <c r="AV437" s="1124"/>
      <c r="AW437" s="1124"/>
      <c r="AX437" s="1124"/>
      <c r="AY437" s="1124"/>
      <c r="AZ437" s="1124"/>
      <c r="BA437" s="1124"/>
      <c r="BB437" s="1124"/>
      <c r="BC437" s="1124"/>
      <c r="BD437" s="1124"/>
      <c r="BE437" s="1124"/>
      <c r="BF437" s="1124"/>
      <c r="BG437" s="1124"/>
      <c r="BH437" s="1124"/>
      <c r="BI437" s="1124"/>
      <c r="BJ437" s="1124"/>
      <c r="BK437" s="1124"/>
      <c r="BL437" s="1124"/>
      <c r="BM437" s="1124"/>
      <c r="BN437" s="1124"/>
      <c r="BO437" s="1124"/>
      <c r="BP437" s="1124"/>
      <c r="BQ437" s="1124"/>
      <c r="BR437" s="1124"/>
      <c r="BS437" s="1124"/>
      <c r="BT437" s="1124"/>
      <c r="BU437" s="1124"/>
      <c r="BV437" s="1124"/>
      <c r="BW437" s="1124"/>
      <c r="BX437" s="1124"/>
      <c r="BY437" s="1124"/>
      <c r="BZ437" s="1124"/>
      <c r="CA437" s="1124"/>
      <c r="CB437" s="1124"/>
      <c r="CC437" s="1124"/>
      <c r="CD437" s="1124"/>
      <c r="CE437" s="1124"/>
      <c r="CF437" s="1124"/>
      <c r="CG437" s="1124"/>
      <c r="CH437" s="29"/>
      <c r="CI437" s="185"/>
      <c r="CJ437" s="17"/>
    </row>
    <row r="438" spans="1:88" s="3" customFormat="1" hidden="1">
      <c r="A438" s="243" t="str">
        <f>IF(B439=0,"OK","")</f>
        <v>OK</v>
      </c>
      <c r="B438" s="1175"/>
      <c r="C438" s="1175"/>
      <c r="D438" s="1175"/>
      <c r="E438" s="1175"/>
      <c r="F438" s="1175"/>
      <c r="G438" s="1175"/>
      <c r="H438" s="1175"/>
      <c r="I438" s="1175"/>
      <c r="J438" s="1175"/>
      <c r="K438" s="1175"/>
      <c r="L438" s="1175"/>
      <c r="M438" s="1175"/>
      <c r="N438" s="1175"/>
      <c r="O438" s="1175"/>
      <c r="P438" s="1175"/>
      <c r="Q438" s="1175"/>
      <c r="R438" s="1175"/>
      <c r="S438" s="1175"/>
      <c r="T438" s="1175"/>
      <c r="U438" s="1175"/>
      <c r="V438" s="1175"/>
      <c r="W438" s="1175"/>
      <c r="X438" s="1175"/>
      <c r="Y438" s="1175"/>
      <c r="Z438" s="1175"/>
      <c r="AA438" s="1175"/>
      <c r="AB438" s="1175"/>
      <c r="AC438" s="1175"/>
      <c r="AD438" s="1175"/>
      <c r="AE438" s="1175"/>
      <c r="AF438" s="1175"/>
      <c r="AG438" s="1175"/>
      <c r="AH438" s="1175"/>
      <c r="AI438" s="1175"/>
      <c r="AJ438" s="1175"/>
      <c r="AK438" s="1175"/>
      <c r="AL438" s="1175"/>
      <c r="AM438" s="1175"/>
      <c r="AN438" s="1175"/>
      <c r="AO438" s="1175"/>
      <c r="AP438" s="1175"/>
      <c r="AQ438" s="1175"/>
      <c r="AR438" s="1175"/>
      <c r="AS438" s="1175"/>
      <c r="AT438" s="1175"/>
      <c r="AU438" s="1175"/>
      <c r="AV438" s="1175"/>
      <c r="AW438" s="1175"/>
      <c r="AX438" s="1175"/>
      <c r="AY438" s="1175"/>
      <c r="AZ438" s="1175"/>
      <c r="BA438" s="1175"/>
      <c r="BB438" s="1175"/>
      <c r="BC438" s="1175"/>
      <c r="BD438" s="1175"/>
      <c r="BE438" s="1175"/>
      <c r="BF438" s="1175"/>
      <c r="BG438" s="1175"/>
      <c r="BH438" s="1175"/>
      <c r="BI438" s="1175"/>
      <c r="BJ438" s="1175"/>
      <c r="BK438" s="1175"/>
      <c r="BL438" s="1175"/>
      <c r="BM438" s="1175"/>
      <c r="BN438" s="1175"/>
      <c r="BO438" s="1175"/>
      <c r="BP438" s="1175"/>
      <c r="BQ438" s="1175"/>
      <c r="BR438" s="1175"/>
      <c r="BS438" s="1175"/>
      <c r="BT438" s="1175"/>
      <c r="BU438" s="1175"/>
      <c r="BV438" s="1175"/>
      <c r="BW438" s="1175"/>
      <c r="BX438" s="1175"/>
      <c r="BY438" s="1175"/>
      <c r="BZ438" s="1175"/>
      <c r="CA438" s="1175"/>
      <c r="CB438" s="1175"/>
      <c r="CC438" s="1175"/>
      <c r="CD438" s="1175"/>
      <c r="CE438" s="1175"/>
      <c r="CF438" s="1175"/>
      <c r="CG438" s="1175"/>
      <c r="CH438" s="29"/>
      <c r="CI438" s="185"/>
      <c r="CJ438" s="17"/>
    </row>
    <row r="439" spans="1:88" s="3" customFormat="1" hidden="1">
      <c r="A439" s="243" t="str">
        <f>IF(B439=0,"OK","")</f>
        <v>OK</v>
      </c>
      <c r="B439" s="1177">
        <f>MAX(B440:C643)</f>
        <v>0</v>
      </c>
      <c r="C439" s="1178"/>
      <c r="D439" s="1176" t="s">
        <v>140</v>
      </c>
      <c r="E439" s="1176"/>
      <c r="F439" s="1176"/>
      <c r="G439" s="1176"/>
      <c r="H439" s="1176"/>
      <c r="I439" s="1176"/>
      <c r="J439" s="1176"/>
      <c r="K439" s="1176"/>
      <c r="L439" s="1176"/>
      <c r="M439" s="1176"/>
      <c r="N439" s="1176"/>
      <c r="O439" s="1176"/>
      <c r="P439" s="1176"/>
      <c r="Q439" s="1176"/>
      <c r="R439" s="1176"/>
      <c r="S439" s="1176"/>
      <c r="T439" s="1176"/>
      <c r="U439" s="1176"/>
      <c r="V439" s="1176"/>
      <c r="W439" s="1176"/>
      <c r="X439" s="1176"/>
      <c r="Y439" s="1176"/>
      <c r="Z439" s="1176"/>
      <c r="AA439" s="1176"/>
      <c r="AB439" s="1176"/>
      <c r="AC439" s="1176"/>
      <c r="AD439" s="1176"/>
      <c r="AE439" s="1176"/>
      <c r="AF439" s="1176" t="s">
        <v>141</v>
      </c>
      <c r="AG439" s="1176"/>
      <c r="AH439" s="1176"/>
      <c r="AI439" s="1176"/>
      <c r="AJ439" s="1176"/>
      <c r="AK439" s="1176"/>
      <c r="AL439" s="1176"/>
      <c r="AM439" s="1176"/>
      <c r="AN439" s="1176"/>
      <c r="AO439" s="1176"/>
      <c r="AP439" s="1176"/>
      <c r="AQ439" s="1176"/>
      <c r="AR439" s="1176"/>
      <c r="AS439" s="1176"/>
      <c r="AT439" s="1176"/>
      <c r="AU439" s="1176"/>
      <c r="AV439" s="1176"/>
      <c r="AW439" s="1176"/>
      <c r="AX439" s="1176"/>
      <c r="AY439" s="1176"/>
      <c r="AZ439" s="1176"/>
      <c r="BA439" s="1176"/>
      <c r="BB439" s="1176"/>
      <c r="BC439" s="1176"/>
      <c r="BD439" s="1176"/>
      <c r="BE439" s="1176"/>
      <c r="BF439" s="1176"/>
      <c r="BG439" s="1176"/>
      <c r="BH439" s="1176"/>
      <c r="BI439" s="1176"/>
      <c r="BJ439" s="1176"/>
      <c r="BK439" s="1176"/>
      <c r="BL439" s="1176"/>
      <c r="BM439" s="1176"/>
      <c r="BN439" s="1176"/>
      <c r="BO439" s="1176"/>
      <c r="BP439" s="1176"/>
      <c r="BQ439" s="1176"/>
      <c r="BR439" s="1176"/>
      <c r="BS439" s="1176"/>
      <c r="BT439" s="1176"/>
      <c r="BU439" s="1176"/>
      <c r="BV439" s="1176"/>
      <c r="BW439" s="1176"/>
      <c r="BX439" s="1176"/>
      <c r="BY439" s="1176"/>
      <c r="BZ439" s="1176"/>
      <c r="CA439" s="1176"/>
      <c r="CB439" s="1176"/>
      <c r="CC439" s="1176"/>
      <c r="CD439" s="1176"/>
      <c r="CE439" s="1176"/>
      <c r="CF439" s="1176"/>
      <c r="CG439" s="1176"/>
      <c r="CH439" s="29"/>
      <c r="CI439" s="185"/>
      <c r="CJ439" s="17"/>
    </row>
    <row r="440" spans="1:88" s="3" customFormat="1" hidden="1">
      <c r="A440" s="243" t="str">
        <f t="shared" ref="A440:A503" si="8">IF(D440="","OK","")</f>
        <v>OK</v>
      </c>
      <c r="B440" s="1126" t="str">
        <f>IF(CONSOLIDA!DQ4="","",CONSOLIDA!DQ4)</f>
        <v/>
      </c>
      <c r="C440" s="1126"/>
      <c r="D440" s="1134" t="str">
        <f>IF(CONSOLIDA!DS4="","",CONSOLIDA!DS4)</f>
        <v/>
      </c>
      <c r="E440" s="1135"/>
      <c r="F440" s="1135"/>
      <c r="G440" s="1129" t="str">
        <f>IF(CONSOLIDA!DT4="","",CONSOLIDA!DT4)</f>
        <v/>
      </c>
      <c r="H440" s="1129"/>
      <c r="I440" s="1129"/>
      <c r="J440" s="1129"/>
      <c r="K440" s="1129"/>
      <c r="L440" s="1129"/>
      <c r="M440" s="1129"/>
      <c r="N440" s="1129"/>
      <c r="O440" s="1129"/>
      <c r="P440" s="1129"/>
      <c r="Q440" s="1129"/>
      <c r="R440" s="1129"/>
      <c r="S440" s="1129"/>
      <c r="T440" s="1129"/>
      <c r="U440" s="1129"/>
      <c r="V440" s="1129"/>
      <c r="W440" s="1129"/>
      <c r="X440" s="1129"/>
      <c r="Y440" s="1129"/>
      <c r="Z440" s="1129"/>
      <c r="AA440" s="1129"/>
      <c r="AB440" s="1129"/>
      <c r="AC440" s="1129"/>
      <c r="AD440" s="1129"/>
      <c r="AE440" s="1130"/>
      <c r="AF440" s="1131" t="s">
        <v>415</v>
      </c>
      <c r="AG440" s="1131"/>
      <c r="AH440" s="1131"/>
      <c r="AI440" s="1131"/>
      <c r="AJ440" s="1131"/>
      <c r="AK440" s="1131"/>
      <c r="AL440" s="1131"/>
      <c r="AM440" s="1131"/>
      <c r="AN440" s="1131"/>
      <c r="AO440" s="1131"/>
      <c r="AP440" s="1131"/>
      <c r="AQ440" s="1131"/>
      <c r="AR440" s="1131"/>
      <c r="AS440" s="1131"/>
      <c r="AT440" s="1131"/>
      <c r="AU440" s="1131"/>
      <c r="AV440" s="1131"/>
      <c r="AW440" s="1131"/>
      <c r="AX440" s="1131"/>
      <c r="AY440" s="1131"/>
      <c r="AZ440" s="1131"/>
      <c r="BA440" s="1131"/>
      <c r="BB440" s="1131"/>
      <c r="BC440" s="1131"/>
      <c r="BD440" s="1131"/>
      <c r="BE440" s="1131"/>
      <c r="BF440" s="1131"/>
      <c r="BG440" s="1131"/>
      <c r="BH440" s="1131"/>
      <c r="BI440" s="1131"/>
      <c r="BJ440" s="1131"/>
      <c r="BK440" s="1131"/>
      <c r="BL440" s="1131"/>
      <c r="BM440" s="1131"/>
      <c r="BN440" s="1131"/>
      <c r="BO440" s="1131"/>
      <c r="BP440" s="1131"/>
      <c r="BQ440" s="1131"/>
      <c r="BR440" s="1131"/>
      <c r="BS440" s="1131"/>
      <c r="BT440" s="1131"/>
      <c r="BU440" s="1131"/>
      <c r="BV440" s="1131"/>
      <c r="BW440" s="1131"/>
      <c r="BX440" s="1131"/>
      <c r="BY440" s="1131"/>
      <c r="BZ440" s="1131"/>
      <c r="CA440" s="1131"/>
      <c r="CB440" s="1131"/>
      <c r="CC440" s="1131"/>
      <c r="CD440" s="1131"/>
      <c r="CE440" s="1131"/>
      <c r="CF440" s="1131"/>
      <c r="CG440" s="1131"/>
      <c r="CH440" s="29"/>
      <c r="CI440" s="185"/>
      <c r="CJ440" s="17"/>
    </row>
    <row r="441" spans="1:88" s="3" customFormat="1" hidden="1">
      <c r="A441" s="243" t="str">
        <f t="shared" si="8"/>
        <v>OK</v>
      </c>
      <c r="B441" s="1126" t="str">
        <f>IF(CONSOLIDA!DQ5="","",CONSOLIDA!DQ5)</f>
        <v/>
      </c>
      <c r="C441" s="1126"/>
      <c r="D441" s="1127" t="str">
        <f>IF(CONSOLIDA!DS5="","",CONSOLIDA!DS5)</f>
        <v/>
      </c>
      <c r="E441" s="1128"/>
      <c r="F441" s="1128"/>
      <c r="G441" s="1129" t="str">
        <f>IF(CONSOLIDA!DT5="","",CONSOLIDA!DT5)</f>
        <v/>
      </c>
      <c r="H441" s="1129"/>
      <c r="I441" s="1129"/>
      <c r="J441" s="1129"/>
      <c r="K441" s="1129"/>
      <c r="L441" s="1129"/>
      <c r="M441" s="1129"/>
      <c r="N441" s="1129"/>
      <c r="O441" s="1129"/>
      <c r="P441" s="1129"/>
      <c r="Q441" s="1129"/>
      <c r="R441" s="1129"/>
      <c r="S441" s="1129"/>
      <c r="T441" s="1129"/>
      <c r="U441" s="1129"/>
      <c r="V441" s="1129"/>
      <c r="W441" s="1129"/>
      <c r="X441" s="1129"/>
      <c r="Y441" s="1129"/>
      <c r="Z441" s="1129"/>
      <c r="AA441" s="1129"/>
      <c r="AB441" s="1129"/>
      <c r="AC441" s="1129"/>
      <c r="AD441" s="1129"/>
      <c r="AE441" s="1130"/>
      <c r="AF441" s="1131"/>
      <c r="AG441" s="1131"/>
      <c r="AH441" s="1131"/>
      <c r="AI441" s="1131"/>
      <c r="AJ441" s="1131"/>
      <c r="AK441" s="1131"/>
      <c r="AL441" s="1131"/>
      <c r="AM441" s="1131"/>
      <c r="AN441" s="1131"/>
      <c r="AO441" s="1131"/>
      <c r="AP441" s="1131"/>
      <c r="AQ441" s="1131"/>
      <c r="AR441" s="1131"/>
      <c r="AS441" s="1131"/>
      <c r="AT441" s="1131"/>
      <c r="AU441" s="1131"/>
      <c r="AV441" s="1131"/>
      <c r="AW441" s="1131"/>
      <c r="AX441" s="1131"/>
      <c r="AY441" s="1131"/>
      <c r="AZ441" s="1131"/>
      <c r="BA441" s="1131"/>
      <c r="BB441" s="1131"/>
      <c r="BC441" s="1131"/>
      <c r="BD441" s="1131"/>
      <c r="BE441" s="1131"/>
      <c r="BF441" s="1131"/>
      <c r="BG441" s="1131"/>
      <c r="BH441" s="1131"/>
      <c r="BI441" s="1131"/>
      <c r="BJ441" s="1131"/>
      <c r="BK441" s="1131"/>
      <c r="BL441" s="1131"/>
      <c r="BM441" s="1131"/>
      <c r="BN441" s="1131"/>
      <c r="BO441" s="1131"/>
      <c r="BP441" s="1131"/>
      <c r="BQ441" s="1131"/>
      <c r="BR441" s="1131"/>
      <c r="BS441" s="1131"/>
      <c r="BT441" s="1131"/>
      <c r="BU441" s="1131"/>
      <c r="BV441" s="1131"/>
      <c r="BW441" s="1131"/>
      <c r="BX441" s="1131"/>
      <c r="BY441" s="1131"/>
      <c r="BZ441" s="1131"/>
      <c r="CA441" s="1131"/>
      <c r="CB441" s="1131"/>
      <c r="CC441" s="1131"/>
      <c r="CD441" s="1131"/>
      <c r="CE441" s="1131"/>
      <c r="CF441" s="1131"/>
      <c r="CG441" s="1131"/>
      <c r="CH441" s="29"/>
      <c r="CI441" s="185"/>
      <c r="CJ441" s="17"/>
    </row>
    <row r="442" spans="1:88" s="3" customFormat="1" hidden="1">
      <c r="A442" s="243" t="str">
        <f t="shared" si="8"/>
        <v>OK</v>
      </c>
      <c r="B442" s="1126" t="str">
        <f>IF(CONSOLIDA!DQ6="","",CONSOLIDA!DQ6)</f>
        <v/>
      </c>
      <c r="C442" s="1126"/>
      <c r="D442" s="1127" t="str">
        <f>IF(CONSOLIDA!DS6="","",CONSOLIDA!DS6)</f>
        <v/>
      </c>
      <c r="E442" s="1128"/>
      <c r="F442" s="1128"/>
      <c r="G442" s="1129" t="str">
        <f>IF(CONSOLIDA!DT6="","",CONSOLIDA!DT6)</f>
        <v/>
      </c>
      <c r="H442" s="1129"/>
      <c r="I442" s="1129"/>
      <c r="J442" s="1129"/>
      <c r="K442" s="1129"/>
      <c r="L442" s="1129"/>
      <c r="M442" s="1129"/>
      <c r="N442" s="1129"/>
      <c r="O442" s="1129"/>
      <c r="P442" s="1129"/>
      <c r="Q442" s="1129"/>
      <c r="R442" s="1129"/>
      <c r="S442" s="1129"/>
      <c r="T442" s="1129"/>
      <c r="U442" s="1129"/>
      <c r="V442" s="1129"/>
      <c r="W442" s="1129"/>
      <c r="X442" s="1129"/>
      <c r="Y442" s="1129"/>
      <c r="Z442" s="1129"/>
      <c r="AA442" s="1129"/>
      <c r="AB442" s="1129"/>
      <c r="AC442" s="1129"/>
      <c r="AD442" s="1129"/>
      <c r="AE442" s="1130"/>
      <c r="AF442" s="1131"/>
      <c r="AG442" s="1131"/>
      <c r="AH442" s="1131"/>
      <c r="AI442" s="1131"/>
      <c r="AJ442" s="1131"/>
      <c r="AK442" s="1131"/>
      <c r="AL442" s="1131"/>
      <c r="AM442" s="1131"/>
      <c r="AN442" s="1131"/>
      <c r="AO442" s="1131"/>
      <c r="AP442" s="1131"/>
      <c r="AQ442" s="1131"/>
      <c r="AR442" s="1131"/>
      <c r="AS442" s="1131"/>
      <c r="AT442" s="1131"/>
      <c r="AU442" s="1131"/>
      <c r="AV442" s="1131"/>
      <c r="AW442" s="1131"/>
      <c r="AX442" s="1131"/>
      <c r="AY442" s="1131"/>
      <c r="AZ442" s="1131"/>
      <c r="BA442" s="1131"/>
      <c r="BB442" s="1131"/>
      <c r="BC442" s="1131"/>
      <c r="BD442" s="1131"/>
      <c r="BE442" s="1131"/>
      <c r="BF442" s="1131"/>
      <c r="BG442" s="1131"/>
      <c r="BH442" s="1131"/>
      <c r="BI442" s="1131"/>
      <c r="BJ442" s="1131"/>
      <c r="BK442" s="1131"/>
      <c r="BL442" s="1131"/>
      <c r="BM442" s="1131"/>
      <c r="BN442" s="1131"/>
      <c r="BO442" s="1131"/>
      <c r="BP442" s="1131"/>
      <c r="BQ442" s="1131"/>
      <c r="BR442" s="1131"/>
      <c r="BS442" s="1131"/>
      <c r="BT442" s="1131"/>
      <c r="BU442" s="1131"/>
      <c r="BV442" s="1131"/>
      <c r="BW442" s="1131"/>
      <c r="BX442" s="1131"/>
      <c r="BY442" s="1131"/>
      <c r="BZ442" s="1131"/>
      <c r="CA442" s="1131"/>
      <c r="CB442" s="1131"/>
      <c r="CC442" s="1131"/>
      <c r="CD442" s="1131"/>
      <c r="CE442" s="1131"/>
      <c r="CF442" s="1131"/>
      <c r="CG442" s="1131"/>
      <c r="CH442" s="29"/>
      <c r="CI442" s="185"/>
      <c r="CJ442" s="17"/>
    </row>
    <row r="443" spans="1:88" s="3" customFormat="1" hidden="1">
      <c r="A443" s="243" t="str">
        <f t="shared" si="8"/>
        <v>OK</v>
      </c>
      <c r="B443" s="1126" t="str">
        <f>IF(CONSOLIDA!DQ7="","",CONSOLIDA!DQ7)</f>
        <v/>
      </c>
      <c r="C443" s="1126"/>
      <c r="D443" s="1127" t="str">
        <f>IF(CONSOLIDA!DS7="","",CONSOLIDA!DS7)</f>
        <v/>
      </c>
      <c r="E443" s="1128"/>
      <c r="F443" s="1128"/>
      <c r="G443" s="1129" t="str">
        <f>IF(CONSOLIDA!DT7="","",CONSOLIDA!DT7)</f>
        <v/>
      </c>
      <c r="H443" s="1129"/>
      <c r="I443" s="1129"/>
      <c r="J443" s="1129"/>
      <c r="K443" s="1129"/>
      <c r="L443" s="1129"/>
      <c r="M443" s="1129"/>
      <c r="N443" s="1129"/>
      <c r="O443" s="1129"/>
      <c r="P443" s="1129"/>
      <c r="Q443" s="1129"/>
      <c r="R443" s="1129"/>
      <c r="S443" s="1129"/>
      <c r="T443" s="1129"/>
      <c r="U443" s="1129"/>
      <c r="V443" s="1129"/>
      <c r="W443" s="1129"/>
      <c r="X443" s="1129"/>
      <c r="Y443" s="1129"/>
      <c r="Z443" s="1129"/>
      <c r="AA443" s="1129"/>
      <c r="AB443" s="1129"/>
      <c r="AC443" s="1129"/>
      <c r="AD443" s="1129"/>
      <c r="AE443" s="1130"/>
      <c r="AF443" s="1131"/>
      <c r="AG443" s="1131"/>
      <c r="AH443" s="1131"/>
      <c r="AI443" s="1131"/>
      <c r="AJ443" s="1131"/>
      <c r="AK443" s="1131"/>
      <c r="AL443" s="1131"/>
      <c r="AM443" s="1131"/>
      <c r="AN443" s="1131"/>
      <c r="AO443" s="1131"/>
      <c r="AP443" s="1131"/>
      <c r="AQ443" s="1131"/>
      <c r="AR443" s="1131"/>
      <c r="AS443" s="1131"/>
      <c r="AT443" s="1131"/>
      <c r="AU443" s="1131"/>
      <c r="AV443" s="1131"/>
      <c r="AW443" s="1131"/>
      <c r="AX443" s="1131"/>
      <c r="AY443" s="1131"/>
      <c r="AZ443" s="1131"/>
      <c r="BA443" s="1131"/>
      <c r="BB443" s="1131"/>
      <c r="BC443" s="1131"/>
      <c r="BD443" s="1131"/>
      <c r="BE443" s="1131"/>
      <c r="BF443" s="1131"/>
      <c r="BG443" s="1131"/>
      <c r="BH443" s="1131"/>
      <c r="BI443" s="1131"/>
      <c r="BJ443" s="1131"/>
      <c r="BK443" s="1131"/>
      <c r="BL443" s="1131"/>
      <c r="BM443" s="1131"/>
      <c r="BN443" s="1131"/>
      <c r="BO443" s="1131"/>
      <c r="BP443" s="1131"/>
      <c r="BQ443" s="1131"/>
      <c r="BR443" s="1131"/>
      <c r="BS443" s="1131"/>
      <c r="BT443" s="1131"/>
      <c r="BU443" s="1131"/>
      <c r="BV443" s="1131"/>
      <c r="BW443" s="1131"/>
      <c r="BX443" s="1131"/>
      <c r="BY443" s="1131"/>
      <c r="BZ443" s="1131"/>
      <c r="CA443" s="1131"/>
      <c r="CB443" s="1131"/>
      <c r="CC443" s="1131"/>
      <c r="CD443" s="1131"/>
      <c r="CE443" s="1131"/>
      <c r="CF443" s="1131"/>
      <c r="CG443" s="1131"/>
      <c r="CH443" s="29"/>
      <c r="CI443" s="185"/>
      <c r="CJ443" s="17"/>
    </row>
    <row r="444" spans="1:88" s="3" customFormat="1" hidden="1">
      <c r="A444" s="243" t="str">
        <f t="shared" si="8"/>
        <v>OK</v>
      </c>
      <c r="B444" s="1126" t="str">
        <f>IF(CONSOLIDA!DQ8="","",CONSOLIDA!DQ8)</f>
        <v/>
      </c>
      <c r="C444" s="1126"/>
      <c r="D444" s="1127" t="str">
        <f>IF(CONSOLIDA!DS8="","",CONSOLIDA!DS8)</f>
        <v/>
      </c>
      <c r="E444" s="1128"/>
      <c r="F444" s="1128"/>
      <c r="G444" s="1129" t="str">
        <f>IF(CONSOLIDA!DT8="","",CONSOLIDA!DT8)</f>
        <v/>
      </c>
      <c r="H444" s="1129"/>
      <c r="I444" s="1129"/>
      <c r="J444" s="1129"/>
      <c r="K444" s="1129"/>
      <c r="L444" s="1129"/>
      <c r="M444" s="1129"/>
      <c r="N444" s="1129"/>
      <c r="O444" s="1129"/>
      <c r="P444" s="1129"/>
      <c r="Q444" s="1129"/>
      <c r="R444" s="1129"/>
      <c r="S444" s="1129"/>
      <c r="T444" s="1129"/>
      <c r="U444" s="1129"/>
      <c r="V444" s="1129"/>
      <c r="W444" s="1129"/>
      <c r="X444" s="1129"/>
      <c r="Y444" s="1129"/>
      <c r="Z444" s="1129"/>
      <c r="AA444" s="1129"/>
      <c r="AB444" s="1129"/>
      <c r="AC444" s="1129"/>
      <c r="AD444" s="1129"/>
      <c r="AE444" s="1130"/>
      <c r="AF444" s="1131"/>
      <c r="AG444" s="1131"/>
      <c r="AH444" s="1131"/>
      <c r="AI444" s="1131"/>
      <c r="AJ444" s="1131"/>
      <c r="AK444" s="1131"/>
      <c r="AL444" s="1131"/>
      <c r="AM444" s="1131"/>
      <c r="AN444" s="1131"/>
      <c r="AO444" s="1131"/>
      <c r="AP444" s="1131"/>
      <c r="AQ444" s="1131"/>
      <c r="AR444" s="1131"/>
      <c r="AS444" s="1131"/>
      <c r="AT444" s="1131"/>
      <c r="AU444" s="1131"/>
      <c r="AV444" s="1131"/>
      <c r="AW444" s="1131"/>
      <c r="AX444" s="1131"/>
      <c r="AY444" s="1131"/>
      <c r="AZ444" s="1131"/>
      <c r="BA444" s="1131"/>
      <c r="BB444" s="1131"/>
      <c r="BC444" s="1131"/>
      <c r="BD444" s="1131"/>
      <c r="BE444" s="1131"/>
      <c r="BF444" s="1131"/>
      <c r="BG444" s="1131"/>
      <c r="BH444" s="1131"/>
      <c r="BI444" s="1131"/>
      <c r="BJ444" s="1131"/>
      <c r="BK444" s="1131"/>
      <c r="BL444" s="1131"/>
      <c r="BM444" s="1131"/>
      <c r="BN444" s="1131"/>
      <c r="BO444" s="1131"/>
      <c r="BP444" s="1131"/>
      <c r="BQ444" s="1131"/>
      <c r="BR444" s="1131"/>
      <c r="BS444" s="1131"/>
      <c r="BT444" s="1131"/>
      <c r="BU444" s="1131"/>
      <c r="BV444" s="1131"/>
      <c r="BW444" s="1131"/>
      <c r="BX444" s="1131"/>
      <c r="BY444" s="1131"/>
      <c r="BZ444" s="1131"/>
      <c r="CA444" s="1131"/>
      <c r="CB444" s="1131"/>
      <c r="CC444" s="1131"/>
      <c r="CD444" s="1131"/>
      <c r="CE444" s="1131"/>
      <c r="CF444" s="1131"/>
      <c r="CG444" s="1131"/>
      <c r="CH444" s="29"/>
      <c r="CI444" s="185"/>
      <c r="CJ444" s="17"/>
    </row>
    <row r="445" spans="1:88" s="3" customFormat="1" hidden="1">
      <c r="A445" s="243" t="str">
        <f t="shared" si="8"/>
        <v>OK</v>
      </c>
      <c r="B445" s="1126" t="str">
        <f>IF(CONSOLIDA!DQ9="","",CONSOLIDA!DQ9)</f>
        <v/>
      </c>
      <c r="C445" s="1126"/>
      <c r="D445" s="1127" t="str">
        <f>IF(CONSOLIDA!DS9="","",CONSOLIDA!DS9)</f>
        <v/>
      </c>
      <c r="E445" s="1128"/>
      <c r="F445" s="1128"/>
      <c r="G445" s="1129" t="str">
        <f>IF(CONSOLIDA!DT9="","",CONSOLIDA!DT9)</f>
        <v/>
      </c>
      <c r="H445" s="1129"/>
      <c r="I445" s="1129"/>
      <c r="J445" s="1129"/>
      <c r="K445" s="1129"/>
      <c r="L445" s="1129"/>
      <c r="M445" s="1129"/>
      <c r="N445" s="1129"/>
      <c r="O445" s="1129"/>
      <c r="P445" s="1129"/>
      <c r="Q445" s="1129"/>
      <c r="R445" s="1129"/>
      <c r="S445" s="1129"/>
      <c r="T445" s="1129"/>
      <c r="U445" s="1129"/>
      <c r="V445" s="1129"/>
      <c r="W445" s="1129"/>
      <c r="X445" s="1129"/>
      <c r="Y445" s="1129"/>
      <c r="Z445" s="1129"/>
      <c r="AA445" s="1129"/>
      <c r="AB445" s="1129"/>
      <c r="AC445" s="1129"/>
      <c r="AD445" s="1129"/>
      <c r="AE445" s="1130"/>
      <c r="AF445" s="1131"/>
      <c r="AG445" s="1131"/>
      <c r="AH445" s="1131"/>
      <c r="AI445" s="1131"/>
      <c r="AJ445" s="1131"/>
      <c r="AK445" s="1131"/>
      <c r="AL445" s="1131"/>
      <c r="AM445" s="1131"/>
      <c r="AN445" s="1131"/>
      <c r="AO445" s="1131"/>
      <c r="AP445" s="1131"/>
      <c r="AQ445" s="1131"/>
      <c r="AR445" s="1131"/>
      <c r="AS445" s="1131"/>
      <c r="AT445" s="1131"/>
      <c r="AU445" s="1131"/>
      <c r="AV445" s="1131"/>
      <c r="AW445" s="1131"/>
      <c r="AX445" s="1131"/>
      <c r="AY445" s="1131"/>
      <c r="AZ445" s="1131"/>
      <c r="BA445" s="1131"/>
      <c r="BB445" s="1131"/>
      <c r="BC445" s="1131"/>
      <c r="BD445" s="1131"/>
      <c r="BE445" s="1131"/>
      <c r="BF445" s="1131"/>
      <c r="BG445" s="1131"/>
      <c r="BH445" s="1131"/>
      <c r="BI445" s="1131"/>
      <c r="BJ445" s="1131"/>
      <c r="BK445" s="1131"/>
      <c r="BL445" s="1131"/>
      <c r="BM445" s="1131"/>
      <c r="BN445" s="1131"/>
      <c r="BO445" s="1131"/>
      <c r="BP445" s="1131"/>
      <c r="BQ445" s="1131"/>
      <c r="BR445" s="1131"/>
      <c r="BS445" s="1131"/>
      <c r="BT445" s="1131"/>
      <c r="BU445" s="1131"/>
      <c r="BV445" s="1131"/>
      <c r="BW445" s="1131"/>
      <c r="BX445" s="1131"/>
      <c r="BY445" s="1131"/>
      <c r="BZ445" s="1131"/>
      <c r="CA445" s="1131"/>
      <c r="CB445" s="1131"/>
      <c r="CC445" s="1131"/>
      <c r="CD445" s="1131"/>
      <c r="CE445" s="1131"/>
      <c r="CF445" s="1131"/>
      <c r="CG445" s="1131"/>
      <c r="CH445" s="29"/>
      <c r="CI445" s="185"/>
      <c r="CJ445" s="17"/>
    </row>
    <row r="446" spans="1:88" s="3" customFormat="1" hidden="1">
      <c r="A446" s="243" t="str">
        <f t="shared" si="8"/>
        <v>OK</v>
      </c>
      <c r="B446" s="1126" t="str">
        <f>IF(CONSOLIDA!DQ10="","",CONSOLIDA!DQ10)</f>
        <v/>
      </c>
      <c r="C446" s="1126"/>
      <c r="D446" s="1127" t="str">
        <f>IF(CONSOLIDA!DS10="","",CONSOLIDA!DS10)</f>
        <v/>
      </c>
      <c r="E446" s="1128"/>
      <c r="F446" s="1128"/>
      <c r="G446" s="1129" t="str">
        <f>IF(CONSOLIDA!DT10="","",CONSOLIDA!DT10)</f>
        <v/>
      </c>
      <c r="H446" s="1129"/>
      <c r="I446" s="1129"/>
      <c r="J446" s="1129"/>
      <c r="K446" s="1129"/>
      <c r="L446" s="1129"/>
      <c r="M446" s="1129"/>
      <c r="N446" s="1129"/>
      <c r="O446" s="1129"/>
      <c r="P446" s="1129"/>
      <c r="Q446" s="1129"/>
      <c r="R446" s="1129"/>
      <c r="S446" s="1129"/>
      <c r="T446" s="1129"/>
      <c r="U446" s="1129"/>
      <c r="V446" s="1129"/>
      <c r="W446" s="1129"/>
      <c r="X446" s="1129"/>
      <c r="Y446" s="1129"/>
      <c r="Z446" s="1129"/>
      <c r="AA446" s="1129"/>
      <c r="AB446" s="1129"/>
      <c r="AC446" s="1129"/>
      <c r="AD446" s="1129"/>
      <c r="AE446" s="1130"/>
      <c r="AF446" s="1131"/>
      <c r="AG446" s="1131"/>
      <c r="AH446" s="1131"/>
      <c r="AI446" s="1131"/>
      <c r="AJ446" s="1131"/>
      <c r="AK446" s="1131"/>
      <c r="AL446" s="1131"/>
      <c r="AM446" s="1131"/>
      <c r="AN446" s="1131"/>
      <c r="AO446" s="1131"/>
      <c r="AP446" s="1131"/>
      <c r="AQ446" s="1131"/>
      <c r="AR446" s="1131"/>
      <c r="AS446" s="1131"/>
      <c r="AT446" s="1131"/>
      <c r="AU446" s="1131"/>
      <c r="AV446" s="1131"/>
      <c r="AW446" s="1131"/>
      <c r="AX446" s="1131"/>
      <c r="AY446" s="1131"/>
      <c r="AZ446" s="1131"/>
      <c r="BA446" s="1131"/>
      <c r="BB446" s="1131"/>
      <c r="BC446" s="1131"/>
      <c r="BD446" s="1131"/>
      <c r="BE446" s="1131"/>
      <c r="BF446" s="1131"/>
      <c r="BG446" s="1131"/>
      <c r="BH446" s="1131"/>
      <c r="BI446" s="1131"/>
      <c r="BJ446" s="1131"/>
      <c r="BK446" s="1131"/>
      <c r="BL446" s="1131"/>
      <c r="BM446" s="1131"/>
      <c r="BN446" s="1131"/>
      <c r="BO446" s="1131"/>
      <c r="BP446" s="1131"/>
      <c r="BQ446" s="1131"/>
      <c r="BR446" s="1131"/>
      <c r="BS446" s="1131"/>
      <c r="BT446" s="1131"/>
      <c r="BU446" s="1131"/>
      <c r="BV446" s="1131"/>
      <c r="BW446" s="1131"/>
      <c r="BX446" s="1131"/>
      <c r="BY446" s="1131"/>
      <c r="BZ446" s="1131"/>
      <c r="CA446" s="1131"/>
      <c r="CB446" s="1131"/>
      <c r="CC446" s="1131"/>
      <c r="CD446" s="1131"/>
      <c r="CE446" s="1131"/>
      <c r="CF446" s="1131"/>
      <c r="CG446" s="1131"/>
      <c r="CH446" s="29"/>
      <c r="CI446" s="185"/>
      <c r="CJ446" s="17"/>
    </row>
    <row r="447" spans="1:88" s="3" customFormat="1" hidden="1">
      <c r="A447" s="243" t="str">
        <f t="shared" si="8"/>
        <v>OK</v>
      </c>
      <c r="B447" s="1126" t="str">
        <f>IF(CONSOLIDA!DQ11="","",CONSOLIDA!DQ11)</f>
        <v/>
      </c>
      <c r="C447" s="1126"/>
      <c r="D447" s="1127" t="str">
        <f>IF(CONSOLIDA!DS11="","",CONSOLIDA!DS11)</f>
        <v/>
      </c>
      <c r="E447" s="1128"/>
      <c r="F447" s="1128"/>
      <c r="G447" s="1129" t="str">
        <f>IF(CONSOLIDA!DT11="","",CONSOLIDA!DT11)</f>
        <v/>
      </c>
      <c r="H447" s="1129"/>
      <c r="I447" s="1129"/>
      <c r="J447" s="1129"/>
      <c r="K447" s="1129"/>
      <c r="L447" s="1129"/>
      <c r="M447" s="1129"/>
      <c r="N447" s="1129"/>
      <c r="O447" s="1129"/>
      <c r="P447" s="1129"/>
      <c r="Q447" s="1129"/>
      <c r="R447" s="1129"/>
      <c r="S447" s="1129"/>
      <c r="T447" s="1129"/>
      <c r="U447" s="1129"/>
      <c r="V447" s="1129"/>
      <c r="W447" s="1129"/>
      <c r="X447" s="1129"/>
      <c r="Y447" s="1129"/>
      <c r="Z447" s="1129"/>
      <c r="AA447" s="1129"/>
      <c r="AB447" s="1129"/>
      <c r="AC447" s="1129"/>
      <c r="AD447" s="1129"/>
      <c r="AE447" s="1130"/>
      <c r="AF447" s="1131"/>
      <c r="AG447" s="1131"/>
      <c r="AH447" s="1131"/>
      <c r="AI447" s="1131"/>
      <c r="AJ447" s="1131"/>
      <c r="AK447" s="1131"/>
      <c r="AL447" s="1131"/>
      <c r="AM447" s="1131"/>
      <c r="AN447" s="1131"/>
      <c r="AO447" s="1131"/>
      <c r="AP447" s="1131"/>
      <c r="AQ447" s="1131"/>
      <c r="AR447" s="1131"/>
      <c r="AS447" s="1131"/>
      <c r="AT447" s="1131"/>
      <c r="AU447" s="1131"/>
      <c r="AV447" s="1131"/>
      <c r="AW447" s="1131"/>
      <c r="AX447" s="1131"/>
      <c r="AY447" s="1131"/>
      <c r="AZ447" s="1131"/>
      <c r="BA447" s="1131"/>
      <c r="BB447" s="1131"/>
      <c r="BC447" s="1131"/>
      <c r="BD447" s="1131"/>
      <c r="BE447" s="1131"/>
      <c r="BF447" s="1131"/>
      <c r="BG447" s="1131"/>
      <c r="BH447" s="1131"/>
      <c r="BI447" s="1131"/>
      <c r="BJ447" s="1131"/>
      <c r="BK447" s="1131"/>
      <c r="BL447" s="1131"/>
      <c r="BM447" s="1131"/>
      <c r="BN447" s="1131"/>
      <c r="BO447" s="1131"/>
      <c r="BP447" s="1131"/>
      <c r="BQ447" s="1131"/>
      <c r="BR447" s="1131"/>
      <c r="BS447" s="1131"/>
      <c r="BT447" s="1131"/>
      <c r="BU447" s="1131"/>
      <c r="BV447" s="1131"/>
      <c r="BW447" s="1131"/>
      <c r="BX447" s="1131"/>
      <c r="BY447" s="1131"/>
      <c r="BZ447" s="1131"/>
      <c r="CA447" s="1131"/>
      <c r="CB447" s="1131"/>
      <c r="CC447" s="1131"/>
      <c r="CD447" s="1131"/>
      <c r="CE447" s="1131"/>
      <c r="CF447" s="1131"/>
      <c r="CG447" s="1131"/>
      <c r="CH447" s="29"/>
      <c r="CI447" s="185"/>
      <c r="CJ447" s="17"/>
    </row>
    <row r="448" spans="1:88" s="3" customFormat="1" hidden="1">
      <c r="A448" s="243" t="str">
        <f t="shared" si="8"/>
        <v>OK</v>
      </c>
      <c r="B448" s="1126" t="str">
        <f>IF(CONSOLIDA!DQ12="","",CONSOLIDA!DQ12)</f>
        <v/>
      </c>
      <c r="C448" s="1126"/>
      <c r="D448" s="1127" t="str">
        <f>IF(CONSOLIDA!DS12="","",CONSOLIDA!DS12)</f>
        <v/>
      </c>
      <c r="E448" s="1128"/>
      <c r="F448" s="1128"/>
      <c r="G448" s="1129" t="str">
        <f>IF(CONSOLIDA!DT12="","",CONSOLIDA!DT12)</f>
        <v/>
      </c>
      <c r="H448" s="1129"/>
      <c r="I448" s="1129"/>
      <c r="J448" s="1129"/>
      <c r="K448" s="1129"/>
      <c r="L448" s="1129"/>
      <c r="M448" s="1129"/>
      <c r="N448" s="1129"/>
      <c r="O448" s="1129"/>
      <c r="P448" s="1129"/>
      <c r="Q448" s="1129"/>
      <c r="R448" s="1129"/>
      <c r="S448" s="1129"/>
      <c r="T448" s="1129"/>
      <c r="U448" s="1129"/>
      <c r="V448" s="1129"/>
      <c r="W448" s="1129"/>
      <c r="X448" s="1129"/>
      <c r="Y448" s="1129"/>
      <c r="Z448" s="1129"/>
      <c r="AA448" s="1129"/>
      <c r="AB448" s="1129"/>
      <c r="AC448" s="1129"/>
      <c r="AD448" s="1129"/>
      <c r="AE448" s="1130"/>
      <c r="AF448" s="1131"/>
      <c r="AG448" s="1131"/>
      <c r="AH448" s="1131"/>
      <c r="AI448" s="1131"/>
      <c r="AJ448" s="1131"/>
      <c r="AK448" s="1131"/>
      <c r="AL448" s="1131"/>
      <c r="AM448" s="1131"/>
      <c r="AN448" s="1131"/>
      <c r="AO448" s="1131"/>
      <c r="AP448" s="1131"/>
      <c r="AQ448" s="1131"/>
      <c r="AR448" s="1131"/>
      <c r="AS448" s="1131"/>
      <c r="AT448" s="1131"/>
      <c r="AU448" s="1131"/>
      <c r="AV448" s="1131"/>
      <c r="AW448" s="1131"/>
      <c r="AX448" s="1131"/>
      <c r="AY448" s="1131"/>
      <c r="AZ448" s="1131"/>
      <c r="BA448" s="1131"/>
      <c r="BB448" s="1131"/>
      <c r="BC448" s="1131"/>
      <c r="BD448" s="1131"/>
      <c r="BE448" s="1131"/>
      <c r="BF448" s="1131"/>
      <c r="BG448" s="1131"/>
      <c r="BH448" s="1131"/>
      <c r="BI448" s="1131"/>
      <c r="BJ448" s="1131"/>
      <c r="BK448" s="1131"/>
      <c r="BL448" s="1131"/>
      <c r="BM448" s="1131"/>
      <c r="BN448" s="1131"/>
      <c r="BO448" s="1131"/>
      <c r="BP448" s="1131"/>
      <c r="BQ448" s="1131"/>
      <c r="BR448" s="1131"/>
      <c r="BS448" s="1131"/>
      <c r="BT448" s="1131"/>
      <c r="BU448" s="1131"/>
      <c r="BV448" s="1131"/>
      <c r="BW448" s="1131"/>
      <c r="BX448" s="1131"/>
      <c r="BY448" s="1131"/>
      <c r="BZ448" s="1131"/>
      <c r="CA448" s="1131"/>
      <c r="CB448" s="1131"/>
      <c r="CC448" s="1131"/>
      <c r="CD448" s="1131"/>
      <c r="CE448" s="1131"/>
      <c r="CF448" s="1131"/>
      <c r="CG448" s="1131"/>
      <c r="CH448" s="29"/>
      <c r="CI448" s="185"/>
      <c r="CJ448" s="17"/>
    </row>
    <row r="449" spans="1:88" s="3" customFormat="1" hidden="1">
      <c r="A449" s="243" t="str">
        <f t="shared" si="8"/>
        <v>OK</v>
      </c>
      <c r="B449" s="1126" t="str">
        <f>IF(CONSOLIDA!DQ13="","",CONSOLIDA!DQ13)</f>
        <v/>
      </c>
      <c r="C449" s="1126"/>
      <c r="D449" s="1127" t="str">
        <f>IF(CONSOLIDA!DS13="","",CONSOLIDA!DS13)</f>
        <v/>
      </c>
      <c r="E449" s="1128"/>
      <c r="F449" s="1128"/>
      <c r="G449" s="1129" t="str">
        <f>IF(CONSOLIDA!DT13="","",CONSOLIDA!DT13)</f>
        <v/>
      </c>
      <c r="H449" s="1129"/>
      <c r="I449" s="1129"/>
      <c r="J449" s="1129"/>
      <c r="K449" s="1129"/>
      <c r="L449" s="1129"/>
      <c r="M449" s="1129"/>
      <c r="N449" s="1129"/>
      <c r="O449" s="1129"/>
      <c r="P449" s="1129"/>
      <c r="Q449" s="1129"/>
      <c r="R449" s="1129"/>
      <c r="S449" s="1129"/>
      <c r="T449" s="1129"/>
      <c r="U449" s="1129"/>
      <c r="V449" s="1129"/>
      <c r="W449" s="1129"/>
      <c r="X449" s="1129"/>
      <c r="Y449" s="1129"/>
      <c r="Z449" s="1129"/>
      <c r="AA449" s="1129"/>
      <c r="AB449" s="1129"/>
      <c r="AC449" s="1129"/>
      <c r="AD449" s="1129"/>
      <c r="AE449" s="1130"/>
      <c r="AF449" s="1131"/>
      <c r="AG449" s="1131"/>
      <c r="AH449" s="1131"/>
      <c r="AI449" s="1131"/>
      <c r="AJ449" s="1131"/>
      <c r="AK449" s="1131"/>
      <c r="AL449" s="1131"/>
      <c r="AM449" s="1131"/>
      <c r="AN449" s="1131"/>
      <c r="AO449" s="1131"/>
      <c r="AP449" s="1131"/>
      <c r="AQ449" s="1131"/>
      <c r="AR449" s="1131"/>
      <c r="AS449" s="1131"/>
      <c r="AT449" s="1131"/>
      <c r="AU449" s="1131"/>
      <c r="AV449" s="1131"/>
      <c r="AW449" s="1131"/>
      <c r="AX449" s="1131"/>
      <c r="AY449" s="1131"/>
      <c r="AZ449" s="1131"/>
      <c r="BA449" s="1131"/>
      <c r="BB449" s="1131"/>
      <c r="BC449" s="1131"/>
      <c r="BD449" s="1131"/>
      <c r="BE449" s="1131"/>
      <c r="BF449" s="1131"/>
      <c r="BG449" s="1131"/>
      <c r="BH449" s="1131"/>
      <c r="BI449" s="1131"/>
      <c r="BJ449" s="1131"/>
      <c r="BK449" s="1131"/>
      <c r="BL449" s="1131"/>
      <c r="BM449" s="1131"/>
      <c r="BN449" s="1131"/>
      <c r="BO449" s="1131"/>
      <c r="BP449" s="1131"/>
      <c r="BQ449" s="1131"/>
      <c r="BR449" s="1131"/>
      <c r="BS449" s="1131"/>
      <c r="BT449" s="1131"/>
      <c r="BU449" s="1131"/>
      <c r="BV449" s="1131"/>
      <c r="BW449" s="1131"/>
      <c r="BX449" s="1131"/>
      <c r="BY449" s="1131"/>
      <c r="BZ449" s="1131"/>
      <c r="CA449" s="1131"/>
      <c r="CB449" s="1131"/>
      <c r="CC449" s="1131"/>
      <c r="CD449" s="1131"/>
      <c r="CE449" s="1131"/>
      <c r="CF449" s="1131"/>
      <c r="CG449" s="1131"/>
      <c r="CH449" s="29"/>
      <c r="CI449" s="185"/>
      <c r="CJ449" s="17"/>
    </row>
    <row r="450" spans="1:88" s="3" customFormat="1" hidden="1">
      <c r="A450" s="243" t="str">
        <f t="shared" si="8"/>
        <v>OK</v>
      </c>
      <c r="B450" s="1126" t="str">
        <f>IF(CONSOLIDA!DQ14="","",CONSOLIDA!DQ14)</f>
        <v/>
      </c>
      <c r="C450" s="1126"/>
      <c r="D450" s="1127" t="str">
        <f>IF(CONSOLIDA!DS14="","",CONSOLIDA!DS14)</f>
        <v/>
      </c>
      <c r="E450" s="1128"/>
      <c r="F450" s="1128"/>
      <c r="G450" s="1129" t="str">
        <f>IF(CONSOLIDA!DT14="","",CONSOLIDA!DT14)</f>
        <v/>
      </c>
      <c r="H450" s="1129"/>
      <c r="I450" s="1129"/>
      <c r="J450" s="1129"/>
      <c r="K450" s="1129"/>
      <c r="L450" s="1129"/>
      <c r="M450" s="1129"/>
      <c r="N450" s="1129"/>
      <c r="O450" s="1129"/>
      <c r="P450" s="1129"/>
      <c r="Q450" s="1129"/>
      <c r="R450" s="1129"/>
      <c r="S450" s="1129"/>
      <c r="T450" s="1129"/>
      <c r="U450" s="1129"/>
      <c r="V450" s="1129"/>
      <c r="W450" s="1129"/>
      <c r="X450" s="1129"/>
      <c r="Y450" s="1129"/>
      <c r="Z450" s="1129"/>
      <c r="AA450" s="1129"/>
      <c r="AB450" s="1129"/>
      <c r="AC450" s="1129"/>
      <c r="AD450" s="1129"/>
      <c r="AE450" s="1130"/>
      <c r="AF450" s="1131"/>
      <c r="AG450" s="1131"/>
      <c r="AH450" s="1131"/>
      <c r="AI450" s="1131"/>
      <c r="AJ450" s="1131"/>
      <c r="AK450" s="1131"/>
      <c r="AL450" s="1131"/>
      <c r="AM450" s="1131"/>
      <c r="AN450" s="1131"/>
      <c r="AO450" s="1131"/>
      <c r="AP450" s="1131"/>
      <c r="AQ450" s="1131"/>
      <c r="AR450" s="1131"/>
      <c r="AS450" s="1131"/>
      <c r="AT450" s="1131"/>
      <c r="AU450" s="1131"/>
      <c r="AV450" s="1131"/>
      <c r="AW450" s="1131"/>
      <c r="AX450" s="1131"/>
      <c r="AY450" s="1131"/>
      <c r="AZ450" s="1131"/>
      <c r="BA450" s="1131"/>
      <c r="BB450" s="1131"/>
      <c r="BC450" s="1131"/>
      <c r="BD450" s="1131"/>
      <c r="BE450" s="1131"/>
      <c r="BF450" s="1131"/>
      <c r="BG450" s="1131"/>
      <c r="BH450" s="1131"/>
      <c r="BI450" s="1131"/>
      <c r="BJ450" s="1131"/>
      <c r="BK450" s="1131"/>
      <c r="BL450" s="1131"/>
      <c r="BM450" s="1131"/>
      <c r="BN450" s="1131"/>
      <c r="BO450" s="1131"/>
      <c r="BP450" s="1131"/>
      <c r="BQ450" s="1131"/>
      <c r="BR450" s="1131"/>
      <c r="BS450" s="1131"/>
      <c r="BT450" s="1131"/>
      <c r="BU450" s="1131"/>
      <c r="BV450" s="1131"/>
      <c r="BW450" s="1131"/>
      <c r="BX450" s="1131"/>
      <c r="BY450" s="1131"/>
      <c r="BZ450" s="1131"/>
      <c r="CA450" s="1131"/>
      <c r="CB450" s="1131"/>
      <c r="CC450" s="1131"/>
      <c r="CD450" s="1131"/>
      <c r="CE450" s="1131"/>
      <c r="CF450" s="1131"/>
      <c r="CG450" s="1131"/>
      <c r="CH450" s="29"/>
      <c r="CI450" s="185"/>
      <c r="CJ450" s="17"/>
    </row>
    <row r="451" spans="1:88" s="3" customFormat="1" hidden="1">
      <c r="A451" s="243" t="str">
        <f t="shared" si="8"/>
        <v>OK</v>
      </c>
      <c r="B451" s="1126" t="str">
        <f>IF(CONSOLIDA!DQ15="","",CONSOLIDA!DQ15)</f>
        <v/>
      </c>
      <c r="C451" s="1126"/>
      <c r="D451" s="1127" t="str">
        <f>IF(CONSOLIDA!DS15="","",CONSOLIDA!DS15)</f>
        <v/>
      </c>
      <c r="E451" s="1128"/>
      <c r="F451" s="1128"/>
      <c r="G451" s="1129" t="str">
        <f>IF(CONSOLIDA!DT15="","",CONSOLIDA!DT15)</f>
        <v/>
      </c>
      <c r="H451" s="1129"/>
      <c r="I451" s="1129"/>
      <c r="J451" s="1129"/>
      <c r="K451" s="1129"/>
      <c r="L451" s="1129"/>
      <c r="M451" s="1129"/>
      <c r="N451" s="1129"/>
      <c r="O451" s="1129"/>
      <c r="P451" s="1129"/>
      <c r="Q451" s="1129"/>
      <c r="R451" s="1129"/>
      <c r="S451" s="1129"/>
      <c r="T451" s="1129"/>
      <c r="U451" s="1129"/>
      <c r="V451" s="1129"/>
      <c r="W451" s="1129"/>
      <c r="X451" s="1129"/>
      <c r="Y451" s="1129"/>
      <c r="Z451" s="1129"/>
      <c r="AA451" s="1129"/>
      <c r="AB451" s="1129"/>
      <c r="AC451" s="1129"/>
      <c r="AD451" s="1129"/>
      <c r="AE451" s="1130"/>
      <c r="AF451" s="1131"/>
      <c r="AG451" s="1131"/>
      <c r="AH451" s="1131"/>
      <c r="AI451" s="1131"/>
      <c r="AJ451" s="1131"/>
      <c r="AK451" s="1131"/>
      <c r="AL451" s="1131"/>
      <c r="AM451" s="1131"/>
      <c r="AN451" s="1131"/>
      <c r="AO451" s="1131"/>
      <c r="AP451" s="1131"/>
      <c r="AQ451" s="1131"/>
      <c r="AR451" s="1131"/>
      <c r="AS451" s="1131"/>
      <c r="AT451" s="1131"/>
      <c r="AU451" s="1131"/>
      <c r="AV451" s="1131"/>
      <c r="AW451" s="1131"/>
      <c r="AX451" s="1131"/>
      <c r="AY451" s="1131"/>
      <c r="AZ451" s="1131"/>
      <c r="BA451" s="1131"/>
      <c r="BB451" s="1131"/>
      <c r="BC451" s="1131"/>
      <c r="BD451" s="1131"/>
      <c r="BE451" s="1131"/>
      <c r="BF451" s="1131"/>
      <c r="BG451" s="1131"/>
      <c r="BH451" s="1131"/>
      <c r="BI451" s="1131"/>
      <c r="BJ451" s="1131"/>
      <c r="BK451" s="1131"/>
      <c r="BL451" s="1131"/>
      <c r="BM451" s="1131"/>
      <c r="BN451" s="1131"/>
      <c r="BO451" s="1131"/>
      <c r="BP451" s="1131"/>
      <c r="BQ451" s="1131"/>
      <c r="BR451" s="1131"/>
      <c r="BS451" s="1131"/>
      <c r="BT451" s="1131"/>
      <c r="BU451" s="1131"/>
      <c r="BV451" s="1131"/>
      <c r="BW451" s="1131"/>
      <c r="BX451" s="1131"/>
      <c r="BY451" s="1131"/>
      <c r="BZ451" s="1131"/>
      <c r="CA451" s="1131"/>
      <c r="CB451" s="1131"/>
      <c r="CC451" s="1131"/>
      <c r="CD451" s="1131"/>
      <c r="CE451" s="1131"/>
      <c r="CF451" s="1131"/>
      <c r="CG451" s="1131"/>
      <c r="CH451" s="29"/>
      <c r="CI451" s="185"/>
      <c r="CJ451" s="17"/>
    </row>
    <row r="452" spans="1:88" s="3" customFormat="1" hidden="1">
      <c r="A452" s="243" t="str">
        <f t="shared" si="8"/>
        <v>OK</v>
      </c>
      <c r="B452" s="1126" t="str">
        <f>IF(CONSOLIDA!DQ16="","",CONSOLIDA!DQ16)</f>
        <v/>
      </c>
      <c r="C452" s="1126"/>
      <c r="D452" s="1127" t="str">
        <f>IF(CONSOLIDA!DS16="","",CONSOLIDA!DS16)</f>
        <v/>
      </c>
      <c r="E452" s="1128"/>
      <c r="F452" s="1128"/>
      <c r="G452" s="1129" t="str">
        <f>IF(CONSOLIDA!DT16="","",CONSOLIDA!DT16)</f>
        <v/>
      </c>
      <c r="H452" s="1129"/>
      <c r="I452" s="1129"/>
      <c r="J452" s="1129"/>
      <c r="K452" s="1129"/>
      <c r="L452" s="1129"/>
      <c r="M452" s="1129"/>
      <c r="N452" s="1129"/>
      <c r="O452" s="1129"/>
      <c r="P452" s="1129"/>
      <c r="Q452" s="1129"/>
      <c r="R452" s="1129"/>
      <c r="S452" s="1129"/>
      <c r="T452" s="1129"/>
      <c r="U452" s="1129"/>
      <c r="V452" s="1129"/>
      <c r="W452" s="1129"/>
      <c r="X452" s="1129"/>
      <c r="Y452" s="1129"/>
      <c r="Z452" s="1129"/>
      <c r="AA452" s="1129"/>
      <c r="AB452" s="1129"/>
      <c r="AC452" s="1129"/>
      <c r="AD452" s="1129"/>
      <c r="AE452" s="1130"/>
      <c r="AF452" s="1131"/>
      <c r="AG452" s="1131"/>
      <c r="AH452" s="1131"/>
      <c r="AI452" s="1131"/>
      <c r="AJ452" s="1131"/>
      <c r="AK452" s="1131"/>
      <c r="AL452" s="1131"/>
      <c r="AM452" s="1131"/>
      <c r="AN452" s="1131"/>
      <c r="AO452" s="1131"/>
      <c r="AP452" s="1131"/>
      <c r="AQ452" s="1131"/>
      <c r="AR452" s="1131"/>
      <c r="AS452" s="1131"/>
      <c r="AT452" s="1131"/>
      <c r="AU452" s="1131"/>
      <c r="AV452" s="1131"/>
      <c r="AW452" s="1131"/>
      <c r="AX452" s="1131"/>
      <c r="AY452" s="1131"/>
      <c r="AZ452" s="1131"/>
      <c r="BA452" s="1131"/>
      <c r="BB452" s="1131"/>
      <c r="BC452" s="1131"/>
      <c r="BD452" s="1131"/>
      <c r="BE452" s="1131"/>
      <c r="BF452" s="1131"/>
      <c r="BG452" s="1131"/>
      <c r="BH452" s="1131"/>
      <c r="BI452" s="1131"/>
      <c r="BJ452" s="1131"/>
      <c r="BK452" s="1131"/>
      <c r="BL452" s="1131"/>
      <c r="BM452" s="1131"/>
      <c r="BN452" s="1131"/>
      <c r="BO452" s="1131"/>
      <c r="BP452" s="1131"/>
      <c r="BQ452" s="1131"/>
      <c r="BR452" s="1131"/>
      <c r="BS452" s="1131"/>
      <c r="BT452" s="1131"/>
      <c r="BU452" s="1131"/>
      <c r="BV452" s="1131"/>
      <c r="BW452" s="1131"/>
      <c r="BX452" s="1131"/>
      <c r="BY452" s="1131"/>
      <c r="BZ452" s="1131"/>
      <c r="CA452" s="1131"/>
      <c r="CB452" s="1131"/>
      <c r="CC452" s="1131"/>
      <c r="CD452" s="1131"/>
      <c r="CE452" s="1131"/>
      <c r="CF452" s="1131"/>
      <c r="CG452" s="1131"/>
      <c r="CH452" s="29"/>
      <c r="CI452" s="185"/>
      <c r="CJ452" s="17"/>
    </row>
    <row r="453" spans="1:88" s="3" customFormat="1" hidden="1">
      <c r="A453" s="243" t="str">
        <f t="shared" si="8"/>
        <v>OK</v>
      </c>
      <c r="B453" s="1126" t="str">
        <f>IF(CONSOLIDA!DQ17="","",CONSOLIDA!DQ17)</f>
        <v/>
      </c>
      <c r="C453" s="1126"/>
      <c r="D453" s="1127" t="str">
        <f>IF(CONSOLIDA!DS17="","",CONSOLIDA!DS17)</f>
        <v/>
      </c>
      <c r="E453" s="1128"/>
      <c r="F453" s="1128"/>
      <c r="G453" s="1129" t="str">
        <f>IF(CONSOLIDA!DT17="","",CONSOLIDA!DT17)</f>
        <v/>
      </c>
      <c r="H453" s="1129"/>
      <c r="I453" s="1129"/>
      <c r="J453" s="1129"/>
      <c r="K453" s="1129"/>
      <c r="L453" s="1129"/>
      <c r="M453" s="1129"/>
      <c r="N453" s="1129"/>
      <c r="O453" s="1129"/>
      <c r="P453" s="1129"/>
      <c r="Q453" s="1129"/>
      <c r="R453" s="1129"/>
      <c r="S453" s="1129"/>
      <c r="T453" s="1129"/>
      <c r="U453" s="1129"/>
      <c r="V453" s="1129"/>
      <c r="W453" s="1129"/>
      <c r="X453" s="1129"/>
      <c r="Y453" s="1129"/>
      <c r="Z453" s="1129"/>
      <c r="AA453" s="1129"/>
      <c r="AB453" s="1129"/>
      <c r="AC453" s="1129"/>
      <c r="AD453" s="1129"/>
      <c r="AE453" s="1130"/>
      <c r="AF453" s="1131"/>
      <c r="AG453" s="1131"/>
      <c r="AH453" s="1131"/>
      <c r="AI453" s="1131"/>
      <c r="AJ453" s="1131"/>
      <c r="AK453" s="1131"/>
      <c r="AL453" s="1131"/>
      <c r="AM453" s="1131"/>
      <c r="AN453" s="1131"/>
      <c r="AO453" s="1131"/>
      <c r="AP453" s="1131"/>
      <c r="AQ453" s="1131"/>
      <c r="AR453" s="1131"/>
      <c r="AS453" s="1131"/>
      <c r="AT453" s="1131"/>
      <c r="AU453" s="1131"/>
      <c r="AV453" s="1131"/>
      <c r="AW453" s="1131"/>
      <c r="AX453" s="1131"/>
      <c r="AY453" s="1131"/>
      <c r="AZ453" s="1131"/>
      <c r="BA453" s="1131"/>
      <c r="BB453" s="1131"/>
      <c r="BC453" s="1131"/>
      <c r="BD453" s="1131"/>
      <c r="BE453" s="1131"/>
      <c r="BF453" s="1131"/>
      <c r="BG453" s="1131"/>
      <c r="BH453" s="1131"/>
      <c r="BI453" s="1131"/>
      <c r="BJ453" s="1131"/>
      <c r="BK453" s="1131"/>
      <c r="BL453" s="1131"/>
      <c r="BM453" s="1131"/>
      <c r="BN453" s="1131"/>
      <c r="BO453" s="1131"/>
      <c r="BP453" s="1131"/>
      <c r="BQ453" s="1131"/>
      <c r="BR453" s="1131"/>
      <c r="BS453" s="1131"/>
      <c r="BT453" s="1131"/>
      <c r="BU453" s="1131"/>
      <c r="BV453" s="1131"/>
      <c r="BW453" s="1131"/>
      <c r="BX453" s="1131"/>
      <c r="BY453" s="1131"/>
      <c r="BZ453" s="1131"/>
      <c r="CA453" s="1131"/>
      <c r="CB453" s="1131"/>
      <c r="CC453" s="1131"/>
      <c r="CD453" s="1131"/>
      <c r="CE453" s="1131"/>
      <c r="CF453" s="1131"/>
      <c r="CG453" s="1131"/>
      <c r="CH453" s="29"/>
      <c r="CI453" s="185"/>
      <c r="CJ453" s="17"/>
    </row>
    <row r="454" spans="1:88" s="3" customFormat="1" hidden="1">
      <c r="A454" s="243" t="str">
        <f t="shared" si="8"/>
        <v>OK</v>
      </c>
      <c r="B454" s="1126" t="str">
        <f>IF(CONSOLIDA!DQ18="","",CONSOLIDA!DQ18)</f>
        <v/>
      </c>
      <c r="C454" s="1126"/>
      <c r="D454" s="1127" t="str">
        <f>IF(CONSOLIDA!DS18="","",CONSOLIDA!DS18)</f>
        <v/>
      </c>
      <c r="E454" s="1128"/>
      <c r="F454" s="1128"/>
      <c r="G454" s="1129" t="str">
        <f>IF(CONSOLIDA!DT18="","",CONSOLIDA!DT18)</f>
        <v/>
      </c>
      <c r="H454" s="1129"/>
      <c r="I454" s="1129"/>
      <c r="J454" s="1129"/>
      <c r="K454" s="1129"/>
      <c r="L454" s="1129"/>
      <c r="M454" s="1129"/>
      <c r="N454" s="1129"/>
      <c r="O454" s="1129"/>
      <c r="P454" s="1129"/>
      <c r="Q454" s="1129"/>
      <c r="R454" s="1129"/>
      <c r="S454" s="1129"/>
      <c r="T454" s="1129"/>
      <c r="U454" s="1129"/>
      <c r="V454" s="1129"/>
      <c r="W454" s="1129"/>
      <c r="X454" s="1129"/>
      <c r="Y454" s="1129"/>
      <c r="Z454" s="1129"/>
      <c r="AA454" s="1129"/>
      <c r="AB454" s="1129"/>
      <c r="AC454" s="1129"/>
      <c r="AD454" s="1129"/>
      <c r="AE454" s="1130"/>
      <c r="AF454" s="1131"/>
      <c r="AG454" s="1131"/>
      <c r="AH454" s="1131"/>
      <c r="AI454" s="1131"/>
      <c r="AJ454" s="1131"/>
      <c r="AK454" s="1131"/>
      <c r="AL454" s="1131"/>
      <c r="AM454" s="1131"/>
      <c r="AN454" s="1131"/>
      <c r="AO454" s="1131"/>
      <c r="AP454" s="1131"/>
      <c r="AQ454" s="1131"/>
      <c r="AR454" s="1131"/>
      <c r="AS454" s="1131"/>
      <c r="AT454" s="1131"/>
      <c r="AU454" s="1131"/>
      <c r="AV454" s="1131"/>
      <c r="AW454" s="1131"/>
      <c r="AX454" s="1131"/>
      <c r="AY454" s="1131"/>
      <c r="AZ454" s="1131"/>
      <c r="BA454" s="1131"/>
      <c r="BB454" s="1131"/>
      <c r="BC454" s="1131"/>
      <c r="BD454" s="1131"/>
      <c r="BE454" s="1131"/>
      <c r="BF454" s="1131"/>
      <c r="BG454" s="1131"/>
      <c r="BH454" s="1131"/>
      <c r="BI454" s="1131"/>
      <c r="BJ454" s="1131"/>
      <c r="BK454" s="1131"/>
      <c r="BL454" s="1131"/>
      <c r="BM454" s="1131"/>
      <c r="BN454" s="1131"/>
      <c r="BO454" s="1131"/>
      <c r="BP454" s="1131"/>
      <c r="BQ454" s="1131"/>
      <c r="BR454" s="1131"/>
      <c r="BS454" s="1131"/>
      <c r="BT454" s="1131"/>
      <c r="BU454" s="1131"/>
      <c r="BV454" s="1131"/>
      <c r="BW454" s="1131"/>
      <c r="BX454" s="1131"/>
      <c r="BY454" s="1131"/>
      <c r="BZ454" s="1131"/>
      <c r="CA454" s="1131"/>
      <c r="CB454" s="1131"/>
      <c r="CC454" s="1131"/>
      <c r="CD454" s="1131"/>
      <c r="CE454" s="1131"/>
      <c r="CF454" s="1131"/>
      <c r="CG454" s="1131"/>
      <c r="CH454" s="29"/>
      <c r="CI454" s="185"/>
      <c r="CJ454" s="17"/>
    </row>
    <row r="455" spans="1:88" s="3" customFormat="1" hidden="1">
      <c r="A455" s="243" t="str">
        <f t="shared" si="8"/>
        <v>OK</v>
      </c>
      <c r="B455" s="1126" t="str">
        <f>IF(CONSOLIDA!DQ19="","",CONSOLIDA!DQ19)</f>
        <v/>
      </c>
      <c r="C455" s="1126"/>
      <c r="D455" s="1127" t="str">
        <f>IF(CONSOLIDA!DS19="","",CONSOLIDA!DS19)</f>
        <v/>
      </c>
      <c r="E455" s="1128"/>
      <c r="F455" s="1128"/>
      <c r="G455" s="1129" t="str">
        <f>IF(CONSOLIDA!DT19="","",CONSOLIDA!DT19)</f>
        <v/>
      </c>
      <c r="H455" s="1129"/>
      <c r="I455" s="1129"/>
      <c r="J455" s="1129"/>
      <c r="K455" s="1129"/>
      <c r="L455" s="1129"/>
      <c r="M455" s="1129"/>
      <c r="N455" s="1129"/>
      <c r="O455" s="1129"/>
      <c r="P455" s="1129"/>
      <c r="Q455" s="1129"/>
      <c r="R455" s="1129"/>
      <c r="S455" s="1129"/>
      <c r="T455" s="1129"/>
      <c r="U455" s="1129"/>
      <c r="V455" s="1129"/>
      <c r="W455" s="1129"/>
      <c r="X455" s="1129"/>
      <c r="Y455" s="1129"/>
      <c r="Z455" s="1129"/>
      <c r="AA455" s="1129"/>
      <c r="AB455" s="1129"/>
      <c r="AC455" s="1129"/>
      <c r="AD455" s="1129"/>
      <c r="AE455" s="1130"/>
      <c r="AF455" s="1131"/>
      <c r="AG455" s="1131"/>
      <c r="AH455" s="1131"/>
      <c r="AI455" s="1131"/>
      <c r="AJ455" s="1131"/>
      <c r="AK455" s="1131"/>
      <c r="AL455" s="1131"/>
      <c r="AM455" s="1131"/>
      <c r="AN455" s="1131"/>
      <c r="AO455" s="1131"/>
      <c r="AP455" s="1131"/>
      <c r="AQ455" s="1131"/>
      <c r="AR455" s="1131"/>
      <c r="AS455" s="1131"/>
      <c r="AT455" s="1131"/>
      <c r="AU455" s="1131"/>
      <c r="AV455" s="1131"/>
      <c r="AW455" s="1131"/>
      <c r="AX455" s="1131"/>
      <c r="AY455" s="1131"/>
      <c r="AZ455" s="1131"/>
      <c r="BA455" s="1131"/>
      <c r="BB455" s="1131"/>
      <c r="BC455" s="1131"/>
      <c r="BD455" s="1131"/>
      <c r="BE455" s="1131"/>
      <c r="BF455" s="1131"/>
      <c r="BG455" s="1131"/>
      <c r="BH455" s="1131"/>
      <c r="BI455" s="1131"/>
      <c r="BJ455" s="1131"/>
      <c r="BK455" s="1131"/>
      <c r="BL455" s="1131"/>
      <c r="BM455" s="1131"/>
      <c r="BN455" s="1131"/>
      <c r="BO455" s="1131"/>
      <c r="BP455" s="1131"/>
      <c r="BQ455" s="1131"/>
      <c r="BR455" s="1131"/>
      <c r="BS455" s="1131"/>
      <c r="BT455" s="1131"/>
      <c r="BU455" s="1131"/>
      <c r="BV455" s="1131"/>
      <c r="BW455" s="1131"/>
      <c r="BX455" s="1131"/>
      <c r="BY455" s="1131"/>
      <c r="BZ455" s="1131"/>
      <c r="CA455" s="1131"/>
      <c r="CB455" s="1131"/>
      <c r="CC455" s="1131"/>
      <c r="CD455" s="1131"/>
      <c r="CE455" s="1131"/>
      <c r="CF455" s="1131"/>
      <c r="CG455" s="1131"/>
      <c r="CH455" s="29"/>
      <c r="CI455" s="185"/>
      <c r="CJ455" s="17"/>
    </row>
    <row r="456" spans="1:88" s="3" customFormat="1" hidden="1">
      <c r="A456" s="243" t="str">
        <f t="shared" si="8"/>
        <v>OK</v>
      </c>
      <c r="B456" s="1126" t="str">
        <f>IF(CONSOLIDA!DQ20="","",CONSOLIDA!DQ20)</f>
        <v/>
      </c>
      <c r="C456" s="1126"/>
      <c r="D456" s="1127" t="str">
        <f>IF(CONSOLIDA!DS20="","",CONSOLIDA!DS20)</f>
        <v/>
      </c>
      <c r="E456" s="1128"/>
      <c r="F456" s="1128"/>
      <c r="G456" s="1129" t="str">
        <f>IF(CONSOLIDA!DT20="","",CONSOLIDA!DT20)</f>
        <v/>
      </c>
      <c r="H456" s="1129"/>
      <c r="I456" s="1129"/>
      <c r="J456" s="1129"/>
      <c r="K456" s="1129"/>
      <c r="L456" s="1129"/>
      <c r="M456" s="1129"/>
      <c r="N456" s="1129"/>
      <c r="O456" s="1129"/>
      <c r="P456" s="1129"/>
      <c r="Q456" s="1129"/>
      <c r="R456" s="1129"/>
      <c r="S456" s="1129"/>
      <c r="T456" s="1129"/>
      <c r="U456" s="1129"/>
      <c r="V456" s="1129"/>
      <c r="W456" s="1129"/>
      <c r="X456" s="1129"/>
      <c r="Y456" s="1129"/>
      <c r="Z456" s="1129"/>
      <c r="AA456" s="1129"/>
      <c r="AB456" s="1129"/>
      <c r="AC456" s="1129"/>
      <c r="AD456" s="1129"/>
      <c r="AE456" s="1130"/>
      <c r="AF456" s="1131"/>
      <c r="AG456" s="1131"/>
      <c r="AH456" s="1131"/>
      <c r="AI456" s="1131"/>
      <c r="AJ456" s="1131"/>
      <c r="AK456" s="1131"/>
      <c r="AL456" s="1131"/>
      <c r="AM456" s="1131"/>
      <c r="AN456" s="1131"/>
      <c r="AO456" s="1131"/>
      <c r="AP456" s="1131"/>
      <c r="AQ456" s="1131"/>
      <c r="AR456" s="1131"/>
      <c r="AS456" s="1131"/>
      <c r="AT456" s="1131"/>
      <c r="AU456" s="1131"/>
      <c r="AV456" s="1131"/>
      <c r="AW456" s="1131"/>
      <c r="AX456" s="1131"/>
      <c r="AY456" s="1131"/>
      <c r="AZ456" s="1131"/>
      <c r="BA456" s="1131"/>
      <c r="BB456" s="1131"/>
      <c r="BC456" s="1131"/>
      <c r="BD456" s="1131"/>
      <c r="BE456" s="1131"/>
      <c r="BF456" s="1131"/>
      <c r="BG456" s="1131"/>
      <c r="BH456" s="1131"/>
      <c r="BI456" s="1131"/>
      <c r="BJ456" s="1131"/>
      <c r="BK456" s="1131"/>
      <c r="BL456" s="1131"/>
      <c r="BM456" s="1131"/>
      <c r="BN456" s="1131"/>
      <c r="BO456" s="1131"/>
      <c r="BP456" s="1131"/>
      <c r="BQ456" s="1131"/>
      <c r="BR456" s="1131"/>
      <c r="BS456" s="1131"/>
      <c r="BT456" s="1131"/>
      <c r="BU456" s="1131"/>
      <c r="BV456" s="1131"/>
      <c r="BW456" s="1131"/>
      <c r="BX456" s="1131"/>
      <c r="BY456" s="1131"/>
      <c r="BZ456" s="1131"/>
      <c r="CA456" s="1131"/>
      <c r="CB456" s="1131"/>
      <c r="CC456" s="1131"/>
      <c r="CD456" s="1131"/>
      <c r="CE456" s="1131"/>
      <c r="CF456" s="1131"/>
      <c r="CG456" s="1131"/>
      <c r="CH456" s="29"/>
      <c r="CI456" s="185"/>
      <c r="CJ456" s="17"/>
    </row>
    <row r="457" spans="1:88" s="3" customFormat="1" hidden="1">
      <c r="A457" s="243" t="str">
        <f t="shared" si="8"/>
        <v>OK</v>
      </c>
      <c r="B457" s="1126" t="str">
        <f>IF(CONSOLIDA!DQ21="","",CONSOLIDA!DQ21)</f>
        <v/>
      </c>
      <c r="C457" s="1126"/>
      <c r="D457" s="1127" t="str">
        <f>IF(CONSOLIDA!DS21="","",CONSOLIDA!DS21)</f>
        <v/>
      </c>
      <c r="E457" s="1128"/>
      <c r="F457" s="1128"/>
      <c r="G457" s="1129" t="str">
        <f>IF(CONSOLIDA!DT21="","",CONSOLIDA!DT21)</f>
        <v/>
      </c>
      <c r="H457" s="1129"/>
      <c r="I457" s="1129"/>
      <c r="J457" s="1129"/>
      <c r="K457" s="1129"/>
      <c r="L457" s="1129"/>
      <c r="M457" s="1129"/>
      <c r="N457" s="1129"/>
      <c r="O457" s="1129"/>
      <c r="P457" s="1129"/>
      <c r="Q457" s="1129"/>
      <c r="R457" s="1129"/>
      <c r="S457" s="1129"/>
      <c r="T457" s="1129"/>
      <c r="U457" s="1129"/>
      <c r="V457" s="1129"/>
      <c r="W457" s="1129"/>
      <c r="X457" s="1129"/>
      <c r="Y457" s="1129"/>
      <c r="Z457" s="1129"/>
      <c r="AA457" s="1129"/>
      <c r="AB457" s="1129"/>
      <c r="AC457" s="1129"/>
      <c r="AD457" s="1129"/>
      <c r="AE457" s="1130"/>
      <c r="AF457" s="1131"/>
      <c r="AG457" s="1131"/>
      <c r="AH457" s="1131"/>
      <c r="AI457" s="1131"/>
      <c r="AJ457" s="1131"/>
      <c r="AK457" s="1131"/>
      <c r="AL457" s="1131"/>
      <c r="AM457" s="1131"/>
      <c r="AN457" s="1131"/>
      <c r="AO457" s="1131"/>
      <c r="AP457" s="1131"/>
      <c r="AQ457" s="1131"/>
      <c r="AR457" s="1131"/>
      <c r="AS457" s="1131"/>
      <c r="AT457" s="1131"/>
      <c r="AU457" s="1131"/>
      <c r="AV457" s="1131"/>
      <c r="AW457" s="1131"/>
      <c r="AX457" s="1131"/>
      <c r="AY457" s="1131"/>
      <c r="AZ457" s="1131"/>
      <c r="BA457" s="1131"/>
      <c r="BB457" s="1131"/>
      <c r="BC457" s="1131"/>
      <c r="BD457" s="1131"/>
      <c r="BE457" s="1131"/>
      <c r="BF457" s="1131"/>
      <c r="BG457" s="1131"/>
      <c r="BH457" s="1131"/>
      <c r="BI457" s="1131"/>
      <c r="BJ457" s="1131"/>
      <c r="BK457" s="1131"/>
      <c r="BL457" s="1131"/>
      <c r="BM457" s="1131"/>
      <c r="BN457" s="1131"/>
      <c r="BO457" s="1131"/>
      <c r="BP457" s="1131"/>
      <c r="BQ457" s="1131"/>
      <c r="BR457" s="1131"/>
      <c r="BS457" s="1131"/>
      <c r="BT457" s="1131"/>
      <c r="BU457" s="1131"/>
      <c r="BV457" s="1131"/>
      <c r="BW457" s="1131"/>
      <c r="BX457" s="1131"/>
      <c r="BY457" s="1131"/>
      <c r="BZ457" s="1131"/>
      <c r="CA457" s="1131"/>
      <c r="CB457" s="1131"/>
      <c r="CC457" s="1131"/>
      <c r="CD457" s="1131"/>
      <c r="CE457" s="1131"/>
      <c r="CF457" s="1131"/>
      <c r="CG457" s="1131"/>
      <c r="CH457" s="29"/>
      <c r="CI457" s="185"/>
      <c r="CJ457" s="17"/>
    </row>
    <row r="458" spans="1:88" s="3" customFormat="1" hidden="1">
      <c r="A458" s="243" t="str">
        <f t="shared" si="8"/>
        <v>OK</v>
      </c>
      <c r="B458" s="1126" t="str">
        <f>IF(CONSOLIDA!DQ22="","",CONSOLIDA!DQ22)</f>
        <v/>
      </c>
      <c r="C458" s="1126"/>
      <c r="D458" s="1127" t="str">
        <f>IF(CONSOLIDA!DS22="","",CONSOLIDA!DS22)</f>
        <v/>
      </c>
      <c r="E458" s="1128"/>
      <c r="F458" s="1128"/>
      <c r="G458" s="1129" t="str">
        <f>IF(CONSOLIDA!DT22="","",CONSOLIDA!DT22)</f>
        <v/>
      </c>
      <c r="H458" s="1129"/>
      <c r="I458" s="1129"/>
      <c r="J458" s="1129"/>
      <c r="K458" s="1129"/>
      <c r="L458" s="1129"/>
      <c r="M458" s="1129"/>
      <c r="N458" s="1129"/>
      <c r="O458" s="1129"/>
      <c r="P458" s="1129"/>
      <c r="Q458" s="1129"/>
      <c r="R458" s="1129"/>
      <c r="S458" s="1129"/>
      <c r="T458" s="1129"/>
      <c r="U458" s="1129"/>
      <c r="V458" s="1129"/>
      <c r="W458" s="1129"/>
      <c r="X458" s="1129"/>
      <c r="Y458" s="1129"/>
      <c r="Z458" s="1129"/>
      <c r="AA458" s="1129"/>
      <c r="AB458" s="1129"/>
      <c r="AC458" s="1129"/>
      <c r="AD458" s="1129"/>
      <c r="AE458" s="1130"/>
      <c r="AF458" s="1131"/>
      <c r="AG458" s="1131"/>
      <c r="AH458" s="1131"/>
      <c r="AI458" s="1131"/>
      <c r="AJ458" s="1131"/>
      <c r="AK458" s="1131"/>
      <c r="AL458" s="1131"/>
      <c r="AM458" s="1131"/>
      <c r="AN458" s="1131"/>
      <c r="AO458" s="1131"/>
      <c r="AP458" s="1131"/>
      <c r="AQ458" s="1131"/>
      <c r="AR458" s="1131"/>
      <c r="AS458" s="1131"/>
      <c r="AT458" s="1131"/>
      <c r="AU458" s="1131"/>
      <c r="AV458" s="1131"/>
      <c r="AW458" s="1131"/>
      <c r="AX458" s="1131"/>
      <c r="AY458" s="1131"/>
      <c r="AZ458" s="1131"/>
      <c r="BA458" s="1131"/>
      <c r="BB458" s="1131"/>
      <c r="BC458" s="1131"/>
      <c r="BD458" s="1131"/>
      <c r="BE458" s="1131"/>
      <c r="BF458" s="1131"/>
      <c r="BG458" s="1131"/>
      <c r="BH458" s="1131"/>
      <c r="BI458" s="1131"/>
      <c r="BJ458" s="1131"/>
      <c r="BK458" s="1131"/>
      <c r="BL458" s="1131"/>
      <c r="BM458" s="1131"/>
      <c r="BN458" s="1131"/>
      <c r="BO458" s="1131"/>
      <c r="BP458" s="1131"/>
      <c r="BQ458" s="1131"/>
      <c r="BR458" s="1131"/>
      <c r="BS458" s="1131"/>
      <c r="BT458" s="1131"/>
      <c r="BU458" s="1131"/>
      <c r="BV458" s="1131"/>
      <c r="BW458" s="1131"/>
      <c r="BX458" s="1131"/>
      <c r="BY458" s="1131"/>
      <c r="BZ458" s="1131"/>
      <c r="CA458" s="1131"/>
      <c r="CB458" s="1131"/>
      <c r="CC458" s="1131"/>
      <c r="CD458" s="1131"/>
      <c r="CE458" s="1131"/>
      <c r="CF458" s="1131"/>
      <c r="CG458" s="1131"/>
      <c r="CH458" s="29"/>
      <c r="CI458" s="185"/>
      <c r="CJ458" s="17"/>
    </row>
    <row r="459" spans="1:88" s="3" customFormat="1" hidden="1">
      <c r="A459" s="243" t="str">
        <f t="shared" si="8"/>
        <v>OK</v>
      </c>
      <c r="B459" s="1126" t="str">
        <f>IF(CONSOLIDA!DQ23="","",CONSOLIDA!DQ23)</f>
        <v/>
      </c>
      <c r="C459" s="1126"/>
      <c r="D459" s="1127" t="str">
        <f>IF(CONSOLIDA!DS23="","",CONSOLIDA!DS23)</f>
        <v/>
      </c>
      <c r="E459" s="1128"/>
      <c r="F459" s="1128"/>
      <c r="G459" s="1129" t="str">
        <f>IF(CONSOLIDA!DT23="","",CONSOLIDA!DT23)</f>
        <v/>
      </c>
      <c r="H459" s="1129"/>
      <c r="I459" s="1129"/>
      <c r="J459" s="1129"/>
      <c r="K459" s="1129"/>
      <c r="L459" s="1129"/>
      <c r="M459" s="1129"/>
      <c r="N459" s="1129"/>
      <c r="O459" s="1129"/>
      <c r="P459" s="1129"/>
      <c r="Q459" s="1129"/>
      <c r="R459" s="1129"/>
      <c r="S459" s="1129"/>
      <c r="T459" s="1129"/>
      <c r="U459" s="1129"/>
      <c r="V459" s="1129"/>
      <c r="W459" s="1129"/>
      <c r="X459" s="1129"/>
      <c r="Y459" s="1129"/>
      <c r="Z459" s="1129"/>
      <c r="AA459" s="1129"/>
      <c r="AB459" s="1129"/>
      <c r="AC459" s="1129"/>
      <c r="AD459" s="1129"/>
      <c r="AE459" s="1130"/>
      <c r="AF459" s="1131"/>
      <c r="AG459" s="1131"/>
      <c r="AH459" s="1131"/>
      <c r="AI459" s="1131"/>
      <c r="AJ459" s="1131"/>
      <c r="AK459" s="1131"/>
      <c r="AL459" s="1131"/>
      <c r="AM459" s="1131"/>
      <c r="AN459" s="1131"/>
      <c r="AO459" s="1131"/>
      <c r="AP459" s="1131"/>
      <c r="AQ459" s="1131"/>
      <c r="AR459" s="1131"/>
      <c r="AS459" s="1131"/>
      <c r="AT459" s="1131"/>
      <c r="AU459" s="1131"/>
      <c r="AV459" s="1131"/>
      <c r="AW459" s="1131"/>
      <c r="AX459" s="1131"/>
      <c r="AY459" s="1131"/>
      <c r="AZ459" s="1131"/>
      <c r="BA459" s="1131"/>
      <c r="BB459" s="1131"/>
      <c r="BC459" s="1131"/>
      <c r="BD459" s="1131"/>
      <c r="BE459" s="1131"/>
      <c r="BF459" s="1131"/>
      <c r="BG459" s="1131"/>
      <c r="BH459" s="1131"/>
      <c r="BI459" s="1131"/>
      <c r="BJ459" s="1131"/>
      <c r="BK459" s="1131"/>
      <c r="BL459" s="1131"/>
      <c r="BM459" s="1131"/>
      <c r="BN459" s="1131"/>
      <c r="BO459" s="1131"/>
      <c r="BP459" s="1131"/>
      <c r="BQ459" s="1131"/>
      <c r="BR459" s="1131"/>
      <c r="BS459" s="1131"/>
      <c r="BT459" s="1131"/>
      <c r="BU459" s="1131"/>
      <c r="BV459" s="1131"/>
      <c r="BW459" s="1131"/>
      <c r="BX459" s="1131"/>
      <c r="BY459" s="1131"/>
      <c r="BZ459" s="1131"/>
      <c r="CA459" s="1131"/>
      <c r="CB459" s="1131"/>
      <c r="CC459" s="1131"/>
      <c r="CD459" s="1131"/>
      <c r="CE459" s="1131"/>
      <c r="CF459" s="1131"/>
      <c r="CG459" s="1131"/>
      <c r="CH459" s="29"/>
      <c r="CI459" s="185"/>
      <c r="CJ459" s="17"/>
    </row>
    <row r="460" spans="1:88" s="3" customFormat="1" hidden="1">
      <c r="A460" s="243" t="str">
        <f t="shared" si="8"/>
        <v>OK</v>
      </c>
      <c r="B460" s="1126" t="str">
        <f>IF(CONSOLIDA!DQ24="","",CONSOLIDA!DQ24)</f>
        <v/>
      </c>
      <c r="C460" s="1126"/>
      <c r="D460" s="1127" t="str">
        <f>IF(CONSOLIDA!DS24="","",CONSOLIDA!DS24)</f>
        <v/>
      </c>
      <c r="E460" s="1128"/>
      <c r="F460" s="1128"/>
      <c r="G460" s="1129" t="str">
        <f>IF(CONSOLIDA!DT24="","",CONSOLIDA!DT24)</f>
        <v/>
      </c>
      <c r="H460" s="1129"/>
      <c r="I460" s="1129"/>
      <c r="J460" s="1129"/>
      <c r="K460" s="1129"/>
      <c r="L460" s="1129"/>
      <c r="M460" s="1129"/>
      <c r="N460" s="1129"/>
      <c r="O460" s="1129"/>
      <c r="P460" s="1129"/>
      <c r="Q460" s="1129"/>
      <c r="R460" s="1129"/>
      <c r="S460" s="1129"/>
      <c r="T460" s="1129"/>
      <c r="U460" s="1129"/>
      <c r="V460" s="1129"/>
      <c r="W460" s="1129"/>
      <c r="X460" s="1129"/>
      <c r="Y460" s="1129"/>
      <c r="Z460" s="1129"/>
      <c r="AA460" s="1129"/>
      <c r="AB460" s="1129"/>
      <c r="AC460" s="1129"/>
      <c r="AD460" s="1129"/>
      <c r="AE460" s="1130"/>
      <c r="AF460" s="1131"/>
      <c r="AG460" s="1131"/>
      <c r="AH460" s="1131"/>
      <c r="AI460" s="1131"/>
      <c r="AJ460" s="1131"/>
      <c r="AK460" s="1131"/>
      <c r="AL460" s="1131"/>
      <c r="AM460" s="1131"/>
      <c r="AN460" s="1131"/>
      <c r="AO460" s="1131"/>
      <c r="AP460" s="1131"/>
      <c r="AQ460" s="1131"/>
      <c r="AR460" s="1131"/>
      <c r="AS460" s="1131"/>
      <c r="AT460" s="1131"/>
      <c r="AU460" s="1131"/>
      <c r="AV460" s="1131"/>
      <c r="AW460" s="1131"/>
      <c r="AX460" s="1131"/>
      <c r="AY460" s="1131"/>
      <c r="AZ460" s="1131"/>
      <c r="BA460" s="1131"/>
      <c r="BB460" s="1131"/>
      <c r="BC460" s="1131"/>
      <c r="BD460" s="1131"/>
      <c r="BE460" s="1131"/>
      <c r="BF460" s="1131"/>
      <c r="BG460" s="1131"/>
      <c r="BH460" s="1131"/>
      <c r="BI460" s="1131"/>
      <c r="BJ460" s="1131"/>
      <c r="BK460" s="1131"/>
      <c r="BL460" s="1131"/>
      <c r="BM460" s="1131"/>
      <c r="BN460" s="1131"/>
      <c r="BO460" s="1131"/>
      <c r="BP460" s="1131"/>
      <c r="BQ460" s="1131"/>
      <c r="BR460" s="1131"/>
      <c r="BS460" s="1131"/>
      <c r="BT460" s="1131"/>
      <c r="BU460" s="1131"/>
      <c r="BV460" s="1131"/>
      <c r="BW460" s="1131"/>
      <c r="BX460" s="1131"/>
      <c r="BY460" s="1131"/>
      <c r="BZ460" s="1131"/>
      <c r="CA460" s="1131"/>
      <c r="CB460" s="1131"/>
      <c r="CC460" s="1131"/>
      <c r="CD460" s="1131"/>
      <c r="CE460" s="1131"/>
      <c r="CF460" s="1131"/>
      <c r="CG460" s="1131"/>
      <c r="CH460" s="29"/>
      <c r="CI460" s="185"/>
      <c r="CJ460" s="17"/>
    </row>
    <row r="461" spans="1:88" s="3" customFormat="1" hidden="1">
      <c r="A461" s="243" t="str">
        <f t="shared" si="8"/>
        <v>OK</v>
      </c>
      <c r="B461" s="1126" t="str">
        <f>IF(CONSOLIDA!DQ25="","",CONSOLIDA!DQ25)</f>
        <v/>
      </c>
      <c r="C461" s="1126"/>
      <c r="D461" s="1127" t="str">
        <f>IF(CONSOLIDA!DS25="","",CONSOLIDA!DS25)</f>
        <v/>
      </c>
      <c r="E461" s="1128"/>
      <c r="F461" s="1128"/>
      <c r="G461" s="1129" t="str">
        <f>IF(CONSOLIDA!DT25="","",CONSOLIDA!DT25)</f>
        <v/>
      </c>
      <c r="H461" s="1129"/>
      <c r="I461" s="1129"/>
      <c r="J461" s="1129"/>
      <c r="K461" s="1129"/>
      <c r="L461" s="1129"/>
      <c r="M461" s="1129"/>
      <c r="N461" s="1129"/>
      <c r="O461" s="1129"/>
      <c r="P461" s="1129"/>
      <c r="Q461" s="1129"/>
      <c r="R461" s="1129"/>
      <c r="S461" s="1129"/>
      <c r="T461" s="1129"/>
      <c r="U461" s="1129"/>
      <c r="V461" s="1129"/>
      <c r="W461" s="1129"/>
      <c r="X461" s="1129"/>
      <c r="Y461" s="1129"/>
      <c r="Z461" s="1129"/>
      <c r="AA461" s="1129"/>
      <c r="AB461" s="1129"/>
      <c r="AC461" s="1129"/>
      <c r="AD461" s="1129"/>
      <c r="AE461" s="1130"/>
      <c r="AF461" s="1131"/>
      <c r="AG461" s="1131"/>
      <c r="AH461" s="1131"/>
      <c r="AI461" s="1131"/>
      <c r="AJ461" s="1131"/>
      <c r="AK461" s="1131"/>
      <c r="AL461" s="1131"/>
      <c r="AM461" s="1131"/>
      <c r="AN461" s="1131"/>
      <c r="AO461" s="1131"/>
      <c r="AP461" s="1131"/>
      <c r="AQ461" s="1131"/>
      <c r="AR461" s="1131"/>
      <c r="AS461" s="1131"/>
      <c r="AT461" s="1131"/>
      <c r="AU461" s="1131"/>
      <c r="AV461" s="1131"/>
      <c r="AW461" s="1131"/>
      <c r="AX461" s="1131"/>
      <c r="AY461" s="1131"/>
      <c r="AZ461" s="1131"/>
      <c r="BA461" s="1131"/>
      <c r="BB461" s="1131"/>
      <c r="BC461" s="1131"/>
      <c r="BD461" s="1131"/>
      <c r="BE461" s="1131"/>
      <c r="BF461" s="1131"/>
      <c r="BG461" s="1131"/>
      <c r="BH461" s="1131"/>
      <c r="BI461" s="1131"/>
      <c r="BJ461" s="1131"/>
      <c r="BK461" s="1131"/>
      <c r="BL461" s="1131"/>
      <c r="BM461" s="1131"/>
      <c r="BN461" s="1131"/>
      <c r="BO461" s="1131"/>
      <c r="BP461" s="1131"/>
      <c r="BQ461" s="1131"/>
      <c r="BR461" s="1131"/>
      <c r="BS461" s="1131"/>
      <c r="BT461" s="1131"/>
      <c r="BU461" s="1131"/>
      <c r="BV461" s="1131"/>
      <c r="BW461" s="1131"/>
      <c r="BX461" s="1131"/>
      <c r="BY461" s="1131"/>
      <c r="BZ461" s="1131"/>
      <c r="CA461" s="1131"/>
      <c r="CB461" s="1131"/>
      <c r="CC461" s="1131"/>
      <c r="CD461" s="1131"/>
      <c r="CE461" s="1131"/>
      <c r="CF461" s="1131"/>
      <c r="CG461" s="1131"/>
      <c r="CH461" s="29"/>
      <c r="CI461" s="185"/>
      <c r="CJ461" s="17"/>
    </row>
    <row r="462" spans="1:88" s="3" customFormat="1" hidden="1">
      <c r="A462" s="243" t="str">
        <f t="shared" si="8"/>
        <v>OK</v>
      </c>
      <c r="B462" s="1126" t="str">
        <f>IF(CONSOLIDA!DQ26="","",CONSOLIDA!DQ26)</f>
        <v/>
      </c>
      <c r="C462" s="1126"/>
      <c r="D462" s="1127" t="str">
        <f>IF(CONSOLIDA!DS26="","",CONSOLIDA!DS26)</f>
        <v/>
      </c>
      <c r="E462" s="1128"/>
      <c r="F462" s="1128"/>
      <c r="G462" s="1129" t="str">
        <f>IF(CONSOLIDA!DT26="","",CONSOLIDA!DT26)</f>
        <v/>
      </c>
      <c r="H462" s="1129"/>
      <c r="I462" s="1129"/>
      <c r="J462" s="1129"/>
      <c r="K462" s="1129"/>
      <c r="L462" s="1129"/>
      <c r="M462" s="1129"/>
      <c r="N462" s="1129"/>
      <c r="O462" s="1129"/>
      <c r="P462" s="1129"/>
      <c r="Q462" s="1129"/>
      <c r="R462" s="1129"/>
      <c r="S462" s="1129"/>
      <c r="T462" s="1129"/>
      <c r="U462" s="1129"/>
      <c r="V462" s="1129"/>
      <c r="W462" s="1129"/>
      <c r="X462" s="1129"/>
      <c r="Y462" s="1129"/>
      <c r="Z462" s="1129"/>
      <c r="AA462" s="1129"/>
      <c r="AB462" s="1129"/>
      <c r="AC462" s="1129"/>
      <c r="AD462" s="1129"/>
      <c r="AE462" s="1130"/>
      <c r="AF462" s="1131"/>
      <c r="AG462" s="1131"/>
      <c r="AH462" s="1131"/>
      <c r="AI462" s="1131"/>
      <c r="AJ462" s="1131"/>
      <c r="AK462" s="1131"/>
      <c r="AL462" s="1131"/>
      <c r="AM462" s="1131"/>
      <c r="AN462" s="1131"/>
      <c r="AO462" s="1131"/>
      <c r="AP462" s="1131"/>
      <c r="AQ462" s="1131"/>
      <c r="AR462" s="1131"/>
      <c r="AS462" s="1131"/>
      <c r="AT462" s="1131"/>
      <c r="AU462" s="1131"/>
      <c r="AV462" s="1131"/>
      <c r="AW462" s="1131"/>
      <c r="AX462" s="1131"/>
      <c r="AY462" s="1131"/>
      <c r="AZ462" s="1131"/>
      <c r="BA462" s="1131"/>
      <c r="BB462" s="1131"/>
      <c r="BC462" s="1131"/>
      <c r="BD462" s="1131"/>
      <c r="BE462" s="1131"/>
      <c r="BF462" s="1131"/>
      <c r="BG462" s="1131"/>
      <c r="BH462" s="1131"/>
      <c r="BI462" s="1131"/>
      <c r="BJ462" s="1131"/>
      <c r="BK462" s="1131"/>
      <c r="BL462" s="1131"/>
      <c r="BM462" s="1131"/>
      <c r="BN462" s="1131"/>
      <c r="BO462" s="1131"/>
      <c r="BP462" s="1131"/>
      <c r="BQ462" s="1131"/>
      <c r="BR462" s="1131"/>
      <c r="BS462" s="1131"/>
      <c r="BT462" s="1131"/>
      <c r="BU462" s="1131"/>
      <c r="BV462" s="1131"/>
      <c r="BW462" s="1131"/>
      <c r="BX462" s="1131"/>
      <c r="BY462" s="1131"/>
      <c r="BZ462" s="1131"/>
      <c r="CA462" s="1131"/>
      <c r="CB462" s="1131"/>
      <c r="CC462" s="1131"/>
      <c r="CD462" s="1131"/>
      <c r="CE462" s="1131"/>
      <c r="CF462" s="1131"/>
      <c r="CG462" s="1131"/>
      <c r="CH462" s="29"/>
      <c r="CI462" s="185"/>
      <c r="CJ462" s="17"/>
    </row>
    <row r="463" spans="1:88" s="3" customFormat="1" hidden="1">
      <c r="A463" s="243" t="str">
        <f t="shared" si="8"/>
        <v>OK</v>
      </c>
      <c r="B463" s="1126" t="str">
        <f>IF(CONSOLIDA!DQ27="","",CONSOLIDA!DQ27)</f>
        <v/>
      </c>
      <c r="C463" s="1126"/>
      <c r="D463" s="1127" t="str">
        <f>IF(CONSOLIDA!DS27="","",CONSOLIDA!DS27)</f>
        <v/>
      </c>
      <c r="E463" s="1128"/>
      <c r="F463" s="1128"/>
      <c r="G463" s="1129" t="str">
        <f>IF(CONSOLIDA!DT27="","",CONSOLIDA!DT27)</f>
        <v/>
      </c>
      <c r="H463" s="1129"/>
      <c r="I463" s="1129"/>
      <c r="J463" s="1129"/>
      <c r="K463" s="1129"/>
      <c r="L463" s="1129"/>
      <c r="M463" s="1129"/>
      <c r="N463" s="1129"/>
      <c r="O463" s="1129"/>
      <c r="P463" s="1129"/>
      <c r="Q463" s="1129"/>
      <c r="R463" s="1129"/>
      <c r="S463" s="1129"/>
      <c r="T463" s="1129"/>
      <c r="U463" s="1129"/>
      <c r="V463" s="1129"/>
      <c r="W463" s="1129"/>
      <c r="X463" s="1129"/>
      <c r="Y463" s="1129"/>
      <c r="Z463" s="1129"/>
      <c r="AA463" s="1129"/>
      <c r="AB463" s="1129"/>
      <c r="AC463" s="1129"/>
      <c r="AD463" s="1129"/>
      <c r="AE463" s="1130"/>
      <c r="AF463" s="1131"/>
      <c r="AG463" s="1131"/>
      <c r="AH463" s="1131"/>
      <c r="AI463" s="1131"/>
      <c r="AJ463" s="1131"/>
      <c r="AK463" s="1131"/>
      <c r="AL463" s="1131"/>
      <c r="AM463" s="1131"/>
      <c r="AN463" s="1131"/>
      <c r="AO463" s="1131"/>
      <c r="AP463" s="1131"/>
      <c r="AQ463" s="1131"/>
      <c r="AR463" s="1131"/>
      <c r="AS463" s="1131"/>
      <c r="AT463" s="1131"/>
      <c r="AU463" s="1131"/>
      <c r="AV463" s="1131"/>
      <c r="AW463" s="1131"/>
      <c r="AX463" s="1131"/>
      <c r="AY463" s="1131"/>
      <c r="AZ463" s="1131"/>
      <c r="BA463" s="1131"/>
      <c r="BB463" s="1131"/>
      <c r="BC463" s="1131"/>
      <c r="BD463" s="1131"/>
      <c r="BE463" s="1131"/>
      <c r="BF463" s="1131"/>
      <c r="BG463" s="1131"/>
      <c r="BH463" s="1131"/>
      <c r="BI463" s="1131"/>
      <c r="BJ463" s="1131"/>
      <c r="BK463" s="1131"/>
      <c r="BL463" s="1131"/>
      <c r="BM463" s="1131"/>
      <c r="BN463" s="1131"/>
      <c r="BO463" s="1131"/>
      <c r="BP463" s="1131"/>
      <c r="BQ463" s="1131"/>
      <c r="BR463" s="1131"/>
      <c r="BS463" s="1131"/>
      <c r="BT463" s="1131"/>
      <c r="BU463" s="1131"/>
      <c r="BV463" s="1131"/>
      <c r="BW463" s="1131"/>
      <c r="BX463" s="1131"/>
      <c r="BY463" s="1131"/>
      <c r="BZ463" s="1131"/>
      <c r="CA463" s="1131"/>
      <c r="CB463" s="1131"/>
      <c r="CC463" s="1131"/>
      <c r="CD463" s="1131"/>
      <c r="CE463" s="1131"/>
      <c r="CF463" s="1131"/>
      <c r="CG463" s="1131"/>
      <c r="CH463" s="29"/>
      <c r="CI463" s="185"/>
      <c r="CJ463" s="17"/>
    </row>
    <row r="464" spans="1:88" s="3" customFormat="1" hidden="1">
      <c r="A464" s="243" t="str">
        <f t="shared" si="8"/>
        <v>OK</v>
      </c>
      <c r="B464" s="1126" t="str">
        <f>IF(CONSOLIDA!DQ28="","",CONSOLIDA!DQ28)</f>
        <v/>
      </c>
      <c r="C464" s="1126"/>
      <c r="D464" s="1127" t="str">
        <f>IF(CONSOLIDA!DS28="","",CONSOLIDA!DS28)</f>
        <v/>
      </c>
      <c r="E464" s="1128"/>
      <c r="F464" s="1128"/>
      <c r="G464" s="1129" t="str">
        <f>IF(CONSOLIDA!DT28="","",CONSOLIDA!DT28)</f>
        <v/>
      </c>
      <c r="H464" s="1129"/>
      <c r="I464" s="1129"/>
      <c r="J464" s="1129"/>
      <c r="K464" s="1129"/>
      <c r="L464" s="1129"/>
      <c r="M464" s="1129"/>
      <c r="N464" s="1129"/>
      <c r="O464" s="1129"/>
      <c r="P464" s="1129"/>
      <c r="Q464" s="1129"/>
      <c r="R464" s="1129"/>
      <c r="S464" s="1129"/>
      <c r="T464" s="1129"/>
      <c r="U464" s="1129"/>
      <c r="V464" s="1129"/>
      <c r="W464" s="1129"/>
      <c r="X464" s="1129"/>
      <c r="Y464" s="1129"/>
      <c r="Z464" s="1129"/>
      <c r="AA464" s="1129"/>
      <c r="AB464" s="1129"/>
      <c r="AC464" s="1129"/>
      <c r="AD464" s="1129"/>
      <c r="AE464" s="1130"/>
      <c r="AF464" s="1131"/>
      <c r="AG464" s="1131"/>
      <c r="AH464" s="1131"/>
      <c r="AI464" s="1131"/>
      <c r="AJ464" s="1131"/>
      <c r="AK464" s="1131"/>
      <c r="AL464" s="1131"/>
      <c r="AM464" s="1131"/>
      <c r="AN464" s="1131"/>
      <c r="AO464" s="1131"/>
      <c r="AP464" s="1131"/>
      <c r="AQ464" s="1131"/>
      <c r="AR464" s="1131"/>
      <c r="AS464" s="1131"/>
      <c r="AT464" s="1131"/>
      <c r="AU464" s="1131"/>
      <c r="AV464" s="1131"/>
      <c r="AW464" s="1131"/>
      <c r="AX464" s="1131"/>
      <c r="AY464" s="1131"/>
      <c r="AZ464" s="1131"/>
      <c r="BA464" s="1131"/>
      <c r="BB464" s="1131"/>
      <c r="BC464" s="1131"/>
      <c r="BD464" s="1131"/>
      <c r="BE464" s="1131"/>
      <c r="BF464" s="1131"/>
      <c r="BG464" s="1131"/>
      <c r="BH464" s="1131"/>
      <c r="BI464" s="1131"/>
      <c r="BJ464" s="1131"/>
      <c r="BK464" s="1131"/>
      <c r="BL464" s="1131"/>
      <c r="BM464" s="1131"/>
      <c r="BN464" s="1131"/>
      <c r="BO464" s="1131"/>
      <c r="BP464" s="1131"/>
      <c r="BQ464" s="1131"/>
      <c r="BR464" s="1131"/>
      <c r="BS464" s="1131"/>
      <c r="BT464" s="1131"/>
      <c r="BU464" s="1131"/>
      <c r="BV464" s="1131"/>
      <c r="BW464" s="1131"/>
      <c r="BX464" s="1131"/>
      <c r="BY464" s="1131"/>
      <c r="BZ464" s="1131"/>
      <c r="CA464" s="1131"/>
      <c r="CB464" s="1131"/>
      <c r="CC464" s="1131"/>
      <c r="CD464" s="1131"/>
      <c r="CE464" s="1131"/>
      <c r="CF464" s="1131"/>
      <c r="CG464" s="1131"/>
      <c r="CH464" s="29"/>
      <c r="CI464" s="185"/>
      <c r="CJ464" s="17"/>
    </row>
    <row r="465" spans="1:88" s="3" customFormat="1" hidden="1">
      <c r="A465" s="243" t="str">
        <f t="shared" si="8"/>
        <v>OK</v>
      </c>
      <c r="B465" s="1126" t="str">
        <f>IF(CONSOLIDA!DQ29="","",CONSOLIDA!DQ29)</f>
        <v/>
      </c>
      <c r="C465" s="1126"/>
      <c r="D465" s="1127" t="str">
        <f>IF(CONSOLIDA!DS29="","",CONSOLIDA!DS29)</f>
        <v/>
      </c>
      <c r="E465" s="1128"/>
      <c r="F465" s="1128"/>
      <c r="G465" s="1129" t="str">
        <f>IF(CONSOLIDA!DT29="","",CONSOLIDA!DT29)</f>
        <v/>
      </c>
      <c r="H465" s="1129"/>
      <c r="I465" s="1129"/>
      <c r="J465" s="1129"/>
      <c r="K465" s="1129"/>
      <c r="L465" s="1129"/>
      <c r="M465" s="1129"/>
      <c r="N465" s="1129"/>
      <c r="O465" s="1129"/>
      <c r="P465" s="1129"/>
      <c r="Q465" s="1129"/>
      <c r="R465" s="1129"/>
      <c r="S465" s="1129"/>
      <c r="T465" s="1129"/>
      <c r="U465" s="1129"/>
      <c r="V465" s="1129"/>
      <c r="W465" s="1129"/>
      <c r="X465" s="1129"/>
      <c r="Y465" s="1129"/>
      <c r="Z465" s="1129"/>
      <c r="AA465" s="1129"/>
      <c r="AB465" s="1129"/>
      <c r="AC465" s="1129"/>
      <c r="AD465" s="1129"/>
      <c r="AE465" s="1130"/>
      <c r="AF465" s="1131"/>
      <c r="AG465" s="1131"/>
      <c r="AH465" s="1131"/>
      <c r="AI465" s="1131"/>
      <c r="AJ465" s="1131"/>
      <c r="AK465" s="1131"/>
      <c r="AL465" s="1131"/>
      <c r="AM465" s="1131"/>
      <c r="AN465" s="1131"/>
      <c r="AO465" s="1131"/>
      <c r="AP465" s="1131"/>
      <c r="AQ465" s="1131"/>
      <c r="AR465" s="1131"/>
      <c r="AS465" s="1131"/>
      <c r="AT465" s="1131"/>
      <c r="AU465" s="1131"/>
      <c r="AV465" s="1131"/>
      <c r="AW465" s="1131"/>
      <c r="AX465" s="1131"/>
      <c r="AY465" s="1131"/>
      <c r="AZ465" s="1131"/>
      <c r="BA465" s="1131"/>
      <c r="BB465" s="1131"/>
      <c r="BC465" s="1131"/>
      <c r="BD465" s="1131"/>
      <c r="BE465" s="1131"/>
      <c r="BF465" s="1131"/>
      <c r="BG465" s="1131"/>
      <c r="BH465" s="1131"/>
      <c r="BI465" s="1131"/>
      <c r="BJ465" s="1131"/>
      <c r="BK465" s="1131"/>
      <c r="BL465" s="1131"/>
      <c r="BM465" s="1131"/>
      <c r="BN465" s="1131"/>
      <c r="BO465" s="1131"/>
      <c r="BP465" s="1131"/>
      <c r="BQ465" s="1131"/>
      <c r="BR465" s="1131"/>
      <c r="BS465" s="1131"/>
      <c r="BT465" s="1131"/>
      <c r="BU465" s="1131"/>
      <c r="BV465" s="1131"/>
      <c r="BW465" s="1131"/>
      <c r="BX465" s="1131"/>
      <c r="BY465" s="1131"/>
      <c r="BZ465" s="1131"/>
      <c r="CA465" s="1131"/>
      <c r="CB465" s="1131"/>
      <c r="CC465" s="1131"/>
      <c r="CD465" s="1131"/>
      <c r="CE465" s="1131"/>
      <c r="CF465" s="1131"/>
      <c r="CG465" s="1131"/>
      <c r="CH465" s="29"/>
      <c r="CI465" s="185"/>
      <c r="CJ465" s="17"/>
    </row>
    <row r="466" spans="1:88" s="3" customFormat="1" hidden="1">
      <c r="A466" s="243" t="str">
        <f t="shared" si="8"/>
        <v>OK</v>
      </c>
      <c r="B466" s="1126" t="str">
        <f>IF(CONSOLIDA!DQ30="","",CONSOLIDA!DQ30)</f>
        <v/>
      </c>
      <c r="C466" s="1126"/>
      <c r="D466" s="1127" t="str">
        <f>IF(CONSOLIDA!DS30="","",CONSOLIDA!DS30)</f>
        <v/>
      </c>
      <c r="E466" s="1128"/>
      <c r="F466" s="1128"/>
      <c r="G466" s="1129" t="str">
        <f>IF(CONSOLIDA!DT30="","",CONSOLIDA!DT30)</f>
        <v/>
      </c>
      <c r="H466" s="1129"/>
      <c r="I466" s="1129"/>
      <c r="J466" s="1129"/>
      <c r="K466" s="1129"/>
      <c r="L466" s="1129"/>
      <c r="M466" s="1129"/>
      <c r="N466" s="1129"/>
      <c r="O466" s="1129"/>
      <c r="P466" s="1129"/>
      <c r="Q466" s="1129"/>
      <c r="R466" s="1129"/>
      <c r="S466" s="1129"/>
      <c r="T466" s="1129"/>
      <c r="U466" s="1129"/>
      <c r="V466" s="1129"/>
      <c r="W466" s="1129"/>
      <c r="X466" s="1129"/>
      <c r="Y466" s="1129"/>
      <c r="Z466" s="1129"/>
      <c r="AA466" s="1129"/>
      <c r="AB466" s="1129"/>
      <c r="AC466" s="1129"/>
      <c r="AD466" s="1129"/>
      <c r="AE466" s="1130"/>
      <c r="AF466" s="1131"/>
      <c r="AG466" s="1131"/>
      <c r="AH466" s="1131"/>
      <c r="AI466" s="1131"/>
      <c r="AJ466" s="1131"/>
      <c r="AK466" s="1131"/>
      <c r="AL466" s="1131"/>
      <c r="AM466" s="1131"/>
      <c r="AN466" s="1131"/>
      <c r="AO466" s="1131"/>
      <c r="AP466" s="1131"/>
      <c r="AQ466" s="1131"/>
      <c r="AR466" s="1131"/>
      <c r="AS466" s="1131"/>
      <c r="AT466" s="1131"/>
      <c r="AU466" s="1131"/>
      <c r="AV466" s="1131"/>
      <c r="AW466" s="1131"/>
      <c r="AX466" s="1131"/>
      <c r="AY466" s="1131"/>
      <c r="AZ466" s="1131"/>
      <c r="BA466" s="1131"/>
      <c r="BB466" s="1131"/>
      <c r="BC466" s="1131"/>
      <c r="BD466" s="1131"/>
      <c r="BE466" s="1131"/>
      <c r="BF466" s="1131"/>
      <c r="BG466" s="1131"/>
      <c r="BH466" s="1131"/>
      <c r="BI466" s="1131"/>
      <c r="BJ466" s="1131"/>
      <c r="BK466" s="1131"/>
      <c r="BL466" s="1131"/>
      <c r="BM466" s="1131"/>
      <c r="BN466" s="1131"/>
      <c r="BO466" s="1131"/>
      <c r="BP466" s="1131"/>
      <c r="BQ466" s="1131"/>
      <c r="BR466" s="1131"/>
      <c r="BS466" s="1131"/>
      <c r="BT466" s="1131"/>
      <c r="BU466" s="1131"/>
      <c r="BV466" s="1131"/>
      <c r="BW466" s="1131"/>
      <c r="BX466" s="1131"/>
      <c r="BY466" s="1131"/>
      <c r="BZ466" s="1131"/>
      <c r="CA466" s="1131"/>
      <c r="CB466" s="1131"/>
      <c r="CC466" s="1131"/>
      <c r="CD466" s="1131"/>
      <c r="CE466" s="1131"/>
      <c r="CF466" s="1131"/>
      <c r="CG466" s="1131"/>
      <c r="CH466" s="29"/>
      <c r="CI466" s="185"/>
      <c r="CJ466" s="17"/>
    </row>
    <row r="467" spans="1:88" s="3" customFormat="1" hidden="1">
      <c r="A467" s="243" t="str">
        <f t="shared" si="8"/>
        <v>OK</v>
      </c>
      <c r="B467" s="1126" t="str">
        <f>IF(CONSOLIDA!DQ31="","",CONSOLIDA!DQ31)</f>
        <v/>
      </c>
      <c r="C467" s="1126"/>
      <c r="D467" s="1127" t="str">
        <f>IF(CONSOLIDA!DS31="","",CONSOLIDA!DS31)</f>
        <v/>
      </c>
      <c r="E467" s="1128"/>
      <c r="F467" s="1128"/>
      <c r="G467" s="1129" t="str">
        <f>IF(CONSOLIDA!DT31="","",CONSOLIDA!DT31)</f>
        <v/>
      </c>
      <c r="H467" s="1129"/>
      <c r="I467" s="1129"/>
      <c r="J467" s="1129"/>
      <c r="K467" s="1129"/>
      <c r="L467" s="1129"/>
      <c r="M467" s="1129"/>
      <c r="N467" s="1129"/>
      <c r="O467" s="1129"/>
      <c r="P467" s="1129"/>
      <c r="Q467" s="1129"/>
      <c r="R467" s="1129"/>
      <c r="S467" s="1129"/>
      <c r="T467" s="1129"/>
      <c r="U467" s="1129"/>
      <c r="V467" s="1129"/>
      <c r="W467" s="1129"/>
      <c r="X467" s="1129"/>
      <c r="Y467" s="1129"/>
      <c r="Z467" s="1129"/>
      <c r="AA467" s="1129"/>
      <c r="AB467" s="1129"/>
      <c r="AC467" s="1129"/>
      <c r="AD467" s="1129"/>
      <c r="AE467" s="1130"/>
      <c r="AF467" s="1131"/>
      <c r="AG467" s="1131"/>
      <c r="AH467" s="1131"/>
      <c r="AI467" s="1131"/>
      <c r="AJ467" s="1131"/>
      <c r="AK467" s="1131"/>
      <c r="AL467" s="1131"/>
      <c r="AM467" s="1131"/>
      <c r="AN467" s="1131"/>
      <c r="AO467" s="1131"/>
      <c r="AP467" s="1131"/>
      <c r="AQ467" s="1131"/>
      <c r="AR467" s="1131"/>
      <c r="AS467" s="1131"/>
      <c r="AT467" s="1131"/>
      <c r="AU467" s="1131"/>
      <c r="AV467" s="1131"/>
      <c r="AW467" s="1131"/>
      <c r="AX467" s="1131"/>
      <c r="AY467" s="1131"/>
      <c r="AZ467" s="1131"/>
      <c r="BA467" s="1131"/>
      <c r="BB467" s="1131"/>
      <c r="BC467" s="1131"/>
      <c r="BD467" s="1131"/>
      <c r="BE467" s="1131"/>
      <c r="BF467" s="1131"/>
      <c r="BG467" s="1131"/>
      <c r="BH467" s="1131"/>
      <c r="BI467" s="1131"/>
      <c r="BJ467" s="1131"/>
      <c r="BK467" s="1131"/>
      <c r="BL467" s="1131"/>
      <c r="BM467" s="1131"/>
      <c r="BN467" s="1131"/>
      <c r="BO467" s="1131"/>
      <c r="BP467" s="1131"/>
      <c r="BQ467" s="1131"/>
      <c r="BR467" s="1131"/>
      <c r="BS467" s="1131"/>
      <c r="BT467" s="1131"/>
      <c r="BU467" s="1131"/>
      <c r="BV467" s="1131"/>
      <c r="BW467" s="1131"/>
      <c r="BX467" s="1131"/>
      <c r="BY467" s="1131"/>
      <c r="BZ467" s="1131"/>
      <c r="CA467" s="1131"/>
      <c r="CB467" s="1131"/>
      <c r="CC467" s="1131"/>
      <c r="CD467" s="1131"/>
      <c r="CE467" s="1131"/>
      <c r="CF467" s="1131"/>
      <c r="CG467" s="1131"/>
      <c r="CH467" s="29"/>
      <c r="CI467" s="185"/>
      <c r="CJ467" s="17"/>
    </row>
    <row r="468" spans="1:88" s="3" customFormat="1" hidden="1">
      <c r="A468" s="243" t="str">
        <f t="shared" si="8"/>
        <v>OK</v>
      </c>
      <c r="B468" s="1126" t="str">
        <f>IF(CONSOLIDA!DQ32="","",CONSOLIDA!DQ32)</f>
        <v/>
      </c>
      <c r="C468" s="1126"/>
      <c r="D468" s="1127" t="str">
        <f>IF(CONSOLIDA!DS32="","",CONSOLIDA!DS32)</f>
        <v/>
      </c>
      <c r="E468" s="1128"/>
      <c r="F468" s="1128"/>
      <c r="G468" s="1129" t="str">
        <f>IF(CONSOLIDA!DT32="","",CONSOLIDA!DT32)</f>
        <v/>
      </c>
      <c r="H468" s="1129"/>
      <c r="I468" s="1129"/>
      <c r="J468" s="1129"/>
      <c r="K468" s="1129"/>
      <c r="L468" s="1129"/>
      <c r="M468" s="1129"/>
      <c r="N468" s="1129"/>
      <c r="O468" s="1129"/>
      <c r="P468" s="1129"/>
      <c r="Q468" s="1129"/>
      <c r="R468" s="1129"/>
      <c r="S468" s="1129"/>
      <c r="T468" s="1129"/>
      <c r="U468" s="1129"/>
      <c r="V468" s="1129"/>
      <c r="W468" s="1129"/>
      <c r="X468" s="1129"/>
      <c r="Y468" s="1129"/>
      <c r="Z468" s="1129"/>
      <c r="AA468" s="1129"/>
      <c r="AB468" s="1129"/>
      <c r="AC468" s="1129"/>
      <c r="AD468" s="1129"/>
      <c r="AE468" s="1130"/>
      <c r="AF468" s="1131"/>
      <c r="AG468" s="1131"/>
      <c r="AH468" s="1131"/>
      <c r="AI468" s="1131"/>
      <c r="AJ468" s="1131"/>
      <c r="AK468" s="1131"/>
      <c r="AL468" s="1131"/>
      <c r="AM468" s="1131"/>
      <c r="AN468" s="1131"/>
      <c r="AO468" s="1131"/>
      <c r="AP468" s="1131"/>
      <c r="AQ468" s="1131"/>
      <c r="AR468" s="1131"/>
      <c r="AS468" s="1131"/>
      <c r="AT468" s="1131"/>
      <c r="AU468" s="1131"/>
      <c r="AV468" s="1131"/>
      <c r="AW468" s="1131"/>
      <c r="AX468" s="1131"/>
      <c r="AY468" s="1131"/>
      <c r="AZ468" s="1131"/>
      <c r="BA468" s="1131"/>
      <c r="BB468" s="1131"/>
      <c r="BC468" s="1131"/>
      <c r="BD468" s="1131"/>
      <c r="BE468" s="1131"/>
      <c r="BF468" s="1131"/>
      <c r="BG468" s="1131"/>
      <c r="BH468" s="1131"/>
      <c r="BI468" s="1131"/>
      <c r="BJ468" s="1131"/>
      <c r="BK468" s="1131"/>
      <c r="BL468" s="1131"/>
      <c r="BM468" s="1131"/>
      <c r="BN468" s="1131"/>
      <c r="BO468" s="1131"/>
      <c r="BP468" s="1131"/>
      <c r="BQ468" s="1131"/>
      <c r="BR468" s="1131"/>
      <c r="BS468" s="1131"/>
      <c r="BT468" s="1131"/>
      <c r="BU468" s="1131"/>
      <c r="BV468" s="1131"/>
      <c r="BW468" s="1131"/>
      <c r="BX468" s="1131"/>
      <c r="BY468" s="1131"/>
      <c r="BZ468" s="1131"/>
      <c r="CA468" s="1131"/>
      <c r="CB468" s="1131"/>
      <c r="CC468" s="1131"/>
      <c r="CD468" s="1131"/>
      <c r="CE468" s="1131"/>
      <c r="CF468" s="1131"/>
      <c r="CG468" s="1131"/>
      <c r="CH468" s="29"/>
      <c r="CI468" s="185"/>
      <c r="CJ468" s="17"/>
    </row>
    <row r="469" spans="1:88" s="3" customFormat="1" hidden="1">
      <c r="A469" s="243" t="str">
        <f t="shared" si="8"/>
        <v>OK</v>
      </c>
      <c r="B469" s="1126" t="str">
        <f>IF(CONSOLIDA!DQ33="","",CONSOLIDA!DQ33)</f>
        <v/>
      </c>
      <c r="C469" s="1126"/>
      <c r="D469" s="1127" t="str">
        <f>IF(CONSOLIDA!DS33="","",CONSOLIDA!DS33)</f>
        <v/>
      </c>
      <c r="E469" s="1128"/>
      <c r="F469" s="1128"/>
      <c r="G469" s="1129" t="str">
        <f>IF(CONSOLIDA!DT33="","",CONSOLIDA!DT33)</f>
        <v/>
      </c>
      <c r="H469" s="1129"/>
      <c r="I469" s="1129"/>
      <c r="J469" s="1129"/>
      <c r="K469" s="1129"/>
      <c r="L469" s="1129"/>
      <c r="M469" s="1129"/>
      <c r="N469" s="1129"/>
      <c r="O469" s="1129"/>
      <c r="P469" s="1129"/>
      <c r="Q469" s="1129"/>
      <c r="R469" s="1129"/>
      <c r="S469" s="1129"/>
      <c r="T469" s="1129"/>
      <c r="U469" s="1129"/>
      <c r="V469" s="1129"/>
      <c r="W469" s="1129"/>
      <c r="X469" s="1129"/>
      <c r="Y469" s="1129"/>
      <c r="Z469" s="1129"/>
      <c r="AA469" s="1129"/>
      <c r="AB469" s="1129"/>
      <c r="AC469" s="1129"/>
      <c r="AD469" s="1129"/>
      <c r="AE469" s="1130"/>
      <c r="AF469" s="1131"/>
      <c r="AG469" s="1131"/>
      <c r="AH469" s="1131"/>
      <c r="AI469" s="1131"/>
      <c r="AJ469" s="1131"/>
      <c r="AK469" s="1131"/>
      <c r="AL469" s="1131"/>
      <c r="AM469" s="1131"/>
      <c r="AN469" s="1131"/>
      <c r="AO469" s="1131"/>
      <c r="AP469" s="1131"/>
      <c r="AQ469" s="1131"/>
      <c r="AR469" s="1131"/>
      <c r="AS469" s="1131"/>
      <c r="AT469" s="1131"/>
      <c r="AU469" s="1131"/>
      <c r="AV469" s="1131"/>
      <c r="AW469" s="1131"/>
      <c r="AX469" s="1131"/>
      <c r="AY469" s="1131"/>
      <c r="AZ469" s="1131"/>
      <c r="BA469" s="1131"/>
      <c r="BB469" s="1131"/>
      <c r="BC469" s="1131"/>
      <c r="BD469" s="1131"/>
      <c r="BE469" s="1131"/>
      <c r="BF469" s="1131"/>
      <c r="BG469" s="1131"/>
      <c r="BH469" s="1131"/>
      <c r="BI469" s="1131"/>
      <c r="BJ469" s="1131"/>
      <c r="BK469" s="1131"/>
      <c r="BL469" s="1131"/>
      <c r="BM469" s="1131"/>
      <c r="BN469" s="1131"/>
      <c r="BO469" s="1131"/>
      <c r="BP469" s="1131"/>
      <c r="BQ469" s="1131"/>
      <c r="BR469" s="1131"/>
      <c r="BS469" s="1131"/>
      <c r="BT469" s="1131"/>
      <c r="BU469" s="1131"/>
      <c r="BV469" s="1131"/>
      <c r="BW469" s="1131"/>
      <c r="BX469" s="1131"/>
      <c r="BY469" s="1131"/>
      <c r="BZ469" s="1131"/>
      <c r="CA469" s="1131"/>
      <c r="CB469" s="1131"/>
      <c r="CC469" s="1131"/>
      <c r="CD469" s="1131"/>
      <c r="CE469" s="1131"/>
      <c r="CF469" s="1131"/>
      <c r="CG469" s="1131"/>
      <c r="CH469" s="29"/>
      <c r="CI469" s="185"/>
      <c r="CJ469" s="17"/>
    </row>
    <row r="470" spans="1:88" s="3" customFormat="1" hidden="1">
      <c r="A470" s="243" t="str">
        <f t="shared" si="8"/>
        <v>OK</v>
      </c>
      <c r="B470" s="1126" t="str">
        <f>IF(CONSOLIDA!DQ34="","",CONSOLIDA!DQ34)</f>
        <v/>
      </c>
      <c r="C470" s="1126"/>
      <c r="D470" s="1127" t="str">
        <f>IF(CONSOLIDA!DS34="","",CONSOLIDA!DS34)</f>
        <v/>
      </c>
      <c r="E470" s="1128"/>
      <c r="F470" s="1128"/>
      <c r="G470" s="1129" t="str">
        <f>IF(CONSOLIDA!DT34="","",CONSOLIDA!DT34)</f>
        <v/>
      </c>
      <c r="H470" s="1129"/>
      <c r="I470" s="1129"/>
      <c r="J470" s="1129"/>
      <c r="K470" s="1129"/>
      <c r="L470" s="1129"/>
      <c r="M470" s="1129"/>
      <c r="N470" s="1129"/>
      <c r="O470" s="1129"/>
      <c r="P470" s="1129"/>
      <c r="Q470" s="1129"/>
      <c r="R470" s="1129"/>
      <c r="S470" s="1129"/>
      <c r="T470" s="1129"/>
      <c r="U470" s="1129"/>
      <c r="V470" s="1129"/>
      <c r="W470" s="1129"/>
      <c r="X470" s="1129"/>
      <c r="Y470" s="1129"/>
      <c r="Z470" s="1129"/>
      <c r="AA470" s="1129"/>
      <c r="AB470" s="1129"/>
      <c r="AC470" s="1129"/>
      <c r="AD470" s="1129"/>
      <c r="AE470" s="1130"/>
      <c r="AF470" s="1131"/>
      <c r="AG470" s="1131"/>
      <c r="AH470" s="1131"/>
      <c r="AI470" s="1131"/>
      <c r="AJ470" s="1131"/>
      <c r="AK470" s="1131"/>
      <c r="AL470" s="1131"/>
      <c r="AM470" s="1131"/>
      <c r="AN470" s="1131"/>
      <c r="AO470" s="1131"/>
      <c r="AP470" s="1131"/>
      <c r="AQ470" s="1131"/>
      <c r="AR470" s="1131"/>
      <c r="AS470" s="1131"/>
      <c r="AT470" s="1131"/>
      <c r="AU470" s="1131"/>
      <c r="AV470" s="1131"/>
      <c r="AW470" s="1131"/>
      <c r="AX470" s="1131"/>
      <c r="AY470" s="1131"/>
      <c r="AZ470" s="1131"/>
      <c r="BA470" s="1131"/>
      <c r="BB470" s="1131"/>
      <c r="BC470" s="1131"/>
      <c r="BD470" s="1131"/>
      <c r="BE470" s="1131"/>
      <c r="BF470" s="1131"/>
      <c r="BG470" s="1131"/>
      <c r="BH470" s="1131"/>
      <c r="BI470" s="1131"/>
      <c r="BJ470" s="1131"/>
      <c r="BK470" s="1131"/>
      <c r="BL470" s="1131"/>
      <c r="BM470" s="1131"/>
      <c r="BN470" s="1131"/>
      <c r="BO470" s="1131"/>
      <c r="BP470" s="1131"/>
      <c r="BQ470" s="1131"/>
      <c r="BR470" s="1131"/>
      <c r="BS470" s="1131"/>
      <c r="BT470" s="1131"/>
      <c r="BU470" s="1131"/>
      <c r="BV470" s="1131"/>
      <c r="BW470" s="1131"/>
      <c r="BX470" s="1131"/>
      <c r="BY470" s="1131"/>
      <c r="BZ470" s="1131"/>
      <c r="CA470" s="1131"/>
      <c r="CB470" s="1131"/>
      <c r="CC470" s="1131"/>
      <c r="CD470" s="1131"/>
      <c r="CE470" s="1131"/>
      <c r="CF470" s="1131"/>
      <c r="CG470" s="1131"/>
      <c r="CH470" s="29"/>
      <c r="CI470" s="185"/>
      <c r="CJ470" s="17"/>
    </row>
    <row r="471" spans="1:88" s="3" customFormat="1" hidden="1">
      <c r="A471" s="243" t="str">
        <f t="shared" si="8"/>
        <v>OK</v>
      </c>
      <c r="B471" s="1126" t="str">
        <f>IF(CONSOLIDA!DQ35="","",CONSOLIDA!DQ35)</f>
        <v/>
      </c>
      <c r="C471" s="1126"/>
      <c r="D471" s="1127" t="str">
        <f>IF(CONSOLIDA!DS35="","",CONSOLIDA!DS35)</f>
        <v/>
      </c>
      <c r="E471" s="1128"/>
      <c r="F471" s="1128"/>
      <c r="G471" s="1129" t="str">
        <f>IF(CONSOLIDA!DT35="","",CONSOLIDA!DT35)</f>
        <v/>
      </c>
      <c r="H471" s="1129"/>
      <c r="I471" s="1129"/>
      <c r="J471" s="1129"/>
      <c r="K471" s="1129"/>
      <c r="L471" s="1129"/>
      <c r="M471" s="1129"/>
      <c r="N471" s="1129"/>
      <c r="O471" s="1129"/>
      <c r="P471" s="1129"/>
      <c r="Q471" s="1129"/>
      <c r="R471" s="1129"/>
      <c r="S471" s="1129"/>
      <c r="T471" s="1129"/>
      <c r="U471" s="1129"/>
      <c r="V471" s="1129"/>
      <c r="W471" s="1129"/>
      <c r="X471" s="1129"/>
      <c r="Y471" s="1129"/>
      <c r="Z471" s="1129"/>
      <c r="AA471" s="1129"/>
      <c r="AB471" s="1129"/>
      <c r="AC471" s="1129"/>
      <c r="AD471" s="1129"/>
      <c r="AE471" s="1130"/>
      <c r="AF471" s="1131"/>
      <c r="AG471" s="1131"/>
      <c r="AH471" s="1131"/>
      <c r="AI471" s="1131"/>
      <c r="AJ471" s="1131"/>
      <c r="AK471" s="1131"/>
      <c r="AL471" s="1131"/>
      <c r="AM471" s="1131"/>
      <c r="AN471" s="1131"/>
      <c r="AO471" s="1131"/>
      <c r="AP471" s="1131"/>
      <c r="AQ471" s="1131"/>
      <c r="AR471" s="1131"/>
      <c r="AS471" s="1131"/>
      <c r="AT471" s="1131"/>
      <c r="AU471" s="1131"/>
      <c r="AV471" s="1131"/>
      <c r="AW471" s="1131"/>
      <c r="AX471" s="1131"/>
      <c r="AY471" s="1131"/>
      <c r="AZ471" s="1131"/>
      <c r="BA471" s="1131"/>
      <c r="BB471" s="1131"/>
      <c r="BC471" s="1131"/>
      <c r="BD471" s="1131"/>
      <c r="BE471" s="1131"/>
      <c r="BF471" s="1131"/>
      <c r="BG471" s="1131"/>
      <c r="BH471" s="1131"/>
      <c r="BI471" s="1131"/>
      <c r="BJ471" s="1131"/>
      <c r="BK471" s="1131"/>
      <c r="BL471" s="1131"/>
      <c r="BM471" s="1131"/>
      <c r="BN471" s="1131"/>
      <c r="BO471" s="1131"/>
      <c r="BP471" s="1131"/>
      <c r="BQ471" s="1131"/>
      <c r="BR471" s="1131"/>
      <c r="BS471" s="1131"/>
      <c r="BT471" s="1131"/>
      <c r="BU471" s="1131"/>
      <c r="BV471" s="1131"/>
      <c r="BW471" s="1131"/>
      <c r="BX471" s="1131"/>
      <c r="BY471" s="1131"/>
      <c r="BZ471" s="1131"/>
      <c r="CA471" s="1131"/>
      <c r="CB471" s="1131"/>
      <c r="CC471" s="1131"/>
      <c r="CD471" s="1131"/>
      <c r="CE471" s="1131"/>
      <c r="CF471" s="1131"/>
      <c r="CG471" s="1131"/>
      <c r="CH471" s="29"/>
      <c r="CI471" s="185"/>
      <c r="CJ471" s="17"/>
    </row>
    <row r="472" spans="1:88" s="3" customFormat="1" hidden="1">
      <c r="A472" s="243" t="str">
        <f t="shared" si="8"/>
        <v>OK</v>
      </c>
      <c r="B472" s="1126" t="str">
        <f>IF(CONSOLIDA!DQ36="","",CONSOLIDA!DQ36)</f>
        <v/>
      </c>
      <c r="C472" s="1126"/>
      <c r="D472" s="1127" t="str">
        <f>IF(CONSOLIDA!DS36="","",CONSOLIDA!DS36)</f>
        <v/>
      </c>
      <c r="E472" s="1128"/>
      <c r="F472" s="1128"/>
      <c r="G472" s="1129" t="str">
        <f>IF(CONSOLIDA!DT36="","",CONSOLIDA!DT36)</f>
        <v/>
      </c>
      <c r="H472" s="1129"/>
      <c r="I472" s="1129"/>
      <c r="J472" s="1129"/>
      <c r="K472" s="1129"/>
      <c r="L472" s="1129"/>
      <c r="M472" s="1129"/>
      <c r="N472" s="1129"/>
      <c r="O472" s="1129"/>
      <c r="P472" s="1129"/>
      <c r="Q472" s="1129"/>
      <c r="R472" s="1129"/>
      <c r="S472" s="1129"/>
      <c r="T472" s="1129"/>
      <c r="U472" s="1129"/>
      <c r="V472" s="1129"/>
      <c r="W472" s="1129"/>
      <c r="X472" s="1129"/>
      <c r="Y472" s="1129"/>
      <c r="Z472" s="1129"/>
      <c r="AA472" s="1129"/>
      <c r="AB472" s="1129"/>
      <c r="AC472" s="1129"/>
      <c r="AD472" s="1129"/>
      <c r="AE472" s="1130"/>
      <c r="AF472" s="1131"/>
      <c r="AG472" s="1131"/>
      <c r="AH472" s="1131"/>
      <c r="AI472" s="1131"/>
      <c r="AJ472" s="1131"/>
      <c r="AK472" s="1131"/>
      <c r="AL472" s="1131"/>
      <c r="AM472" s="1131"/>
      <c r="AN472" s="1131"/>
      <c r="AO472" s="1131"/>
      <c r="AP472" s="1131"/>
      <c r="AQ472" s="1131"/>
      <c r="AR472" s="1131"/>
      <c r="AS472" s="1131"/>
      <c r="AT472" s="1131"/>
      <c r="AU472" s="1131"/>
      <c r="AV472" s="1131"/>
      <c r="AW472" s="1131"/>
      <c r="AX472" s="1131"/>
      <c r="AY472" s="1131"/>
      <c r="AZ472" s="1131"/>
      <c r="BA472" s="1131"/>
      <c r="BB472" s="1131"/>
      <c r="BC472" s="1131"/>
      <c r="BD472" s="1131"/>
      <c r="BE472" s="1131"/>
      <c r="BF472" s="1131"/>
      <c r="BG472" s="1131"/>
      <c r="BH472" s="1131"/>
      <c r="BI472" s="1131"/>
      <c r="BJ472" s="1131"/>
      <c r="BK472" s="1131"/>
      <c r="BL472" s="1131"/>
      <c r="BM472" s="1131"/>
      <c r="BN472" s="1131"/>
      <c r="BO472" s="1131"/>
      <c r="BP472" s="1131"/>
      <c r="BQ472" s="1131"/>
      <c r="BR472" s="1131"/>
      <c r="BS472" s="1131"/>
      <c r="BT472" s="1131"/>
      <c r="BU472" s="1131"/>
      <c r="BV472" s="1131"/>
      <c r="BW472" s="1131"/>
      <c r="BX472" s="1131"/>
      <c r="BY472" s="1131"/>
      <c r="BZ472" s="1131"/>
      <c r="CA472" s="1131"/>
      <c r="CB472" s="1131"/>
      <c r="CC472" s="1131"/>
      <c r="CD472" s="1131"/>
      <c r="CE472" s="1131"/>
      <c r="CF472" s="1131"/>
      <c r="CG472" s="1131"/>
      <c r="CH472" s="29"/>
      <c r="CI472" s="185"/>
      <c r="CJ472" s="17"/>
    </row>
    <row r="473" spans="1:88" s="3" customFormat="1" hidden="1">
      <c r="A473" s="243" t="str">
        <f t="shared" si="8"/>
        <v>OK</v>
      </c>
      <c r="B473" s="1126" t="str">
        <f>IF(CONSOLIDA!DQ37="","",CONSOLIDA!DQ37)</f>
        <v/>
      </c>
      <c r="C473" s="1126"/>
      <c r="D473" s="1127" t="str">
        <f>IF(CONSOLIDA!DS37="","",CONSOLIDA!DS37)</f>
        <v/>
      </c>
      <c r="E473" s="1128"/>
      <c r="F473" s="1128"/>
      <c r="G473" s="1129" t="str">
        <f>IF(CONSOLIDA!DT37="","",CONSOLIDA!DT37)</f>
        <v/>
      </c>
      <c r="H473" s="1129"/>
      <c r="I473" s="1129"/>
      <c r="J473" s="1129"/>
      <c r="K473" s="1129"/>
      <c r="L473" s="1129"/>
      <c r="M473" s="1129"/>
      <c r="N473" s="1129"/>
      <c r="O473" s="1129"/>
      <c r="P473" s="1129"/>
      <c r="Q473" s="1129"/>
      <c r="R473" s="1129"/>
      <c r="S473" s="1129"/>
      <c r="T473" s="1129"/>
      <c r="U473" s="1129"/>
      <c r="V473" s="1129"/>
      <c r="W473" s="1129"/>
      <c r="X473" s="1129"/>
      <c r="Y473" s="1129"/>
      <c r="Z473" s="1129"/>
      <c r="AA473" s="1129"/>
      <c r="AB473" s="1129"/>
      <c r="AC473" s="1129"/>
      <c r="AD473" s="1129"/>
      <c r="AE473" s="1130"/>
      <c r="AF473" s="1131"/>
      <c r="AG473" s="1131"/>
      <c r="AH473" s="1131"/>
      <c r="AI473" s="1131"/>
      <c r="AJ473" s="1131"/>
      <c r="AK473" s="1131"/>
      <c r="AL473" s="1131"/>
      <c r="AM473" s="1131"/>
      <c r="AN473" s="1131"/>
      <c r="AO473" s="1131"/>
      <c r="AP473" s="1131"/>
      <c r="AQ473" s="1131"/>
      <c r="AR473" s="1131"/>
      <c r="AS473" s="1131"/>
      <c r="AT473" s="1131"/>
      <c r="AU473" s="1131"/>
      <c r="AV473" s="1131"/>
      <c r="AW473" s="1131"/>
      <c r="AX473" s="1131"/>
      <c r="AY473" s="1131"/>
      <c r="AZ473" s="1131"/>
      <c r="BA473" s="1131"/>
      <c r="BB473" s="1131"/>
      <c r="BC473" s="1131"/>
      <c r="BD473" s="1131"/>
      <c r="BE473" s="1131"/>
      <c r="BF473" s="1131"/>
      <c r="BG473" s="1131"/>
      <c r="BH473" s="1131"/>
      <c r="BI473" s="1131"/>
      <c r="BJ473" s="1131"/>
      <c r="BK473" s="1131"/>
      <c r="BL473" s="1131"/>
      <c r="BM473" s="1131"/>
      <c r="BN473" s="1131"/>
      <c r="BO473" s="1131"/>
      <c r="BP473" s="1131"/>
      <c r="BQ473" s="1131"/>
      <c r="BR473" s="1131"/>
      <c r="BS473" s="1131"/>
      <c r="BT473" s="1131"/>
      <c r="BU473" s="1131"/>
      <c r="BV473" s="1131"/>
      <c r="BW473" s="1131"/>
      <c r="BX473" s="1131"/>
      <c r="BY473" s="1131"/>
      <c r="BZ473" s="1131"/>
      <c r="CA473" s="1131"/>
      <c r="CB473" s="1131"/>
      <c r="CC473" s="1131"/>
      <c r="CD473" s="1131"/>
      <c r="CE473" s="1131"/>
      <c r="CF473" s="1131"/>
      <c r="CG473" s="1131"/>
      <c r="CH473" s="29"/>
      <c r="CI473" s="185"/>
      <c r="CJ473" s="17"/>
    </row>
    <row r="474" spans="1:88" s="3" customFormat="1" hidden="1">
      <c r="A474" s="243" t="str">
        <f t="shared" si="8"/>
        <v>OK</v>
      </c>
      <c r="B474" s="1126" t="str">
        <f>IF(CONSOLIDA!DQ38="","",CONSOLIDA!DQ38)</f>
        <v/>
      </c>
      <c r="C474" s="1126"/>
      <c r="D474" s="1127" t="str">
        <f>IF(CONSOLIDA!DS38="","",CONSOLIDA!DS38)</f>
        <v/>
      </c>
      <c r="E474" s="1128"/>
      <c r="F474" s="1128"/>
      <c r="G474" s="1129" t="str">
        <f>IF(CONSOLIDA!DT38="","",CONSOLIDA!DT38)</f>
        <v/>
      </c>
      <c r="H474" s="1129"/>
      <c r="I474" s="1129"/>
      <c r="J474" s="1129"/>
      <c r="K474" s="1129"/>
      <c r="L474" s="1129"/>
      <c r="M474" s="1129"/>
      <c r="N474" s="1129"/>
      <c r="O474" s="1129"/>
      <c r="P474" s="1129"/>
      <c r="Q474" s="1129"/>
      <c r="R474" s="1129"/>
      <c r="S474" s="1129"/>
      <c r="T474" s="1129"/>
      <c r="U474" s="1129"/>
      <c r="V474" s="1129"/>
      <c r="W474" s="1129"/>
      <c r="X474" s="1129"/>
      <c r="Y474" s="1129"/>
      <c r="Z474" s="1129"/>
      <c r="AA474" s="1129"/>
      <c r="AB474" s="1129"/>
      <c r="AC474" s="1129"/>
      <c r="AD474" s="1129"/>
      <c r="AE474" s="1130"/>
      <c r="AF474" s="1131"/>
      <c r="AG474" s="1131"/>
      <c r="AH474" s="1131"/>
      <c r="AI474" s="1131"/>
      <c r="AJ474" s="1131"/>
      <c r="AK474" s="1131"/>
      <c r="AL474" s="1131"/>
      <c r="AM474" s="1131"/>
      <c r="AN474" s="1131"/>
      <c r="AO474" s="1131"/>
      <c r="AP474" s="1131"/>
      <c r="AQ474" s="1131"/>
      <c r="AR474" s="1131"/>
      <c r="AS474" s="1131"/>
      <c r="AT474" s="1131"/>
      <c r="AU474" s="1131"/>
      <c r="AV474" s="1131"/>
      <c r="AW474" s="1131"/>
      <c r="AX474" s="1131"/>
      <c r="AY474" s="1131"/>
      <c r="AZ474" s="1131"/>
      <c r="BA474" s="1131"/>
      <c r="BB474" s="1131"/>
      <c r="BC474" s="1131"/>
      <c r="BD474" s="1131"/>
      <c r="BE474" s="1131"/>
      <c r="BF474" s="1131"/>
      <c r="BG474" s="1131"/>
      <c r="BH474" s="1131"/>
      <c r="BI474" s="1131"/>
      <c r="BJ474" s="1131"/>
      <c r="BK474" s="1131"/>
      <c r="BL474" s="1131"/>
      <c r="BM474" s="1131"/>
      <c r="BN474" s="1131"/>
      <c r="BO474" s="1131"/>
      <c r="BP474" s="1131"/>
      <c r="BQ474" s="1131"/>
      <c r="BR474" s="1131"/>
      <c r="BS474" s="1131"/>
      <c r="BT474" s="1131"/>
      <c r="BU474" s="1131"/>
      <c r="BV474" s="1131"/>
      <c r="BW474" s="1131"/>
      <c r="BX474" s="1131"/>
      <c r="BY474" s="1131"/>
      <c r="BZ474" s="1131"/>
      <c r="CA474" s="1131"/>
      <c r="CB474" s="1131"/>
      <c r="CC474" s="1131"/>
      <c r="CD474" s="1131"/>
      <c r="CE474" s="1131"/>
      <c r="CF474" s="1131"/>
      <c r="CG474" s="1131"/>
      <c r="CH474" s="29"/>
      <c r="CI474" s="185"/>
      <c r="CJ474" s="17"/>
    </row>
    <row r="475" spans="1:88" s="3" customFormat="1" hidden="1">
      <c r="A475" s="243" t="str">
        <f t="shared" si="8"/>
        <v>OK</v>
      </c>
      <c r="B475" s="1126" t="str">
        <f>IF(CONSOLIDA!DQ39="","",CONSOLIDA!DQ39)</f>
        <v/>
      </c>
      <c r="C475" s="1126"/>
      <c r="D475" s="1127" t="str">
        <f>IF(CONSOLIDA!DS39="","",CONSOLIDA!DS39)</f>
        <v/>
      </c>
      <c r="E475" s="1128"/>
      <c r="F475" s="1128"/>
      <c r="G475" s="1129" t="str">
        <f>IF(CONSOLIDA!DT39="","",CONSOLIDA!DT39)</f>
        <v/>
      </c>
      <c r="H475" s="1129"/>
      <c r="I475" s="1129"/>
      <c r="J475" s="1129"/>
      <c r="K475" s="1129"/>
      <c r="L475" s="1129"/>
      <c r="M475" s="1129"/>
      <c r="N475" s="1129"/>
      <c r="O475" s="1129"/>
      <c r="P475" s="1129"/>
      <c r="Q475" s="1129"/>
      <c r="R475" s="1129"/>
      <c r="S475" s="1129"/>
      <c r="T475" s="1129"/>
      <c r="U475" s="1129"/>
      <c r="V475" s="1129"/>
      <c r="W475" s="1129"/>
      <c r="X475" s="1129"/>
      <c r="Y475" s="1129"/>
      <c r="Z475" s="1129"/>
      <c r="AA475" s="1129"/>
      <c r="AB475" s="1129"/>
      <c r="AC475" s="1129"/>
      <c r="AD475" s="1129"/>
      <c r="AE475" s="1130"/>
      <c r="AF475" s="1131"/>
      <c r="AG475" s="1131"/>
      <c r="AH475" s="1131"/>
      <c r="AI475" s="1131"/>
      <c r="AJ475" s="1131"/>
      <c r="AK475" s="1131"/>
      <c r="AL475" s="1131"/>
      <c r="AM475" s="1131"/>
      <c r="AN475" s="1131"/>
      <c r="AO475" s="1131"/>
      <c r="AP475" s="1131"/>
      <c r="AQ475" s="1131"/>
      <c r="AR475" s="1131"/>
      <c r="AS475" s="1131"/>
      <c r="AT475" s="1131"/>
      <c r="AU475" s="1131"/>
      <c r="AV475" s="1131"/>
      <c r="AW475" s="1131"/>
      <c r="AX475" s="1131"/>
      <c r="AY475" s="1131"/>
      <c r="AZ475" s="1131"/>
      <c r="BA475" s="1131"/>
      <c r="BB475" s="1131"/>
      <c r="BC475" s="1131"/>
      <c r="BD475" s="1131"/>
      <c r="BE475" s="1131"/>
      <c r="BF475" s="1131"/>
      <c r="BG475" s="1131"/>
      <c r="BH475" s="1131"/>
      <c r="BI475" s="1131"/>
      <c r="BJ475" s="1131"/>
      <c r="BK475" s="1131"/>
      <c r="BL475" s="1131"/>
      <c r="BM475" s="1131"/>
      <c r="BN475" s="1131"/>
      <c r="BO475" s="1131"/>
      <c r="BP475" s="1131"/>
      <c r="BQ475" s="1131"/>
      <c r="BR475" s="1131"/>
      <c r="BS475" s="1131"/>
      <c r="BT475" s="1131"/>
      <c r="BU475" s="1131"/>
      <c r="BV475" s="1131"/>
      <c r="BW475" s="1131"/>
      <c r="BX475" s="1131"/>
      <c r="BY475" s="1131"/>
      <c r="BZ475" s="1131"/>
      <c r="CA475" s="1131"/>
      <c r="CB475" s="1131"/>
      <c r="CC475" s="1131"/>
      <c r="CD475" s="1131"/>
      <c r="CE475" s="1131"/>
      <c r="CF475" s="1131"/>
      <c r="CG475" s="1131"/>
      <c r="CH475" s="29"/>
      <c r="CI475" s="185"/>
      <c r="CJ475" s="17"/>
    </row>
    <row r="476" spans="1:88" s="3" customFormat="1" hidden="1">
      <c r="A476" s="243" t="str">
        <f t="shared" si="8"/>
        <v>OK</v>
      </c>
      <c r="B476" s="1126" t="str">
        <f>IF(CONSOLIDA!DQ40="","",CONSOLIDA!DQ40)</f>
        <v/>
      </c>
      <c r="C476" s="1126"/>
      <c r="D476" s="1127" t="str">
        <f>IF(CONSOLIDA!DS40="","",CONSOLIDA!DS40)</f>
        <v/>
      </c>
      <c r="E476" s="1128"/>
      <c r="F476" s="1128"/>
      <c r="G476" s="1129" t="str">
        <f>IF(CONSOLIDA!DT40="","",CONSOLIDA!DT40)</f>
        <v/>
      </c>
      <c r="H476" s="1129"/>
      <c r="I476" s="1129"/>
      <c r="J476" s="1129"/>
      <c r="K476" s="1129"/>
      <c r="L476" s="1129"/>
      <c r="M476" s="1129"/>
      <c r="N476" s="1129"/>
      <c r="O476" s="1129"/>
      <c r="P476" s="1129"/>
      <c r="Q476" s="1129"/>
      <c r="R476" s="1129"/>
      <c r="S476" s="1129"/>
      <c r="T476" s="1129"/>
      <c r="U476" s="1129"/>
      <c r="V476" s="1129"/>
      <c r="W476" s="1129"/>
      <c r="X476" s="1129"/>
      <c r="Y476" s="1129"/>
      <c r="Z476" s="1129"/>
      <c r="AA476" s="1129"/>
      <c r="AB476" s="1129"/>
      <c r="AC476" s="1129"/>
      <c r="AD476" s="1129"/>
      <c r="AE476" s="1130"/>
      <c r="AF476" s="1131"/>
      <c r="AG476" s="1131"/>
      <c r="AH476" s="1131"/>
      <c r="AI476" s="1131"/>
      <c r="AJ476" s="1131"/>
      <c r="AK476" s="1131"/>
      <c r="AL476" s="1131"/>
      <c r="AM476" s="1131"/>
      <c r="AN476" s="1131"/>
      <c r="AO476" s="1131"/>
      <c r="AP476" s="1131"/>
      <c r="AQ476" s="1131"/>
      <c r="AR476" s="1131"/>
      <c r="AS476" s="1131"/>
      <c r="AT476" s="1131"/>
      <c r="AU476" s="1131"/>
      <c r="AV476" s="1131"/>
      <c r="AW476" s="1131"/>
      <c r="AX476" s="1131"/>
      <c r="AY476" s="1131"/>
      <c r="AZ476" s="1131"/>
      <c r="BA476" s="1131"/>
      <c r="BB476" s="1131"/>
      <c r="BC476" s="1131"/>
      <c r="BD476" s="1131"/>
      <c r="BE476" s="1131"/>
      <c r="BF476" s="1131"/>
      <c r="BG476" s="1131"/>
      <c r="BH476" s="1131"/>
      <c r="BI476" s="1131"/>
      <c r="BJ476" s="1131"/>
      <c r="BK476" s="1131"/>
      <c r="BL476" s="1131"/>
      <c r="BM476" s="1131"/>
      <c r="BN476" s="1131"/>
      <c r="BO476" s="1131"/>
      <c r="BP476" s="1131"/>
      <c r="BQ476" s="1131"/>
      <c r="BR476" s="1131"/>
      <c r="BS476" s="1131"/>
      <c r="BT476" s="1131"/>
      <c r="BU476" s="1131"/>
      <c r="BV476" s="1131"/>
      <c r="BW476" s="1131"/>
      <c r="BX476" s="1131"/>
      <c r="BY476" s="1131"/>
      <c r="BZ476" s="1131"/>
      <c r="CA476" s="1131"/>
      <c r="CB476" s="1131"/>
      <c r="CC476" s="1131"/>
      <c r="CD476" s="1131"/>
      <c r="CE476" s="1131"/>
      <c r="CF476" s="1131"/>
      <c r="CG476" s="1131"/>
      <c r="CH476" s="29"/>
      <c r="CI476" s="185"/>
      <c r="CJ476" s="17"/>
    </row>
    <row r="477" spans="1:88" s="3" customFormat="1" hidden="1">
      <c r="A477" s="243" t="str">
        <f t="shared" si="8"/>
        <v>OK</v>
      </c>
      <c r="B477" s="1126" t="str">
        <f>IF(CONSOLIDA!DQ41="","",CONSOLIDA!DQ41)</f>
        <v/>
      </c>
      <c r="C477" s="1126"/>
      <c r="D477" s="1127" t="str">
        <f>IF(CONSOLIDA!DS41="","",CONSOLIDA!DS41)</f>
        <v/>
      </c>
      <c r="E477" s="1128"/>
      <c r="F477" s="1128"/>
      <c r="G477" s="1129" t="str">
        <f>IF(CONSOLIDA!DT41="","",CONSOLIDA!DT41)</f>
        <v/>
      </c>
      <c r="H477" s="1129"/>
      <c r="I477" s="1129"/>
      <c r="J477" s="1129"/>
      <c r="K477" s="1129"/>
      <c r="L477" s="1129"/>
      <c r="M477" s="1129"/>
      <c r="N477" s="1129"/>
      <c r="O477" s="1129"/>
      <c r="P477" s="1129"/>
      <c r="Q477" s="1129"/>
      <c r="R477" s="1129"/>
      <c r="S477" s="1129"/>
      <c r="T477" s="1129"/>
      <c r="U477" s="1129"/>
      <c r="V477" s="1129"/>
      <c r="W477" s="1129"/>
      <c r="X477" s="1129"/>
      <c r="Y477" s="1129"/>
      <c r="Z477" s="1129"/>
      <c r="AA477" s="1129"/>
      <c r="AB477" s="1129"/>
      <c r="AC477" s="1129"/>
      <c r="AD477" s="1129"/>
      <c r="AE477" s="1130"/>
      <c r="AF477" s="1131"/>
      <c r="AG477" s="1131"/>
      <c r="AH477" s="1131"/>
      <c r="AI477" s="1131"/>
      <c r="AJ477" s="1131"/>
      <c r="AK477" s="1131"/>
      <c r="AL477" s="1131"/>
      <c r="AM477" s="1131"/>
      <c r="AN477" s="1131"/>
      <c r="AO477" s="1131"/>
      <c r="AP477" s="1131"/>
      <c r="AQ477" s="1131"/>
      <c r="AR477" s="1131"/>
      <c r="AS477" s="1131"/>
      <c r="AT477" s="1131"/>
      <c r="AU477" s="1131"/>
      <c r="AV477" s="1131"/>
      <c r="AW477" s="1131"/>
      <c r="AX477" s="1131"/>
      <c r="AY477" s="1131"/>
      <c r="AZ477" s="1131"/>
      <c r="BA477" s="1131"/>
      <c r="BB477" s="1131"/>
      <c r="BC477" s="1131"/>
      <c r="BD477" s="1131"/>
      <c r="BE477" s="1131"/>
      <c r="BF477" s="1131"/>
      <c r="BG477" s="1131"/>
      <c r="BH477" s="1131"/>
      <c r="BI477" s="1131"/>
      <c r="BJ477" s="1131"/>
      <c r="BK477" s="1131"/>
      <c r="BL477" s="1131"/>
      <c r="BM477" s="1131"/>
      <c r="BN477" s="1131"/>
      <c r="BO477" s="1131"/>
      <c r="BP477" s="1131"/>
      <c r="BQ477" s="1131"/>
      <c r="BR477" s="1131"/>
      <c r="BS477" s="1131"/>
      <c r="BT477" s="1131"/>
      <c r="BU477" s="1131"/>
      <c r="BV477" s="1131"/>
      <c r="BW477" s="1131"/>
      <c r="BX477" s="1131"/>
      <c r="BY477" s="1131"/>
      <c r="BZ477" s="1131"/>
      <c r="CA477" s="1131"/>
      <c r="CB477" s="1131"/>
      <c r="CC477" s="1131"/>
      <c r="CD477" s="1131"/>
      <c r="CE477" s="1131"/>
      <c r="CF477" s="1131"/>
      <c r="CG477" s="1131"/>
      <c r="CH477" s="29"/>
      <c r="CI477" s="185"/>
      <c r="CJ477" s="17"/>
    </row>
    <row r="478" spans="1:88" s="3" customFormat="1" hidden="1">
      <c r="A478" s="243" t="str">
        <f t="shared" si="8"/>
        <v>OK</v>
      </c>
      <c r="B478" s="1126" t="str">
        <f>IF(CONSOLIDA!DQ42="","",CONSOLIDA!DQ42)</f>
        <v/>
      </c>
      <c r="C478" s="1126"/>
      <c r="D478" s="1127" t="str">
        <f>IF(CONSOLIDA!DS42="","",CONSOLIDA!DS42)</f>
        <v/>
      </c>
      <c r="E478" s="1128"/>
      <c r="F478" s="1128"/>
      <c r="G478" s="1129" t="str">
        <f>IF(CONSOLIDA!DT42="","",CONSOLIDA!DT42)</f>
        <v/>
      </c>
      <c r="H478" s="1129"/>
      <c r="I478" s="1129"/>
      <c r="J478" s="1129"/>
      <c r="K478" s="1129"/>
      <c r="L478" s="1129"/>
      <c r="M478" s="1129"/>
      <c r="N478" s="1129"/>
      <c r="O478" s="1129"/>
      <c r="P478" s="1129"/>
      <c r="Q478" s="1129"/>
      <c r="R478" s="1129"/>
      <c r="S478" s="1129"/>
      <c r="T478" s="1129"/>
      <c r="U478" s="1129"/>
      <c r="V478" s="1129"/>
      <c r="W478" s="1129"/>
      <c r="X478" s="1129"/>
      <c r="Y478" s="1129"/>
      <c r="Z478" s="1129"/>
      <c r="AA478" s="1129"/>
      <c r="AB478" s="1129"/>
      <c r="AC478" s="1129"/>
      <c r="AD478" s="1129"/>
      <c r="AE478" s="1130"/>
      <c r="AF478" s="1131"/>
      <c r="AG478" s="1131"/>
      <c r="AH478" s="1131"/>
      <c r="AI478" s="1131"/>
      <c r="AJ478" s="1131"/>
      <c r="AK478" s="1131"/>
      <c r="AL478" s="1131"/>
      <c r="AM478" s="1131"/>
      <c r="AN478" s="1131"/>
      <c r="AO478" s="1131"/>
      <c r="AP478" s="1131"/>
      <c r="AQ478" s="1131"/>
      <c r="AR478" s="1131"/>
      <c r="AS478" s="1131"/>
      <c r="AT478" s="1131"/>
      <c r="AU478" s="1131"/>
      <c r="AV478" s="1131"/>
      <c r="AW478" s="1131"/>
      <c r="AX478" s="1131"/>
      <c r="AY478" s="1131"/>
      <c r="AZ478" s="1131"/>
      <c r="BA478" s="1131"/>
      <c r="BB478" s="1131"/>
      <c r="BC478" s="1131"/>
      <c r="BD478" s="1131"/>
      <c r="BE478" s="1131"/>
      <c r="BF478" s="1131"/>
      <c r="BG478" s="1131"/>
      <c r="BH478" s="1131"/>
      <c r="BI478" s="1131"/>
      <c r="BJ478" s="1131"/>
      <c r="BK478" s="1131"/>
      <c r="BL478" s="1131"/>
      <c r="BM478" s="1131"/>
      <c r="BN478" s="1131"/>
      <c r="BO478" s="1131"/>
      <c r="BP478" s="1131"/>
      <c r="BQ478" s="1131"/>
      <c r="BR478" s="1131"/>
      <c r="BS478" s="1131"/>
      <c r="BT478" s="1131"/>
      <c r="BU478" s="1131"/>
      <c r="BV478" s="1131"/>
      <c r="BW478" s="1131"/>
      <c r="BX478" s="1131"/>
      <c r="BY478" s="1131"/>
      <c r="BZ478" s="1131"/>
      <c r="CA478" s="1131"/>
      <c r="CB478" s="1131"/>
      <c r="CC478" s="1131"/>
      <c r="CD478" s="1131"/>
      <c r="CE478" s="1131"/>
      <c r="CF478" s="1131"/>
      <c r="CG478" s="1131"/>
      <c r="CH478" s="29"/>
      <c r="CI478" s="185"/>
      <c r="CJ478" s="17"/>
    </row>
    <row r="479" spans="1:88" s="3" customFormat="1" hidden="1">
      <c r="A479" s="243" t="str">
        <f t="shared" si="8"/>
        <v>OK</v>
      </c>
      <c r="B479" s="1126" t="str">
        <f>IF(CONSOLIDA!DQ43="","",CONSOLIDA!DQ43)</f>
        <v/>
      </c>
      <c r="C479" s="1126"/>
      <c r="D479" s="1127" t="str">
        <f>IF(CONSOLIDA!DS43="","",CONSOLIDA!DS43)</f>
        <v/>
      </c>
      <c r="E479" s="1128"/>
      <c r="F479" s="1128"/>
      <c r="G479" s="1129" t="str">
        <f>IF(CONSOLIDA!DT43="","",CONSOLIDA!DT43)</f>
        <v/>
      </c>
      <c r="H479" s="1129"/>
      <c r="I479" s="1129"/>
      <c r="J479" s="1129"/>
      <c r="K479" s="1129"/>
      <c r="L479" s="1129"/>
      <c r="M479" s="1129"/>
      <c r="N479" s="1129"/>
      <c r="O479" s="1129"/>
      <c r="P479" s="1129"/>
      <c r="Q479" s="1129"/>
      <c r="R479" s="1129"/>
      <c r="S479" s="1129"/>
      <c r="T479" s="1129"/>
      <c r="U479" s="1129"/>
      <c r="V479" s="1129"/>
      <c r="W479" s="1129"/>
      <c r="X479" s="1129"/>
      <c r="Y479" s="1129"/>
      <c r="Z479" s="1129"/>
      <c r="AA479" s="1129"/>
      <c r="AB479" s="1129"/>
      <c r="AC479" s="1129"/>
      <c r="AD479" s="1129"/>
      <c r="AE479" s="1130"/>
      <c r="AF479" s="1131"/>
      <c r="AG479" s="1131"/>
      <c r="AH479" s="1131"/>
      <c r="AI479" s="1131"/>
      <c r="AJ479" s="1131"/>
      <c r="AK479" s="1131"/>
      <c r="AL479" s="1131"/>
      <c r="AM479" s="1131"/>
      <c r="AN479" s="1131"/>
      <c r="AO479" s="1131"/>
      <c r="AP479" s="1131"/>
      <c r="AQ479" s="1131"/>
      <c r="AR479" s="1131"/>
      <c r="AS479" s="1131"/>
      <c r="AT479" s="1131"/>
      <c r="AU479" s="1131"/>
      <c r="AV479" s="1131"/>
      <c r="AW479" s="1131"/>
      <c r="AX479" s="1131"/>
      <c r="AY479" s="1131"/>
      <c r="AZ479" s="1131"/>
      <c r="BA479" s="1131"/>
      <c r="BB479" s="1131"/>
      <c r="BC479" s="1131"/>
      <c r="BD479" s="1131"/>
      <c r="BE479" s="1131"/>
      <c r="BF479" s="1131"/>
      <c r="BG479" s="1131"/>
      <c r="BH479" s="1131"/>
      <c r="BI479" s="1131"/>
      <c r="BJ479" s="1131"/>
      <c r="BK479" s="1131"/>
      <c r="BL479" s="1131"/>
      <c r="BM479" s="1131"/>
      <c r="BN479" s="1131"/>
      <c r="BO479" s="1131"/>
      <c r="BP479" s="1131"/>
      <c r="BQ479" s="1131"/>
      <c r="BR479" s="1131"/>
      <c r="BS479" s="1131"/>
      <c r="BT479" s="1131"/>
      <c r="BU479" s="1131"/>
      <c r="BV479" s="1131"/>
      <c r="BW479" s="1131"/>
      <c r="BX479" s="1131"/>
      <c r="BY479" s="1131"/>
      <c r="BZ479" s="1131"/>
      <c r="CA479" s="1131"/>
      <c r="CB479" s="1131"/>
      <c r="CC479" s="1131"/>
      <c r="CD479" s="1131"/>
      <c r="CE479" s="1131"/>
      <c r="CF479" s="1131"/>
      <c r="CG479" s="1131"/>
      <c r="CH479" s="29"/>
      <c r="CI479" s="185"/>
      <c r="CJ479" s="17"/>
    </row>
    <row r="480" spans="1:88" s="3" customFormat="1" hidden="1">
      <c r="A480" s="243" t="str">
        <f t="shared" si="8"/>
        <v>OK</v>
      </c>
      <c r="B480" s="1126" t="str">
        <f>IF(CONSOLIDA!DQ44="","",CONSOLIDA!DQ44)</f>
        <v/>
      </c>
      <c r="C480" s="1126"/>
      <c r="D480" s="1127" t="str">
        <f>IF(CONSOLIDA!DS44="","",CONSOLIDA!DS44)</f>
        <v/>
      </c>
      <c r="E480" s="1128"/>
      <c r="F480" s="1128"/>
      <c r="G480" s="1129" t="str">
        <f>IF(CONSOLIDA!DT44="","",CONSOLIDA!DT44)</f>
        <v/>
      </c>
      <c r="H480" s="1129"/>
      <c r="I480" s="1129"/>
      <c r="J480" s="1129"/>
      <c r="K480" s="1129"/>
      <c r="L480" s="1129"/>
      <c r="M480" s="1129"/>
      <c r="N480" s="1129"/>
      <c r="O480" s="1129"/>
      <c r="P480" s="1129"/>
      <c r="Q480" s="1129"/>
      <c r="R480" s="1129"/>
      <c r="S480" s="1129"/>
      <c r="T480" s="1129"/>
      <c r="U480" s="1129"/>
      <c r="V480" s="1129"/>
      <c r="W480" s="1129"/>
      <c r="X480" s="1129"/>
      <c r="Y480" s="1129"/>
      <c r="Z480" s="1129"/>
      <c r="AA480" s="1129"/>
      <c r="AB480" s="1129"/>
      <c r="AC480" s="1129"/>
      <c r="AD480" s="1129"/>
      <c r="AE480" s="1130"/>
      <c r="AF480" s="1131"/>
      <c r="AG480" s="1131"/>
      <c r="AH480" s="1131"/>
      <c r="AI480" s="1131"/>
      <c r="AJ480" s="1131"/>
      <c r="AK480" s="1131"/>
      <c r="AL480" s="1131"/>
      <c r="AM480" s="1131"/>
      <c r="AN480" s="1131"/>
      <c r="AO480" s="1131"/>
      <c r="AP480" s="1131"/>
      <c r="AQ480" s="1131"/>
      <c r="AR480" s="1131"/>
      <c r="AS480" s="1131"/>
      <c r="AT480" s="1131"/>
      <c r="AU480" s="1131"/>
      <c r="AV480" s="1131"/>
      <c r="AW480" s="1131"/>
      <c r="AX480" s="1131"/>
      <c r="AY480" s="1131"/>
      <c r="AZ480" s="1131"/>
      <c r="BA480" s="1131"/>
      <c r="BB480" s="1131"/>
      <c r="BC480" s="1131"/>
      <c r="BD480" s="1131"/>
      <c r="BE480" s="1131"/>
      <c r="BF480" s="1131"/>
      <c r="BG480" s="1131"/>
      <c r="BH480" s="1131"/>
      <c r="BI480" s="1131"/>
      <c r="BJ480" s="1131"/>
      <c r="BK480" s="1131"/>
      <c r="BL480" s="1131"/>
      <c r="BM480" s="1131"/>
      <c r="BN480" s="1131"/>
      <c r="BO480" s="1131"/>
      <c r="BP480" s="1131"/>
      <c r="BQ480" s="1131"/>
      <c r="BR480" s="1131"/>
      <c r="BS480" s="1131"/>
      <c r="BT480" s="1131"/>
      <c r="BU480" s="1131"/>
      <c r="BV480" s="1131"/>
      <c r="BW480" s="1131"/>
      <c r="BX480" s="1131"/>
      <c r="BY480" s="1131"/>
      <c r="BZ480" s="1131"/>
      <c r="CA480" s="1131"/>
      <c r="CB480" s="1131"/>
      <c r="CC480" s="1131"/>
      <c r="CD480" s="1131"/>
      <c r="CE480" s="1131"/>
      <c r="CF480" s="1131"/>
      <c r="CG480" s="1131"/>
      <c r="CH480" s="29"/>
      <c r="CI480" s="185"/>
      <c r="CJ480" s="17"/>
    </row>
    <row r="481" spans="1:88" s="3" customFormat="1" hidden="1">
      <c r="A481" s="243" t="str">
        <f t="shared" si="8"/>
        <v>OK</v>
      </c>
      <c r="B481" s="1126" t="str">
        <f>IF(CONSOLIDA!DQ45="","",CONSOLIDA!DQ45)</f>
        <v/>
      </c>
      <c r="C481" s="1126"/>
      <c r="D481" s="1127" t="str">
        <f>IF(CONSOLIDA!DS45="","",CONSOLIDA!DS45)</f>
        <v/>
      </c>
      <c r="E481" s="1128"/>
      <c r="F481" s="1128"/>
      <c r="G481" s="1129" t="str">
        <f>IF(CONSOLIDA!DT45="","",CONSOLIDA!DT45)</f>
        <v/>
      </c>
      <c r="H481" s="1129"/>
      <c r="I481" s="1129"/>
      <c r="J481" s="1129"/>
      <c r="K481" s="1129"/>
      <c r="L481" s="1129"/>
      <c r="M481" s="1129"/>
      <c r="N481" s="1129"/>
      <c r="O481" s="1129"/>
      <c r="P481" s="1129"/>
      <c r="Q481" s="1129"/>
      <c r="R481" s="1129"/>
      <c r="S481" s="1129"/>
      <c r="T481" s="1129"/>
      <c r="U481" s="1129"/>
      <c r="V481" s="1129"/>
      <c r="W481" s="1129"/>
      <c r="X481" s="1129"/>
      <c r="Y481" s="1129"/>
      <c r="Z481" s="1129"/>
      <c r="AA481" s="1129"/>
      <c r="AB481" s="1129"/>
      <c r="AC481" s="1129"/>
      <c r="AD481" s="1129"/>
      <c r="AE481" s="1130"/>
      <c r="AF481" s="1131"/>
      <c r="AG481" s="1131"/>
      <c r="AH481" s="1131"/>
      <c r="AI481" s="1131"/>
      <c r="AJ481" s="1131"/>
      <c r="AK481" s="1131"/>
      <c r="AL481" s="1131"/>
      <c r="AM481" s="1131"/>
      <c r="AN481" s="1131"/>
      <c r="AO481" s="1131"/>
      <c r="AP481" s="1131"/>
      <c r="AQ481" s="1131"/>
      <c r="AR481" s="1131"/>
      <c r="AS481" s="1131"/>
      <c r="AT481" s="1131"/>
      <c r="AU481" s="1131"/>
      <c r="AV481" s="1131"/>
      <c r="AW481" s="1131"/>
      <c r="AX481" s="1131"/>
      <c r="AY481" s="1131"/>
      <c r="AZ481" s="1131"/>
      <c r="BA481" s="1131"/>
      <c r="BB481" s="1131"/>
      <c r="BC481" s="1131"/>
      <c r="BD481" s="1131"/>
      <c r="BE481" s="1131"/>
      <c r="BF481" s="1131"/>
      <c r="BG481" s="1131"/>
      <c r="BH481" s="1131"/>
      <c r="BI481" s="1131"/>
      <c r="BJ481" s="1131"/>
      <c r="BK481" s="1131"/>
      <c r="BL481" s="1131"/>
      <c r="BM481" s="1131"/>
      <c r="BN481" s="1131"/>
      <c r="BO481" s="1131"/>
      <c r="BP481" s="1131"/>
      <c r="BQ481" s="1131"/>
      <c r="BR481" s="1131"/>
      <c r="BS481" s="1131"/>
      <c r="BT481" s="1131"/>
      <c r="BU481" s="1131"/>
      <c r="BV481" s="1131"/>
      <c r="BW481" s="1131"/>
      <c r="BX481" s="1131"/>
      <c r="BY481" s="1131"/>
      <c r="BZ481" s="1131"/>
      <c r="CA481" s="1131"/>
      <c r="CB481" s="1131"/>
      <c r="CC481" s="1131"/>
      <c r="CD481" s="1131"/>
      <c r="CE481" s="1131"/>
      <c r="CF481" s="1131"/>
      <c r="CG481" s="1131"/>
      <c r="CH481" s="29"/>
      <c r="CI481" s="185"/>
      <c r="CJ481" s="17"/>
    </row>
    <row r="482" spans="1:88" s="3" customFormat="1" hidden="1">
      <c r="A482" s="243" t="str">
        <f t="shared" si="8"/>
        <v>OK</v>
      </c>
      <c r="B482" s="1126" t="str">
        <f>IF(CONSOLIDA!DQ46="","",CONSOLIDA!DQ46)</f>
        <v/>
      </c>
      <c r="C482" s="1126"/>
      <c r="D482" s="1127" t="str">
        <f>IF(CONSOLIDA!DS46="","",CONSOLIDA!DS46)</f>
        <v/>
      </c>
      <c r="E482" s="1128"/>
      <c r="F482" s="1128"/>
      <c r="G482" s="1129" t="str">
        <f>IF(CONSOLIDA!DT46="","",CONSOLIDA!DT46)</f>
        <v/>
      </c>
      <c r="H482" s="1129"/>
      <c r="I482" s="1129"/>
      <c r="J482" s="1129"/>
      <c r="K482" s="1129"/>
      <c r="L482" s="1129"/>
      <c r="M482" s="1129"/>
      <c r="N482" s="1129"/>
      <c r="O482" s="1129"/>
      <c r="P482" s="1129"/>
      <c r="Q482" s="1129"/>
      <c r="R482" s="1129"/>
      <c r="S482" s="1129"/>
      <c r="T482" s="1129"/>
      <c r="U482" s="1129"/>
      <c r="V482" s="1129"/>
      <c r="W482" s="1129"/>
      <c r="X482" s="1129"/>
      <c r="Y482" s="1129"/>
      <c r="Z482" s="1129"/>
      <c r="AA482" s="1129"/>
      <c r="AB482" s="1129"/>
      <c r="AC482" s="1129"/>
      <c r="AD482" s="1129"/>
      <c r="AE482" s="1130"/>
      <c r="AF482" s="1131"/>
      <c r="AG482" s="1131"/>
      <c r="AH482" s="1131"/>
      <c r="AI482" s="1131"/>
      <c r="AJ482" s="1131"/>
      <c r="AK482" s="1131"/>
      <c r="AL482" s="1131"/>
      <c r="AM482" s="1131"/>
      <c r="AN482" s="1131"/>
      <c r="AO482" s="1131"/>
      <c r="AP482" s="1131"/>
      <c r="AQ482" s="1131"/>
      <c r="AR482" s="1131"/>
      <c r="AS482" s="1131"/>
      <c r="AT482" s="1131"/>
      <c r="AU482" s="1131"/>
      <c r="AV482" s="1131"/>
      <c r="AW482" s="1131"/>
      <c r="AX482" s="1131"/>
      <c r="AY482" s="1131"/>
      <c r="AZ482" s="1131"/>
      <c r="BA482" s="1131"/>
      <c r="BB482" s="1131"/>
      <c r="BC482" s="1131"/>
      <c r="BD482" s="1131"/>
      <c r="BE482" s="1131"/>
      <c r="BF482" s="1131"/>
      <c r="BG482" s="1131"/>
      <c r="BH482" s="1131"/>
      <c r="BI482" s="1131"/>
      <c r="BJ482" s="1131"/>
      <c r="BK482" s="1131"/>
      <c r="BL482" s="1131"/>
      <c r="BM482" s="1131"/>
      <c r="BN482" s="1131"/>
      <c r="BO482" s="1131"/>
      <c r="BP482" s="1131"/>
      <c r="BQ482" s="1131"/>
      <c r="BR482" s="1131"/>
      <c r="BS482" s="1131"/>
      <c r="BT482" s="1131"/>
      <c r="BU482" s="1131"/>
      <c r="BV482" s="1131"/>
      <c r="BW482" s="1131"/>
      <c r="BX482" s="1131"/>
      <c r="BY482" s="1131"/>
      <c r="BZ482" s="1131"/>
      <c r="CA482" s="1131"/>
      <c r="CB482" s="1131"/>
      <c r="CC482" s="1131"/>
      <c r="CD482" s="1131"/>
      <c r="CE482" s="1131"/>
      <c r="CF482" s="1131"/>
      <c r="CG482" s="1131"/>
      <c r="CH482" s="29"/>
      <c r="CI482" s="185"/>
      <c r="CJ482" s="17"/>
    </row>
    <row r="483" spans="1:88" s="3" customFormat="1" hidden="1">
      <c r="A483" s="243" t="str">
        <f t="shared" si="8"/>
        <v>OK</v>
      </c>
      <c r="B483" s="1126" t="str">
        <f>IF(CONSOLIDA!DQ47="","",CONSOLIDA!DQ47)</f>
        <v/>
      </c>
      <c r="C483" s="1126"/>
      <c r="D483" s="1127" t="str">
        <f>IF(CONSOLIDA!DS47="","",CONSOLIDA!DS47)</f>
        <v/>
      </c>
      <c r="E483" s="1128"/>
      <c r="F483" s="1128"/>
      <c r="G483" s="1129" t="str">
        <f>IF(CONSOLIDA!DT47="","",CONSOLIDA!DT47)</f>
        <v/>
      </c>
      <c r="H483" s="1129"/>
      <c r="I483" s="1129"/>
      <c r="J483" s="1129"/>
      <c r="K483" s="1129"/>
      <c r="L483" s="1129"/>
      <c r="M483" s="1129"/>
      <c r="N483" s="1129"/>
      <c r="O483" s="1129"/>
      <c r="P483" s="1129"/>
      <c r="Q483" s="1129"/>
      <c r="R483" s="1129"/>
      <c r="S483" s="1129"/>
      <c r="T483" s="1129"/>
      <c r="U483" s="1129"/>
      <c r="V483" s="1129"/>
      <c r="W483" s="1129"/>
      <c r="X483" s="1129"/>
      <c r="Y483" s="1129"/>
      <c r="Z483" s="1129"/>
      <c r="AA483" s="1129"/>
      <c r="AB483" s="1129"/>
      <c r="AC483" s="1129"/>
      <c r="AD483" s="1129"/>
      <c r="AE483" s="1130"/>
      <c r="AF483" s="1131"/>
      <c r="AG483" s="1131"/>
      <c r="AH483" s="1131"/>
      <c r="AI483" s="1131"/>
      <c r="AJ483" s="1131"/>
      <c r="AK483" s="1131"/>
      <c r="AL483" s="1131"/>
      <c r="AM483" s="1131"/>
      <c r="AN483" s="1131"/>
      <c r="AO483" s="1131"/>
      <c r="AP483" s="1131"/>
      <c r="AQ483" s="1131"/>
      <c r="AR483" s="1131"/>
      <c r="AS483" s="1131"/>
      <c r="AT483" s="1131"/>
      <c r="AU483" s="1131"/>
      <c r="AV483" s="1131"/>
      <c r="AW483" s="1131"/>
      <c r="AX483" s="1131"/>
      <c r="AY483" s="1131"/>
      <c r="AZ483" s="1131"/>
      <c r="BA483" s="1131"/>
      <c r="BB483" s="1131"/>
      <c r="BC483" s="1131"/>
      <c r="BD483" s="1131"/>
      <c r="BE483" s="1131"/>
      <c r="BF483" s="1131"/>
      <c r="BG483" s="1131"/>
      <c r="BH483" s="1131"/>
      <c r="BI483" s="1131"/>
      <c r="BJ483" s="1131"/>
      <c r="BK483" s="1131"/>
      <c r="BL483" s="1131"/>
      <c r="BM483" s="1131"/>
      <c r="BN483" s="1131"/>
      <c r="BO483" s="1131"/>
      <c r="BP483" s="1131"/>
      <c r="BQ483" s="1131"/>
      <c r="BR483" s="1131"/>
      <c r="BS483" s="1131"/>
      <c r="BT483" s="1131"/>
      <c r="BU483" s="1131"/>
      <c r="BV483" s="1131"/>
      <c r="BW483" s="1131"/>
      <c r="BX483" s="1131"/>
      <c r="BY483" s="1131"/>
      <c r="BZ483" s="1131"/>
      <c r="CA483" s="1131"/>
      <c r="CB483" s="1131"/>
      <c r="CC483" s="1131"/>
      <c r="CD483" s="1131"/>
      <c r="CE483" s="1131"/>
      <c r="CF483" s="1131"/>
      <c r="CG483" s="1131"/>
      <c r="CH483" s="29"/>
      <c r="CI483" s="185"/>
      <c r="CJ483" s="17"/>
    </row>
    <row r="484" spans="1:88" s="3" customFormat="1" hidden="1">
      <c r="A484" s="243" t="str">
        <f t="shared" si="8"/>
        <v>OK</v>
      </c>
      <c r="B484" s="1126" t="str">
        <f>IF(CONSOLIDA!DQ48="","",CONSOLIDA!DQ48)</f>
        <v/>
      </c>
      <c r="C484" s="1126"/>
      <c r="D484" s="1127" t="str">
        <f>IF(CONSOLIDA!DS48="","",CONSOLIDA!DS48)</f>
        <v/>
      </c>
      <c r="E484" s="1128"/>
      <c r="F484" s="1128"/>
      <c r="G484" s="1129" t="str">
        <f>IF(CONSOLIDA!DT48="","",CONSOLIDA!DT48)</f>
        <v/>
      </c>
      <c r="H484" s="1129"/>
      <c r="I484" s="1129"/>
      <c r="J484" s="1129"/>
      <c r="K484" s="1129"/>
      <c r="L484" s="1129"/>
      <c r="M484" s="1129"/>
      <c r="N484" s="1129"/>
      <c r="O484" s="1129"/>
      <c r="P484" s="1129"/>
      <c r="Q484" s="1129"/>
      <c r="R484" s="1129"/>
      <c r="S484" s="1129"/>
      <c r="T484" s="1129"/>
      <c r="U484" s="1129"/>
      <c r="V484" s="1129"/>
      <c r="W484" s="1129"/>
      <c r="X484" s="1129"/>
      <c r="Y484" s="1129"/>
      <c r="Z484" s="1129"/>
      <c r="AA484" s="1129"/>
      <c r="AB484" s="1129"/>
      <c r="AC484" s="1129"/>
      <c r="AD484" s="1129"/>
      <c r="AE484" s="1130"/>
      <c r="AF484" s="1131"/>
      <c r="AG484" s="1131"/>
      <c r="AH484" s="1131"/>
      <c r="AI484" s="1131"/>
      <c r="AJ484" s="1131"/>
      <c r="AK484" s="1131"/>
      <c r="AL484" s="1131"/>
      <c r="AM484" s="1131"/>
      <c r="AN484" s="1131"/>
      <c r="AO484" s="1131"/>
      <c r="AP484" s="1131"/>
      <c r="AQ484" s="1131"/>
      <c r="AR484" s="1131"/>
      <c r="AS484" s="1131"/>
      <c r="AT484" s="1131"/>
      <c r="AU484" s="1131"/>
      <c r="AV484" s="1131"/>
      <c r="AW484" s="1131"/>
      <c r="AX484" s="1131"/>
      <c r="AY484" s="1131"/>
      <c r="AZ484" s="1131"/>
      <c r="BA484" s="1131"/>
      <c r="BB484" s="1131"/>
      <c r="BC484" s="1131"/>
      <c r="BD484" s="1131"/>
      <c r="BE484" s="1131"/>
      <c r="BF484" s="1131"/>
      <c r="BG484" s="1131"/>
      <c r="BH484" s="1131"/>
      <c r="BI484" s="1131"/>
      <c r="BJ484" s="1131"/>
      <c r="BK484" s="1131"/>
      <c r="BL484" s="1131"/>
      <c r="BM484" s="1131"/>
      <c r="BN484" s="1131"/>
      <c r="BO484" s="1131"/>
      <c r="BP484" s="1131"/>
      <c r="BQ484" s="1131"/>
      <c r="BR484" s="1131"/>
      <c r="BS484" s="1131"/>
      <c r="BT484" s="1131"/>
      <c r="BU484" s="1131"/>
      <c r="BV484" s="1131"/>
      <c r="BW484" s="1131"/>
      <c r="BX484" s="1131"/>
      <c r="BY484" s="1131"/>
      <c r="BZ484" s="1131"/>
      <c r="CA484" s="1131"/>
      <c r="CB484" s="1131"/>
      <c r="CC484" s="1131"/>
      <c r="CD484" s="1131"/>
      <c r="CE484" s="1131"/>
      <c r="CF484" s="1131"/>
      <c r="CG484" s="1131"/>
      <c r="CH484" s="29"/>
      <c r="CI484" s="185"/>
      <c r="CJ484" s="17"/>
    </row>
    <row r="485" spans="1:88" s="3" customFormat="1" hidden="1">
      <c r="A485" s="243" t="str">
        <f t="shared" si="8"/>
        <v>OK</v>
      </c>
      <c r="B485" s="1126" t="str">
        <f>IF(CONSOLIDA!DQ49="","",CONSOLIDA!DQ49)</f>
        <v/>
      </c>
      <c r="C485" s="1126"/>
      <c r="D485" s="1127" t="str">
        <f>IF(CONSOLIDA!DS49="","",CONSOLIDA!DS49)</f>
        <v/>
      </c>
      <c r="E485" s="1128"/>
      <c r="F485" s="1128"/>
      <c r="G485" s="1129" t="str">
        <f>IF(CONSOLIDA!DT49="","",CONSOLIDA!DT49)</f>
        <v/>
      </c>
      <c r="H485" s="1129"/>
      <c r="I485" s="1129"/>
      <c r="J485" s="1129"/>
      <c r="K485" s="1129"/>
      <c r="L485" s="1129"/>
      <c r="M485" s="1129"/>
      <c r="N485" s="1129"/>
      <c r="O485" s="1129"/>
      <c r="P485" s="1129"/>
      <c r="Q485" s="1129"/>
      <c r="R485" s="1129"/>
      <c r="S485" s="1129"/>
      <c r="T485" s="1129"/>
      <c r="U485" s="1129"/>
      <c r="V485" s="1129"/>
      <c r="W485" s="1129"/>
      <c r="X485" s="1129"/>
      <c r="Y485" s="1129"/>
      <c r="Z485" s="1129"/>
      <c r="AA485" s="1129"/>
      <c r="AB485" s="1129"/>
      <c r="AC485" s="1129"/>
      <c r="AD485" s="1129"/>
      <c r="AE485" s="1130"/>
      <c r="AF485" s="1131"/>
      <c r="AG485" s="1131"/>
      <c r="AH485" s="1131"/>
      <c r="AI485" s="1131"/>
      <c r="AJ485" s="1131"/>
      <c r="AK485" s="1131"/>
      <c r="AL485" s="1131"/>
      <c r="AM485" s="1131"/>
      <c r="AN485" s="1131"/>
      <c r="AO485" s="1131"/>
      <c r="AP485" s="1131"/>
      <c r="AQ485" s="1131"/>
      <c r="AR485" s="1131"/>
      <c r="AS485" s="1131"/>
      <c r="AT485" s="1131"/>
      <c r="AU485" s="1131"/>
      <c r="AV485" s="1131"/>
      <c r="AW485" s="1131"/>
      <c r="AX485" s="1131"/>
      <c r="AY485" s="1131"/>
      <c r="AZ485" s="1131"/>
      <c r="BA485" s="1131"/>
      <c r="BB485" s="1131"/>
      <c r="BC485" s="1131"/>
      <c r="BD485" s="1131"/>
      <c r="BE485" s="1131"/>
      <c r="BF485" s="1131"/>
      <c r="BG485" s="1131"/>
      <c r="BH485" s="1131"/>
      <c r="BI485" s="1131"/>
      <c r="BJ485" s="1131"/>
      <c r="BK485" s="1131"/>
      <c r="BL485" s="1131"/>
      <c r="BM485" s="1131"/>
      <c r="BN485" s="1131"/>
      <c r="BO485" s="1131"/>
      <c r="BP485" s="1131"/>
      <c r="BQ485" s="1131"/>
      <c r="BR485" s="1131"/>
      <c r="BS485" s="1131"/>
      <c r="BT485" s="1131"/>
      <c r="BU485" s="1131"/>
      <c r="BV485" s="1131"/>
      <c r="BW485" s="1131"/>
      <c r="BX485" s="1131"/>
      <c r="BY485" s="1131"/>
      <c r="BZ485" s="1131"/>
      <c r="CA485" s="1131"/>
      <c r="CB485" s="1131"/>
      <c r="CC485" s="1131"/>
      <c r="CD485" s="1131"/>
      <c r="CE485" s="1131"/>
      <c r="CF485" s="1131"/>
      <c r="CG485" s="1131"/>
      <c r="CH485" s="29"/>
      <c r="CI485" s="185"/>
      <c r="CJ485" s="17"/>
    </row>
    <row r="486" spans="1:88" s="3" customFormat="1" hidden="1">
      <c r="A486" s="243" t="str">
        <f t="shared" si="8"/>
        <v>OK</v>
      </c>
      <c r="B486" s="1126" t="str">
        <f>IF(CONSOLIDA!DQ50="","",CONSOLIDA!DQ50)</f>
        <v/>
      </c>
      <c r="C486" s="1126"/>
      <c r="D486" s="1127" t="str">
        <f>IF(CONSOLIDA!DS50="","",CONSOLIDA!DS50)</f>
        <v/>
      </c>
      <c r="E486" s="1128"/>
      <c r="F486" s="1128"/>
      <c r="G486" s="1129" t="str">
        <f>IF(CONSOLIDA!DT50="","",CONSOLIDA!DT50)</f>
        <v/>
      </c>
      <c r="H486" s="1129"/>
      <c r="I486" s="1129"/>
      <c r="J486" s="1129"/>
      <c r="K486" s="1129"/>
      <c r="L486" s="1129"/>
      <c r="M486" s="1129"/>
      <c r="N486" s="1129"/>
      <c r="O486" s="1129"/>
      <c r="P486" s="1129"/>
      <c r="Q486" s="1129"/>
      <c r="R486" s="1129"/>
      <c r="S486" s="1129"/>
      <c r="T486" s="1129"/>
      <c r="U486" s="1129"/>
      <c r="V486" s="1129"/>
      <c r="W486" s="1129"/>
      <c r="X486" s="1129"/>
      <c r="Y486" s="1129"/>
      <c r="Z486" s="1129"/>
      <c r="AA486" s="1129"/>
      <c r="AB486" s="1129"/>
      <c r="AC486" s="1129"/>
      <c r="AD486" s="1129"/>
      <c r="AE486" s="1130"/>
      <c r="AF486" s="1131"/>
      <c r="AG486" s="1131"/>
      <c r="AH486" s="1131"/>
      <c r="AI486" s="1131"/>
      <c r="AJ486" s="1131"/>
      <c r="AK486" s="1131"/>
      <c r="AL486" s="1131"/>
      <c r="AM486" s="1131"/>
      <c r="AN486" s="1131"/>
      <c r="AO486" s="1131"/>
      <c r="AP486" s="1131"/>
      <c r="AQ486" s="1131"/>
      <c r="AR486" s="1131"/>
      <c r="AS486" s="1131"/>
      <c r="AT486" s="1131"/>
      <c r="AU486" s="1131"/>
      <c r="AV486" s="1131"/>
      <c r="AW486" s="1131"/>
      <c r="AX486" s="1131"/>
      <c r="AY486" s="1131"/>
      <c r="AZ486" s="1131"/>
      <c r="BA486" s="1131"/>
      <c r="BB486" s="1131"/>
      <c r="BC486" s="1131"/>
      <c r="BD486" s="1131"/>
      <c r="BE486" s="1131"/>
      <c r="BF486" s="1131"/>
      <c r="BG486" s="1131"/>
      <c r="BH486" s="1131"/>
      <c r="BI486" s="1131"/>
      <c r="BJ486" s="1131"/>
      <c r="BK486" s="1131"/>
      <c r="BL486" s="1131"/>
      <c r="BM486" s="1131"/>
      <c r="BN486" s="1131"/>
      <c r="BO486" s="1131"/>
      <c r="BP486" s="1131"/>
      <c r="BQ486" s="1131"/>
      <c r="BR486" s="1131"/>
      <c r="BS486" s="1131"/>
      <c r="BT486" s="1131"/>
      <c r="BU486" s="1131"/>
      <c r="BV486" s="1131"/>
      <c r="BW486" s="1131"/>
      <c r="BX486" s="1131"/>
      <c r="BY486" s="1131"/>
      <c r="BZ486" s="1131"/>
      <c r="CA486" s="1131"/>
      <c r="CB486" s="1131"/>
      <c r="CC486" s="1131"/>
      <c r="CD486" s="1131"/>
      <c r="CE486" s="1131"/>
      <c r="CF486" s="1131"/>
      <c r="CG486" s="1131"/>
      <c r="CH486" s="29"/>
      <c r="CI486" s="185"/>
      <c r="CJ486" s="17"/>
    </row>
    <row r="487" spans="1:88" s="3" customFormat="1" hidden="1">
      <c r="A487" s="243" t="str">
        <f t="shared" si="8"/>
        <v>OK</v>
      </c>
      <c r="B487" s="1126" t="str">
        <f>IF(CONSOLIDA!DQ51="","",CONSOLIDA!DQ51)</f>
        <v/>
      </c>
      <c r="C487" s="1126"/>
      <c r="D487" s="1127" t="str">
        <f>IF(CONSOLIDA!DS51="","",CONSOLIDA!DS51)</f>
        <v/>
      </c>
      <c r="E487" s="1128"/>
      <c r="F487" s="1128"/>
      <c r="G487" s="1129" t="str">
        <f>IF(CONSOLIDA!DT51="","",CONSOLIDA!DT51)</f>
        <v/>
      </c>
      <c r="H487" s="1129"/>
      <c r="I487" s="1129"/>
      <c r="J487" s="1129"/>
      <c r="K487" s="1129"/>
      <c r="L487" s="1129"/>
      <c r="M487" s="1129"/>
      <c r="N487" s="1129"/>
      <c r="O487" s="1129"/>
      <c r="P487" s="1129"/>
      <c r="Q487" s="1129"/>
      <c r="R487" s="1129"/>
      <c r="S487" s="1129"/>
      <c r="T487" s="1129"/>
      <c r="U487" s="1129"/>
      <c r="V487" s="1129"/>
      <c r="W487" s="1129"/>
      <c r="X487" s="1129"/>
      <c r="Y487" s="1129"/>
      <c r="Z487" s="1129"/>
      <c r="AA487" s="1129"/>
      <c r="AB487" s="1129"/>
      <c r="AC487" s="1129"/>
      <c r="AD487" s="1129"/>
      <c r="AE487" s="1130"/>
      <c r="AF487" s="1131"/>
      <c r="AG487" s="1131"/>
      <c r="AH487" s="1131"/>
      <c r="AI487" s="1131"/>
      <c r="AJ487" s="1131"/>
      <c r="AK487" s="1131"/>
      <c r="AL487" s="1131"/>
      <c r="AM487" s="1131"/>
      <c r="AN487" s="1131"/>
      <c r="AO487" s="1131"/>
      <c r="AP487" s="1131"/>
      <c r="AQ487" s="1131"/>
      <c r="AR487" s="1131"/>
      <c r="AS487" s="1131"/>
      <c r="AT487" s="1131"/>
      <c r="AU487" s="1131"/>
      <c r="AV487" s="1131"/>
      <c r="AW487" s="1131"/>
      <c r="AX487" s="1131"/>
      <c r="AY487" s="1131"/>
      <c r="AZ487" s="1131"/>
      <c r="BA487" s="1131"/>
      <c r="BB487" s="1131"/>
      <c r="BC487" s="1131"/>
      <c r="BD487" s="1131"/>
      <c r="BE487" s="1131"/>
      <c r="BF487" s="1131"/>
      <c r="BG487" s="1131"/>
      <c r="BH487" s="1131"/>
      <c r="BI487" s="1131"/>
      <c r="BJ487" s="1131"/>
      <c r="BK487" s="1131"/>
      <c r="BL487" s="1131"/>
      <c r="BM487" s="1131"/>
      <c r="BN487" s="1131"/>
      <c r="BO487" s="1131"/>
      <c r="BP487" s="1131"/>
      <c r="BQ487" s="1131"/>
      <c r="BR487" s="1131"/>
      <c r="BS487" s="1131"/>
      <c r="BT487" s="1131"/>
      <c r="BU487" s="1131"/>
      <c r="BV487" s="1131"/>
      <c r="BW487" s="1131"/>
      <c r="BX487" s="1131"/>
      <c r="BY487" s="1131"/>
      <c r="BZ487" s="1131"/>
      <c r="CA487" s="1131"/>
      <c r="CB487" s="1131"/>
      <c r="CC487" s="1131"/>
      <c r="CD487" s="1131"/>
      <c r="CE487" s="1131"/>
      <c r="CF487" s="1131"/>
      <c r="CG487" s="1131"/>
      <c r="CH487" s="29"/>
      <c r="CI487" s="185"/>
      <c r="CJ487" s="17"/>
    </row>
    <row r="488" spans="1:88" s="3" customFormat="1" hidden="1">
      <c r="A488" s="243" t="str">
        <f t="shared" si="8"/>
        <v>OK</v>
      </c>
      <c r="B488" s="1126" t="str">
        <f>IF(CONSOLIDA!DQ52="","",CONSOLIDA!DQ52)</f>
        <v/>
      </c>
      <c r="C488" s="1126"/>
      <c r="D488" s="1127" t="str">
        <f>IF(CONSOLIDA!DS52="","",CONSOLIDA!DS52)</f>
        <v/>
      </c>
      <c r="E488" s="1128"/>
      <c r="F488" s="1128"/>
      <c r="G488" s="1129" t="str">
        <f>IF(CONSOLIDA!DT52="","",CONSOLIDA!DT52)</f>
        <v/>
      </c>
      <c r="H488" s="1129"/>
      <c r="I488" s="1129"/>
      <c r="J488" s="1129"/>
      <c r="K488" s="1129"/>
      <c r="L488" s="1129"/>
      <c r="M488" s="1129"/>
      <c r="N488" s="1129"/>
      <c r="O488" s="1129"/>
      <c r="P488" s="1129"/>
      <c r="Q488" s="1129"/>
      <c r="R488" s="1129"/>
      <c r="S488" s="1129"/>
      <c r="T488" s="1129"/>
      <c r="U488" s="1129"/>
      <c r="V488" s="1129"/>
      <c r="W488" s="1129"/>
      <c r="X488" s="1129"/>
      <c r="Y488" s="1129"/>
      <c r="Z488" s="1129"/>
      <c r="AA488" s="1129"/>
      <c r="AB488" s="1129"/>
      <c r="AC488" s="1129"/>
      <c r="AD488" s="1129"/>
      <c r="AE488" s="1130"/>
      <c r="AF488" s="1131"/>
      <c r="AG488" s="1131"/>
      <c r="AH488" s="1131"/>
      <c r="AI488" s="1131"/>
      <c r="AJ488" s="1131"/>
      <c r="AK488" s="1131"/>
      <c r="AL488" s="1131"/>
      <c r="AM488" s="1131"/>
      <c r="AN488" s="1131"/>
      <c r="AO488" s="1131"/>
      <c r="AP488" s="1131"/>
      <c r="AQ488" s="1131"/>
      <c r="AR488" s="1131"/>
      <c r="AS488" s="1131"/>
      <c r="AT488" s="1131"/>
      <c r="AU488" s="1131"/>
      <c r="AV488" s="1131"/>
      <c r="AW488" s="1131"/>
      <c r="AX488" s="1131"/>
      <c r="AY488" s="1131"/>
      <c r="AZ488" s="1131"/>
      <c r="BA488" s="1131"/>
      <c r="BB488" s="1131"/>
      <c r="BC488" s="1131"/>
      <c r="BD488" s="1131"/>
      <c r="BE488" s="1131"/>
      <c r="BF488" s="1131"/>
      <c r="BG488" s="1131"/>
      <c r="BH488" s="1131"/>
      <c r="BI488" s="1131"/>
      <c r="BJ488" s="1131"/>
      <c r="BK488" s="1131"/>
      <c r="BL488" s="1131"/>
      <c r="BM488" s="1131"/>
      <c r="BN488" s="1131"/>
      <c r="BO488" s="1131"/>
      <c r="BP488" s="1131"/>
      <c r="BQ488" s="1131"/>
      <c r="BR488" s="1131"/>
      <c r="BS488" s="1131"/>
      <c r="BT488" s="1131"/>
      <c r="BU488" s="1131"/>
      <c r="BV488" s="1131"/>
      <c r="BW488" s="1131"/>
      <c r="BX488" s="1131"/>
      <c r="BY488" s="1131"/>
      <c r="BZ488" s="1131"/>
      <c r="CA488" s="1131"/>
      <c r="CB488" s="1131"/>
      <c r="CC488" s="1131"/>
      <c r="CD488" s="1131"/>
      <c r="CE488" s="1131"/>
      <c r="CF488" s="1131"/>
      <c r="CG488" s="1131"/>
      <c r="CH488" s="29"/>
      <c r="CI488" s="185"/>
      <c r="CJ488" s="17"/>
    </row>
    <row r="489" spans="1:88" s="3" customFormat="1" hidden="1">
      <c r="A489" s="243" t="str">
        <f t="shared" si="8"/>
        <v>OK</v>
      </c>
      <c r="B489" s="1126" t="str">
        <f>IF(CONSOLIDA!DQ53="","",CONSOLIDA!DQ53)</f>
        <v/>
      </c>
      <c r="C489" s="1126"/>
      <c r="D489" s="1127" t="str">
        <f>IF(CONSOLIDA!DS53="","",CONSOLIDA!DS53)</f>
        <v/>
      </c>
      <c r="E489" s="1128"/>
      <c r="F489" s="1128"/>
      <c r="G489" s="1129" t="str">
        <f>IF(CONSOLIDA!DT53="","",CONSOLIDA!DT53)</f>
        <v/>
      </c>
      <c r="H489" s="1129"/>
      <c r="I489" s="1129"/>
      <c r="J489" s="1129"/>
      <c r="K489" s="1129"/>
      <c r="L489" s="1129"/>
      <c r="M489" s="1129"/>
      <c r="N489" s="1129"/>
      <c r="O489" s="1129"/>
      <c r="P489" s="1129"/>
      <c r="Q489" s="1129"/>
      <c r="R489" s="1129"/>
      <c r="S489" s="1129"/>
      <c r="T489" s="1129"/>
      <c r="U489" s="1129"/>
      <c r="V489" s="1129"/>
      <c r="W489" s="1129"/>
      <c r="X489" s="1129"/>
      <c r="Y489" s="1129"/>
      <c r="Z489" s="1129"/>
      <c r="AA489" s="1129"/>
      <c r="AB489" s="1129"/>
      <c r="AC489" s="1129"/>
      <c r="AD489" s="1129"/>
      <c r="AE489" s="1130"/>
      <c r="AF489" s="1131"/>
      <c r="AG489" s="1131"/>
      <c r="AH489" s="1131"/>
      <c r="AI489" s="1131"/>
      <c r="AJ489" s="1131"/>
      <c r="AK489" s="1131"/>
      <c r="AL489" s="1131"/>
      <c r="AM489" s="1131"/>
      <c r="AN489" s="1131"/>
      <c r="AO489" s="1131"/>
      <c r="AP489" s="1131"/>
      <c r="AQ489" s="1131"/>
      <c r="AR489" s="1131"/>
      <c r="AS489" s="1131"/>
      <c r="AT489" s="1131"/>
      <c r="AU489" s="1131"/>
      <c r="AV489" s="1131"/>
      <c r="AW489" s="1131"/>
      <c r="AX489" s="1131"/>
      <c r="AY489" s="1131"/>
      <c r="AZ489" s="1131"/>
      <c r="BA489" s="1131"/>
      <c r="BB489" s="1131"/>
      <c r="BC489" s="1131"/>
      <c r="BD489" s="1131"/>
      <c r="BE489" s="1131"/>
      <c r="BF489" s="1131"/>
      <c r="BG489" s="1131"/>
      <c r="BH489" s="1131"/>
      <c r="BI489" s="1131"/>
      <c r="BJ489" s="1131"/>
      <c r="BK489" s="1131"/>
      <c r="BL489" s="1131"/>
      <c r="BM489" s="1131"/>
      <c r="BN489" s="1131"/>
      <c r="BO489" s="1131"/>
      <c r="BP489" s="1131"/>
      <c r="BQ489" s="1131"/>
      <c r="BR489" s="1131"/>
      <c r="BS489" s="1131"/>
      <c r="BT489" s="1131"/>
      <c r="BU489" s="1131"/>
      <c r="BV489" s="1131"/>
      <c r="BW489" s="1131"/>
      <c r="BX489" s="1131"/>
      <c r="BY489" s="1131"/>
      <c r="BZ489" s="1131"/>
      <c r="CA489" s="1131"/>
      <c r="CB489" s="1131"/>
      <c r="CC489" s="1131"/>
      <c r="CD489" s="1131"/>
      <c r="CE489" s="1131"/>
      <c r="CF489" s="1131"/>
      <c r="CG489" s="1131"/>
      <c r="CH489" s="29"/>
      <c r="CI489" s="185"/>
      <c r="CJ489" s="17"/>
    </row>
    <row r="490" spans="1:88" s="3" customFormat="1" hidden="1">
      <c r="A490" s="243" t="str">
        <f t="shared" si="8"/>
        <v>OK</v>
      </c>
      <c r="B490" s="1126" t="str">
        <f>IF(CONSOLIDA!DQ54="","",CONSOLIDA!DQ54)</f>
        <v/>
      </c>
      <c r="C490" s="1126"/>
      <c r="D490" s="1127" t="str">
        <f>IF(CONSOLIDA!DS54="","",CONSOLIDA!DS54)</f>
        <v/>
      </c>
      <c r="E490" s="1128"/>
      <c r="F490" s="1128"/>
      <c r="G490" s="1129" t="str">
        <f>IF(CONSOLIDA!DT54="","",CONSOLIDA!DT54)</f>
        <v/>
      </c>
      <c r="H490" s="1129"/>
      <c r="I490" s="1129"/>
      <c r="J490" s="1129"/>
      <c r="K490" s="1129"/>
      <c r="L490" s="1129"/>
      <c r="M490" s="1129"/>
      <c r="N490" s="1129"/>
      <c r="O490" s="1129"/>
      <c r="P490" s="1129"/>
      <c r="Q490" s="1129"/>
      <c r="R490" s="1129"/>
      <c r="S490" s="1129"/>
      <c r="T490" s="1129"/>
      <c r="U490" s="1129"/>
      <c r="V490" s="1129"/>
      <c r="W490" s="1129"/>
      <c r="X490" s="1129"/>
      <c r="Y490" s="1129"/>
      <c r="Z490" s="1129"/>
      <c r="AA490" s="1129"/>
      <c r="AB490" s="1129"/>
      <c r="AC490" s="1129"/>
      <c r="AD490" s="1129"/>
      <c r="AE490" s="1130"/>
      <c r="AF490" s="1131"/>
      <c r="AG490" s="1131"/>
      <c r="AH490" s="1131"/>
      <c r="AI490" s="1131"/>
      <c r="AJ490" s="1131"/>
      <c r="AK490" s="1131"/>
      <c r="AL490" s="1131"/>
      <c r="AM490" s="1131"/>
      <c r="AN490" s="1131"/>
      <c r="AO490" s="1131"/>
      <c r="AP490" s="1131"/>
      <c r="AQ490" s="1131"/>
      <c r="AR490" s="1131"/>
      <c r="AS490" s="1131"/>
      <c r="AT490" s="1131"/>
      <c r="AU490" s="1131"/>
      <c r="AV490" s="1131"/>
      <c r="AW490" s="1131"/>
      <c r="AX490" s="1131"/>
      <c r="AY490" s="1131"/>
      <c r="AZ490" s="1131"/>
      <c r="BA490" s="1131"/>
      <c r="BB490" s="1131"/>
      <c r="BC490" s="1131"/>
      <c r="BD490" s="1131"/>
      <c r="BE490" s="1131"/>
      <c r="BF490" s="1131"/>
      <c r="BG490" s="1131"/>
      <c r="BH490" s="1131"/>
      <c r="BI490" s="1131"/>
      <c r="BJ490" s="1131"/>
      <c r="BK490" s="1131"/>
      <c r="BL490" s="1131"/>
      <c r="BM490" s="1131"/>
      <c r="BN490" s="1131"/>
      <c r="BO490" s="1131"/>
      <c r="BP490" s="1131"/>
      <c r="BQ490" s="1131"/>
      <c r="BR490" s="1131"/>
      <c r="BS490" s="1131"/>
      <c r="BT490" s="1131"/>
      <c r="BU490" s="1131"/>
      <c r="BV490" s="1131"/>
      <c r="BW490" s="1131"/>
      <c r="BX490" s="1131"/>
      <c r="BY490" s="1131"/>
      <c r="BZ490" s="1131"/>
      <c r="CA490" s="1131"/>
      <c r="CB490" s="1131"/>
      <c r="CC490" s="1131"/>
      <c r="CD490" s="1131"/>
      <c r="CE490" s="1131"/>
      <c r="CF490" s="1131"/>
      <c r="CG490" s="1131"/>
      <c r="CH490" s="29"/>
      <c r="CI490" s="185"/>
      <c r="CJ490" s="17"/>
    </row>
    <row r="491" spans="1:88" s="3" customFormat="1" hidden="1">
      <c r="A491" s="243" t="str">
        <f t="shared" si="8"/>
        <v>OK</v>
      </c>
      <c r="B491" s="1126" t="str">
        <f>IF(CONSOLIDA!DQ55="","",CONSOLIDA!DQ55)</f>
        <v/>
      </c>
      <c r="C491" s="1126"/>
      <c r="D491" s="1127" t="str">
        <f>IF(CONSOLIDA!DS55="","",CONSOLIDA!DS55)</f>
        <v/>
      </c>
      <c r="E491" s="1128"/>
      <c r="F491" s="1128"/>
      <c r="G491" s="1129" t="str">
        <f>IF(CONSOLIDA!DT55="","",CONSOLIDA!DT55)</f>
        <v/>
      </c>
      <c r="H491" s="1129"/>
      <c r="I491" s="1129"/>
      <c r="J491" s="1129"/>
      <c r="K491" s="1129"/>
      <c r="L491" s="1129"/>
      <c r="M491" s="1129"/>
      <c r="N491" s="1129"/>
      <c r="O491" s="1129"/>
      <c r="P491" s="1129"/>
      <c r="Q491" s="1129"/>
      <c r="R491" s="1129"/>
      <c r="S491" s="1129"/>
      <c r="T491" s="1129"/>
      <c r="U491" s="1129"/>
      <c r="V491" s="1129"/>
      <c r="W491" s="1129"/>
      <c r="X491" s="1129"/>
      <c r="Y491" s="1129"/>
      <c r="Z491" s="1129"/>
      <c r="AA491" s="1129"/>
      <c r="AB491" s="1129"/>
      <c r="AC491" s="1129"/>
      <c r="AD491" s="1129"/>
      <c r="AE491" s="1130"/>
      <c r="AF491" s="1131"/>
      <c r="AG491" s="1131"/>
      <c r="AH491" s="1131"/>
      <c r="AI491" s="1131"/>
      <c r="AJ491" s="1131"/>
      <c r="AK491" s="1131"/>
      <c r="AL491" s="1131"/>
      <c r="AM491" s="1131"/>
      <c r="AN491" s="1131"/>
      <c r="AO491" s="1131"/>
      <c r="AP491" s="1131"/>
      <c r="AQ491" s="1131"/>
      <c r="AR491" s="1131"/>
      <c r="AS491" s="1131"/>
      <c r="AT491" s="1131"/>
      <c r="AU491" s="1131"/>
      <c r="AV491" s="1131"/>
      <c r="AW491" s="1131"/>
      <c r="AX491" s="1131"/>
      <c r="AY491" s="1131"/>
      <c r="AZ491" s="1131"/>
      <c r="BA491" s="1131"/>
      <c r="BB491" s="1131"/>
      <c r="BC491" s="1131"/>
      <c r="BD491" s="1131"/>
      <c r="BE491" s="1131"/>
      <c r="BF491" s="1131"/>
      <c r="BG491" s="1131"/>
      <c r="BH491" s="1131"/>
      <c r="BI491" s="1131"/>
      <c r="BJ491" s="1131"/>
      <c r="BK491" s="1131"/>
      <c r="BL491" s="1131"/>
      <c r="BM491" s="1131"/>
      <c r="BN491" s="1131"/>
      <c r="BO491" s="1131"/>
      <c r="BP491" s="1131"/>
      <c r="BQ491" s="1131"/>
      <c r="BR491" s="1131"/>
      <c r="BS491" s="1131"/>
      <c r="BT491" s="1131"/>
      <c r="BU491" s="1131"/>
      <c r="BV491" s="1131"/>
      <c r="BW491" s="1131"/>
      <c r="BX491" s="1131"/>
      <c r="BY491" s="1131"/>
      <c r="BZ491" s="1131"/>
      <c r="CA491" s="1131"/>
      <c r="CB491" s="1131"/>
      <c r="CC491" s="1131"/>
      <c r="CD491" s="1131"/>
      <c r="CE491" s="1131"/>
      <c r="CF491" s="1131"/>
      <c r="CG491" s="1131"/>
      <c r="CH491" s="29"/>
      <c r="CI491" s="185"/>
      <c r="CJ491" s="17"/>
    </row>
    <row r="492" spans="1:88" s="3" customFormat="1" hidden="1">
      <c r="A492" s="243" t="str">
        <f t="shared" si="8"/>
        <v>OK</v>
      </c>
      <c r="B492" s="1126" t="str">
        <f>IF(CONSOLIDA!DQ56="","",CONSOLIDA!DQ56)</f>
        <v/>
      </c>
      <c r="C492" s="1126"/>
      <c r="D492" s="1127" t="str">
        <f>IF(CONSOLIDA!DS56="","",CONSOLIDA!DS56)</f>
        <v/>
      </c>
      <c r="E492" s="1128"/>
      <c r="F492" s="1128"/>
      <c r="G492" s="1129" t="str">
        <f>IF(CONSOLIDA!DT56="","",CONSOLIDA!DT56)</f>
        <v/>
      </c>
      <c r="H492" s="1129"/>
      <c r="I492" s="1129"/>
      <c r="J492" s="1129"/>
      <c r="K492" s="1129"/>
      <c r="L492" s="1129"/>
      <c r="M492" s="1129"/>
      <c r="N492" s="1129"/>
      <c r="O492" s="1129"/>
      <c r="P492" s="1129"/>
      <c r="Q492" s="1129"/>
      <c r="R492" s="1129"/>
      <c r="S492" s="1129"/>
      <c r="T492" s="1129"/>
      <c r="U492" s="1129"/>
      <c r="V492" s="1129"/>
      <c r="W492" s="1129"/>
      <c r="X492" s="1129"/>
      <c r="Y492" s="1129"/>
      <c r="Z492" s="1129"/>
      <c r="AA492" s="1129"/>
      <c r="AB492" s="1129"/>
      <c r="AC492" s="1129"/>
      <c r="AD492" s="1129"/>
      <c r="AE492" s="1130"/>
      <c r="AF492" s="1131"/>
      <c r="AG492" s="1131"/>
      <c r="AH492" s="1131"/>
      <c r="AI492" s="1131"/>
      <c r="AJ492" s="1131"/>
      <c r="AK492" s="1131"/>
      <c r="AL492" s="1131"/>
      <c r="AM492" s="1131"/>
      <c r="AN492" s="1131"/>
      <c r="AO492" s="1131"/>
      <c r="AP492" s="1131"/>
      <c r="AQ492" s="1131"/>
      <c r="AR492" s="1131"/>
      <c r="AS492" s="1131"/>
      <c r="AT492" s="1131"/>
      <c r="AU492" s="1131"/>
      <c r="AV492" s="1131"/>
      <c r="AW492" s="1131"/>
      <c r="AX492" s="1131"/>
      <c r="AY492" s="1131"/>
      <c r="AZ492" s="1131"/>
      <c r="BA492" s="1131"/>
      <c r="BB492" s="1131"/>
      <c r="BC492" s="1131"/>
      <c r="BD492" s="1131"/>
      <c r="BE492" s="1131"/>
      <c r="BF492" s="1131"/>
      <c r="BG492" s="1131"/>
      <c r="BH492" s="1131"/>
      <c r="BI492" s="1131"/>
      <c r="BJ492" s="1131"/>
      <c r="BK492" s="1131"/>
      <c r="BL492" s="1131"/>
      <c r="BM492" s="1131"/>
      <c r="BN492" s="1131"/>
      <c r="BO492" s="1131"/>
      <c r="BP492" s="1131"/>
      <c r="BQ492" s="1131"/>
      <c r="BR492" s="1131"/>
      <c r="BS492" s="1131"/>
      <c r="BT492" s="1131"/>
      <c r="BU492" s="1131"/>
      <c r="BV492" s="1131"/>
      <c r="BW492" s="1131"/>
      <c r="BX492" s="1131"/>
      <c r="BY492" s="1131"/>
      <c r="BZ492" s="1131"/>
      <c r="CA492" s="1131"/>
      <c r="CB492" s="1131"/>
      <c r="CC492" s="1131"/>
      <c r="CD492" s="1131"/>
      <c r="CE492" s="1131"/>
      <c r="CF492" s="1131"/>
      <c r="CG492" s="1131"/>
      <c r="CH492" s="29"/>
      <c r="CI492" s="185"/>
      <c r="CJ492" s="17"/>
    </row>
    <row r="493" spans="1:88" s="3" customFormat="1" hidden="1">
      <c r="A493" s="243" t="str">
        <f t="shared" si="8"/>
        <v>OK</v>
      </c>
      <c r="B493" s="1126" t="str">
        <f>IF(CONSOLIDA!DQ57="","",CONSOLIDA!DQ57)</f>
        <v/>
      </c>
      <c r="C493" s="1126"/>
      <c r="D493" s="1127" t="str">
        <f>IF(CONSOLIDA!DS57="","",CONSOLIDA!DS57)</f>
        <v/>
      </c>
      <c r="E493" s="1128"/>
      <c r="F493" s="1128"/>
      <c r="G493" s="1129" t="str">
        <f>IF(CONSOLIDA!DT57="","",CONSOLIDA!DT57)</f>
        <v/>
      </c>
      <c r="H493" s="1129"/>
      <c r="I493" s="1129"/>
      <c r="J493" s="1129"/>
      <c r="K493" s="1129"/>
      <c r="L493" s="1129"/>
      <c r="M493" s="1129"/>
      <c r="N493" s="1129"/>
      <c r="O493" s="1129"/>
      <c r="P493" s="1129"/>
      <c r="Q493" s="1129"/>
      <c r="R493" s="1129"/>
      <c r="S493" s="1129"/>
      <c r="T493" s="1129"/>
      <c r="U493" s="1129"/>
      <c r="V493" s="1129"/>
      <c r="W493" s="1129"/>
      <c r="X493" s="1129"/>
      <c r="Y493" s="1129"/>
      <c r="Z493" s="1129"/>
      <c r="AA493" s="1129"/>
      <c r="AB493" s="1129"/>
      <c r="AC493" s="1129"/>
      <c r="AD493" s="1129"/>
      <c r="AE493" s="1130"/>
      <c r="AF493" s="1131"/>
      <c r="AG493" s="1131"/>
      <c r="AH493" s="1131"/>
      <c r="AI493" s="1131"/>
      <c r="AJ493" s="1131"/>
      <c r="AK493" s="1131"/>
      <c r="AL493" s="1131"/>
      <c r="AM493" s="1131"/>
      <c r="AN493" s="1131"/>
      <c r="AO493" s="1131"/>
      <c r="AP493" s="1131"/>
      <c r="AQ493" s="1131"/>
      <c r="AR493" s="1131"/>
      <c r="AS493" s="1131"/>
      <c r="AT493" s="1131"/>
      <c r="AU493" s="1131"/>
      <c r="AV493" s="1131"/>
      <c r="AW493" s="1131"/>
      <c r="AX493" s="1131"/>
      <c r="AY493" s="1131"/>
      <c r="AZ493" s="1131"/>
      <c r="BA493" s="1131"/>
      <c r="BB493" s="1131"/>
      <c r="BC493" s="1131"/>
      <c r="BD493" s="1131"/>
      <c r="BE493" s="1131"/>
      <c r="BF493" s="1131"/>
      <c r="BG493" s="1131"/>
      <c r="BH493" s="1131"/>
      <c r="BI493" s="1131"/>
      <c r="BJ493" s="1131"/>
      <c r="BK493" s="1131"/>
      <c r="BL493" s="1131"/>
      <c r="BM493" s="1131"/>
      <c r="BN493" s="1131"/>
      <c r="BO493" s="1131"/>
      <c r="BP493" s="1131"/>
      <c r="BQ493" s="1131"/>
      <c r="BR493" s="1131"/>
      <c r="BS493" s="1131"/>
      <c r="BT493" s="1131"/>
      <c r="BU493" s="1131"/>
      <c r="BV493" s="1131"/>
      <c r="BW493" s="1131"/>
      <c r="BX493" s="1131"/>
      <c r="BY493" s="1131"/>
      <c r="BZ493" s="1131"/>
      <c r="CA493" s="1131"/>
      <c r="CB493" s="1131"/>
      <c r="CC493" s="1131"/>
      <c r="CD493" s="1131"/>
      <c r="CE493" s="1131"/>
      <c r="CF493" s="1131"/>
      <c r="CG493" s="1131"/>
      <c r="CH493" s="29"/>
      <c r="CI493" s="185"/>
      <c r="CJ493" s="17"/>
    </row>
    <row r="494" spans="1:88" s="3" customFormat="1" hidden="1">
      <c r="A494" s="243" t="str">
        <f t="shared" si="8"/>
        <v>OK</v>
      </c>
      <c r="B494" s="1126" t="str">
        <f>IF(CONSOLIDA!DQ58="","",CONSOLIDA!DQ58)</f>
        <v/>
      </c>
      <c r="C494" s="1126"/>
      <c r="D494" s="1127" t="str">
        <f>IF(CONSOLIDA!DS58="","",CONSOLIDA!DS58)</f>
        <v/>
      </c>
      <c r="E494" s="1128"/>
      <c r="F494" s="1128"/>
      <c r="G494" s="1129" t="str">
        <f>IF(CONSOLIDA!DT58="","",CONSOLIDA!DT58)</f>
        <v/>
      </c>
      <c r="H494" s="1129"/>
      <c r="I494" s="1129"/>
      <c r="J494" s="1129"/>
      <c r="K494" s="1129"/>
      <c r="L494" s="1129"/>
      <c r="M494" s="1129"/>
      <c r="N494" s="1129"/>
      <c r="O494" s="1129"/>
      <c r="P494" s="1129"/>
      <c r="Q494" s="1129"/>
      <c r="R494" s="1129"/>
      <c r="S494" s="1129"/>
      <c r="T494" s="1129"/>
      <c r="U494" s="1129"/>
      <c r="V494" s="1129"/>
      <c r="W494" s="1129"/>
      <c r="X494" s="1129"/>
      <c r="Y494" s="1129"/>
      <c r="Z494" s="1129"/>
      <c r="AA494" s="1129"/>
      <c r="AB494" s="1129"/>
      <c r="AC494" s="1129"/>
      <c r="AD494" s="1129"/>
      <c r="AE494" s="1130"/>
      <c r="AF494" s="1131"/>
      <c r="AG494" s="1131"/>
      <c r="AH494" s="1131"/>
      <c r="AI494" s="1131"/>
      <c r="AJ494" s="1131"/>
      <c r="AK494" s="1131"/>
      <c r="AL494" s="1131"/>
      <c r="AM494" s="1131"/>
      <c r="AN494" s="1131"/>
      <c r="AO494" s="1131"/>
      <c r="AP494" s="1131"/>
      <c r="AQ494" s="1131"/>
      <c r="AR494" s="1131"/>
      <c r="AS494" s="1131"/>
      <c r="AT494" s="1131"/>
      <c r="AU494" s="1131"/>
      <c r="AV494" s="1131"/>
      <c r="AW494" s="1131"/>
      <c r="AX494" s="1131"/>
      <c r="AY494" s="1131"/>
      <c r="AZ494" s="1131"/>
      <c r="BA494" s="1131"/>
      <c r="BB494" s="1131"/>
      <c r="BC494" s="1131"/>
      <c r="BD494" s="1131"/>
      <c r="BE494" s="1131"/>
      <c r="BF494" s="1131"/>
      <c r="BG494" s="1131"/>
      <c r="BH494" s="1131"/>
      <c r="BI494" s="1131"/>
      <c r="BJ494" s="1131"/>
      <c r="BK494" s="1131"/>
      <c r="BL494" s="1131"/>
      <c r="BM494" s="1131"/>
      <c r="BN494" s="1131"/>
      <c r="BO494" s="1131"/>
      <c r="BP494" s="1131"/>
      <c r="BQ494" s="1131"/>
      <c r="BR494" s="1131"/>
      <c r="BS494" s="1131"/>
      <c r="BT494" s="1131"/>
      <c r="BU494" s="1131"/>
      <c r="BV494" s="1131"/>
      <c r="BW494" s="1131"/>
      <c r="BX494" s="1131"/>
      <c r="BY494" s="1131"/>
      <c r="BZ494" s="1131"/>
      <c r="CA494" s="1131"/>
      <c r="CB494" s="1131"/>
      <c r="CC494" s="1131"/>
      <c r="CD494" s="1131"/>
      <c r="CE494" s="1131"/>
      <c r="CF494" s="1131"/>
      <c r="CG494" s="1131"/>
      <c r="CH494" s="29"/>
      <c r="CI494" s="185"/>
      <c r="CJ494" s="17"/>
    </row>
    <row r="495" spans="1:88" s="3" customFormat="1" hidden="1">
      <c r="A495" s="243" t="str">
        <f t="shared" si="8"/>
        <v>OK</v>
      </c>
      <c r="B495" s="1126" t="str">
        <f>IF(CONSOLIDA!DQ59="","",CONSOLIDA!DQ59)</f>
        <v/>
      </c>
      <c r="C495" s="1126"/>
      <c r="D495" s="1127" t="str">
        <f>IF(CONSOLIDA!DS59="","",CONSOLIDA!DS59)</f>
        <v/>
      </c>
      <c r="E495" s="1128"/>
      <c r="F495" s="1128"/>
      <c r="G495" s="1129" t="str">
        <f>IF(CONSOLIDA!DT59="","",CONSOLIDA!DT59)</f>
        <v/>
      </c>
      <c r="H495" s="1129"/>
      <c r="I495" s="1129"/>
      <c r="J495" s="1129"/>
      <c r="K495" s="1129"/>
      <c r="L495" s="1129"/>
      <c r="M495" s="1129"/>
      <c r="N495" s="1129"/>
      <c r="O495" s="1129"/>
      <c r="P495" s="1129"/>
      <c r="Q495" s="1129"/>
      <c r="R495" s="1129"/>
      <c r="S495" s="1129"/>
      <c r="T495" s="1129"/>
      <c r="U495" s="1129"/>
      <c r="V495" s="1129"/>
      <c r="W495" s="1129"/>
      <c r="X495" s="1129"/>
      <c r="Y495" s="1129"/>
      <c r="Z495" s="1129"/>
      <c r="AA495" s="1129"/>
      <c r="AB495" s="1129"/>
      <c r="AC495" s="1129"/>
      <c r="AD495" s="1129"/>
      <c r="AE495" s="1130"/>
      <c r="AF495" s="1131"/>
      <c r="AG495" s="1131"/>
      <c r="AH495" s="1131"/>
      <c r="AI495" s="1131"/>
      <c r="AJ495" s="1131"/>
      <c r="AK495" s="1131"/>
      <c r="AL495" s="1131"/>
      <c r="AM495" s="1131"/>
      <c r="AN495" s="1131"/>
      <c r="AO495" s="1131"/>
      <c r="AP495" s="1131"/>
      <c r="AQ495" s="1131"/>
      <c r="AR495" s="1131"/>
      <c r="AS495" s="1131"/>
      <c r="AT495" s="1131"/>
      <c r="AU495" s="1131"/>
      <c r="AV495" s="1131"/>
      <c r="AW495" s="1131"/>
      <c r="AX495" s="1131"/>
      <c r="AY495" s="1131"/>
      <c r="AZ495" s="1131"/>
      <c r="BA495" s="1131"/>
      <c r="BB495" s="1131"/>
      <c r="BC495" s="1131"/>
      <c r="BD495" s="1131"/>
      <c r="BE495" s="1131"/>
      <c r="BF495" s="1131"/>
      <c r="BG495" s="1131"/>
      <c r="BH495" s="1131"/>
      <c r="BI495" s="1131"/>
      <c r="BJ495" s="1131"/>
      <c r="BK495" s="1131"/>
      <c r="BL495" s="1131"/>
      <c r="BM495" s="1131"/>
      <c r="BN495" s="1131"/>
      <c r="BO495" s="1131"/>
      <c r="BP495" s="1131"/>
      <c r="BQ495" s="1131"/>
      <c r="BR495" s="1131"/>
      <c r="BS495" s="1131"/>
      <c r="BT495" s="1131"/>
      <c r="BU495" s="1131"/>
      <c r="BV495" s="1131"/>
      <c r="BW495" s="1131"/>
      <c r="BX495" s="1131"/>
      <c r="BY495" s="1131"/>
      <c r="BZ495" s="1131"/>
      <c r="CA495" s="1131"/>
      <c r="CB495" s="1131"/>
      <c r="CC495" s="1131"/>
      <c r="CD495" s="1131"/>
      <c r="CE495" s="1131"/>
      <c r="CF495" s="1131"/>
      <c r="CG495" s="1131"/>
      <c r="CH495" s="29"/>
      <c r="CI495" s="185"/>
      <c r="CJ495" s="17"/>
    </row>
    <row r="496" spans="1:88" s="3" customFormat="1" hidden="1">
      <c r="A496" s="243" t="str">
        <f t="shared" si="8"/>
        <v>OK</v>
      </c>
      <c r="B496" s="1126" t="str">
        <f>IF(CONSOLIDA!DQ60="","",CONSOLIDA!DQ60)</f>
        <v/>
      </c>
      <c r="C496" s="1126"/>
      <c r="D496" s="1127" t="str">
        <f>IF(CONSOLIDA!DS60="","",CONSOLIDA!DS60)</f>
        <v/>
      </c>
      <c r="E496" s="1128"/>
      <c r="F496" s="1128"/>
      <c r="G496" s="1129" t="str">
        <f>IF(CONSOLIDA!DT60="","",CONSOLIDA!DT60)</f>
        <v/>
      </c>
      <c r="H496" s="1129"/>
      <c r="I496" s="1129"/>
      <c r="J496" s="1129"/>
      <c r="K496" s="1129"/>
      <c r="L496" s="1129"/>
      <c r="M496" s="1129"/>
      <c r="N496" s="1129"/>
      <c r="O496" s="1129"/>
      <c r="P496" s="1129"/>
      <c r="Q496" s="1129"/>
      <c r="R496" s="1129"/>
      <c r="S496" s="1129"/>
      <c r="T496" s="1129"/>
      <c r="U496" s="1129"/>
      <c r="V496" s="1129"/>
      <c r="W496" s="1129"/>
      <c r="X496" s="1129"/>
      <c r="Y496" s="1129"/>
      <c r="Z496" s="1129"/>
      <c r="AA496" s="1129"/>
      <c r="AB496" s="1129"/>
      <c r="AC496" s="1129"/>
      <c r="AD496" s="1129"/>
      <c r="AE496" s="1130"/>
      <c r="AF496" s="1131"/>
      <c r="AG496" s="1131"/>
      <c r="AH496" s="1131"/>
      <c r="AI496" s="1131"/>
      <c r="AJ496" s="1131"/>
      <c r="AK496" s="1131"/>
      <c r="AL496" s="1131"/>
      <c r="AM496" s="1131"/>
      <c r="AN496" s="1131"/>
      <c r="AO496" s="1131"/>
      <c r="AP496" s="1131"/>
      <c r="AQ496" s="1131"/>
      <c r="AR496" s="1131"/>
      <c r="AS496" s="1131"/>
      <c r="AT496" s="1131"/>
      <c r="AU496" s="1131"/>
      <c r="AV496" s="1131"/>
      <c r="AW496" s="1131"/>
      <c r="AX496" s="1131"/>
      <c r="AY496" s="1131"/>
      <c r="AZ496" s="1131"/>
      <c r="BA496" s="1131"/>
      <c r="BB496" s="1131"/>
      <c r="BC496" s="1131"/>
      <c r="BD496" s="1131"/>
      <c r="BE496" s="1131"/>
      <c r="BF496" s="1131"/>
      <c r="BG496" s="1131"/>
      <c r="BH496" s="1131"/>
      <c r="BI496" s="1131"/>
      <c r="BJ496" s="1131"/>
      <c r="BK496" s="1131"/>
      <c r="BL496" s="1131"/>
      <c r="BM496" s="1131"/>
      <c r="BN496" s="1131"/>
      <c r="BO496" s="1131"/>
      <c r="BP496" s="1131"/>
      <c r="BQ496" s="1131"/>
      <c r="BR496" s="1131"/>
      <c r="BS496" s="1131"/>
      <c r="BT496" s="1131"/>
      <c r="BU496" s="1131"/>
      <c r="BV496" s="1131"/>
      <c r="BW496" s="1131"/>
      <c r="BX496" s="1131"/>
      <c r="BY496" s="1131"/>
      <c r="BZ496" s="1131"/>
      <c r="CA496" s="1131"/>
      <c r="CB496" s="1131"/>
      <c r="CC496" s="1131"/>
      <c r="CD496" s="1131"/>
      <c r="CE496" s="1131"/>
      <c r="CF496" s="1131"/>
      <c r="CG496" s="1131"/>
      <c r="CH496" s="29"/>
      <c r="CI496" s="185"/>
      <c r="CJ496" s="17"/>
    </row>
    <row r="497" spans="1:88" s="3" customFormat="1" hidden="1">
      <c r="A497" s="243" t="str">
        <f t="shared" si="8"/>
        <v>OK</v>
      </c>
      <c r="B497" s="1126" t="str">
        <f>IF(CONSOLIDA!DQ61="","",CONSOLIDA!DQ61)</f>
        <v/>
      </c>
      <c r="C497" s="1126"/>
      <c r="D497" s="1127" t="str">
        <f>IF(CONSOLIDA!DS61="","",CONSOLIDA!DS61)</f>
        <v/>
      </c>
      <c r="E497" s="1128"/>
      <c r="F497" s="1128"/>
      <c r="G497" s="1129" t="str">
        <f>IF(CONSOLIDA!DT61="","",CONSOLIDA!DT61)</f>
        <v/>
      </c>
      <c r="H497" s="1129"/>
      <c r="I497" s="1129"/>
      <c r="J497" s="1129"/>
      <c r="K497" s="1129"/>
      <c r="L497" s="1129"/>
      <c r="M497" s="1129"/>
      <c r="N497" s="1129"/>
      <c r="O497" s="1129"/>
      <c r="P497" s="1129"/>
      <c r="Q497" s="1129"/>
      <c r="R497" s="1129"/>
      <c r="S497" s="1129"/>
      <c r="T497" s="1129"/>
      <c r="U497" s="1129"/>
      <c r="V497" s="1129"/>
      <c r="W497" s="1129"/>
      <c r="X497" s="1129"/>
      <c r="Y497" s="1129"/>
      <c r="Z497" s="1129"/>
      <c r="AA497" s="1129"/>
      <c r="AB497" s="1129"/>
      <c r="AC497" s="1129"/>
      <c r="AD497" s="1129"/>
      <c r="AE497" s="1130"/>
      <c r="AF497" s="1131"/>
      <c r="AG497" s="1131"/>
      <c r="AH497" s="1131"/>
      <c r="AI497" s="1131"/>
      <c r="AJ497" s="1131"/>
      <c r="AK497" s="1131"/>
      <c r="AL497" s="1131"/>
      <c r="AM497" s="1131"/>
      <c r="AN497" s="1131"/>
      <c r="AO497" s="1131"/>
      <c r="AP497" s="1131"/>
      <c r="AQ497" s="1131"/>
      <c r="AR497" s="1131"/>
      <c r="AS497" s="1131"/>
      <c r="AT497" s="1131"/>
      <c r="AU497" s="1131"/>
      <c r="AV497" s="1131"/>
      <c r="AW497" s="1131"/>
      <c r="AX497" s="1131"/>
      <c r="AY497" s="1131"/>
      <c r="AZ497" s="1131"/>
      <c r="BA497" s="1131"/>
      <c r="BB497" s="1131"/>
      <c r="BC497" s="1131"/>
      <c r="BD497" s="1131"/>
      <c r="BE497" s="1131"/>
      <c r="BF497" s="1131"/>
      <c r="BG497" s="1131"/>
      <c r="BH497" s="1131"/>
      <c r="BI497" s="1131"/>
      <c r="BJ497" s="1131"/>
      <c r="BK497" s="1131"/>
      <c r="BL497" s="1131"/>
      <c r="BM497" s="1131"/>
      <c r="BN497" s="1131"/>
      <c r="BO497" s="1131"/>
      <c r="BP497" s="1131"/>
      <c r="BQ497" s="1131"/>
      <c r="BR497" s="1131"/>
      <c r="BS497" s="1131"/>
      <c r="BT497" s="1131"/>
      <c r="BU497" s="1131"/>
      <c r="BV497" s="1131"/>
      <c r="BW497" s="1131"/>
      <c r="BX497" s="1131"/>
      <c r="BY497" s="1131"/>
      <c r="BZ497" s="1131"/>
      <c r="CA497" s="1131"/>
      <c r="CB497" s="1131"/>
      <c r="CC497" s="1131"/>
      <c r="CD497" s="1131"/>
      <c r="CE497" s="1131"/>
      <c r="CF497" s="1131"/>
      <c r="CG497" s="1131"/>
      <c r="CH497" s="29"/>
      <c r="CI497" s="185"/>
      <c r="CJ497" s="17"/>
    </row>
    <row r="498" spans="1:88" s="3" customFormat="1" hidden="1">
      <c r="A498" s="243" t="str">
        <f t="shared" si="8"/>
        <v>OK</v>
      </c>
      <c r="B498" s="1126" t="str">
        <f>IF(CONSOLIDA!DQ62="","",CONSOLIDA!DQ62)</f>
        <v/>
      </c>
      <c r="C498" s="1126"/>
      <c r="D498" s="1127" t="str">
        <f>IF(CONSOLIDA!DS62="","",CONSOLIDA!DS62)</f>
        <v/>
      </c>
      <c r="E498" s="1128"/>
      <c r="F498" s="1128"/>
      <c r="G498" s="1129" t="str">
        <f>IF(CONSOLIDA!DT62="","",CONSOLIDA!DT62)</f>
        <v/>
      </c>
      <c r="H498" s="1129"/>
      <c r="I498" s="1129"/>
      <c r="J498" s="1129"/>
      <c r="K498" s="1129"/>
      <c r="L498" s="1129"/>
      <c r="M498" s="1129"/>
      <c r="N498" s="1129"/>
      <c r="O498" s="1129"/>
      <c r="P498" s="1129"/>
      <c r="Q498" s="1129"/>
      <c r="R498" s="1129"/>
      <c r="S498" s="1129"/>
      <c r="T498" s="1129"/>
      <c r="U498" s="1129"/>
      <c r="V498" s="1129"/>
      <c r="W498" s="1129"/>
      <c r="X498" s="1129"/>
      <c r="Y498" s="1129"/>
      <c r="Z498" s="1129"/>
      <c r="AA498" s="1129"/>
      <c r="AB498" s="1129"/>
      <c r="AC498" s="1129"/>
      <c r="AD498" s="1129"/>
      <c r="AE498" s="1130"/>
      <c r="AF498" s="1131"/>
      <c r="AG498" s="1131"/>
      <c r="AH498" s="1131"/>
      <c r="AI498" s="1131"/>
      <c r="AJ498" s="1131"/>
      <c r="AK498" s="1131"/>
      <c r="AL498" s="1131"/>
      <c r="AM498" s="1131"/>
      <c r="AN498" s="1131"/>
      <c r="AO498" s="1131"/>
      <c r="AP498" s="1131"/>
      <c r="AQ498" s="1131"/>
      <c r="AR498" s="1131"/>
      <c r="AS498" s="1131"/>
      <c r="AT498" s="1131"/>
      <c r="AU498" s="1131"/>
      <c r="AV498" s="1131"/>
      <c r="AW498" s="1131"/>
      <c r="AX498" s="1131"/>
      <c r="AY498" s="1131"/>
      <c r="AZ498" s="1131"/>
      <c r="BA498" s="1131"/>
      <c r="BB498" s="1131"/>
      <c r="BC498" s="1131"/>
      <c r="BD498" s="1131"/>
      <c r="BE498" s="1131"/>
      <c r="BF498" s="1131"/>
      <c r="BG498" s="1131"/>
      <c r="BH498" s="1131"/>
      <c r="BI498" s="1131"/>
      <c r="BJ498" s="1131"/>
      <c r="BK498" s="1131"/>
      <c r="BL498" s="1131"/>
      <c r="BM498" s="1131"/>
      <c r="BN498" s="1131"/>
      <c r="BO498" s="1131"/>
      <c r="BP498" s="1131"/>
      <c r="BQ498" s="1131"/>
      <c r="BR498" s="1131"/>
      <c r="BS498" s="1131"/>
      <c r="BT498" s="1131"/>
      <c r="BU498" s="1131"/>
      <c r="BV498" s="1131"/>
      <c r="BW498" s="1131"/>
      <c r="BX498" s="1131"/>
      <c r="BY498" s="1131"/>
      <c r="BZ498" s="1131"/>
      <c r="CA498" s="1131"/>
      <c r="CB498" s="1131"/>
      <c r="CC498" s="1131"/>
      <c r="CD498" s="1131"/>
      <c r="CE498" s="1131"/>
      <c r="CF498" s="1131"/>
      <c r="CG498" s="1131"/>
      <c r="CH498" s="29"/>
      <c r="CI498" s="185"/>
      <c r="CJ498" s="17"/>
    </row>
    <row r="499" spans="1:88" s="3" customFormat="1" hidden="1">
      <c r="A499" s="243" t="str">
        <f t="shared" si="8"/>
        <v>OK</v>
      </c>
      <c r="B499" s="1126" t="str">
        <f>IF(CONSOLIDA!DQ63="","",CONSOLIDA!DQ63)</f>
        <v/>
      </c>
      <c r="C499" s="1126"/>
      <c r="D499" s="1127" t="str">
        <f>IF(CONSOLIDA!DS63="","",CONSOLIDA!DS63)</f>
        <v/>
      </c>
      <c r="E499" s="1128"/>
      <c r="F499" s="1128"/>
      <c r="G499" s="1129" t="str">
        <f>IF(CONSOLIDA!DT63="","",CONSOLIDA!DT63)</f>
        <v/>
      </c>
      <c r="H499" s="1129"/>
      <c r="I499" s="1129"/>
      <c r="J499" s="1129"/>
      <c r="K499" s="1129"/>
      <c r="L499" s="1129"/>
      <c r="M499" s="1129"/>
      <c r="N499" s="1129"/>
      <c r="O499" s="1129"/>
      <c r="P499" s="1129"/>
      <c r="Q499" s="1129"/>
      <c r="R499" s="1129"/>
      <c r="S499" s="1129"/>
      <c r="T499" s="1129"/>
      <c r="U499" s="1129"/>
      <c r="V499" s="1129"/>
      <c r="W499" s="1129"/>
      <c r="X499" s="1129"/>
      <c r="Y499" s="1129"/>
      <c r="Z499" s="1129"/>
      <c r="AA499" s="1129"/>
      <c r="AB499" s="1129"/>
      <c r="AC499" s="1129"/>
      <c r="AD499" s="1129"/>
      <c r="AE499" s="1130"/>
      <c r="AF499" s="1131"/>
      <c r="AG499" s="1131"/>
      <c r="AH499" s="1131"/>
      <c r="AI499" s="1131"/>
      <c r="AJ499" s="1131"/>
      <c r="AK499" s="1131"/>
      <c r="AL499" s="1131"/>
      <c r="AM499" s="1131"/>
      <c r="AN499" s="1131"/>
      <c r="AO499" s="1131"/>
      <c r="AP499" s="1131"/>
      <c r="AQ499" s="1131"/>
      <c r="AR499" s="1131"/>
      <c r="AS499" s="1131"/>
      <c r="AT499" s="1131"/>
      <c r="AU499" s="1131"/>
      <c r="AV499" s="1131"/>
      <c r="AW499" s="1131"/>
      <c r="AX499" s="1131"/>
      <c r="AY499" s="1131"/>
      <c r="AZ499" s="1131"/>
      <c r="BA499" s="1131"/>
      <c r="BB499" s="1131"/>
      <c r="BC499" s="1131"/>
      <c r="BD499" s="1131"/>
      <c r="BE499" s="1131"/>
      <c r="BF499" s="1131"/>
      <c r="BG499" s="1131"/>
      <c r="BH499" s="1131"/>
      <c r="BI499" s="1131"/>
      <c r="BJ499" s="1131"/>
      <c r="BK499" s="1131"/>
      <c r="BL499" s="1131"/>
      <c r="BM499" s="1131"/>
      <c r="BN499" s="1131"/>
      <c r="BO499" s="1131"/>
      <c r="BP499" s="1131"/>
      <c r="BQ499" s="1131"/>
      <c r="BR499" s="1131"/>
      <c r="BS499" s="1131"/>
      <c r="BT499" s="1131"/>
      <c r="BU499" s="1131"/>
      <c r="BV499" s="1131"/>
      <c r="BW499" s="1131"/>
      <c r="BX499" s="1131"/>
      <c r="BY499" s="1131"/>
      <c r="BZ499" s="1131"/>
      <c r="CA499" s="1131"/>
      <c r="CB499" s="1131"/>
      <c r="CC499" s="1131"/>
      <c r="CD499" s="1131"/>
      <c r="CE499" s="1131"/>
      <c r="CF499" s="1131"/>
      <c r="CG499" s="1131"/>
      <c r="CH499" s="29"/>
      <c r="CI499" s="185"/>
      <c r="CJ499" s="17"/>
    </row>
    <row r="500" spans="1:88" s="3" customFormat="1" hidden="1">
      <c r="A500" s="243" t="str">
        <f t="shared" si="8"/>
        <v>OK</v>
      </c>
      <c r="B500" s="1126" t="str">
        <f>IF(CONSOLIDA!DQ64="","",CONSOLIDA!DQ64)</f>
        <v/>
      </c>
      <c r="C500" s="1126"/>
      <c r="D500" s="1127" t="str">
        <f>IF(CONSOLIDA!DS64="","",CONSOLIDA!DS64)</f>
        <v/>
      </c>
      <c r="E500" s="1128"/>
      <c r="F500" s="1128"/>
      <c r="G500" s="1129" t="str">
        <f>IF(CONSOLIDA!DT64="","",CONSOLIDA!DT64)</f>
        <v/>
      </c>
      <c r="H500" s="1129"/>
      <c r="I500" s="1129"/>
      <c r="J500" s="1129"/>
      <c r="K500" s="1129"/>
      <c r="L500" s="1129"/>
      <c r="M500" s="1129"/>
      <c r="N500" s="1129"/>
      <c r="O500" s="1129"/>
      <c r="P500" s="1129"/>
      <c r="Q500" s="1129"/>
      <c r="R500" s="1129"/>
      <c r="S500" s="1129"/>
      <c r="T500" s="1129"/>
      <c r="U500" s="1129"/>
      <c r="V500" s="1129"/>
      <c r="W500" s="1129"/>
      <c r="X500" s="1129"/>
      <c r="Y500" s="1129"/>
      <c r="Z500" s="1129"/>
      <c r="AA500" s="1129"/>
      <c r="AB500" s="1129"/>
      <c r="AC500" s="1129"/>
      <c r="AD500" s="1129"/>
      <c r="AE500" s="1130"/>
      <c r="AF500" s="1131"/>
      <c r="AG500" s="1131"/>
      <c r="AH500" s="1131"/>
      <c r="AI500" s="1131"/>
      <c r="AJ500" s="1131"/>
      <c r="AK500" s="1131"/>
      <c r="AL500" s="1131"/>
      <c r="AM500" s="1131"/>
      <c r="AN500" s="1131"/>
      <c r="AO500" s="1131"/>
      <c r="AP500" s="1131"/>
      <c r="AQ500" s="1131"/>
      <c r="AR500" s="1131"/>
      <c r="AS500" s="1131"/>
      <c r="AT500" s="1131"/>
      <c r="AU500" s="1131"/>
      <c r="AV500" s="1131"/>
      <c r="AW500" s="1131"/>
      <c r="AX500" s="1131"/>
      <c r="AY500" s="1131"/>
      <c r="AZ500" s="1131"/>
      <c r="BA500" s="1131"/>
      <c r="BB500" s="1131"/>
      <c r="BC500" s="1131"/>
      <c r="BD500" s="1131"/>
      <c r="BE500" s="1131"/>
      <c r="BF500" s="1131"/>
      <c r="BG500" s="1131"/>
      <c r="BH500" s="1131"/>
      <c r="BI500" s="1131"/>
      <c r="BJ500" s="1131"/>
      <c r="BK500" s="1131"/>
      <c r="BL500" s="1131"/>
      <c r="BM500" s="1131"/>
      <c r="BN500" s="1131"/>
      <c r="BO500" s="1131"/>
      <c r="BP500" s="1131"/>
      <c r="BQ500" s="1131"/>
      <c r="BR500" s="1131"/>
      <c r="BS500" s="1131"/>
      <c r="BT500" s="1131"/>
      <c r="BU500" s="1131"/>
      <c r="BV500" s="1131"/>
      <c r="BW500" s="1131"/>
      <c r="BX500" s="1131"/>
      <c r="BY500" s="1131"/>
      <c r="BZ500" s="1131"/>
      <c r="CA500" s="1131"/>
      <c r="CB500" s="1131"/>
      <c r="CC500" s="1131"/>
      <c r="CD500" s="1131"/>
      <c r="CE500" s="1131"/>
      <c r="CF500" s="1131"/>
      <c r="CG500" s="1131"/>
      <c r="CH500" s="29"/>
      <c r="CI500" s="185"/>
      <c r="CJ500" s="17"/>
    </row>
    <row r="501" spans="1:88" s="3" customFormat="1" hidden="1">
      <c r="A501" s="243" t="str">
        <f t="shared" si="8"/>
        <v>OK</v>
      </c>
      <c r="B501" s="1126" t="str">
        <f>IF(CONSOLIDA!DQ65="","",CONSOLIDA!DQ65)</f>
        <v/>
      </c>
      <c r="C501" s="1126"/>
      <c r="D501" s="1127" t="str">
        <f>IF(CONSOLIDA!DS65="","",CONSOLIDA!DS65)</f>
        <v/>
      </c>
      <c r="E501" s="1128"/>
      <c r="F501" s="1128"/>
      <c r="G501" s="1129" t="str">
        <f>IF(CONSOLIDA!DT65="","",CONSOLIDA!DT65)</f>
        <v/>
      </c>
      <c r="H501" s="1129"/>
      <c r="I501" s="1129"/>
      <c r="J501" s="1129"/>
      <c r="K501" s="1129"/>
      <c r="L501" s="1129"/>
      <c r="M501" s="1129"/>
      <c r="N501" s="1129"/>
      <c r="O501" s="1129"/>
      <c r="P501" s="1129"/>
      <c r="Q501" s="1129"/>
      <c r="R501" s="1129"/>
      <c r="S501" s="1129"/>
      <c r="T501" s="1129"/>
      <c r="U501" s="1129"/>
      <c r="V501" s="1129"/>
      <c r="W501" s="1129"/>
      <c r="X501" s="1129"/>
      <c r="Y501" s="1129"/>
      <c r="Z501" s="1129"/>
      <c r="AA501" s="1129"/>
      <c r="AB501" s="1129"/>
      <c r="AC501" s="1129"/>
      <c r="AD501" s="1129"/>
      <c r="AE501" s="1130"/>
      <c r="AF501" s="1131"/>
      <c r="AG501" s="1131"/>
      <c r="AH501" s="1131"/>
      <c r="AI501" s="1131"/>
      <c r="AJ501" s="1131"/>
      <c r="AK501" s="1131"/>
      <c r="AL501" s="1131"/>
      <c r="AM501" s="1131"/>
      <c r="AN501" s="1131"/>
      <c r="AO501" s="1131"/>
      <c r="AP501" s="1131"/>
      <c r="AQ501" s="1131"/>
      <c r="AR501" s="1131"/>
      <c r="AS501" s="1131"/>
      <c r="AT501" s="1131"/>
      <c r="AU501" s="1131"/>
      <c r="AV501" s="1131"/>
      <c r="AW501" s="1131"/>
      <c r="AX501" s="1131"/>
      <c r="AY501" s="1131"/>
      <c r="AZ501" s="1131"/>
      <c r="BA501" s="1131"/>
      <c r="BB501" s="1131"/>
      <c r="BC501" s="1131"/>
      <c r="BD501" s="1131"/>
      <c r="BE501" s="1131"/>
      <c r="BF501" s="1131"/>
      <c r="BG501" s="1131"/>
      <c r="BH501" s="1131"/>
      <c r="BI501" s="1131"/>
      <c r="BJ501" s="1131"/>
      <c r="BK501" s="1131"/>
      <c r="BL501" s="1131"/>
      <c r="BM501" s="1131"/>
      <c r="BN501" s="1131"/>
      <c r="BO501" s="1131"/>
      <c r="BP501" s="1131"/>
      <c r="BQ501" s="1131"/>
      <c r="BR501" s="1131"/>
      <c r="BS501" s="1131"/>
      <c r="BT501" s="1131"/>
      <c r="BU501" s="1131"/>
      <c r="BV501" s="1131"/>
      <c r="BW501" s="1131"/>
      <c r="BX501" s="1131"/>
      <c r="BY501" s="1131"/>
      <c r="BZ501" s="1131"/>
      <c r="CA501" s="1131"/>
      <c r="CB501" s="1131"/>
      <c r="CC501" s="1131"/>
      <c r="CD501" s="1131"/>
      <c r="CE501" s="1131"/>
      <c r="CF501" s="1131"/>
      <c r="CG501" s="1131"/>
      <c r="CH501" s="29"/>
      <c r="CI501" s="185"/>
      <c r="CJ501" s="17"/>
    </row>
    <row r="502" spans="1:88" s="3" customFormat="1" hidden="1">
      <c r="A502" s="243" t="str">
        <f t="shared" si="8"/>
        <v>OK</v>
      </c>
      <c r="B502" s="1126" t="str">
        <f>IF(CONSOLIDA!DQ66="","",CONSOLIDA!DQ66)</f>
        <v/>
      </c>
      <c r="C502" s="1126"/>
      <c r="D502" s="1127" t="str">
        <f>IF(CONSOLIDA!DS66="","",CONSOLIDA!DS66)</f>
        <v/>
      </c>
      <c r="E502" s="1128"/>
      <c r="F502" s="1128"/>
      <c r="G502" s="1129" t="str">
        <f>IF(CONSOLIDA!DT66="","",CONSOLIDA!DT66)</f>
        <v/>
      </c>
      <c r="H502" s="1129"/>
      <c r="I502" s="1129"/>
      <c r="J502" s="1129"/>
      <c r="K502" s="1129"/>
      <c r="L502" s="1129"/>
      <c r="M502" s="1129"/>
      <c r="N502" s="1129"/>
      <c r="O502" s="1129"/>
      <c r="P502" s="1129"/>
      <c r="Q502" s="1129"/>
      <c r="R502" s="1129"/>
      <c r="S502" s="1129"/>
      <c r="T502" s="1129"/>
      <c r="U502" s="1129"/>
      <c r="V502" s="1129"/>
      <c r="W502" s="1129"/>
      <c r="X502" s="1129"/>
      <c r="Y502" s="1129"/>
      <c r="Z502" s="1129"/>
      <c r="AA502" s="1129"/>
      <c r="AB502" s="1129"/>
      <c r="AC502" s="1129"/>
      <c r="AD502" s="1129"/>
      <c r="AE502" s="1130"/>
      <c r="AF502" s="1131"/>
      <c r="AG502" s="1131"/>
      <c r="AH502" s="1131"/>
      <c r="AI502" s="1131"/>
      <c r="AJ502" s="1131"/>
      <c r="AK502" s="1131"/>
      <c r="AL502" s="1131"/>
      <c r="AM502" s="1131"/>
      <c r="AN502" s="1131"/>
      <c r="AO502" s="1131"/>
      <c r="AP502" s="1131"/>
      <c r="AQ502" s="1131"/>
      <c r="AR502" s="1131"/>
      <c r="AS502" s="1131"/>
      <c r="AT502" s="1131"/>
      <c r="AU502" s="1131"/>
      <c r="AV502" s="1131"/>
      <c r="AW502" s="1131"/>
      <c r="AX502" s="1131"/>
      <c r="AY502" s="1131"/>
      <c r="AZ502" s="1131"/>
      <c r="BA502" s="1131"/>
      <c r="BB502" s="1131"/>
      <c r="BC502" s="1131"/>
      <c r="BD502" s="1131"/>
      <c r="BE502" s="1131"/>
      <c r="BF502" s="1131"/>
      <c r="BG502" s="1131"/>
      <c r="BH502" s="1131"/>
      <c r="BI502" s="1131"/>
      <c r="BJ502" s="1131"/>
      <c r="BK502" s="1131"/>
      <c r="BL502" s="1131"/>
      <c r="BM502" s="1131"/>
      <c r="BN502" s="1131"/>
      <c r="BO502" s="1131"/>
      <c r="BP502" s="1131"/>
      <c r="BQ502" s="1131"/>
      <c r="BR502" s="1131"/>
      <c r="BS502" s="1131"/>
      <c r="BT502" s="1131"/>
      <c r="BU502" s="1131"/>
      <c r="BV502" s="1131"/>
      <c r="BW502" s="1131"/>
      <c r="BX502" s="1131"/>
      <c r="BY502" s="1131"/>
      <c r="BZ502" s="1131"/>
      <c r="CA502" s="1131"/>
      <c r="CB502" s="1131"/>
      <c r="CC502" s="1131"/>
      <c r="CD502" s="1131"/>
      <c r="CE502" s="1131"/>
      <c r="CF502" s="1131"/>
      <c r="CG502" s="1131"/>
      <c r="CH502" s="29"/>
      <c r="CI502" s="185"/>
      <c r="CJ502" s="17"/>
    </row>
    <row r="503" spans="1:88" s="3" customFormat="1" hidden="1">
      <c r="A503" s="243" t="str">
        <f t="shared" si="8"/>
        <v>OK</v>
      </c>
      <c r="B503" s="1126" t="str">
        <f>IF(CONSOLIDA!DQ67="","",CONSOLIDA!DQ67)</f>
        <v/>
      </c>
      <c r="C503" s="1126"/>
      <c r="D503" s="1127" t="str">
        <f>IF(CONSOLIDA!DS67="","",CONSOLIDA!DS67)</f>
        <v/>
      </c>
      <c r="E503" s="1128"/>
      <c r="F503" s="1128"/>
      <c r="G503" s="1129" t="str">
        <f>IF(CONSOLIDA!DT67="","",CONSOLIDA!DT67)</f>
        <v/>
      </c>
      <c r="H503" s="1129"/>
      <c r="I503" s="1129"/>
      <c r="J503" s="1129"/>
      <c r="K503" s="1129"/>
      <c r="L503" s="1129"/>
      <c r="M503" s="1129"/>
      <c r="N503" s="1129"/>
      <c r="O503" s="1129"/>
      <c r="P503" s="1129"/>
      <c r="Q503" s="1129"/>
      <c r="R503" s="1129"/>
      <c r="S503" s="1129"/>
      <c r="T503" s="1129"/>
      <c r="U503" s="1129"/>
      <c r="V503" s="1129"/>
      <c r="W503" s="1129"/>
      <c r="X503" s="1129"/>
      <c r="Y503" s="1129"/>
      <c r="Z503" s="1129"/>
      <c r="AA503" s="1129"/>
      <c r="AB503" s="1129"/>
      <c r="AC503" s="1129"/>
      <c r="AD503" s="1129"/>
      <c r="AE503" s="1130"/>
      <c r="AF503" s="1131"/>
      <c r="AG503" s="1131"/>
      <c r="AH503" s="1131"/>
      <c r="AI503" s="1131"/>
      <c r="AJ503" s="1131"/>
      <c r="AK503" s="1131"/>
      <c r="AL503" s="1131"/>
      <c r="AM503" s="1131"/>
      <c r="AN503" s="1131"/>
      <c r="AO503" s="1131"/>
      <c r="AP503" s="1131"/>
      <c r="AQ503" s="1131"/>
      <c r="AR503" s="1131"/>
      <c r="AS503" s="1131"/>
      <c r="AT503" s="1131"/>
      <c r="AU503" s="1131"/>
      <c r="AV503" s="1131"/>
      <c r="AW503" s="1131"/>
      <c r="AX503" s="1131"/>
      <c r="AY503" s="1131"/>
      <c r="AZ503" s="1131"/>
      <c r="BA503" s="1131"/>
      <c r="BB503" s="1131"/>
      <c r="BC503" s="1131"/>
      <c r="BD503" s="1131"/>
      <c r="BE503" s="1131"/>
      <c r="BF503" s="1131"/>
      <c r="BG503" s="1131"/>
      <c r="BH503" s="1131"/>
      <c r="BI503" s="1131"/>
      <c r="BJ503" s="1131"/>
      <c r="BK503" s="1131"/>
      <c r="BL503" s="1131"/>
      <c r="BM503" s="1131"/>
      <c r="BN503" s="1131"/>
      <c r="BO503" s="1131"/>
      <c r="BP503" s="1131"/>
      <c r="BQ503" s="1131"/>
      <c r="BR503" s="1131"/>
      <c r="BS503" s="1131"/>
      <c r="BT503" s="1131"/>
      <c r="BU503" s="1131"/>
      <c r="BV503" s="1131"/>
      <c r="BW503" s="1131"/>
      <c r="BX503" s="1131"/>
      <c r="BY503" s="1131"/>
      <c r="BZ503" s="1131"/>
      <c r="CA503" s="1131"/>
      <c r="CB503" s="1131"/>
      <c r="CC503" s="1131"/>
      <c r="CD503" s="1131"/>
      <c r="CE503" s="1131"/>
      <c r="CF503" s="1131"/>
      <c r="CG503" s="1131"/>
      <c r="CH503" s="29"/>
      <c r="CI503" s="185"/>
      <c r="CJ503" s="17"/>
    </row>
    <row r="504" spans="1:88" s="3" customFormat="1" hidden="1">
      <c r="A504" s="243" t="str">
        <f t="shared" ref="A504:A567" si="9">IF(D504="","OK","")</f>
        <v>OK</v>
      </c>
      <c r="B504" s="1126" t="str">
        <f>IF(CONSOLIDA!DQ68="","",CONSOLIDA!DQ68)</f>
        <v/>
      </c>
      <c r="C504" s="1126"/>
      <c r="D504" s="1127" t="str">
        <f>IF(CONSOLIDA!DS68="","",CONSOLIDA!DS68)</f>
        <v/>
      </c>
      <c r="E504" s="1128"/>
      <c r="F504" s="1128"/>
      <c r="G504" s="1129" t="str">
        <f>IF(CONSOLIDA!DT68="","",CONSOLIDA!DT68)</f>
        <v/>
      </c>
      <c r="H504" s="1129"/>
      <c r="I504" s="1129"/>
      <c r="J504" s="1129"/>
      <c r="K504" s="1129"/>
      <c r="L504" s="1129"/>
      <c r="M504" s="1129"/>
      <c r="N504" s="1129"/>
      <c r="O504" s="1129"/>
      <c r="P504" s="1129"/>
      <c r="Q504" s="1129"/>
      <c r="R504" s="1129"/>
      <c r="S504" s="1129"/>
      <c r="T504" s="1129"/>
      <c r="U504" s="1129"/>
      <c r="V504" s="1129"/>
      <c r="W504" s="1129"/>
      <c r="X504" s="1129"/>
      <c r="Y504" s="1129"/>
      <c r="Z504" s="1129"/>
      <c r="AA504" s="1129"/>
      <c r="AB504" s="1129"/>
      <c r="AC504" s="1129"/>
      <c r="AD504" s="1129"/>
      <c r="AE504" s="1130"/>
      <c r="AF504" s="1131"/>
      <c r="AG504" s="1131"/>
      <c r="AH504" s="1131"/>
      <c r="AI504" s="1131"/>
      <c r="AJ504" s="1131"/>
      <c r="AK504" s="1131"/>
      <c r="AL504" s="1131"/>
      <c r="AM504" s="1131"/>
      <c r="AN504" s="1131"/>
      <c r="AO504" s="1131"/>
      <c r="AP504" s="1131"/>
      <c r="AQ504" s="1131"/>
      <c r="AR504" s="1131"/>
      <c r="AS504" s="1131"/>
      <c r="AT504" s="1131"/>
      <c r="AU504" s="1131"/>
      <c r="AV504" s="1131"/>
      <c r="AW504" s="1131"/>
      <c r="AX504" s="1131"/>
      <c r="AY504" s="1131"/>
      <c r="AZ504" s="1131"/>
      <c r="BA504" s="1131"/>
      <c r="BB504" s="1131"/>
      <c r="BC504" s="1131"/>
      <c r="BD504" s="1131"/>
      <c r="BE504" s="1131"/>
      <c r="BF504" s="1131"/>
      <c r="BG504" s="1131"/>
      <c r="BH504" s="1131"/>
      <c r="BI504" s="1131"/>
      <c r="BJ504" s="1131"/>
      <c r="BK504" s="1131"/>
      <c r="BL504" s="1131"/>
      <c r="BM504" s="1131"/>
      <c r="BN504" s="1131"/>
      <c r="BO504" s="1131"/>
      <c r="BP504" s="1131"/>
      <c r="BQ504" s="1131"/>
      <c r="BR504" s="1131"/>
      <c r="BS504" s="1131"/>
      <c r="BT504" s="1131"/>
      <c r="BU504" s="1131"/>
      <c r="BV504" s="1131"/>
      <c r="BW504" s="1131"/>
      <c r="BX504" s="1131"/>
      <c r="BY504" s="1131"/>
      <c r="BZ504" s="1131"/>
      <c r="CA504" s="1131"/>
      <c r="CB504" s="1131"/>
      <c r="CC504" s="1131"/>
      <c r="CD504" s="1131"/>
      <c r="CE504" s="1131"/>
      <c r="CF504" s="1131"/>
      <c r="CG504" s="1131"/>
      <c r="CH504" s="29"/>
      <c r="CI504" s="185"/>
      <c r="CJ504" s="17"/>
    </row>
    <row r="505" spans="1:88" s="3" customFormat="1" hidden="1">
      <c r="A505" s="243" t="str">
        <f t="shared" si="9"/>
        <v>OK</v>
      </c>
      <c r="B505" s="1126" t="str">
        <f>IF(CONSOLIDA!DQ69="","",CONSOLIDA!DQ69)</f>
        <v/>
      </c>
      <c r="C505" s="1126"/>
      <c r="D505" s="1127" t="str">
        <f>IF(CONSOLIDA!DS69="","",CONSOLIDA!DS69)</f>
        <v/>
      </c>
      <c r="E505" s="1128"/>
      <c r="F505" s="1128"/>
      <c r="G505" s="1129" t="str">
        <f>IF(CONSOLIDA!DT69="","",CONSOLIDA!DT69)</f>
        <v/>
      </c>
      <c r="H505" s="1129"/>
      <c r="I505" s="1129"/>
      <c r="J505" s="1129"/>
      <c r="K505" s="1129"/>
      <c r="L505" s="1129"/>
      <c r="M505" s="1129"/>
      <c r="N505" s="1129"/>
      <c r="O505" s="1129"/>
      <c r="P505" s="1129"/>
      <c r="Q505" s="1129"/>
      <c r="R505" s="1129"/>
      <c r="S505" s="1129"/>
      <c r="T505" s="1129"/>
      <c r="U505" s="1129"/>
      <c r="V505" s="1129"/>
      <c r="W505" s="1129"/>
      <c r="X505" s="1129"/>
      <c r="Y505" s="1129"/>
      <c r="Z505" s="1129"/>
      <c r="AA505" s="1129"/>
      <c r="AB505" s="1129"/>
      <c r="AC505" s="1129"/>
      <c r="AD505" s="1129"/>
      <c r="AE505" s="1130"/>
      <c r="AF505" s="1131"/>
      <c r="AG505" s="1131"/>
      <c r="AH505" s="1131"/>
      <c r="AI505" s="1131"/>
      <c r="AJ505" s="1131"/>
      <c r="AK505" s="1131"/>
      <c r="AL505" s="1131"/>
      <c r="AM505" s="1131"/>
      <c r="AN505" s="1131"/>
      <c r="AO505" s="1131"/>
      <c r="AP505" s="1131"/>
      <c r="AQ505" s="1131"/>
      <c r="AR505" s="1131"/>
      <c r="AS505" s="1131"/>
      <c r="AT505" s="1131"/>
      <c r="AU505" s="1131"/>
      <c r="AV505" s="1131"/>
      <c r="AW505" s="1131"/>
      <c r="AX505" s="1131"/>
      <c r="AY505" s="1131"/>
      <c r="AZ505" s="1131"/>
      <c r="BA505" s="1131"/>
      <c r="BB505" s="1131"/>
      <c r="BC505" s="1131"/>
      <c r="BD505" s="1131"/>
      <c r="BE505" s="1131"/>
      <c r="BF505" s="1131"/>
      <c r="BG505" s="1131"/>
      <c r="BH505" s="1131"/>
      <c r="BI505" s="1131"/>
      <c r="BJ505" s="1131"/>
      <c r="BK505" s="1131"/>
      <c r="BL505" s="1131"/>
      <c r="BM505" s="1131"/>
      <c r="BN505" s="1131"/>
      <c r="BO505" s="1131"/>
      <c r="BP505" s="1131"/>
      <c r="BQ505" s="1131"/>
      <c r="BR505" s="1131"/>
      <c r="BS505" s="1131"/>
      <c r="BT505" s="1131"/>
      <c r="BU505" s="1131"/>
      <c r="BV505" s="1131"/>
      <c r="BW505" s="1131"/>
      <c r="BX505" s="1131"/>
      <c r="BY505" s="1131"/>
      <c r="BZ505" s="1131"/>
      <c r="CA505" s="1131"/>
      <c r="CB505" s="1131"/>
      <c r="CC505" s="1131"/>
      <c r="CD505" s="1131"/>
      <c r="CE505" s="1131"/>
      <c r="CF505" s="1131"/>
      <c r="CG505" s="1131"/>
      <c r="CH505" s="29"/>
      <c r="CI505" s="185"/>
      <c r="CJ505" s="17"/>
    </row>
    <row r="506" spans="1:88" s="3" customFormat="1" hidden="1">
      <c r="A506" s="243" t="str">
        <f t="shared" si="9"/>
        <v>OK</v>
      </c>
      <c r="B506" s="1126" t="str">
        <f>IF(CONSOLIDA!DQ70="","",CONSOLIDA!DQ70)</f>
        <v/>
      </c>
      <c r="C506" s="1126"/>
      <c r="D506" s="1127" t="str">
        <f>IF(CONSOLIDA!DS70="","",CONSOLIDA!DS70)</f>
        <v/>
      </c>
      <c r="E506" s="1128"/>
      <c r="F506" s="1128"/>
      <c r="G506" s="1129" t="str">
        <f>IF(CONSOLIDA!DT70="","",CONSOLIDA!DT70)</f>
        <v/>
      </c>
      <c r="H506" s="1129"/>
      <c r="I506" s="1129"/>
      <c r="J506" s="1129"/>
      <c r="K506" s="1129"/>
      <c r="L506" s="1129"/>
      <c r="M506" s="1129"/>
      <c r="N506" s="1129"/>
      <c r="O506" s="1129"/>
      <c r="P506" s="1129"/>
      <c r="Q506" s="1129"/>
      <c r="R506" s="1129"/>
      <c r="S506" s="1129"/>
      <c r="T506" s="1129"/>
      <c r="U506" s="1129"/>
      <c r="V506" s="1129"/>
      <c r="W506" s="1129"/>
      <c r="X506" s="1129"/>
      <c r="Y506" s="1129"/>
      <c r="Z506" s="1129"/>
      <c r="AA506" s="1129"/>
      <c r="AB506" s="1129"/>
      <c r="AC506" s="1129"/>
      <c r="AD506" s="1129"/>
      <c r="AE506" s="1130"/>
      <c r="AF506" s="1131"/>
      <c r="AG506" s="1131"/>
      <c r="AH506" s="1131"/>
      <c r="AI506" s="1131"/>
      <c r="AJ506" s="1131"/>
      <c r="AK506" s="1131"/>
      <c r="AL506" s="1131"/>
      <c r="AM506" s="1131"/>
      <c r="AN506" s="1131"/>
      <c r="AO506" s="1131"/>
      <c r="AP506" s="1131"/>
      <c r="AQ506" s="1131"/>
      <c r="AR506" s="1131"/>
      <c r="AS506" s="1131"/>
      <c r="AT506" s="1131"/>
      <c r="AU506" s="1131"/>
      <c r="AV506" s="1131"/>
      <c r="AW506" s="1131"/>
      <c r="AX506" s="1131"/>
      <c r="AY506" s="1131"/>
      <c r="AZ506" s="1131"/>
      <c r="BA506" s="1131"/>
      <c r="BB506" s="1131"/>
      <c r="BC506" s="1131"/>
      <c r="BD506" s="1131"/>
      <c r="BE506" s="1131"/>
      <c r="BF506" s="1131"/>
      <c r="BG506" s="1131"/>
      <c r="BH506" s="1131"/>
      <c r="BI506" s="1131"/>
      <c r="BJ506" s="1131"/>
      <c r="BK506" s="1131"/>
      <c r="BL506" s="1131"/>
      <c r="BM506" s="1131"/>
      <c r="BN506" s="1131"/>
      <c r="BO506" s="1131"/>
      <c r="BP506" s="1131"/>
      <c r="BQ506" s="1131"/>
      <c r="BR506" s="1131"/>
      <c r="BS506" s="1131"/>
      <c r="BT506" s="1131"/>
      <c r="BU506" s="1131"/>
      <c r="BV506" s="1131"/>
      <c r="BW506" s="1131"/>
      <c r="BX506" s="1131"/>
      <c r="BY506" s="1131"/>
      <c r="BZ506" s="1131"/>
      <c r="CA506" s="1131"/>
      <c r="CB506" s="1131"/>
      <c r="CC506" s="1131"/>
      <c r="CD506" s="1131"/>
      <c r="CE506" s="1131"/>
      <c r="CF506" s="1131"/>
      <c r="CG506" s="1131"/>
      <c r="CH506" s="29"/>
      <c r="CI506" s="185"/>
      <c r="CJ506" s="17"/>
    </row>
    <row r="507" spans="1:88" s="3" customFormat="1" hidden="1">
      <c r="A507" s="243" t="str">
        <f t="shared" si="9"/>
        <v>OK</v>
      </c>
      <c r="B507" s="1126" t="str">
        <f>IF(CONSOLIDA!DQ71="","",CONSOLIDA!DQ71)</f>
        <v/>
      </c>
      <c r="C507" s="1126"/>
      <c r="D507" s="1127" t="str">
        <f>IF(CONSOLIDA!DS71="","",CONSOLIDA!DS71)</f>
        <v/>
      </c>
      <c r="E507" s="1128"/>
      <c r="F507" s="1128"/>
      <c r="G507" s="1129" t="str">
        <f>IF(CONSOLIDA!DT71="","",CONSOLIDA!DT71)</f>
        <v/>
      </c>
      <c r="H507" s="1129"/>
      <c r="I507" s="1129"/>
      <c r="J507" s="1129"/>
      <c r="K507" s="1129"/>
      <c r="L507" s="1129"/>
      <c r="M507" s="1129"/>
      <c r="N507" s="1129"/>
      <c r="O507" s="1129"/>
      <c r="P507" s="1129"/>
      <c r="Q507" s="1129"/>
      <c r="R507" s="1129"/>
      <c r="S507" s="1129"/>
      <c r="T507" s="1129"/>
      <c r="U507" s="1129"/>
      <c r="V507" s="1129"/>
      <c r="W507" s="1129"/>
      <c r="X507" s="1129"/>
      <c r="Y507" s="1129"/>
      <c r="Z507" s="1129"/>
      <c r="AA507" s="1129"/>
      <c r="AB507" s="1129"/>
      <c r="AC507" s="1129"/>
      <c r="AD507" s="1129"/>
      <c r="AE507" s="1130"/>
      <c r="AF507" s="1131"/>
      <c r="AG507" s="1131"/>
      <c r="AH507" s="1131"/>
      <c r="AI507" s="1131"/>
      <c r="AJ507" s="1131"/>
      <c r="AK507" s="1131"/>
      <c r="AL507" s="1131"/>
      <c r="AM507" s="1131"/>
      <c r="AN507" s="1131"/>
      <c r="AO507" s="1131"/>
      <c r="AP507" s="1131"/>
      <c r="AQ507" s="1131"/>
      <c r="AR507" s="1131"/>
      <c r="AS507" s="1131"/>
      <c r="AT507" s="1131"/>
      <c r="AU507" s="1131"/>
      <c r="AV507" s="1131"/>
      <c r="AW507" s="1131"/>
      <c r="AX507" s="1131"/>
      <c r="AY507" s="1131"/>
      <c r="AZ507" s="1131"/>
      <c r="BA507" s="1131"/>
      <c r="BB507" s="1131"/>
      <c r="BC507" s="1131"/>
      <c r="BD507" s="1131"/>
      <c r="BE507" s="1131"/>
      <c r="BF507" s="1131"/>
      <c r="BG507" s="1131"/>
      <c r="BH507" s="1131"/>
      <c r="BI507" s="1131"/>
      <c r="BJ507" s="1131"/>
      <c r="BK507" s="1131"/>
      <c r="BL507" s="1131"/>
      <c r="BM507" s="1131"/>
      <c r="BN507" s="1131"/>
      <c r="BO507" s="1131"/>
      <c r="BP507" s="1131"/>
      <c r="BQ507" s="1131"/>
      <c r="BR507" s="1131"/>
      <c r="BS507" s="1131"/>
      <c r="BT507" s="1131"/>
      <c r="BU507" s="1131"/>
      <c r="BV507" s="1131"/>
      <c r="BW507" s="1131"/>
      <c r="BX507" s="1131"/>
      <c r="BY507" s="1131"/>
      <c r="BZ507" s="1131"/>
      <c r="CA507" s="1131"/>
      <c r="CB507" s="1131"/>
      <c r="CC507" s="1131"/>
      <c r="CD507" s="1131"/>
      <c r="CE507" s="1131"/>
      <c r="CF507" s="1131"/>
      <c r="CG507" s="1131"/>
      <c r="CH507" s="29"/>
      <c r="CI507" s="185"/>
      <c r="CJ507" s="17"/>
    </row>
    <row r="508" spans="1:88" s="3" customFormat="1" ht="12.75" hidden="1" customHeight="1">
      <c r="A508" s="243" t="str">
        <f t="shared" si="9"/>
        <v>OK</v>
      </c>
      <c r="B508" s="1126" t="str">
        <f>IF(CONSOLIDA!DQ72="","",CONSOLIDA!DQ72)</f>
        <v/>
      </c>
      <c r="C508" s="1126"/>
      <c r="D508" s="1127" t="str">
        <f>IF(CONSOLIDA!DS72="","",CONSOLIDA!DS72)</f>
        <v/>
      </c>
      <c r="E508" s="1128"/>
      <c r="F508" s="1128"/>
      <c r="G508" s="1129" t="str">
        <f>IF(CONSOLIDA!DT72="","",CONSOLIDA!DT72)</f>
        <v/>
      </c>
      <c r="H508" s="1129"/>
      <c r="I508" s="1129"/>
      <c r="J508" s="1129"/>
      <c r="K508" s="1129"/>
      <c r="L508" s="1129"/>
      <c r="M508" s="1129"/>
      <c r="N508" s="1129"/>
      <c r="O508" s="1129"/>
      <c r="P508" s="1129"/>
      <c r="Q508" s="1129"/>
      <c r="R508" s="1129"/>
      <c r="S508" s="1129"/>
      <c r="T508" s="1129"/>
      <c r="U508" s="1129"/>
      <c r="V508" s="1129"/>
      <c r="W508" s="1129"/>
      <c r="X508" s="1129"/>
      <c r="Y508" s="1129"/>
      <c r="Z508" s="1129"/>
      <c r="AA508" s="1129"/>
      <c r="AB508" s="1129"/>
      <c r="AC508" s="1129"/>
      <c r="AD508" s="1129"/>
      <c r="AE508" s="1130"/>
      <c r="AF508" s="1131"/>
      <c r="AG508" s="1131"/>
      <c r="AH508" s="1131"/>
      <c r="AI508" s="1131"/>
      <c r="AJ508" s="1131"/>
      <c r="AK508" s="1131"/>
      <c r="AL508" s="1131"/>
      <c r="AM508" s="1131"/>
      <c r="AN508" s="1131"/>
      <c r="AO508" s="1131"/>
      <c r="AP508" s="1131"/>
      <c r="AQ508" s="1131"/>
      <c r="AR508" s="1131"/>
      <c r="AS508" s="1131"/>
      <c r="AT508" s="1131"/>
      <c r="AU508" s="1131"/>
      <c r="AV508" s="1131"/>
      <c r="AW508" s="1131"/>
      <c r="AX508" s="1131"/>
      <c r="AY508" s="1131"/>
      <c r="AZ508" s="1131"/>
      <c r="BA508" s="1131"/>
      <c r="BB508" s="1131"/>
      <c r="BC508" s="1131"/>
      <c r="BD508" s="1131"/>
      <c r="BE508" s="1131"/>
      <c r="BF508" s="1131"/>
      <c r="BG508" s="1131"/>
      <c r="BH508" s="1131"/>
      <c r="BI508" s="1131"/>
      <c r="BJ508" s="1131"/>
      <c r="BK508" s="1131"/>
      <c r="BL508" s="1131"/>
      <c r="BM508" s="1131"/>
      <c r="BN508" s="1131"/>
      <c r="BO508" s="1131"/>
      <c r="BP508" s="1131"/>
      <c r="BQ508" s="1131"/>
      <c r="BR508" s="1131"/>
      <c r="BS508" s="1131"/>
      <c r="BT508" s="1131"/>
      <c r="BU508" s="1131"/>
      <c r="BV508" s="1131"/>
      <c r="BW508" s="1131"/>
      <c r="BX508" s="1131"/>
      <c r="BY508" s="1131"/>
      <c r="BZ508" s="1131"/>
      <c r="CA508" s="1131"/>
      <c r="CB508" s="1131"/>
      <c r="CC508" s="1131"/>
      <c r="CD508" s="1131"/>
      <c r="CE508" s="1131"/>
      <c r="CF508" s="1131"/>
      <c r="CG508" s="1131"/>
      <c r="CH508" s="29"/>
      <c r="CI508" s="185"/>
      <c r="CJ508" s="17"/>
    </row>
    <row r="509" spans="1:88" s="3" customFormat="1" ht="12.75" hidden="1" customHeight="1">
      <c r="A509" s="243" t="str">
        <f t="shared" si="9"/>
        <v>OK</v>
      </c>
      <c r="B509" s="1126" t="str">
        <f>IF(CONSOLIDA!DQ73="","",CONSOLIDA!DQ73)</f>
        <v/>
      </c>
      <c r="C509" s="1126"/>
      <c r="D509" s="1127" t="str">
        <f>IF(CONSOLIDA!DS73="","",CONSOLIDA!DS73)</f>
        <v/>
      </c>
      <c r="E509" s="1128"/>
      <c r="F509" s="1128"/>
      <c r="G509" s="1129" t="str">
        <f>IF(CONSOLIDA!DT73="","",CONSOLIDA!DT73)</f>
        <v/>
      </c>
      <c r="H509" s="1129"/>
      <c r="I509" s="1129"/>
      <c r="J509" s="1129"/>
      <c r="K509" s="1129"/>
      <c r="L509" s="1129"/>
      <c r="M509" s="1129"/>
      <c r="N509" s="1129"/>
      <c r="O509" s="1129"/>
      <c r="P509" s="1129"/>
      <c r="Q509" s="1129"/>
      <c r="R509" s="1129"/>
      <c r="S509" s="1129"/>
      <c r="T509" s="1129"/>
      <c r="U509" s="1129"/>
      <c r="V509" s="1129"/>
      <c r="W509" s="1129"/>
      <c r="X509" s="1129"/>
      <c r="Y509" s="1129"/>
      <c r="Z509" s="1129"/>
      <c r="AA509" s="1129"/>
      <c r="AB509" s="1129"/>
      <c r="AC509" s="1129"/>
      <c r="AD509" s="1129"/>
      <c r="AE509" s="1130"/>
      <c r="AF509" s="1131"/>
      <c r="AG509" s="1131"/>
      <c r="AH509" s="1131"/>
      <c r="AI509" s="1131"/>
      <c r="AJ509" s="1131"/>
      <c r="AK509" s="1131"/>
      <c r="AL509" s="1131"/>
      <c r="AM509" s="1131"/>
      <c r="AN509" s="1131"/>
      <c r="AO509" s="1131"/>
      <c r="AP509" s="1131"/>
      <c r="AQ509" s="1131"/>
      <c r="AR509" s="1131"/>
      <c r="AS509" s="1131"/>
      <c r="AT509" s="1131"/>
      <c r="AU509" s="1131"/>
      <c r="AV509" s="1131"/>
      <c r="AW509" s="1131"/>
      <c r="AX509" s="1131"/>
      <c r="AY509" s="1131"/>
      <c r="AZ509" s="1131"/>
      <c r="BA509" s="1131"/>
      <c r="BB509" s="1131"/>
      <c r="BC509" s="1131"/>
      <c r="BD509" s="1131"/>
      <c r="BE509" s="1131"/>
      <c r="BF509" s="1131"/>
      <c r="BG509" s="1131"/>
      <c r="BH509" s="1131"/>
      <c r="BI509" s="1131"/>
      <c r="BJ509" s="1131"/>
      <c r="BK509" s="1131"/>
      <c r="BL509" s="1131"/>
      <c r="BM509" s="1131"/>
      <c r="BN509" s="1131"/>
      <c r="BO509" s="1131"/>
      <c r="BP509" s="1131"/>
      <c r="BQ509" s="1131"/>
      <c r="BR509" s="1131"/>
      <c r="BS509" s="1131"/>
      <c r="BT509" s="1131"/>
      <c r="BU509" s="1131"/>
      <c r="BV509" s="1131"/>
      <c r="BW509" s="1131"/>
      <c r="BX509" s="1131"/>
      <c r="BY509" s="1131"/>
      <c r="BZ509" s="1131"/>
      <c r="CA509" s="1131"/>
      <c r="CB509" s="1131"/>
      <c r="CC509" s="1131"/>
      <c r="CD509" s="1131"/>
      <c r="CE509" s="1131"/>
      <c r="CF509" s="1131"/>
      <c r="CG509" s="1131"/>
      <c r="CH509" s="29"/>
      <c r="CI509" s="185"/>
      <c r="CJ509" s="17"/>
    </row>
    <row r="510" spans="1:88" s="3" customFormat="1" ht="12.75" hidden="1" customHeight="1">
      <c r="A510" s="243" t="str">
        <f t="shared" si="9"/>
        <v>OK</v>
      </c>
      <c r="B510" s="1126" t="str">
        <f>IF(CONSOLIDA!DQ74="","",CONSOLIDA!DQ74)</f>
        <v/>
      </c>
      <c r="C510" s="1126"/>
      <c r="D510" s="1127" t="str">
        <f>IF(CONSOLIDA!DS74="","",CONSOLIDA!DS74)</f>
        <v/>
      </c>
      <c r="E510" s="1128"/>
      <c r="F510" s="1128"/>
      <c r="G510" s="1129" t="str">
        <f>IF(CONSOLIDA!DT74="","",CONSOLIDA!DT74)</f>
        <v/>
      </c>
      <c r="H510" s="1129"/>
      <c r="I510" s="1129"/>
      <c r="J510" s="1129"/>
      <c r="K510" s="1129"/>
      <c r="L510" s="1129"/>
      <c r="M510" s="1129"/>
      <c r="N510" s="1129"/>
      <c r="O510" s="1129"/>
      <c r="P510" s="1129"/>
      <c r="Q510" s="1129"/>
      <c r="R510" s="1129"/>
      <c r="S510" s="1129"/>
      <c r="T510" s="1129"/>
      <c r="U510" s="1129"/>
      <c r="V510" s="1129"/>
      <c r="W510" s="1129"/>
      <c r="X510" s="1129"/>
      <c r="Y510" s="1129"/>
      <c r="Z510" s="1129"/>
      <c r="AA510" s="1129"/>
      <c r="AB510" s="1129"/>
      <c r="AC510" s="1129"/>
      <c r="AD510" s="1129"/>
      <c r="AE510" s="1130"/>
      <c r="AF510" s="1131"/>
      <c r="AG510" s="1131"/>
      <c r="AH510" s="1131"/>
      <c r="AI510" s="1131"/>
      <c r="AJ510" s="1131"/>
      <c r="AK510" s="1131"/>
      <c r="AL510" s="1131"/>
      <c r="AM510" s="1131"/>
      <c r="AN510" s="1131"/>
      <c r="AO510" s="1131"/>
      <c r="AP510" s="1131"/>
      <c r="AQ510" s="1131"/>
      <c r="AR510" s="1131"/>
      <c r="AS510" s="1131"/>
      <c r="AT510" s="1131"/>
      <c r="AU510" s="1131"/>
      <c r="AV510" s="1131"/>
      <c r="AW510" s="1131"/>
      <c r="AX510" s="1131"/>
      <c r="AY510" s="1131"/>
      <c r="AZ510" s="1131"/>
      <c r="BA510" s="1131"/>
      <c r="BB510" s="1131"/>
      <c r="BC510" s="1131"/>
      <c r="BD510" s="1131"/>
      <c r="BE510" s="1131"/>
      <c r="BF510" s="1131"/>
      <c r="BG510" s="1131"/>
      <c r="BH510" s="1131"/>
      <c r="BI510" s="1131"/>
      <c r="BJ510" s="1131"/>
      <c r="BK510" s="1131"/>
      <c r="BL510" s="1131"/>
      <c r="BM510" s="1131"/>
      <c r="BN510" s="1131"/>
      <c r="BO510" s="1131"/>
      <c r="BP510" s="1131"/>
      <c r="BQ510" s="1131"/>
      <c r="BR510" s="1131"/>
      <c r="BS510" s="1131"/>
      <c r="BT510" s="1131"/>
      <c r="BU510" s="1131"/>
      <c r="BV510" s="1131"/>
      <c r="BW510" s="1131"/>
      <c r="BX510" s="1131"/>
      <c r="BY510" s="1131"/>
      <c r="BZ510" s="1131"/>
      <c r="CA510" s="1131"/>
      <c r="CB510" s="1131"/>
      <c r="CC510" s="1131"/>
      <c r="CD510" s="1131"/>
      <c r="CE510" s="1131"/>
      <c r="CF510" s="1131"/>
      <c r="CG510" s="1131"/>
      <c r="CH510" s="29"/>
      <c r="CI510" s="185"/>
      <c r="CJ510" s="17"/>
    </row>
    <row r="511" spans="1:88" s="3" customFormat="1" ht="12.75" hidden="1" customHeight="1">
      <c r="A511" s="243" t="str">
        <f t="shared" si="9"/>
        <v>OK</v>
      </c>
      <c r="B511" s="1126" t="str">
        <f>IF(CONSOLIDA!DQ75="","",CONSOLIDA!DQ75)</f>
        <v/>
      </c>
      <c r="C511" s="1126"/>
      <c r="D511" s="1127" t="str">
        <f>IF(CONSOLIDA!DS75="","",CONSOLIDA!DS75)</f>
        <v/>
      </c>
      <c r="E511" s="1128"/>
      <c r="F511" s="1128"/>
      <c r="G511" s="1129" t="str">
        <f>IF(CONSOLIDA!DT75="","",CONSOLIDA!DT75)</f>
        <v/>
      </c>
      <c r="H511" s="1129"/>
      <c r="I511" s="1129"/>
      <c r="J511" s="1129"/>
      <c r="K511" s="1129"/>
      <c r="L511" s="1129"/>
      <c r="M511" s="1129"/>
      <c r="N511" s="1129"/>
      <c r="O511" s="1129"/>
      <c r="P511" s="1129"/>
      <c r="Q511" s="1129"/>
      <c r="R511" s="1129"/>
      <c r="S511" s="1129"/>
      <c r="T511" s="1129"/>
      <c r="U511" s="1129"/>
      <c r="V511" s="1129"/>
      <c r="W511" s="1129"/>
      <c r="X511" s="1129"/>
      <c r="Y511" s="1129"/>
      <c r="Z511" s="1129"/>
      <c r="AA511" s="1129"/>
      <c r="AB511" s="1129"/>
      <c r="AC511" s="1129"/>
      <c r="AD511" s="1129"/>
      <c r="AE511" s="1130"/>
      <c r="AF511" s="1131"/>
      <c r="AG511" s="1131"/>
      <c r="AH511" s="1131"/>
      <c r="AI511" s="1131"/>
      <c r="AJ511" s="1131"/>
      <c r="AK511" s="1131"/>
      <c r="AL511" s="1131"/>
      <c r="AM511" s="1131"/>
      <c r="AN511" s="1131"/>
      <c r="AO511" s="1131"/>
      <c r="AP511" s="1131"/>
      <c r="AQ511" s="1131"/>
      <c r="AR511" s="1131"/>
      <c r="AS511" s="1131"/>
      <c r="AT511" s="1131"/>
      <c r="AU511" s="1131"/>
      <c r="AV511" s="1131"/>
      <c r="AW511" s="1131"/>
      <c r="AX511" s="1131"/>
      <c r="AY511" s="1131"/>
      <c r="AZ511" s="1131"/>
      <c r="BA511" s="1131"/>
      <c r="BB511" s="1131"/>
      <c r="BC511" s="1131"/>
      <c r="BD511" s="1131"/>
      <c r="BE511" s="1131"/>
      <c r="BF511" s="1131"/>
      <c r="BG511" s="1131"/>
      <c r="BH511" s="1131"/>
      <c r="BI511" s="1131"/>
      <c r="BJ511" s="1131"/>
      <c r="BK511" s="1131"/>
      <c r="BL511" s="1131"/>
      <c r="BM511" s="1131"/>
      <c r="BN511" s="1131"/>
      <c r="BO511" s="1131"/>
      <c r="BP511" s="1131"/>
      <c r="BQ511" s="1131"/>
      <c r="BR511" s="1131"/>
      <c r="BS511" s="1131"/>
      <c r="BT511" s="1131"/>
      <c r="BU511" s="1131"/>
      <c r="BV511" s="1131"/>
      <c r="BW511" s="1131"/>
      <c r="BX511" s="1131"/>
      <c r="BY511" s="1131"/>
      <c r="BZ511" s="1131"/>
      <c r="CA511" s="1131"/>
      <c r="CB511" s="1131"/>
      <c r="CC511" s="1131"/>
      <c r="CD511" s="1131"/>
      <c r="CE511" s="1131"/>
      <c r="CF511" s="1131"/>
      <c r="CG511" s="1131"/>
      <c r="CH511" s="29"/>
      <c r="CI511" s="185"/>
      <c r="CJ511" s="17"/>
    </row>
    <row r="512" spans="1:88" s="3" customFormat="1" ht="12.75" hidden="1" customHeight="1">
      <c r="A512" s="243" t="str">
        <f t="shared" si="9"/>
        <v>OK</v>
      </c>
      <c r="B512" s="1126" t="str">
        <f>IF(CONSOLIDA!DQ76="","",CONSOLIDA!DQ76)</f>
        <v/>
      </c>
      <c r="C512" s="1126"/>
      <c r="D512" s="1127" t="str">
        <f>IF(CONSOLIDA!DS76="","",CONSOLIDA!DS76)</f>
        <v/>
      </c>
      <c r="E512" s="1128"/>
      <c r="F512" s="1128"/>
      <c r="G512" s="1129" t="str">
        <f>IF(CONSOLIDA!DT76="","",CONSOLIDA!DT76)</f>
        <v/>
      </c>
      <c r="H512" s="1129"/>
      <c r="I512" s="1129"/>
      <c r="J512" s="1129"/>
      <c r="K512" s="1129"/>
      <c r="L512" s="1129"/>
      <c r="M512" s="1129"/>
      <c r="N512" s="1129"/>
      <c r="O512" s="1129"/>
      <c r="P512" s="1129"/>
      <c r="Q512" s="1129"/>
      <c r="R512" s="1129"/>
      <c r="S512" s="1129"/>
      <c r="T512" s="1129"/>
      <c r="U512" s="1129"/>
      <c r="V512" s="1129"/>
      <c r="W512" s="1129"/>
      <c r="X512" s="1129"/>
      <c r="Y512" s="1129"/>
      <c r="Z512" s="1129"/>
      <c r="AA512" s="1129"/>
      <c r="AB512" s="1129"/>
      <c r="AC512" s="1129"/>
      <c r="AD512" s="1129"/>
      <c r="AE512" s="1130"/>
      <c r="AF512" s="1131"/>
      <c r="AG512" s="1131"/>
      <c r="AH512" s="1131"/>
      <c r="AI512" s="1131"/>
      <c r="AJ512" s="1131"/>
      <c r="AK512" s="1131"/>
      <c r="AL512" s="1131"/>
      <c r="AM512" s="1131"/>
      <c r="AN512" s="1131"/>
      <c r="AO512" s="1131"/>
      <c r="AP512" s="1131"/>
      <c r="AQ512" s="1131"/>
      <c r="AR512" s="1131"/>
      <c r="AS512" s="1131"/>
      <c r="AT512" s="1131"/>
      <c r="AU512" s="1131"/>
      <c r="AV512" s="1131"/>
      <c r="AW512" s="1131"/>
      <c r="AX512" s="1131"/>
      <c r="AY512" s="1131"/>
      <c r="AZ512" s="1131"/>
      <c r="BA512" s="1131"/>
      <c r="BB512" s="1131"/>
      <c r="BC512" s="1131"/>
      <c r="BD512" s="1131"/>
      <c r="BE512" s="1131"/>
      <c r="BF512" s="1131"/>
      <c r="BG512" s="1131"/>
      <c r="BH512" s="1131"/>
      <c r="BI512" s="1131"/>
      <c r="BJ512" s="1131"/>
      <c r="BK512" s="1131"/>
      <c r="BL512" s="1131"/>
      <c r="BM512" s="1131"/>
      <c r="BN512" s="1131"/>
      <c r="BO512" s="1131"/>
      <c r="BP512" s="1131"/>
      <c r="BQ512" s="1131"/>
      <c r="BR512" s="1131"/>
      <c r="BS512" s="1131"/>
      <c r="BT512" s="1131"/>
      <c r="BU512" s="1131"/>
      <c r="BV512" s="1131"/>
      <c r="BW512" s="1131"/>
      <c r="BX512" s="1131"/>
      <c r="BY512" s="1131"/>
      <c r="BZ512" s="1131"/>
      <c r="CA512" s="1131"/>
      <c r="CB512" s="1131"/>
      <c r="CC512" s="1131"/>
      <c r="CD512" s="1131"/>
      <c r="CE512" s="1131"/>
      <c r="CF512" s="1131"/>
      <c r="CG512" s="1131"/>
      <c r="CH512" s="29"/>
      <c r="CI512" s="185"/>
      <c r="CJ512" s="17"/>
    </row>
    <row r="513" spans="1:88" s="3" customFormat="1" ht="12.75" hidden="1" customHeight="1">
      <c r="A513" s="243" t="str">
        <f t="shared" si="9"/>
        <v>OK</v>
      </c>
      <c r="B513" s="1126" t="str">
        <f>IF(CONSOLIDA!DQ77="","",CONSOLIDA!DQ77)</f>
        <v/>
      </c>
      <c r="C513" s="1126"/>
      <c r="D513" s="1127" t="str">
        <f>IF(CONSOLIDA!DS77="","",CONSOLIDA!DS77)</f>
        <v/>
      </c>
      <c r="E513" s="1128"/>
      <c r="F513" s="1128"/>
      <c r="G513" s="1129" t="str">
        <f>IF(CONSOLIDA!DT77="","",CONSOLIDA!DT77)</f>
        <v/>
      </c>
      <c r="H513" s="1129"/>
      <c r="I513" s="1129"/>
      <c r="J513" s="1129"/>
      <c r="K513" s="1129"/>
      <c r="L513" s="1129"/>
      <c r="M513" s="1129"/>
      <c r="N513" s="1129"/>
      <c r="O513" s="1129"/>
      <c r="P513" s="1129"/>
      <c r="Q513" s="1129"/>
      <c r="R513" s="1129"/>
      <c r="S513" s="1129"/>
      <c r="T513" s="1129"/>
      <c r="U513" s="1129"/>
      <c r="V513" s="1129"/>
      <c r="W513" s="1129"/>
      <c r="X513" s="1129"/>
      <c r="Y513" s="1129"/>
      <c r="Z513" s="1129"/>
      <c r="AA513" s="1129"/>
      <c r="AB513" s="1129"/>
      <c r="AC513" s="1129"/>
      <c r="AD513" s="1129"/>
      <c r="AE513" s="1130"/>
      <c r="AF513" s="1131"/>
      <c r="AG513" s="1131"/>
      <c r="AH513" s="1131"/>
      <c r="AI513" s="1131"/>
      <c r="AJ513" s="1131"/>
      <c r="AK513" s="1131"/>
      <c r="AL513" s="1131"/>
      <c r="AM513" s="1131"/>
      <c r="AN513" s="1131"/>
      <c r="AO513" s="1131"/>
      <c r="AP513" s="1131"/>
      <c r="AQ513" s="1131"/>
      <c r="AR513" s="1131"/>
      <c r="AS513" s="1131"/>
      <c r="AT513" s="1131"/>
      <c r="AU513" s="1131"/>
      <c r="AV513" s="1131"/>
      <c r="AW513" s="1131"/>
      <c r="AX513" s="1131"/>
      <c r="AY513" s="1131"/>
      <c r="AZ513" s="1131"/>
      <c r="BA513" s="1131"/>
      <c r="BB513" s="1131"/>
      <c r="BC513" s="1131"/>
      <c r="BD513" s="1131"/>
      <c r="BE513" s="1131"/>
      <c r="BF513" s="1131"/>
      <c r="BG513" s="1131"/>
      <c r="BH513" s="1131"/>
      <c r="BI513" s="1131"/>
      <c r="BJ513" s="1131"/>
      <c r="BK513" s="1131"/>
      <c r="BL513" s="1131"/>
      <c r="BM513" s="1131"/>
      <c r="BN513" s="1131"/>
      <c r="BO513" s="1131"/>
      <c r="BP513" s="1131"/>
      <c r="BQ513" s="1131"/>
      <c r="BR513" s="1131"/>
      <c r="BS513" s="1131"/>
      <c r="BT513" s="1131"/>
      <c r="BU513" s="1131"/>
      <c r="BV513" s="1131"/>
      <c r="BW513" s="1131"/>
      <c r="BX513" s="1131"/>
      <c r="BY513" s="1131"/>
      <c r="BZ513" s="1131"/>
      <c r="CA513" s="1131"/>
      <c r="CB513" s="1131"/>
      <c r="CC513" s="1131"/>
      <c r="CD513" s="1131"/>
      <c r="CE513" s="1131"/>
      <c r="CF513" s="1131"/>
      <c r="CG513" s="1131"/>
      <c r="CH513" s="29"/>
      <c r="CI513" s="185"/>
      <c r="CJ513" s="17"/>
    </row>
    <row r="514" spans="1:88" s="3" customFormat="1" ht="12.75" hidden="1" customHeight="1">
      <c r="A514" s="243" t="str">
        <f t="shared" si="9"/>
        <v>OK</v>
      </c>
      <c r="B514" s="1126" t="str">
        <f>IF(CONSOLIDA!DQ78="","",CONSOLIDA!DQ78)</f>
        <v/>
      </c>
      <c r="C514" s="1126"/>
      <c r="D514" s="1127" t="str">
        <f>IF(CONSOLIDA!DS78="","",CONSOLIDA!DS78)</f>
        <v/>
      </c>
      <c r="E514" s="1128"/>
      <c r="F514" s="1128"/>
      <c r="G514" s="1129" t="str">
        <f>IF(CONSOLIDA!DT78="","",CONSOLIDA!DT78)</f>
        <v/>
      </c>
      <c r="H514" s="1129"/>
      <c r="I514" s="1129"/>
      <c r="J514" s="1129"/>
      <c r="K514" s="1129"/>
      <c r="L514" s="1129"/>
      <c r="M514" s="1129"/>
      <c r="N514" s="1129"/>
      <c r="O514" s="1129"/>
      <c r="P514" s="1129"/>
      <c r="Q514" s="1129"/>
      <c r="R514" s="1129"/>
      <c r="S514" s="1129"/>
      <c r="T514" s="1129"/>
      <c r="U514" s="1129"/>
      <c r="V514" s="1129"/>
      <c r="W514" s="1129"/>
      <c r="X514" s="1129"/>
      <c r="Y514" s="1129"/>
      <c r="Z514" s="1129"/>
      <c r="AA514" s="1129"/>
      <c r="AB514" s="1129"/>
      <c r="AC514" s="1129"/>
      <c r="AD514" s="1129"/>
      <c r="AE514" s="1130"/>
      <c r="AF514" s="1131"/>
      <c r="AG514" s="1131"/>
      <c r="AH514" s="1131"/>
      <c r="AI514" s="1131"/>
      <c r="AJ514" s="1131"/>
      <c r="AK514" s="1131"/>
      <c r="AL514" s="1131"/>
      <c r="AM514" s="1131"/>
      <c r="AN514" s="1131"/>
      <c r="AO514" s="1131"/>
      <c r="AP514" s="1131"/>
      <c r="AQ514" s="1131"/>
      <c r="AR514" s="1131"/>
      <c r="AS514" s="1131"/>
      <c r="AT514" s="1131"/>
      <c r="AU514" s="1131"/>
      <c r="AV514" s="1131"/>
      <c r="AW514" s="1131"/>
      <c r="AX514" s="1131"/>
      <c r="AY514" s="1131"/>
      <c r="AZ514" s="1131"/>
      <c r="BA514" s="1131"/>
      <c r="BB514" s="1131"/>
      <c r="BC514" s="1131"/>
      <c r="BD514" s="1131"/>
      <c r="BE514" s="1131"/>
      <c r="BF514" s="1131"/>
      <c r="BG514" s="1131"/>
      <c r="BH514" s="1131"/>
      <c r="BI514" s="1131"/>
      <c r="BJ514" s="1131"/>
      <c r="BK514" s="1131"/>
      <c r="BL514" s="1131"/>
      <c r="BM514" s="1131"/>
      <c r="BN514" s="1131"/>
      <c r="BO514" s="1131"/>
      <c r="BP514" s="1131"/>
      <c r="BQ514" s="1131"/>
      <c r="BR514" s="1131"/>
      <c r="BS514" s="1131"/>
      <c r="BT514" s="1131"/>
      <c r="BU514" s="1131"/>
      <c r="BV514" s="1131"/>
      <c r="BW514" s="1131"/>
      <c r="BX514" s="1131"/>
      <c r="BY514" s="1131"/>
      <c r="BZ514" s="1131"/>
      <c r="CA514" s="1131"/>
      <c r="CB514" s="1131"/>
      <c r="CC514" s="1131"/>
      <c r="CD514" s="1131"/>
      <c r="CE514" s="1131"/>
      <c r="CF514" s="1131"/>
      <c r="CG514" s="1131"/>
      <c r="CH514" s="29"/>
      <c r="CI514" s="185"/>
      <c r="CJ514" s="17"/>
    </row>
    <row r="515" spans="1:88" s="3" customFormat="1" ht="12.75" hidden="1" customHeight="1">
      <c r="A515" s="243" t="str">
        <f t="shared" si="9"/>
        <v>OK</v>
      </c>
      <c r="B515" s="1126" t="str">
        <f>IF(CONSOLIDA!DQ79="","",CONSOLIDA!DQ79)</f>
        <v/>
      </c>
      <c r="C515" s="1126"/>
      <c r="D515" s="1127" t="str">
        <f>IF(CONSOLIDA!DS79="","",CONSOLIDA!DS79)</f>
        <v/>
      </c>
      <c r="E515" s="1128"/>
      <c r="F515" s="1128"/>
      <c r="G515" s="1129" t="str">
        <f>IF(CONSOLIDA!DT79="","",CONSOLIDA!DT79)</f>
        <v/>
      </c>
      <c r="H515" s="1129"/>
      <c r="I515" s="1129"/>
      <c r="J515" s="1129"/>
      <c r="K515" s="1129"/>
      <c r="L515" s="1129"/>
      <c r="M515" s="1129"/>
      <c r="N515" s="1129"/>
      <c r="O515" s="1129"/>
      <c r="P515" s="1129"/>
      <c r="Q515" s="1129"/>
      <c r="R515" s="1129"/>
      <c r="S515" s="1129"/>
      <c r="T515" s="1129"/>
      <c r="U515" s="1129"/>
      <c r="V515" s="1129"/>
      <c r="W515" s="1129"/>
      <c r="X515" s="1129"/>
      <c r="Y515" s="1129"/>
      <c r="Z515" s="1129"/>
      <c r="AA515" s="1129"/>
      <c r="AB515" s="1129"/>
      <c r="AC515" s="1129"/>
      <c r="AD515" s="1129"/>
      <c r="AE515" s="1130"/>
      <c r="AF515" s="1131"/>
      <c r="AG515" s="1131"/>
      <c r="AH515" s="1131"/>
      <c r="AI515" s="1131"/>
      <c r="AJ515" s="1131"/>
      <c r="AK515" s="1131"/>
      <c r="AL515" s="1131"/>
      <c r="AM515" s="1131"/>
      <c r="AN515" s="1131"/>
      <c r="AO515" s="1131"/>
      <c r="AP515" s="1131"/>
      <c r="AQ515" s="1131"/>
      <c r="AR515" s="1131"/>
      <c r="AS515" s="1131"/>
      <c r="AT515" s="1131"/>
      <c r="AU515" s="1131"/>
      <c r="AV515" s="1131"/>
      <c r="AW515" s="1131"/>
      <c r="AX515" s="1131"/>
      <c r="AY515" s="1131"/>
      <c r="AZ515" s="1131"/>
      <c r="BA515" s="1131"/>
      <c r="BB515" s="1131"/>
      <c r="BC515" s="1131"/>
      <c r="BD515" s="1131"/>
      <c r="BE515" s="1131"/>
      <c r="BF515" s="1131"/>
      <c r="BG515" s="1131"/>
      <c r="BH515" s="1131"/>
      <c r="BI515" s="1131"/>
      <c r="BJ515" s="1131"/>
      <c r="BK515" s="1131"/>
      <c r="BL515" s="1131"/>
      <c r="BM515" s="1131"/>
      <c r="BN515" s="1131"/>
      <c r="BO515" s="1131"/>
      <c r="BP515" s="1131"/>
      <c r="BQ515" s="1131"/>
      <c r="BR515" s="1131"/>
      <c r="BS515" s="1131"/>
      <c r="BT515" s="1131"/>
      <c r="BU515" s="1131"/>
      <c r="BV515" s="1131"/>
      <c r="BW515" s="1131"/>
      <c r="BX515" s="1131"/>
      <c r="BY515" s="1131"/>
      <c r="BZ515" s="1131"/>
      <c r="CA515" s="1131"/>
      <c r="CB515" s="1131"/>
      <c r="CC515" s="1131"/>
      <c r="CD515" s="1131"/>
      <c r="CE515" s="1131"/>
      <c r="CF515" s="1131"/>
      <c r="CG515" s="1131"/>
      <c r="CH515" s="29"/>
      <c r="CI515" s="185"/>
      <c r="CJ515" s="17"/>
    </row>
    <row r="516" spans="1:88" s="3" customFormat="1" ht="12.75" hidden="1" customHeight="1">
      <c r="A516" s="243" t="str">
        <f t="shared" si="9"/>
        <v>OK</v>
      </c>
      <c r="B516" s="1126" t="str">
        <f>IF(CONSOLIDA!DQ80="","",CONSOLIDA!DQ80)</f>
        <v/>
      </c>
      <c r="C516" s="1126"/>
      <c r="D516" s="1127" t="str">
        <f>IF(CONSOLIDA!DS80="","",CONSOLIDA!DS80)</f>
        <v/>
      </c>
      <c r="E516" s="1128"/>
      <c r="F516" s="1128"/>
      <c r="G516" s="1129" t="str">
        <f>IF(CONSOLIDA!DT80="","",CONSOLIDA!DT80)</f>
        <v/>
      </c>
      <c r="H516" s="1129"/>
      <c r="I516" s="1129"/>
      <c r="J516" s="1129"/>
      <c r="K516" s="1129"/>
      <c r="L516" s="1129"/>
      <c r="M516" s="1129"/>
      <c r="N516" s="1129"/>
      <c r="O516" s="1129"/>
      <c r="P516" s="1129"/>
      <c r="Q516" s="1129"/>
      <c r="R516" s="1129"/>
      <c r="S516" s="1129"/>
      <c r="T516" s="1129"/>
      <c r="U516" s="1129"/>
      <c r="V516" s="1129"/>
      <c r="W516" s="1129"/>
      <c r="X516" s="1129"/>
      <c r="Y516" s="1129"/>
      <c r="Z516" s="1129"/>
      <c r="AA516" s="1129"/>
      <c r="AB516" s="1129"/>
      <c r="AC516" s="1129"/>
      <c r="AD516" s="1129"/>
      <c r="AE516" s="1130"/>
      <c r="AF516" s="1131"/>
      <c r="AG516" s="1131"/>
      <c r="AH516" s="1131"/>
      <c r="AI516" s="1131"/>
      <c r="AJ516" s="1131"/>
      <c r="AK516" s="1131"/>
      <c r="AL516" s="1131"/>
      <c r="AM516" s="1131"/>
      <c r="AN516" s="1131"/>
      <c r="AO516" s="1131"/>
      <c r="AP516" s="1131"/>
      <c r="AQ516" s="1131"/>
      <c r="AR516" s="1131"/>
      <c r="AS516" s="1131"/>
      <c r="AT516" s="1131"/>
      <c r="AU516" s="1131"/>
      <c r="AV516" s="1131"/>
      <c r="AW516" s="1131"/>
      <c r="AX516" s="1131"/>
      <c r="AY516" s="1131"/>
      <c r="AZ516" s="1131"/>
      <c r="BA516" s="1131"/>
      <c r="BB516" s="1131"/>
      <c r="BC516" s="1131"/>
      <c r="BD516" s="1131"/>
      <c r="BE516" s="1131"/>
      <c r="BF516" s="1131"/>
      <c r="BG516" s="1131"/>
      <c r="BH516" s="1131"/>
      <c r="BI516" s="1131"/>
      <c r="BJ516" s="1131"/>
      <c r="BK516" s="1131"/>
      <c r="BL516" s="1131"/>
      <c r="BM516" s="1131"/>
      <c r="BN516" s="1131"/>
      <c r="BO516" s="1131"/>
      <c r="BP516" s="1131"/>
      <c r="BQ516" s="1131"/>
      <c r="BR516" s="1131"/>
      <c r="BS516" s="1131"/>
      <c r="BT516" s="1131"/>
      <c r="BU516" s="1131"/>
      <c r="BV516" s="1131"/>
      <c r="BW516" s="1131"/>
      <c r="BX516" s="1131"/>
      <c r="BY516" s="1131"/>
      <c r="BZ516" s="1131"/>
      <c r="CA516" s="1131"/>
      <c r="CB516" s="1131"/>
      <c r="CC516" s="1131"/>
      <c r="CD516" s="1131"/>
      <c r="CE516" s="1131"/>
      <c r="CF516" s="1131"/>
      <c r="CG516" s="1131"/>
      <c r="CH516" s="29"/>
      <c r="CI516" s="185"/>
      <c r="CJ516" s="17"/>
    </row>
    <row r="517" spans="1:88" s="3" customFormat="1" ht="12.75" hidden="1" customHeight="1">
      <c r="A517" s="243" t="str">
        <f t="shared" si="9"/>
        <v>OK</v>
      </c>
      <c r="B517" s="1126" t="str">
        <f>IF(CONSOLIDA!DQ81="","",CONSOLIDA!DQ81)</f>
        <v/>
      </c>
      <c r="C517" s="1126"/>
      <c r="D517" s="1127" t="str">
        <f>IF(CONSOLIDA!DS81="","",CONSOLIDA!DS81)</f>
        <v/>
      </c>
      <c r="E517" s="1128"/>
      <c r="F517" s="1128"/>
      <c r="G517" s="1129" t="str">
        <f>IF(CONSOLIDA!DT81="","",CONSOLIDA!DT81)</f>
        <v/>
      </c>
      <c r="H517" s="1129"/>
      <c r="I517" s="1129"/>
      <c r="J517" s="1129"/>
      <c r="K517" s="1129"/>
      <c r="L517" s="1129"/>
      <c r="M517" s="1129"/>
      <c r="N517" s="1129"/>
      <c r="O517" s="1129"/>
      <c r="P517" s="1129"/>
      <c r="Q517" s="1129"/>
      <c r="R517" s="1129"/>
      <c r="S517" s="1129"/>
      <c r="T517" s="1129"/>
      <c r="U517" s="1129"/>
      <c r="V517" s="1129"/>
      <c r="W517" s="1129"/>
      <c r="X517" s="1129"/>
      <c r="Y517" s="1129"/>
      <c r="Z517" s="1129"/>
      <c r="AA517" s="1129"/>
      <c r="AB517" s="1129"/>
      <c r="AC517" s="1129"/>
      <c r="AD517" s="1129"/>
      <c r="AE517" s="1130"/>
      <c r="AF517" s="1131"/>
      <c r="AG517" s="1131"/>
      <c r="AH517" s="1131"/>
      <c r="AI517" s="1131"/>
      <c r="AJ517" s="1131"/>
      <c r="AK517" s="1131"/>
      <c r="AL517" s="1131"/>
      <c r="AM517" s="1131"/>
      <c r="AN517" s="1131"/>
      <c r="AO517" s="1131"/>
      <c r="AP517" s="1131"/>
      <c r="AQ517" s="1131"/>
      <c r="AR517" s="1131"/>
      <c r="AS517" s="1131"/>
      <c r="AT517" s="1131"/>
      <c r="AU517" s="1131"/>
      <c r="AV517" s="1131"/>
      <c r="AW517" s="1131"/>
      <c r="AX517" s="1131"/>
      <c r="AY517" s="1131"/>
      <c r="AZ517" s="1131"/>
      <c r="BA517" s="1131"/>
      <c r="BB517" s="1131"/>
      <c r="BC517" s="1131"/>
      <c r="BD517" s="1131"/>
      <c r="BE517" s="1131"/>
      <c r="BF517" s="1131"/>
      <c r="BG517" s="1131"/>
      <c r="BH517" s="1131"/>
      <c r="BI517" s="1131"/>
      <c r="BJ517" s="1131"/>
      <c r="BK517" s="1131"/>
      <c r="BL517" s="1131"/>
      <c r="BM517" s="1131"/>
      <c r="BN517" s="1131"/>
      <c r="BO517" s="1131"/>
      <c r="BP517" s="1131"/>
      <c r="BQ517" s="1131"/>
      <c r="BR517" s="1131"/>
      <c r="BS517" s="1131"/>
      <c r="BT517" s="1131"/>
      <c r="BU517" s="1131"/>
      <c r="BV517" s="1131"/>
      <c r="BW517" s="1131"/>
      <c r="BX517" s="1131"/>
      <c r="BY517" s="1131"/>
      <c r="BZ517" s="1131"/>
      <c r="CA517" s="1131"/>
      <c r="CB517" s="1131"/>
      <c r="CC517" s="1131"/>
      <c r="CD517" s="1131"/>
      <c r="CE517" s="1131"/>
      <c r="CF517" s="1131"/>
      <c r="CG517" s="1131"/>
      <c r="CH517" s="29"/>
      <c r="CI517" s="185"/>
      <c r="CJ517" s="17"/>
    </row>
    <row r="518" spans="1:88" s="3" customFormat="1" ht="12.75" hidden="1" customHeight="1">
      <c r="A518" s="243" t="str">
        <f t="shared" si="9"/>
        <v>OK</v>
      </c>
      <c r="B518" s="1126" t="str">
        <f>IF(CONSOLIDA!DQ82="","",CONSOLIDA!DQ82)</f>
        <v/>
      </c>
      <c r="C518" s="1126"/>
      <c r="D518" s="1127" t="str">
        <f>IF(CONSOLIDA!DS82="","",CONSOLIDA!DS82)</f>
        <v/>
      </c>
      <c r="E518" s="1128"/>
      <c r="F518" s="1128"/>
      <c r="G518" s="1129" t="str">
        <f>IF(CONSOLIDA!DT82="","",CONSOLIDA!DT82)</f>
        <v/>
      </c>
      <c r="H518" s="1129"/>
      <c r="I518" s="1129"/>
      <c r="J518" s="1129"/>
      <c r="K518" s="1129"/>
      <c r="L518" s="1129"/>
      <c r="M518" s="1129"/>
      <c r="N518" s="1129"/>
      <c r="O518" s="1129"/>
      <c r="P518" s="1129"/>
      <c r="Q518" s="1129"/>
      <c r="R518" s="1129"/>
      <c r="S518" s="1129"/>
      <c r="T518" s="1129"/>
      <c r="U518" s="1129"/>
      <c r="V518" s="1129"/>
      <c r="W518" s="1129"/>
      <c r="X518" s="1129"/>
      <c r="Y518" s="1129"/>
      <c r="Z518" s="1129"/>
      <c r="AA518" s="1129"/>
      <c r="AB518" s="1129"/>
      <c r="AC518" s="1129"/>
      <c r="AD518" s="1129"/>
      <c r="AE518" s="1130"/>
      <c r="AF518" s="1131"/>
      <c r="AG518" s="1131"/>
      <c r="AH518" s="1131"/>
      <c r="AI518" s="1131"/>
      <c r="AJ518" s="1131"/>
      <c r="AK518" s="1131"/>
      <c r="AL518" s="1131"/>
      <c r="AM518" s="1131"/>
      <c r="AN518" s="1131"/>
      <c r="AO518" s="1131"/>
      <c r="AP518" s="1131"/>
      <c r="AQ518" s="1131"/>
      <c r="AR518" s="1131"/>
      <c r="AS518" s="1131"/>
      <c r="AT518" s="1131"/>
      <c r="AU518" s="1131"/>
      <c r="AV518" s="1131"/>
      <c r="AW518" s="1131"/>
      <c r="AX518" s="1131"/>
      <c r="AY518" s="1131"/>
      <c r="AZ518" s="1131"/>
      <c r="BA518" s="1131"/>
      <c r="BB518" s="1131"/>
      <c r="BC518" s="1131"/>
      <c r="BD518" s="1131"/>
      <c r="BE518" s="1131"/>
      <c r="BF518" s="1131"/>
      <c r="BG518" s="1131"/>
      <c r="BH518" s="1131"/>
      <c r="BI518" s="1131"/>
      <c r="BJ518" s="1131"/>
      <c r="BK518" s="1131"/>
      <c r="BL518" s="1131"/>
      <c r="BM518" s="1131"/>
      <c r="BN518" s="1131"/>
      <c r="BO518" s="1131"/>
      <c r="BP518" s="1131"/>
      <c r="BQ518" s="1131"/>
      <c r="BR518" s="1131"/>
      <c r="BS518" s="1131"/>
      <c r="BT518" s="1131"/>
      <c r="BU518" s="1131"/>
      <c r="BV518" s="1131"/>
      <c r="BW518" s="1131"/>
      <c r="BX518" s="1131"/>
      <c r="BY518" s="1131"/>
      <c r="BZ518" s="1131"/>
      <c r="CA518" s="1131"/>
      <c r="CB518" s="1131"/>
      <c r="CC518" s="1131"/>
      <c r="CD518" s="1131"/>
      <c r="CE518" s="1131"/>
      <c r="CF518" s="1131"/>
      <c r="CG518" s="1131"/>
      <c r="CH518" s="29"/>
      <c r="CI518" s="185"/>
      <c r="CJ518" s="17"/>
    </row>
    <row r="519" spans="1:88" s="3" customFormat="1" ht="12.75" hidden="1" customHeight="1">
      <c r="A519" s="243" t="str">
        <f t="shared" si="9"/>
        <v>OK</v>
      </c>
      <c r="B519" s="1126" t="str">
        <f>IF(CONSOLIDA!DQ83="","",CONSOLIDA!DQ83)</f>
        <v/>
      </c>
      <c r="C519" s="1126"/>
      <c r="D519" s="1127" t="str">
        <f>IF(CONSOLIDA!DS83="","",CONSOLIDA!DS83)</f>
        <v/>
      </c>
      <c r="E519" s="1128"/>
      <c r="F519" s="1128"/>
      <c r="G519" s="1129" t="str">
        <f>IF(CONSOLIDA!DT83="","",CONSOLIDA!DT83)</f>
        <v/>
      </c>
      <c r="H519" s="1129"/>
      <c r="I519" s="1129"/>
      <c r="J519" s="1129"/>
      <c r="K519" s="1129"/>
      <c r="L519" s="1129"/>
      <c r="M519" s="1129"/>
      <c r="N519" s="1129"/>
      <c r="O519" s="1129"/>
      <c r="P519" s="1129"/>
      <c r="Q519" s="1129"/>
      <c r="R519" s="1129"/>
      <c r="S519" s="1129"/>
      <c r="T519" s="1129"/>
      <c r="U519" s="1129"/>
      <c r="V519" s="1129"/>
      <c r="W519" s="1129"/>
      <c r="X519" s="1129"/>
      <c r="Y519" s="1129"/>
      <c r="Z519" s="1129"/>
      <c r="AA519" s="1129"/>
      <c r="AB519" s="1129"/>
      <c r="AC519" s="1129"/>
      <c r="AD519" s="1129"/>
      <c r="AE519" s="1130"/>
      <c r="AF519" s="1131"/>
      <c r="AG519" s="1131"/>
      <c r="AH519" s="1131"/>
      <c r="AI519" s="1131"/>
      <c r="AJ519" s="1131"/>
      <c r="AK519" s="1131"/>
      <c r="AL519" s="1131"/>
      <c r="AM519" s="1131"/>
      <c r="AN519" s="1131"/>
      <c r="AO519" s="1131"/>
      <c r="AP519" s="1131"/>
      <c r="AQ519" s="1131"/>
      <c r="AR519" s="1131"/>
      <c r="AS519" s="1131"/>
      <c r="AT519" s="1131"/>
      <c r="AU519" s="1131"/>
      <c r="AV519" s="1131"/>
      <c r="AW519" s="1131"/>
      <c r="AX519" s="1131"/>
      <c r="AY519" s="1131"/>
      <c r="AZ519" s="1131"/>
      <c r="BA519" s="1131"/>
      <c r="BB519" s="1131"/>
      <c r="BC519" s="1131"/>
      <c r="BD519" s="1131"/>
      <c r="BE519" s="1131"/>
      <c r="BF519" s="1131"/>
      <c r="BG519" s="1131"/>
      <c r="BH519" s="1131"/>
      <c r="BI519" s="1131"/>
      <c r="BJ519" s="1131"/>
      <c r="BK519" s="1131"/>
      <c r="BL519" s="1131"/>
      <c r="BM519" s="1131"/>
      <c r="BN519" s="1131"/>
      <c r="BO519" s="1131"/>
      <c r="BP519" s="1131"/>
      <c r="BQ519" s="1131"/>
      <c r="BR519" s="1131"/>
      <c r="BS519" s="1131"/>
      <c r="BT519" s="1131"/>
      <c r="BU519" s="1131"/>
      <c r="BV519" s="1131"/>
      <c r="BW519" s="1131"/>
      <c r="BX519" s="1131"/>
      <c r="BY519" s="1131"/>
      <c r="BZ519" s="1131"/>
      <c r="CA519" s="1131"/>
      <c r="CB519" s="1131"/>
      <c r="CC519" s="1131"/>
      <c r="CD519" s="1131"/>
      <c r="CE519" s="1131"/>
      <c r="CF519" s="1131"/>
      <c r="CG519" s="1131"/>
      <c r="CH519" s="29"/>
      <c r="CI519" s="185"/>
      <c r="CJ519" s="17"/>
    </row>
    <row r="520" spans="1:88" s="3" customFormat="1" ht="12.75" hidden="1" customHeight="1">
      <c r="A520" s="243" t="str">
        <f t="shared" si="9"/>
        <v>OK</v>
      </c>
      <c r="B520" s="1126" t="str">
        <f>IF(CONSOLIDA!DQ84="","",CONSOLIDA!DQ84)</f>
        <v/>
      </c>
      <c r="C520" s="1126"/>
      <c r="D520" s="1127" t="str">
        <f>IF(CONSOLIDA!DS84="","",CONSOLIDA!DS84)</f>
        <v/>
      </c>
      <c r="E520" s="1128"/>
      <c r="F520" s="1128"/>
      <c r="G520" s="1129" t="str">
        <f>IF(CONSOLIDA!DT84="","",CONSOLIDA!DT84)</f>
        <v/>
      </c>
      <c r="H520" s="1129"/>
      <c r="I520" s="1129"/>
      <c r="J520" s="1129"/>
      <c r="K520" s="1129"/>
      <c r="L520" s="1129"/>
      <c r="M520" s="1129"/>
      <c r="N520" s="1129"/>
      <c r="O520" s="1129"/>
      <c r="P520" s="1129"/>
      <c r="Q520" s="1129"/>
      <c r="R520" s="1129"/>
      <c r="S520" s="1129"/>
      <c r="T520" s="1129"/>
      <c r="U520" s="1129"/>
      <c r="V520" s="1129"/>
      <c r="W520" s="1129"/>
      <c r="X520" s="1129"/>
      <c r="Y520" s="1129"/>
      <c r="Z520" s="1129"/>
      <c r="AA520" s="1129"/>
      <c r="AB520" s="1129"/>
      <c r="AC520" s="1129"/>
      <c r="AD520" s="1129"/>
      <c r="AE520" s="1130"/>
      <c r="AF520" s="1131"/>
      <c r="AG520" s="1131"/>
      <c r="AH520" s="1131"/>
      <c r="AI520" s="1131"/>
      <c r="AJ520" s="1131"/>
      <c r="AK520" s="1131"/>
      <c r="AL520" s="1131"/>
      <c r="AM520" s="1131"/>
      <c r="AN520" s="1131"/>
      <c r="AO520" s="1131"/>
      <c r="AP520" s="1131"/>
      <c r="AQ520" s="1131"/>
      <c r="AR520" s="1131"/>
      <c r="AS520" s="1131"/>
      <c r="AT520" s="1131"/>
      <c r="AU520" s="1131"/>
      <c r="AV520" s="1131"/>
      <c r="AW520" s="1131"/>
      <c r="AX520" s="1131"/>
      <c r="AY520" s="1131"/>
      <c r="AZ520" s="1131"/>
      <c r="BA520" s="1131"/>
      <c r="BB520" s="1131"/>
      <c r="BC520" s="1131"/>
      <c r="BD520" s="1131"/>
      <c r="BE520" s="1131"/>
      <c r="BF520" s="1131"/>
      <c r="BG520" s="1131"/>
      <c r="BH520" s="1131"/>
      <c r="BI520" s="1131"/>
      <c r="BJ520" s="1131"/>
      <c r="BK520" s="1131"/>
      <c r="BL520" s="1131"/>
      <c r="BM520" s="1131"/>
      <c r="BN520" s="1131"/>
      <c r="BO520" s="1131"/>
      <c r="BP520" s="1131"/>
      <c r="BQ520" s="1131"/>
      <c r="BR520" s="1131"/>
      <c r="BS520" s="1131"/>
      <c r="BT520" s="1131"/>
      <c r="BU520" s="1131"/>
      <c r="BV520" s="1131"/>
      <c r="BW520" s="1131"/>
      <c r="BX520" s="1131"/>
      <c r="BY520" s="1131"/>
      <c r="BZ520" s="1131"/>
      <c r="CA520" s="1131"/>
      <c r="CB520" s="1131"/>
      <c r="CC520" s="1131"/>
      <c r="CD520" s="1131"/>
      <c r="CE520" s="1131"/>
      <c r="CF520" s="1131"/>
      <c r="CG520" s="1131"/>
      <c r="CH520" s="29"/>
      <c r="CI520" s="185"/>
      <c r="CJ520" s="17"/>
    </row>
    <row r="521" spans="1:88" s="3" customFormat="1" ht="12.75" hidden="1" customHeight="1">
      <c r="A521" s="243" t="str">
        <f t="shared" si="9"/>
        <v>OK</v>
      </c>
      <c r="B521" s="1126" t="str">
        <f>IF(CONSOLIDA!DQ85="","",CONSOLIDA!DQ85)</f>
        <v/>
      </c>
      <c r="C521" s="1126"/>
      <c r="D521" s="1127" t="str">
        <f>IF(CONSOLIDA!DS85="","",CONSOLIDA!DS85)</f>
        <v/>
      </c>
      <c r="E521" s="1128"/>
      <c r="F521" s="1128"/>
      <c r="G521" s="1129" t="str">
        <f>IF(CONSOLIDA!DT85="","",CONSOLIDA!DT85)</f>
        <v/>
      </c>
      <c r="H521" s="1129"/>
      <c r="I521" s="1129"/>
      <c r="J521" s="1129"/>
      <c r="K521" s="1129"/>
      <c r="L521" s="1129"/>
      <c r="M521" s="1129"/>
      <c r="N521" s="1129"/>
      <c r="O521" s="1129"/>
      <c r="P521" s="1129"/>
      <c r="Q521" s="1129"/>
      <c r="R521" s="1129"/>
      <c r="S521" s="1129"/>
      <c r="T521" s="1129"/>
      <c r="U521" s="1129"/>
      <c r="V521" s="1129"/>
      <c r="W521" s="1129"/>
      <c r="X521" s="1129"/>
      <c r="Y521" s="1129"/>
      <c r="Z521" s="1129"/>
      <c r="AA521" s="1129"/>
      <c r="AB521" s="1129"/>
      <c r="AC521" s="1129"/>
      <c r="AD521" s="1129"/>
      <c r="AE521" s="1130"/>
      <c r="AF521" s="1131"/>
      <c r="AG521" s="1131"/>
      <c r="AH521" s="1131"/>
      <c r="AI521" s="1131"/>
      <c r="AJ521" s="1131"/>
      <c r="AK521" s="1131"/>
      <c r="AL521" s="1131"/>
      <c r="AM521" s="1131"/>
      <c r="AN521" s="1131"/>
      <c r="AO521" s="1131"/>
      <c r="AP521" s="1131"/>
      <c r="AQ521" s="1131"/>
      <c r="AR521" s="1131"/>
      <c r="AS521" s="1131"/>
      <c r="AT521" s="1131"/>
      <c r="AU521" s="1131"/>
      <c r="AV521" s="1131"/>
      <c r="AW521" s="1131"/>
      <c r="AX521" s="1131"/>
      <c r="AY521" s="1131"/>
      <c r="AZ521" s="1131"/>
      <c r="BA521" s="1131"/>
      <c r="BB521" s="1131"/>
      <c r="BC521" s="1131"/>
      <c r="BD521" s="1131"/>
      <c r="BE521" s="1131"/>
      <c r="BF521" s="1131"/>
      <c r="BG521" s="1131"/>
      <c r="BH521" s="1131"/>
      <c r="BI521" s="1131"/>
      <c r="BJ521" s="1131"/>
      <c r="BK521" s="1131"/>
      <c r="BL521" s="1131"/>
      <c r="BM521" s="1131"/>
      <c r="BN521" s="1131"/>
      <c r="BO521" s="1131"/>
      <c r="BP521" s="1131"/>
      <c r="BQ521" s="1131"/>
      <c r="BR521" s="1131"/>
      <c r="BS521" s="1131"/>
      <c r="BT521" s="1131"/>
      <c r="BU521" s="1131"/>
      <c r="BV521" s="1131"/>
      <c r="BW521" s="1131"/>
      <c r="BX521" s="1131"/>
      <c r="BY521" s="1131"/>
      <c r="BZ521" s="1131"/>
      <c r="CA521" s="1131"/>
      <c r="CB521" s="1131"/>
      <c r="CC521" s="1131"/>
      <c r="CD521" s="1131"/>
      <c r="CE521" s="1131"/>
      <c r="CF521" s="1131"/>
      <c r="CG521" s="1131"/>
      <c r="CH521" s="29"/>
      <c r="CI521" s="185"/>
      <c r="CJ521" s="17"/>
    </row>
    <row r="522" spans="1:88" s="3" customFormat="1" ht="12.75" hidden="1" customHeight="1">
      <c r="A522" s="243" t="str">
        <f t="shared" si="9"/>
        <v>OK</v>
      </c>
      <c r="B522" s="1126" t="str">
        <f>IF(CONSOLIDA!DQ86="","",CONSOLIDA!DQ86)</f>
        <v/>
      </c>
      <c r="C522" s="1126"/>
      <c r="D522" s="1127" t="str">
        <f>IF(CONSOLIDA!DS86="","",CONSOLIDA!DS86)</f>
        <v/>
      </c>
      <c r="E522" s="1128"/>
      <c r="F522" s="1128"/>
      <c r="G522" s="1129" t="str">
        <f>IF(CONSOLIDA!DT86="","",CONSOLIDA!DT86)</f>
        <v/>
      </c>
      <c r="H522" s="1129"/>
      <c r="I522" s="1129"/>
      <c r="J522" s="1129"/>
      <c r="K522" s="1129"/>
      <c r="L522" s="1129"/>
      <c r="M522" s="1129"/>
      <c r="N522" s="1129"/>
      <c r="O522" s="1129"/>
      <c r="P522" s="1129"/>
      <c r="Q522" s="1129"/>
      <c r="R522" s="1129"/>
      <c r="S522" s="1129"/>
      <c r="T522" s="1129"/>
      <c r="U522" s="1129"/>
      <c r="V522" s="1129"/>
      <c r="W522" s="1129"/>
      <c r="X522" s="1129"/>
      <c r="Y522" s="1129"/>
      <c r="Z522" s="1129"/>
      <c r="AA522" s="1129"/>
      <c r="AB522" s="1129"/>
      <c r="AC522" s="1129"/>
      <c r="AD522" s="1129"/>
      <c r="AE522" s="1130"/>
      <c r="AF522" s="1131"/>
      <c r="AG522" s="1131"/>
      <c r="AH522" s="1131"/>
      <c r="AI522" s="1131"/>
      <c r="AJ522" s="1131"/>
      <c r="AK522" s="1131"/>
      <c r="AL522" s="1131"/>
      <c r="AM522" s="1131"/>
      <c r="AN522" s="1131"/>
      <c r="AO522" s="1131"/>
      <c r="AP522" s="1131"/>
      <c r="AQ522" s="1131"/>
      <c r="AR522" s="1131"/>
      <c r="AS522" s="1131"/>
      <c r="AT522" s="1131"/>
      <c r="AU522" s="1131"/>
      <c r="AV522" s="1131"/>
      <c r="AW522" s="1131"/>
      <c r="AX522" s="1131"/>
      <c r="AY522" s="1131"/>
      <c r="AZ522" s="1131"/>
      <c r="BA522" s="1131"/>
      <c r="BB522" s="1131"/>
      <c r="BC522" s="1131"/>
      <c r="BD522" s="1131"/>
      <c r="BE522" s="1131"/>
      <c r="BF522" s="1131"/>
      <c r="BG522" s="1131"/>
      <c r="BH522" s="1131"/>
      <c r="BI522" s="1131"/>
      <c r="BJ522" s="1131"/>
      <c r="BK522" s="1131"/>
      <c r="BL522" s="1131"/>
      <c r="BM522" s="1131"/>
      <c r="BN522" s="1131"/>
      <c r="BO522" s="1131"/>
      <c r="BP522" s="1131"/>
      <c r="BQ522" s="1131"/>
      <c r="BR522" s="1131"/>
      <c r="BS522" s="1131"/>
      <c r="BT522" s="1131"/>
      <c r="BU522" s="1131"/>
      <c r="BV522" s="1131"/>
      <c r="BW522" s="1131"/>
      <c r="BX522" s="1131"/>
      <c r="BY522" s="1131"/>
      <c r="BZ522" s="1131"/>
      <c r="CA522" s="1131"/>
      <c r="CB522" s="1131"/>
      <c r="CC522" s="1131"/>
      <c r="CD522" s="1131"/>
      <c r="CE522" s="1131"/>
      <c r="CF522" s="1131"/>
      <c r="CG522" s="1131"/>
      <c r="CH522" s="29"/>
      <c r="CI522" s="185"/>
      <c r="CJ522" s="17"/>
    </row>
    <row r="523" spans="1:88" s="3" customFormat="1" ht="12.75" hidden="1" customHeight="1">
      <c r="A523" s="243" t="str">
        <f t="shared" si="9"/>
        <v>OK</v>
      </c>
      <c r="B523" s="1126" t="str">
        <f>IF(CONSOLIDA!DQ87="","",CONSOLIDA!DQ87)</f>
        <v/>
      </c>
      <c r="C523" s="1126"/>
      <c r="D523" s="1127" t="str">
        <f>IF(CONSOLIDA!DS87="","",CONSOLIDA!DS87)</f>
        <v/>
      </c>
      <c r="E523" s="1128"/>
      <c r="F523" s="1128"/>
      <c r="G523" s="1129" t="str">
        <f>IF(CONSOLIDA!DT87="","",CONSOLIDA!DT87)</f>
        <v/>
      </c>
      <c r="H523" s="1129"/>
      <c r="I523" s="1129"/>
      <c r="J523" s="1129"/>
      <c r="K523" s="1129"/>
      <c r="L523" s="1129"/>
      <c r="M523" s="1129"/>
      <c r="N523" s="1129"/>
      <c r="O523" s="1129"/>
      <c r="P523" s="1129"/>
      <c r="Q523" s="1129"/>
      <c r="R523" s="1129"/>
      <c r="S523" s="1129"/>
      <c r="T523" s="1129"/>
      <c r="U523" s="1129"/>
      <c r="V523" s="1129"/>
      <c r="W523" s="1129"/>
      <c r="X523" s="1129"/>
      <c r="Y523" s="1129"/>
      <c r="Z523" s="1129"/>
      <c r="AA523" s="1129"/>
      <c r="AB523" s="1129"/>
      <c r="AC523" s="1129"/>
      <c r="AD523" s="1129"/>
      <c r="AE523" s="1130"/>
      <c r="AF523" s="1131"/>
      <c r="AG523" s="1131"/>
      <c r="AH523" s="1131"/>
      <c r="AI523" s="1131"/>
      <c r="AJ523" s="1131"/>
      <c r="AK523" s="1131"/>
      <c r="AL523" s="1131"/>
      <c r="AM523" s="1131"/>
      <c r="AN523" s="1131"/>
      <c r="AO523" s="1131"/>
      <c r="AP523" s="1131"/>
      <c r="AQ523" s="1131"/>
      <c r="AR523" s="1131"/>
      <c r="AS523" s="1131"/>
      <c r="AT523" s="1131"/>
      <c r="AU523" s="1131"/>
      <c r="AV523" s="1131"/>
      <c r="AW523" s="1131"/>
      <c r="AX523" s="1131"/>
      <c r="AY523" s="1131"/>
      <c r="AZ523" s="1131"/>
      <c r="BA523" s="1131"/>
      <c r="BB523" s="1131"/>
      <c r="BC523" s="1131"/>
      <c r="BD523" s="1131"/>
      <c r="BE523" s="1131"/>
      <c r="BF523" s="1131"/>
      <c r="BG523" s="1131"/>
      <c r="BH523" s="1131"/>
      <c r="BI523" s="1131"/>
      <c r="BJ523" s="1131"/>
      <c r="BK523" s="1131"/>
      <c r="BL523" s="1131"/>
      <c r="BM523" s="1131"/>
      <c r="BN523" s="1131"/>
      <c r="BO523" s="1131"/>
      <c r="BP523" s="1131"/>
      <c r="BQ523" s="1131"/>
      <c r="BR523" s="1131"/>
      <c r="BS523" s="1131"/>
      <c r="BT523" s="1131"/>
      <c r="BU523" s="1131"/>
      <c r="BV523" s="1131"/>
      <c r="BW523" s="1131"/>
      <c r="BX523" s="1131"/>
      <c r="BY523" s="1131"/>
      <c r="BZ523" s="1131"/>
      <c r="CA523" s="1131"/>
      <c r="CB523" s="1131"/>
      <c r="CC523" s="1131"/>
      <c r="CD523" s="1131"/>
      <c r="CE523" s="1131"/>
      <c r="CF523" s="1131"/>
      <c r="CG523" s="1131"/>
      <c r="CH523" s="29"/>
      <c r="CI523" s="185"/>
      <c r="CJ523" s="17"/>
    </row>
    <row r="524" spans="1:88" s="3" customFormat="1" ht="12.75" hidden="1" customHeight="1">
      <c r="A524" s="243" t="str">
        <f t="shared" si="9"/>
        <v>OK</v>
      </c>
      <c r="B524" s="1126" t="str">
        <f>IF(CONSOLIDA!DQ88="","",CONSOLIDA!DQ88)</f>
        <v/>
      </c>
      <c r="C524" s="1126"/>
      <c r="D524" s="1127" t="str">
        <f>IF(CONSOLIDA!DS88="","",CONSOLIDA!DS88)</f>
        <v/>
      </c>
      <c r="E524" s="1128"/>
      <c r="F524" s="1128"/>
      <c r="G524" s="1129" t="str">
        <f>IF(CONSOLIDA!DT88="","",CONSOLIDA!DT88)</f>
        <v/>
      </c>
      <c r="H524" s="1129"/>
      <c r="I524" s="1129"/>
      <c r="J524" s="1129"/>
      <c r="K524" s="1129"/>
      <c r="L524" s="1129"/>
      <c r="M524" s="1129"/>
      <c r="N524" s="1129"/>
      <c r="O524" s="1129"/>
      <c r="P524" s="1129"/>
      <c r="Q524" s="1129"/>
      <c r="R524" s="1129"/>
      <c r="S524" s="1129"/>
      <c r="T524" s="1129"/>
      <c r="U524" s="1129"/>
      <c r="V524" s="1129"/>
      <c r="W524" s="1129"/>
      <c r="X524" s="1129"/>
      <c r="Y524" s="1129"/>
      <c r="Z524" s="1129"/>
      <c r="AA524" s="1129"/>
      <c r="AB524" s="1129"/>
      <c r="AC524" s="1129"/>
      <c r="AD524" s="1129"/>
      <c r="AE524" s="1130"/>
      <c r="AF524" s="1131"/>
      <c r="AG524" s="1131"/>
      <c r="AH524" s="1131"/>
      <c r="AI524" s="1131"/>
      <c r="AJ524" s="1131"/>
      <c r="AK524" s="1131"/>
      <c r="AL524" s="1131"/>
      <c r="AM524" s="1131"/>
      <c r="AN524" s="1131"/>
      <c r="AO524" s="1131"/>
      <c r="AP524" s="1131"/>
      <c r="AQ524" s="1131"/>
      <c r="AR524" s="1131"/>
      <c r="AS524" s="1131"/>
      <c r="AT524" s="1131"/>
      <c r="AU524" s="1131"/>
      <c r="AV524" s="1131"/>
      <c r="AW524" s="1131"/>
      <c r="AX524" s="1131"/>
      <c r="AY524" s="1131"/>
      <c r="AZ524" s="1131"/>
      <c r="BA524" s="1131"/>
      <c r="BB524" s="1131"/>
      <c r="BC524" s="1131"/>
      <c r="BD524" s="1131"/>
      <c r="BE524" s="1131"/>
      <c r="BF524" s="1131"/>
      <c r="BG524" s="1131"/>
      <c r="BH524" s="1131"/>
      <c r="BI524" s="1131"/>
      <c r="BJ524" s="1131"/>
      <c r="BK524" s="1131"/>
      <c r="BL524" s="1131"/>
      <c r="BM524" s="1131"/>
      <c r="BN524" s="1131"/>
      <c r="BO524" s="1131"/>
      <c r="BP524" s="1131"/>
      <c r="BQ524" s="1131"/>
      <c r="BR524" s="1131"/>
      <c r="BS524" s="1131"/>
      <c r="BT524" s="1131"/>
      <c r="BU524" s="1131"/>
      <c r="BV524" s="1131"/>
      <c r="BW524" s="1131"/>
      <c r="BX524" s="1131"/>
      <c r="BY524" s="1131"/>
      <c r="BZ524" s="1131"/>
      <c r="CA524" s="1131"/>
      <c r="CB524" s="1131"/>
      <c r="CC524" s="1131"/>
      <c r="CD524" s="1131"/>
      <c r="CE524" s="1131"/>
      <c r="CF524" s="1131"/>
      <c r="CG524" s="1131"/>
      <c r="CH524" s="29"/>
      <c r="CI524" s="185"/>
      <c r="CJ524" s="17"/>
    </row>
    <row r="525" spans="1:88" s="3" customFormat="1" ht="12.75" hidden="1" customHeight="1">
      <c r="A525" s="243" t="str">
        <f t="shared" si="9"/>
        <v>OK</v>
      </c>
      <c r="B525" s="1126" t="str">
        <f>IF(CONSOLIDA!DQ89="","",CONSOLIDA!DQ89)</f>
        <v/>
      </c>
      <c r="C525" s="1126"/>
      <c r="D525" s="1127" t="str">
        <f>IF(CONSOLIDA!DS89="","",CONSOLIDA!DS89)</f>
        <v/>
      </c>
      <c r="E525" s="1128"/>
      <c r="F525" s="1128"/>
      <c r="G525" s="1129" t="str">
        <f>IF(CONSOLIDA!DT89="","",CONSOLIDA!DT89)</f>
        <v/>
      </c>
      <c r="H525" s="1129"/>
      <c r="I525" s="1129"/>
      <c r="J525" s="1129"/>
      <c r="K525" s="1129"/>
      <c r="L525" s="1129"/>
      <c r="M525" s="1129"/>
      <c r="N525" s="1129"/>
      <c r="O525" s="1129"/>
      <c r="P525" s="1129"/>
      <c r="Q525" s="1129"/>
      <c r="R525" s="1129"/>
      <c r="S525" s="1129"/>
      <c r="T525" s="1129"/>
      <c r="U525" s="1129"/>
      <c r="V525" s="1129"/>
      <c r="W525" s="1129"/>
      <c r="X525" s="1129"/>
      <c r="Y525" s="1129"/>
      <c r="Z525" s="1129"/>
      <c r="AA525" s="1129"/>
      <c r="AB525" s="1129"/>
      <c r="AC525" s="1129"/>
      <c r="AD525" s="1129"/>
      <c r="AE525" s="1130"/>
      <c r="AF525" s="1131"/>
      <c r="AG525" s="1131"/>
      <c r="AH525" s="1131"/>
      <c r="AI525" s="1131"/>
      <c r="AJ525" s="1131"/>
      <c r="AK525" s="1131"/>
      <c r="AL525" s="1131"/>
      <c r="AM525" s="1131"/>
      <c r="AN525" s="1131"/>
      <c r="AO525" s="1131"/>
      <c r="AP525" s="1131"/>
      <c r="AQ525" s="1131"/>
      <c r="AR525" s="1131"/>
      <c r="AS525" s="1131"/>
      <c r="AT525" s="1131"/>
      <c r="AU525" s="1131"/>
      <c r="AV525" s="1131"/>
      <c r="AW525" s="1131"/>
      <c r="AX525" s="1131"/>
      <c r="AY525" s="1131"/>
      <c r="AZ525" s="1131"/>
      <c r="BA525" s="1131"/>
      <c r="BB525" s="1131"/>
      <c r="BC525" s="1131"/>
      <c r="BD525" s="1131"/>
      <c r="BE525" s="1131"/>
      <c r="BF525" s="1131"/>
      <c r="BG525" s="1131"/>
      <c r="BH525" s="1131"/>
      <c r="BI525" s="1131"/>
      <c r="BJ525" s="1131"/>
      <c r="BK525" s="1131"/>
      <c r="BL525" s="1131"/>
      <c r="BM525" s="1131"/>
      <c r="BN525" s="1131"/>
      <c r="BO525" s="1131"/>
      <c r="BP525" s="1131"/>
      <c r="BQ525" s="1131"/>
      <c r="BR525" s="1131"/>
      <c r="BS525" s="1131"/>
      <c r="BT525" s="1131"/>
      <c r="BU525" s="1131"/>
      <c r="BV525" s="1131"/>
      <c r="BW525" s="1131"/>
      <c r="BX525" s="1131"/>
      <c r="BY525" s="1131"/>
      <c r="BZ525" s="1131"/>
      <c r="CA525" s="1131"/>
      <c r="CB525" s="1131"/>
      <c r="CC525" s="1131"/>
      <c r="CD525" s="1131"/>
      <c r="CE525" s="1131"/>
      <c r="CF525" s="1131"/>
      <c r="CG525" s="1131"/>
      <c r="CH525" s="29"/>
      <c r="CI525" s="185"/>
      <c r="CJ525" s="17"/>
    </row>
    <row r="526" spans="1:88" s="3" customFormat="1" hidden="1">
      <c r="A526" s="243" t="str">
        <f t="shared" si="9"/>
        <v>OK</v>
      </c>
      <c r="B526" s="1126" t="str">
        <f>IF(CONSOLIDA!DQ90="","",CONSOLIDA!DQ90)</f>
        <v/>
      </c>
      <c r="C526" s="1126"/>
      <c r="D526" s="1127" t="str">
        <f>IF(CONSOLIDA!DS90="","",CONSOLIDA!DS90)</f>
        <v/>
      </c>
      <c r="E526" s="1128"/>
      <c r="F526" s="1128"/>
      <c r="G526" s="1129" t="str">
        <f>IF(CONSOLIDA!DT90="","",CONSOLIDA!DT90)</f>
        <v/>
      </c>
      <c r="H526" s="1129"/>
      <c r="I526" s="1129"/>
      <c r="J526" s="1129"/>
      <c r="K526" s="1129"/>
      <c r="L526" s="1129"/>
      <c r="M526" s="1129"/>
      <c r="N526" s="1129"/>
      <c r="O526" s="1129"/>
      <c r="P526" s="1129"/>
      <c r="Q526" s="1129"/>
      <c r="R526" s="1129"/>
      <c r="S526" s="1129"/>
      <c r="T526" s="1129"/>
      <c r="U526" s="1129"/>
      <c r="V526" s="1129"/>
      <c r="W526" s="1129"/>
      <c r="X526" s="1129"/>
      <c r="Y526" s="1129"/>
      <c r="Z526" s="1129"/>
      <c r="AA526" s="1129"/>
      <c r="AB526" s="1129"/>
      <c r="AC526" s="1129"/>
      <c r="AD526" s="1129"/>
      <c r="AE526" s="1130"/>
      <c r="AF526" s="1131"/>
      <c r="AG526" s="1131"/>
      <c r="AH526" s="1131"/>
      <c r="AI526" s="1131"/>
      <c r="AJ526" s="1131"/>
      <c r="AK526" s="1131"/>
      <c r="AL526" s="1131"/>
      <c r="AM526" s="1131"/>
      <c r="AN526" s="1131"/>
      <c r="AO526" s="1131"/>
      <c r="AP526" s="1131"/>
      <c r="AQ526" s="1131"/>
      <c r="AR526" s="1131"/>
      <c r="AS526" s="1131"/>
      <c r="AT526" s="1131"/>
      <c r="AU526" s="1131"/>
      <c r="AV526" s="1131"/>
      <c r="AW526" s="1131"/>
      <c r="AX526" s="1131"/>
      <c r="AY526" s="1131"/>
      <c r="AZ526" s="1131"/>
      <c r="BA526" s="1131"/>
      <c r="BB526" s="1131"/>
      <c r="BC526" s="1131"/>
      <c r="BD526" s="1131"/>
      <c r="BE526" s="1131"/>
      <c r="BF526" s="1131"/>
      <c r="BG526" s="1131"/>
      <c r="BH526" s="1131"/>
      <c r="BI526" s="1131"/>
      <c r="BJ526" s="1131"/>
      <c r="BK526" s="1131"/>
      <c r="BL526" s="1131"/>
      <c r="BM526" s="1131"/>
      <c r="BN526" s="1131"/>
      <c r="BO526" s="1131"/>
      <c r="BP526" s="1131"/>
      <c r="BQ526" s="1131"/>
      <c r="BR526" s="1131"/>
      <c r="BS526" s="1131"/>
      <c r="BT526" s="1131"/>
      <c r="BU526" s="1131"/>
      <c r="BV526" s="1131"/>
      <c r="BW526" s="1131"/>
      <c r="BX526" s="1131"/>
      <c r="BY526" s="1131"/>
      <c r="BZ526" s="1131"/>
      <c r="CA526" s="1131"/>
      <c r="CB526" s="1131"/>
      <c r="CC526" s="1131"/>
      <c r="CD526" s="1131"/>
      <c r="CE526" s="1131"/>
      <c r="CF526" s="1131"/>
      <c r="CG526" s="1131"/>
      <c r="CH526" s="29"/>
      <c r="CI526" s="185"/>
      <c r="CJ526" s="17"/>
    </row>
    <row r="527" spans="1:88" s="3" customFormat="1" hidden="1">
      <c r="A527" s="243" t="str">
        <f t="shared" si="9"/>
        <v>OK</v>
      </c>
      <c r="B527" s="1126" t="str">
        <f>IF(CONSOLIDA!DQ91="","",CONSOLIDA!DQ91)</f>
        <v/>
      </c>
      <c r="C527" s="1126"/>
      <c r="D527" s="1127" t="str">
        <f>IF(CONSOLIDA!DS91="","",CONSOLIDA!DS91)</f>
        <v/>
      </c>
      <c r="E527" s="1128"/>
      <c r="F527" s="1128"/>
      <c r="G527" s="1129" t="str">
        <f>IF(CONSOLIDA!DT91="","",CONSOLIDA!DT91)</f>
        <v/>
      </c>
      <c r="H527" s="1129"/>
      <c r="I527" s="1129"/>
      <c r="J527" s="1129"/>
      <c r="K527" s="1129"/>
      <c r="L527" s="1129"/>
      <c r="M527" s="1129"/>
      <c r="N527" s="1129"/>
      <c r="O527" s="1129"/>
      <c r="P527" s="1129"/>
      <c r="Q527" s="1129"/>
      <c r="R527" s="1129"/>
      <c r="S527" s="1129"/>
      <c r="T527" s="1129"/>
      <c r="U527" s="1129"/>
      <c r="V527" s="1129"/>
      <c r="W527" s="1129"/>
      <c r="X527" s="1129"/>
      <c r="Y527" s="1129"/>
      <c r="Z527" s="1129"/>
      <c r="AA527" s="1129"/>
      <c r="AB527" s="1129"/>
      <c r="AC527" s="1129"/>
      <c r="AD527" s="1129"/>
      <c r="AE527" s="1130"/>
      <c r="AF527" s="1131"/>
      <c r="AG527" s="1131"/>
      <c r="AH527" s="1131"/>
      <c r="AI527" s="1131"/>
      <c r="AJ527" s="1131"/>
      <c r="AK527" s="1131"/>
      <c r="AL527" s="1131"/>
      <c r="AM527" s="1131"/>
      <c r="AN527" s="1131"/>
      <c r="AO527" s="1131"/>
      <c r="AP527" s="1131"/>
      <c r="AQ527" s="1131"/>
      <c r="AR527" s="1131"/>
      <c r="AS527" s="1131"/>
      <c r="AT527" s="1131"/>
      <c r="AU527" s="1131"/>
      <c r="AV527" s="1131"/>
      <c r="AW527" s="1131"/>
      <c r="AX527" s="1131"/>
      <c r="AY527" s="1131"/>
      <c r="AZ527" s="1131"/>
      <c r="BA527" s="1131"/>
      <c r="BB527" s="1131"/>
      <c r="BC527" s="1131"/>
      <c r="BD527" s="1131"/>
      <c r="BE527" s="1131"/>
      <c r="BF527" s="1131"/>
      <c r="BG527" s="1131"/>
      <c r="BH527" s="1131"/>
      <c r="BI527" s="1131"/>
      <c r="BJ527" s="1131"/>
      <c r="BK527" s="1131"/>
      <c r="BL527" s="1131"/>
      <c r="BM527" s="1131"/>
      <c r="BN527" s="1131"/>
      <c r="BO527" s="1131"/>
      <c r="BP527" s="1131"/>
      <c r="BQ527" s="1131"/>
      <c r="BR527" s="1131"/>
      <c r="BS527" s="1131"/>
      <c r="BT527" s="1131"/>
      <c r="BU527" s="1131"/>
      <c r="BV527" s="1131"/>
      <c r="BW527" s="1131"/>
      <c r="BX527" s="1131"/>
      <c r="BY527" s="1131"/>
      <c r="BZ527" s="1131"/>
      <c r="CA527" s="1131"/>
      <c r="CB527" s="1131"/>
      <c r="CC527" s="1131"/>
      <c r="CD527" s="1131"/>
      <c r="CE527" s="1131"/>
      <c r="CF527" s="1131"/>
      <c r="CG527" s="1131"/>
      <c r="CH527" s="29"/>
      <c r="CI527" s="185"/>
      <c r="CJ527" s="17"/>
    </row>
    <row r="528" spans="1:88" s="3" customFormat="1" hidden="1">
      <c r="A528" s="243" t="str">
        <f t="shared" si="9"/>
        <v>OK</v>
      </c>
      <c r="B528" s="1126" t="str">
        <f>IF(CONSOLIDA!DQ92="","",CONSOLIDA!DQ92)</f>
        <v/>
      </c>
      <c r="C528" s="1126"/>
      <c r="D528" s="1127" t="str">
        <f>IF(CONSOLIDA!DS92="","",CONSOLIDA!DS92)</f>
        <v/>
      </c>
      <c r="E528" s="1128"/>
      <c r="F528" s="1128"/>
      <c r="G528" s="1129" t="str">
        <f>IF(CONSOLIDA!DT92="","",CONSOLIDA!DT92)</f>
        <v/>
      </c>
      <c r="H528" s="1129"/>
      <c r="I528" s="1129"/>
      <c r="J528" s="1129"/>
      <c r="K528" s="1129"/>
      <c r="L528" s="1129"/>
      <c r="M528" s="1129"/>
      <c r="N528" s="1129"/>
      <c r="O528" s="1129"/>
      <c r="P528" s="1129"/>
      <c r="Q528" s="1129"/>
      <c r="R528" s="1129"/>
      <c r="S528" s="1129"/>
      <c r="T528" s="1129"/>
      <c r="U528" s="1129"/>
      <c r="V528" s="1129"/>
      <c r="W528" s="1129"/>
      <c r="X528" s="1129"/>
      <c r="Y528" s="1129"/>
      <c r="Z528" s="1129"/>
      <c r="AA528" s="1129"/>
      <c r="AB528" s="1129"/>
      <c r="AC528" s="1129"/>
      <c r="AD528" s="1129"/>
      <c r="AE528" s="1130"/>
      <c r="AF528" s="1131"/>
      <c r="AG528" s="1131"/>
      <c r="AH528" s="1131"/>
      <c r="AI528" s="1131"/>
      <c r="AJ528" s="1131"/>
      <c r="AK528" s="1131"/>
      <c r="AL528" s="1131"/>
      <c r="AM528" s="1131"/>
      <c r="AN528" s="1131"/>
      <c r="AO528" s="1131"/>
      <c r="AP528" s="1131"/>
      <c r="AQ528" s="1131"/>
      <c r="AR528" s="1131"/>
      <c r="AS528" s="1131"/>
      <c r="AT528" s="1131"/>
      <c r="AU528" s="1131"/>
      <c r="AV528" s="1131"/>
      <c r="AW528" s="1131"/>
      <c r="AX528" s="1131"/>
      <c r="AY528" s="1131"/>
      <c r="AZ528" s="1131"/>
      <c r="BA528" s="1131"/>
      <c r="BB528" s="1131"/>
      <c r="BC528" s="1131"/>
      <c r="BD528" s="1131"/>
      <c r="BE528" s="1131"/>
      <c r="BF528" s="1131"/>
      <c r="BG528" s="1131"/>
      <c r="BH528" s="1131"/>
      <c r="BI528" s="1131"/>
      <c r="BJ528" s="1131"/>
      <c r="BK528" s="1131"/>
      <c r="BL528" s="1131"/>
      <c r="BM528" s="1131"/>
      <c r="BN528" s="1131"/>
      <c r="BO528" s="1131"/>
      <c r="BP528" s="1131"/>
      <c r="BQ528" s="1131"/>
      <c r="BR528" s="1131"/>
      <c r="BS528" s="1131"/>
      <c r="BT528" s="1131"/>
      <c r="BU528" s="1131"/>
      <c r="BV528" s="1131"/>
      <c r="BW528" s="1131"/>
      <c r="BX528" s="1131"/>
      <c r="BY528" s="1131"/>
      <c r="BZ528" s="1131"/>
      <c r="CA528" s="1131"/>
      <c r="CB528" s="1131"/>
      <c r="CC528" s="1131"/>
      <c r="CD528" s="1131"/>
      <c r="CE528" s="1131"/>
      <c r="CF528" s="1131"/>
      <c r="CG528" s="1131"/>
      <c r="CH528" s="29"/>
      <c r="CI528" s="185"/>
      <c r="CJ528" s="17"/>
    </row>
    <row r="529" spans="1:88" s="3" customFormat="1" hidden="1">
      <c r="A529" s="243" t="str">
        <f t="shared" si="9"/>
        <v>OK</v>
      </c>
      <c r="B529" s="1126" t="str">
        <f>IF(CONSOLIDA!DQ93="","",CONSOLIDA!DQ93)</f>
        <v/>
      </c>
      <c r="C529" s="1126"/>
      <c r="D529" s="1127" t="str">
        <f>IF(CONSOLIDA!DS93="","",CONSOLIDA!DS93)</f>
        <v/>
      </c>
      <c r="E529" s="1128"/>
      <c r="F529" s="1128"/>
      <c r="G529" s="1129" t="str">
        <f>IF(CONSOLIDA!DT93="","",CONSOLIDA!DT93)</f>
        <v/>
      </c>
      <c r="H529" s="1129"/>
      <c r="I529" s="1129"/>
      <c r="J529" s="1129"/>
      <c r="K529" s="1129"/>
      <c r="L529" s="1129"/>
      <c r="M529" s="1129"/>
      <c r="N529" s="1129"/>
      <c r="O529" s="1129"/>
      <c r="P529" s="1129"/>
      <c r="Q529" s="1129"/>
      <c r="R529" s="1129"/>
      <c r="S529" s="1129"/>
      <c r="T529" s="1129"/>
      <c r="U529" s="1129"/>
      <c r="V529" s="1129"/>
      <c r="W529" s="1129"/>
      <c r="X529" s="1129"/>
      <c r="Y529" s="1129"/>
      <c r="Z529" s="1129"/>
      <c r="AA529" s="1129"/>
      <c r="AB529" s="1129"/>
      <c r="AC529" s="1129"/>
      <c r="AD529" s="1129"/>
      <c r="AE529" s="1130"/>
      <c r="AF529" s="1131"/>
      <c r="AG529" s="1131"/>
      <c r="AH529" s="1131"/>
      <c r="AI529" s="1131"/>
      <c r="AJ529" s="1131"/>
      <c r="AK529" s="1131"/>
      <c r="AL529" s="1131"/>
      <c r="AM529" s="1131"/>
      <c r="AN529" s="1131"/>
      <c r="AO529" s="1131"/>
      <c r="AP529" s="1131"/>
      <c r="AQ529" s="1131"/>
      <c r="AR529" s="1131"/>
      <c r="AS529" s="1131"/>
      <c r="AT529" s="1131"/>
      <c r="AU529" s="1131"/>
      <c r="AV529" s="1131"/>
      <c r="AW529" s="1131"/>
      <c r="AX529" s="1131"/>
      <c r="AY529" s="1131"/>
      <c r="AZ529" s="1131"/>
      <c r="BA529" s="1131"/>
      <c r="BB529" s="1131"/>
      <c r="BC529" s="1131"/>
      <c r="BD529" s="1131"/>
      <c r="BE529" s="1131"/>
      <c r="BF529" s="1131"/>
      <c r="BG529" s="1131"/>
      <c r="BH529" s="1131"/>
      <c r="BI529" s="1131"/>
      <c r="BJ529" s="1131"/>
      <c r="BK529" s="1131"/>
      <c r="BL529" s="1131"/>
      <c r="BM529" s="1131"/>
      <c r="BN529" s="1131"/>
      <c r="BO529" s="1131"/>
      <c r="BP529" s="1131"/>
      <c r="BQ529" s="1131"/>
      <c r="BR529" s="1131"/>
      <c r="BS529" s="1131"/>
      <c r="BT529" s="1131"/>
      <c r="BU529" s="1131"/>
      <c r="BV529" s="1131"/>
      <c r="BW529" s="1131"/>
      <c r="BX529" s="1131"/>
      <c r="BY529" s="1131"/>
      <c r="BZ529" s="1131"/>
      <c r="CA529" s="1131"/>
      <c r="CB529" s="1131"/>
      <c r="CC529" s="1131"/>
      <c r="CD529" s="1131"/>
      <c r="CE529" s="1131"/>
      <c r="CF529" s="1131"/>
      <c r="CG529" s="1131"/>
      <c r="CH529" s="29"/>
      <c r="CI529" s="185"/>
      <c r="CJ529" s="17"/>
    </row>
    <row r="530" spans="1:88" s="3" customFormat="1" hidden="1">
      <c r="A530" s="243" t="str">
        <f t="shared" si="9"/>
        <v>OK</v>
      </c>
      <c r="B530" s="1126" t="str">
        <f>IF(CONSOLIDA!DQ94="","",CONSOLIDA!DQ94)</f>
        <v/>
      </c>
      <c r="C530" s="1126"/>
      <c r="D530" s="1127" t="str">
        <f>IF(CONSOLIDA!DS94="","",CONSOLIDA!DS94)</f>
        <v/>
      </c>
      <c r="E530" s="1128"/>
      <c r="F530" s="1128"/>
      <c r="G530" s="1129" t="str">
        <f>IF(CONSOLIDA!DT94="","",CONSOLIDA!DT94)</f>
        <v/>
      </c>
      <c r="H530" s="1129"/>
      <c r="I530" s="1129"/>
      <c r="J530" s="1129"/>
      <c r="K530" s="1129"/>
      <c r="L530" s="1129"/>
      <c r="M530" s="1129"/>
      <c r="N530" s="1129"/>
      <c r="O530" s="1129"/>
      <c r="P530" s="1129"/>
      <c r="Q530" s="1129"/>
      <c r="R530" s="1129"/>
      <c r="S530" s="1129"/>
      <c r="T530" s="1129"/>
      <c r="U530" s="1129"/>
      <c r="V530" s="1129"/>
      <c r="W530" s="1129"/>
      <c r="X530" s="1129"/>
      <c r="Y530" s="1129"/>
      <c r="Z530" s="1129"/>
      <c r="AA530" s="1129"/>
      <c r="AB530" s="1129"/>
      <c r="AC530" s="1129"/>
      <c r="AD530" s="1129"/>
      <c r="AE530" s="1130"/>
      <c r="AF530" s="1131"/>
      <c r="AG530" s="1131"/>
      <c r="AH530" s="1131"/>
      <c r="AI530" s="1131"/>
      <c r="AJ530" s="1131"/>
      <c r="AK530" s="1131"/>
      <c r="AL530" s="1131"/>
      <c r="AM530" s="1131"/>
      <c r="AN530" s="1131"/>
      <c r="AO530" s="1131"/>
      <c r="AP530" s="1131"/>
      <c r="AQ530" s="1131"/>
      <c r="AR530" s="1131"/>
      <c r="AS530" s="1131"/>
      <c r="AT530" s="1131"/>
      <c r="AU530" s="1131"/>
      <c r="AV530" s="1131"/>
      <c r="AW530" s="1131"/>
      <c r="AX530" s="1131"/>
      <c r="AY530" s="1131"/>
      <c r="AZ530" s="1131"/>
      <c r="BA530" s="1131"/>
      <c r="BB530" s="1131"/>
      <c r="BC530" s="1131"/>
      <c r="BD530" s="1131"/>
      <c r="BE530" s="1131"/>
      <c r="BF530" s="1131"/>
      <c r="BG530" s="1131"/>
      <c r="BH530" s="1131"/>
      <c r="BI530" s="1131"/>
      <c r="BJ530" s="1131"/>
      <c r="BK530" s="1131"/>
      <c r="BL530" s="1131"/>
      <c r="BM530" s="1131"/>
      <c r="BN530" s="1131"/>
      <c r="BO530" s="1131"/>
      <c r="BP530" s="1131"/>
      <c r="BQ530" s="1131"/>
      <c r="BR530" s="1131"/>
      <c r="BS530" s="1131"/>
      <c r="BT530" s="1131"/>
      <c r="BU530" s="1131"/>
      <c r="BV530" s="1131"/>
      <c r="BW530" s="1131"/>
      <c r="BX530" s="1131"/>
      <c r="BY530" s="1131"/>
      <c r="BZ530" s="1131"/>
      <c r="CA530" s="1131"/>
      <c r="CB530" s="1131"/>
      <c r="CC530" s="1131"/>
      <c r="CD530" s="1131"/>
      <c r="CE530" s="1131"/>
      <c r="CF530" s="1131"/>
      <c r="CG530" s="1131"/>
      <c r="CH530" s="29"/>
      <c r="CI530" s="185"/>
      <c r="CJ530" s="17"/>
    </row>
    <row r="531" spans="1:88" s="3" customFormat="1" hidden="1">
      <c r="A531" s="243" t="str">
        <f t="shared" si="9"/>
        <v>OK</v>
      </c>
      <c r="B531" s="1126" t="str">
        <f>IF(CONSOLIDA!DQ95="","",CONSOLIDA!DQ95)</f>
        <v/>
      </c>
      <c r="C531" s="1126"/>
      <c r="D531" s="1127" t="str">
        <f>IF(CONSOLIDA!DS95="","",CONSOLIDA!DS95)</f>
        <v/>
      </c>
      <c r="E531" s="1128"/>
      <c r="F531" s="1128"/>
      <c r="G531" s="1129" t="str">
        <f>IF(CONSOLIDA!DT95="","",CONSOLIDA!DT95)</f>
        <v/>
      </c>
      <c r="H531" s="1129"/>
      <c r="I531" s="1129"/>
      <c r="J531" s="1129"/>
      <c r="K531" s="1129"/>
      <c r="L531" s="1129"/>
      <c r="M531" s="1129"/>
      <c r="N531" s="1129"/>
      <c r="O531" s="1129"/>
      <c r="P531" s="1129"/>
      <c r="Q531" s="1129"/>
      <c r="R531" s="1129"/>
      <c r="S531" s="1129"/>
      <c r="T531" s="1129"/>
      <c r="U531" s="1129"/>
      <c r="V531" s="1129"/>
      <c r="W531" s="1129"/>
      <c r="X531" s="1129"/>
      <c r="Y531" s="1129"/>
      <c r="Z531" s="1129"/>
      <c r="AA531" s="1129"/>
      <c r="AB531" s="1129"/>
      <c r="AC531" s="1129"/>
      <c r="AD531" s="1129"/>
      <c r="AE531" s="1130"/>
      <c r="AF531" s="1131"/>
      <c r="AG531" s="1131"/>
      <c r="AH531" s="1131"/>
      <c r="AI531" s="1131"/>
      <c r="AJ531" s="1131"/>
      <c r="AK531" s="1131"/>
      <c r="AL531" s="1131"/>
      <c r="AM531" s="1131"/>
      <c r="AN531" s="1131"/>
      <c r="AO531" s="1131"/>
      <c r="AP531" s="1131"/>
      <c r="AQ531" s="1131"/>
      <c r="AR531" s="1131"/>
      <c r="AS531" s="1131"/>
      <c r="AT531" s="1131"/>
      <c r="AU531" s="1131"/>
      <c r="AV531" s="1131"/>
      <c r="AW531" s="1131"/>
      <c r="AX531" s="1131"/>
      <c r="AY531" s="1131"/>
      <c r="AZ531" s="1131"/>
      <c r="BA531" s="1131"/>
      <c r="BB531" s="1131"/>
      <c r="BC531" s="1131"/>
      <c r="BD531" s="1131"/>
      <c r="BE531" s="1131"/>
      <c r="BF531" s="1131"/>
      <c r="BG531" s="1131"/>
      <c r="BH531" s="1131"/>
      <c r="BI531" s="1131"/>
      <c r="BJ531" s="1131"/>
      <c r="BK531" s="1131"/>
      <c r="BL531" s="1131"/>
      <c r="BM531" s="1131"/>
      <c r="BN531" s="1131"/>
      <c r="BO531" s="1131"/>
      <c r="BP531" s="1131"/>
      <c r="BQ531" s="1131"/>
      <c r="BR531" s="1131"/>
      <c r="BS531" s="1131"/>
      <c r="BT531" s="1131"/>
      <c r="BU531" s="1131"/>
      <c r="BV531" s="1131"/>
      <c r="BW531" s="1131"/>
      <c r="BX531" s="1131"/>
      <c r="BY531" s="1131"/>
      <c r="BZ531" s="1131"/>
      <c r="CA531" s="1131"/>
      <c r="CB531" s="1131"/>
      <c r="CC531" s="1131"/>
      <c r="CD531" s="1131"/>
      <c r="CE531" s="1131"/>
      <c r="CF531" s="1131"/>
      <c r="CG531" s="1131"/>
      <c r="CH531" s="29"/>
      <c r="CI531" s="185"/>
      <c r="CJ531" s="17"/>
    </row>
    <row r="532" spans="1:88" s="3" customFormat="1" hidden="1">
      <c r="A532" s="243" t="str">
        <f t="shared" si="9"/>
        <v>OK</v>
      </c>
      <c r="B532" s="1126" t="str">
        <f>IF(CONSOLIDA!DQ96="","",CONSOLIDA!DQ96)</f>
        <v/>
      </c>
      <c r="C532" s="1126"/>
      <c r="D532" s="1127" t="str">
        <f>IF(CONSOLIDA!DS96="","",CONSOLIDA!DS96)</f>
        <v/>
      </c>
      <c r="E532" s="1128"/>
      <c r="F532" s="1128"/>
      <c r="G532" s="1129" t="str">
        <f>IF(CONSOLIDA!DT96="","",CONSOLIDA!DT96)</f>
        <v/>
      </c>
      <c r="H532" s="1129"/>
      <c r="I532" s="1129"/>
      <c r="J532" s="1129"/>
      <c r="K532" s="1129"/>
      <c r="L532" s="1129"/>
      <c r="M532" s="1129"/>
      <c r="N532" s="1129"/>
      <c r="O532" s="1129"/>
      <c r="P532" s="1129"/>
      <c r="Q532" s="1129"/>
      <c r="R532" s="1129"/>
      <c r="S532" s="1129"/>
      <c r="T532" s="1129"/>
      <c r="U532" s="1129"/>
      <c r="V532" s="1129"/>
      <c r="W532" s="1129"/>
      <c r="X532" s="1129"/>
      <c r="Y532" s="1129"/>
      <c r="Z532" s="1129"/>
      <c r="AA532" s="1129"/>
      <c r="AB532" s="1129"/>
      <c r="AC532" s="1129"/>
      <c r="AD532" s="1129"/>
      <c r="AE532" s="1130"/>
      <c r="AF532" s="1131"/>
      <c r="AG532" s="1131"/>
      <c r="AH532" s="1131"/>
      <c r="AI532" s="1131"/>
      <c r="AJ532" s="1131"/>
      <c r="AK532" s="1131"/>
      <c r="AL532" s="1131"/>
      <c r="AM532" s="1131"/>
      <c r="AN532" s="1131"/>
      <c r="AO532" s="1131"/>
      <c r="AP532" s="1131"/>
      <c r="AQ532" s="1131"/>
      <c r="AR532" s="1131"/>
      <c r="AS532" s="1131"/>
      <c r="AT532" s="1131"/>
      <c r="AU532" s="1131"/>
      <c r="AV532" s="1131"/>
      <c r="AW532" s="1131"/>
      <c r="AX532" s="1131"/>
      <c r="AY532" s="1131"/>
      <c r="AZ532" s="1131"/>
      <c r="BA532" s="1131"/>
      <c r="BB532" s="1131"/>
      <c r="BC532" s="1131"/>
      <c r="BD532" s="1131"/>
      <c r="BE532" s="1131"/>
      <c r="BF532" s="1131"/>
      <c r="BG532" s="1131"/>
      <c r="BH532" s="1131"/>
      <c r="BI532" s="1131"/>
      <c r="BJ532" s="1131"/>
      <c r="BK532" s="1131"/>
      <c r="BL532" s="1131"/>
      <c r="BM532" s="1131"/>
      <c r="BN532" s="1131"/>
      <c r="BO532" s="1131"/>
      <c r="BP532" s="1131"/>
      <c r="BQ532" s="1131"/>
      <c r="BR532" s="1131"/>
      <c r="BS532" s="1131"/>
      <c r="BT532" s="1131"/>
      <c r="BU532" s="1131"/>
      <c r="BV532" s="1131"/>
      <c r="BW532" s="1131"/>
      <c r="BX532" s="1131"/>
      <c r="BY532" s="1131"/>
      <c r="BZ532" s="1131"/>
      <c r="CA532" s="1131"/>
      <c r="CB532" s="1131"/>
      <c r="CC532" s="1131"/>
      <c r="CD532" s="1131"/>
      <c r="CE532" s="1131"/>
      <c r="CF532" s="1131"/>
      <c r="CG532" s="1131"/>
      <c r="CH532" s="29"/>
      <c r="CI532" s="185"/>
      <c r="CJ532" s="17"/>
    </row>
    <row r="533" spans="1:88" s="3" customFormat="1" hidden="1">
      <c r="A533" s="243" t="str">
        <f t="shared" si="9"/>
        <v>OK</v>
      </c>
      <c r="B533" s="1126" t="str">
        <f>IF(CONSOLIDA!DQ97="","",CONSOLIDA!DQ97)</f>
        <v/>
      </c>
      <c r="C533" s="1126"/>
      <c r="D533" s="1127" t="str">
        <f>IF(CONSOLIDA!DS97="","",CONSOLIDA!DS97)</f>
        <v/>
      </c>
      <c r="E533" s="1128"/>
      <c r="F533" s="1128"/>
      <c r="G533" s="1129" t="str">
        <f>IF(CONSOLIDA!DT97="","",CONSOLIDA!DT97)</f>
        <v/>
      </c>
      <c r="H533" s="1129"/>
      <c r="I533" s="1129"/>
      <c r="J533" s="1129"/>
      <c r="K533" s="1129"/>
      <c r="L533" s="1129"/>
      <c r="M533" s="1129"/>
      <c r="N533" s="1129"/>
      <c r="O533" s="1129"/>
      <c r="P533" s="1129"/>
      <c r="Q533" s="1129"/>
      <c r="R533" s="1129"/>
      <c r="S533" s="1129"/>
      <c r="T533" s="1129"/>
      <c r="U533" s="1129"/>
      <c r="V533" s="1129"/>
      <c r="W533" s="1129"/>
      <c r="X533" s="1129"/>
      <c r="Y533" s="1129"/>
      <c r="Z533" s="1129"/>
      <c r="AA533" s="1129"/>
      <c r="AB533" s="1129"/>
      <c r="AC533" s="1129"/>
      <c r="AD533" s="1129"/>
      <c r="AE533" s="1130"/>
      <c r="AF533" s="1131"/>
      <c r="AG533" s="1131"/>
      <c r="AH533" s="1131"/>
      <c r="AI533" s="1131"/>
      <c r="AJ533" s="1131"/>
      <c r="AK533" s="1131"/>
      <c r="AL533" s="1131"/>
      <c r="AM533" s="1131"/>
      <c r="AN533" s="1131"/>
      <c r="AO533" s="1131"/>
      <c r="AP533" s="1131"/>
      <c r="AQ533" s="1131"/>
      <c r="AR533" s="1131"/>
      <c r="AS533" s="1131"/>
      <c r="AT533" s="1131"/>
      <c r="AU533" s="1131"/>
      <c r="AV533" s="1131"/>
      <c r="AW533" s="1131"/>
      <c r="AX533" s="1131"/>
      <c r="AY533" s="1131"/>
      <c r="AZ533" s="1131"/>
      <c r="BA533" s="1131"/>
      <c r="BB533" s="1131"/>
      <c r="BC533" s="1131"/>
      <c r="BD533" s="1131"/>
      <c r="BE533" s="1131"/>
      <c r="BF533" s="1131"/>
      <c r="BG533" s="1131"/>
      <c r="BH533" s="1131"/>
      <c r="BI533" s="1131"/>
      <c r="BJ533" s="1131"/>
      <c r="BK533" s="1131"/>
      <c r="BL533" s="1131"/>
      <c r="BM533" s="1131"/>
      <c r="BN533" s="1131"/>
      <c r="BO533" s="1131"/>
      <c r="BP533" s="1131"/>
      <c r="BQ533" s="1131"/>
      <c r="BR533" s="1131"/>
      <c r="BS533" s="1131"/>
      <c r="BT533" s="1131"/>
      <c r="BU533" s="1131"/>
      <c r="BV533" s="1131"/>
      <c r="BW533" s="1131"/>
      <c r="BX533" s="1131"/>
      <c r="BY533" s="1131"/>
      <c r="BZ533" s="1131"/>
      <c r="CA533" s="1131"/>
      <c r="CB533" s="1131"/>
      <c r="CC533" s="1131"/>
      <c r="CD533" s="1131"/>
      <c r="CE533" s="1131"/>
      <c r="CF533" s="1131"/>
      <c r="CG533" s="1131"/>
      <c r="CH533" s="29"/>
      <c r="CI533" s="185"/>
      <c r="CJ533" s="17"/>
    </row>
    <row r="534" spans="1:88" s="3" customFormat="1" hidden="1">
      <c r="A534" s="243" t="str">
        <f t="shared" si="9"/>
        <v>OK</v>
      </c>
      <c r="B534" s="1126" t="str">
        <f>IF(CONSOLIDA!DQ98="","",CONSOLIDA!DQ98)</f>
        <v/>
      </c>
      <c r="C534" s="1126"/>
      <c r="D534" s="1127" t="str">
        <f>IF(CONSOLIDA!DS98="","",CONSOLIDA!DS98)</f>
        <v/>
      </c>
      <c r="E534" s="1128"/>
      <c r="F534" s="1128"/>
      <c r="G534" s="1129" t="str">
        <f>IF(CONSOLIDA!DT98="","",CONSOLIDA!DT98)</f>
        <v/>
      </c>
      <c r="H534" s="1129"/>
      <c r="I534" s="1129"/>
      <c r="J534" s="1129"/>
      <c r="K534" s="1129"/>
      <c r="L534" s="1129"/>
      <c r="M534" s="1129"/>
      <c r="N534" s="1129"/>
      <c r="O534" s="1129"/>
      <c r="P534" s="1129"/>
      <c r="Q534" s="1129"/>
      <c r="R534" s="1129"/>
      <c r="S534" s="1129"/>
      <c r="T534" s="1129"/>
      <c r="U534" s="1129"/>
      <c r="V534" s="1129"/>
      <c r="W534" s="1129"/>
      <c r="X534" s="1129"/>
      <c r="Y534" s="1129"/>
      <c r="Z534" s="1129"/>
      <c r="AA534" s="1129"/>
      <c r="AB534" s="1129"/>
      <c r="AC534" s="1129"/>
      <c r="AD534" s="1129"/>
      <c r="AE534" s="1130"/>
      <c r="AF534" s="1131"/>
      <c r="AG534" s="1131"/>
      <c r="AH534" s="1131"/>
      <c r="AI534" s="1131"/>
      <c r="AJ534" s="1131"/>
      <c r="AK534" s="1131"/>
      <c r="AL534" s="1131"/>
      <c r="AM534" s="1131"/>
      <c r="AN534" s="1131"/>
      <c r="AO534" s="1131"/>
      <c r="AP534" s="1131"/>
      <c r="AQ534" s="1131"/>
      <c r="AR534" s="1131"/>
      <c r="AS534" s="1131"/>
      <c r="AT534" s="1131"/>
      <c r="AU534" s="1131"/>
      <c r="AV534" s="1131"/>
      <c r="AW534" s="1131"/>
      <c r="AX534" s="1131"/>
      <c r="AY534" s="1131"/>
      <c r="AZ534" s="1131"/>
      <c r="BA534" s="1131"/>
      <c r="BB534" s="1131"/>
      <c r="BC534" s="1131"/>
      <c r="BD534" s="1131"/>
      <c r="BE534" s="1131"/>
      <c r="BF534" s="1131"/>
      <c r="BG534" s="1131"/>
      <c r="BH534" s="1131"/>
      <c r="BI534" s="1131"/>
      <c r="BJ534" s="1131"/>
      <c r="BK534" s="1131"/>
      <c r="BL534" s="1131"/>
      <c r="BM534" s="1131"/>
      <c r="BN534" s="1131"/>
      <c r="BO534" s="1131"/>
      <c r="BP534" s="1131"/>
      <c r="BQ534" s="1131"/>
      <c r="BR534" s="1131"/>
      <c r="BS534" s="1131"/>
      <c r="BT534" s="1131"/>
      <c r="BU534" s="1131"/>
      <c r="BV534" s="1131"/>
      <c r="BW534" s="1131"/>
      <c r="BX534" s="1131"/>
      <c r="BY534" s="1131"/>
      <c r="BZ534" s="1131"/>
      <c r="CA534" s="1131"/>
      <c r="CB534" s="1131"/>
      <c r="CC534" s="1131"/>
      <c r="CD534" s="1131"/>
      <c r="CE534" s="1131"/>
      <c r="CF534" s="1131"/>
      <c r="CG534" s="1131"/>
      <c r="CH534" s="29"/>
      <c r="CI534" s="185"/>
      <c r="CJ534" s="17"/>
    </row>
    <row r="535" spans="1:88" s="3" customFormat="1" hidden="1">
      <c r="A535" s="243" t="str">
        <f t="shared" si="9"/>
        <v>OK</v>
      </c>
      <c r="B535" s="1126" t="str">
        <f>IF(CONSOLIDA!DQ99="","",CONSOLIDA!DQ99)</f>
        <v/>
      </c>
      <c r="C535" s="1126"/>
      <c r="D535" s="1127" t="str">
        <f>IF(CONSOLIDA!DS99="","",CONSOLIDA!DS99)</f>
        <v/>
      </c>
      <c r="E535" s="1128"/>
      <c r="F535" s="1128"/>
      <c r="G535" s="1129" t="str">
        <f>IF(CONSOLIDA!DT99="","",CONSOLIDA!DT99)</f>
        <v/>
      </c>
      <c r="H535" s="1129"/>
      <c r="I535" s="1129"/>
      <c r="J535" s="1129"/>
      <c r="K535" s="1129"/>
      <c r="L535" s="1129"/>
      <c r="M535" s="1129"/>
      <c r="N535" s="1129"/>
      <c r="O535" s="1129"/>
      <c r="P535" s="1129"/>
      <c r="Q535" s="1129"/>
      <c r="R535" s="1129"/>
      <c r="S535" s="1129"/>
      <c r="T535" s="1129"/>
      <c r="U535" s="1129"/>
      <c r="V535" s="1129"/>
      <c r="W535" s="1129"/>
      <c r="X535" s="1129"/>
      <c r="Y535" s="1129"/>
      <c r="Z535" s="1129"/>
      <c r="AA535" s="1129"/>
      <c r="AB535" s="1129"/>
      <c r="AC535" s="1129"/>
      <c r="AD535" s="1129"/>
      <c r="AE535" s="1130"/>
      <c r="AF535" s="1131"/>
      <c r="AG535" s="1131"/>
      <c r="AH535" s="1131"/>
      <c r="AI535" s="1131"/>
      <c r="AJ535" s="1131"/>
      <c r="AK535" s="1131"/>
      <c r="AL535" s="1131"/>
      <c r="AM535" s="1131"/>
      <c r="AN535" s="1131"/>
      <c r="AO535" s="1131"/>
      <c r="AP535" s="1131"/>
      <c r="AQ535" s="1131"/>
      <c r="AR535" s="1131"/>
      <c r="AS535" s="1131"/>
      <c r="AT535" s="1131"/>
      <c r="AU535" s="1131"/>
      <c r="AV535" s="1131"/>
      <c r="AW535" s="1131"/>
      <c r="AX535" s="1131"/>
      <c r="AY535" s="1131"/>
      <c r="AZ535" s="1131"/>
      <c r="BA535" s="1131"/>
      <c r="BB535" s="1131"/>
      <c r="BC535" s="1131"/>
      <c r="BD535" s="1131"/>
      <c r="BE535" s="1131"/>
      <c r="BF535" s="1131"/>
      <c r="BG535" s="1131"/>
      <c r="BH535" s="1131"/>
      <c r="BI535" s="1131"/>
      <c r="BJ535" s="1131"/>
      <c r="BK535" s="1131"/>
      <c r="BL535" s="1131"/>
      <c r="BM535" s="1131"/>
      <c r="BN535" s="1131"/>
      <c r="BO535" s="1131"/>
      <c r="BP535" s="1131"/>
      <c r="BQ535" s="1131"/>
      <c r="BR535" s="1131"/>
      <c r="BS535" s="1131"/>
      <c r="BT535" s="1131"/>
      <c r="BU535" s="1131"/>
      <c r="BV535" s="1131"/>
      <c r="BW535" s="1131"/>
      <c r="BX535" s="1131"/>
      <c r="BY535" s="1131"/>
      <c r="BZ535" s="1131"/>
      <c r="CA535" s="1131"/>
      <c r="CB535" s="1131"/>
      <c r="CC535" s="1131"/>
      <c r="CD535" s="1131"/>
      <c r="CE535" s="1131"/>
      <c r="CF535" s="1131"/>
      <c r="CG535" s="1131"/>
      <c r="CH535" s="29"/>
      <c r="CI535" s="185"/>
      <c r="CJ535" s="17"/>
    </row>
    <row r="536" spans="1:88" s="3" customFormat="1" hidden="1">
      <c r="A536" s="243" t="str">
        <f t="shared" si="9"/>
        <v>OK</v>
      </c>
      <c r="B536" s="1126" t="str">
        <f>IF(CONSOLIDA!DQ100="","",CONSOLIDA!DQ100)</f>
        <v/>
      </c>
      <c r="C536" s="1126"/>
      <c r="D536" s="1127" t="str">
        <f>IF(CONSOLIDA!DS100="","",CONSOLIDA!DS100)</f>
        <v/>
      </c>
      <c r="E536" s="1128"/>
      <c r="F536" s="1128"/>
      <c r="G536" s="1129" t="str">
        <f>IF(CONSOLIDA!DT100="","",CONSOLIDA!DT100)</f>
        <v/>
      </c>
      <c r="H536" s="1129"/>
      <c r="I536" s="1129"/>
      <c r="J536" s="1129"/>
      <c r="K536" s="1129"/>
      <c r="L536" s="1129"/>
      <c r="M536" s="1129"/>
      <c r="N536" s="1129"/>
      <c r="O536" s="1129"/>
      <c r="P536" s="1129"/>
      <c r="Q536" s="1129"/>
      <c r="R536" s="1129"/>
      <c r="S536" s="1129"/>
      <c r="T536" s="1129"/>
      <c r="U536" s="1129"/>
      <c r="V536" s="1129"/>
      <c r="W536" s="1129"/>
      <c r="X536" s="1129"/>
      <c r="Y536" s="1129"/>
      <c r="Z536" s="1129"/>
      <c r="AA536" s="1129"/>
      <c r="AB536" s="1129"/>
      <c r="AC536" s="1129"/>
      <c r="AD536" s="1129"/>
      <c r="AE536" s="1130"/>
      <c r="AF536" s="1131"/>
      <c r="AG536" s="1131"/>
      <c r="AH536" s="1131"/>
      <c r="AI536" s="1131"/>
      <c r="AJ536" s="1131"/>
      <c r="AK536" s="1131"/>
      <c r="AL536" s="1131"/>
      <c r="AM536" s="1131"/>
      <c r="AN536" s="1131"/>
      <c r="AO536" s="1131"/>
      <c r="AP536" s="1131"/>
      <c r="AQ536" s="1131"/>
      <c r="AR536" s="1131"/>
      <c r="AS536" s="1131"/>
      <c r="AT536" s="1131"/>
      <c r="AU536" s="1131"/>
      <c r="AV536" s="1131"/>
      <c r="AW536" s="1131"/>
      <c r="AX536" s="1131"/>
      <c r="AY536" s="1131"/>
      <c r="AZ536" s="1131"/>
      <c r="BA536" s="1131"/>
      <c r="BB536" s="1131"/>
      <c r="BC536" s="1131"/>
      <c r="BD536" s="1131"/>
      <c r="BE536" s="1131"/>
      <c r="BF536" s="1131"/>
      <c r="BG536" s="1131"/>
      <c r="BH536" s="1131"/>
      <c r="BI536" s="1131"/>
      <c r="BJ536" s="1131"/>
      <c r="BK536" s="1131"/>
      <c r="BL536" s="1131"/>
      <c r="BM536" s="1131"/>
      <c r="BN536" s="1131"/>
      <c r="BO536" s="1131"/>
      <c r="BP536" s="1131"/>
      <c r="BQ536" s="1131"/>
      <c r="BR536" s="1131"/>
      <c r="BS536" s="1131"/>
      <c r="BT536" s="1131"/>
      <c r="BU536" s="1131"/>
      <c r="BV536" s="1131"/>
      <c r="BW536" s="1131"/>
      <c r="BX536" s="1131"/>
      <c r="BY536" s="1131"/>
      <c r="BZ536" s="1131"/>
      <c r="CA536" s="1131"/>
      <c r="CB536" s="1131"/>
      <c r="CC536" s="1131"/>
      <c r="CD536" s="1131"/>
      <c r="CE536" s="1131"/>
      <c r="CF536" s="1131"/>
      <c r="CG536" s="1131"/>
      <c r="CH536" s="29"/>
      <c r="CI536" s="185"/>
      <c r="CJ536" s="17"/>
    </row>
    <row r="537" spans="1:88" s="3" customFormat="1" hidden="1">
      <c r="A537" s="243" t="str">
        <f t="shared" si="9"/>
        <v>OK</v>
      </c>
      <c r="B537" s="1126" t="str">
        <f>IF(CONSOLIDA!DQ101="","",CONSOLIDA!DQ101)</f>
        <v/>
      </c>
      <c r="C537" s="1126"/>
      <c r="D537" s="1127" t="str">
        <f>IF(CONSOLIDA!DS101="","",CONSOLIDA!DS101)</f>
        <v/>
      </c>
      <c r="E537" s="1128"/>
      <c r="F537" s="1128"/>
      <c r="G537" s="1129" t="str">
        <f>IF(CONSOLIDA!DT101="","",CONSOLIDA!DT101)</f>
        <v/>
      </c>
      <c r="H537" s="1129"/>
      <c r="I537" s="1129"/>
      <c r="J537" s="1129"/>
      <c r="K537" s="1129"/>
      <c r="L537" s="1129"/>
      <c r="M537" s="1129"/>
      <c r="N537" s="1129"/>
      <c r="O537" s="1129"/>
      <c r="P537" s="1129"/>
      <c r="Q537" s="1129"/>
      <c r="R537" s="1129"/>
      <c r="S537" s="1129"/>
      <c r="T537" s="1129"/>
      <c r="U537" s="1129"/>
      <c r="V537" s="1129"/>
      <c r="W537" s="1129"/>
      <c r="X537" s="1129"/>
      <c r="Y537" s="1129"/>
      <c r="Z537" s="1129"/>
      <c r="AA537" s="1129"/>
      <c r="AB537" s="1129"/>
      <c r="AC537" s="1129"/>
      <c r="AD537" s="1129"/>
      <c r="AE537" s="1130"/>
      <c r="AF537" s="1131"/>
      <c r="AG537" s="1131"/>
      <c r="AH537" s="1131"/>
      <c r="AI537" s="1131"/>
      <c r="AJ537" s="1131"/>
      <c r="AK537" s="1131"/>
      <c r="AL537" s="1131"/>
      <c r="AM537" s="1131"/>
      <c r="AN537" s="1131"/>
      <c r="AO537" s="1131"/>
      <c r="AP537" s="1131"/>
      <c r="AQ537" s="1131"/>
      <c r="AR537" s="1131"/>
      <c r="AS537" s="1131"/>
      <c r="AT537" s="1131"/>
      <c r="AU537" s="1131"/>
      <c r="AV537" s="1131"/>
      <c r="AW537" s="1131"/>
      <c r="AX537" s="1131"/>
      <c r="AY537" s="1131"/>
      <c r="AZ537" s="1131"/>
      <c r="BA537" s="1131"/>
      <c r="BB537" s="1131"/>
      <c r="BC537" s="1131"/>
      <c r="BD537" s="1131"/>
      <c r="BE537" s="1131"/>
      <c r="BF537" s="1131"/>
      <c r="BG537" s="1131"/>
      <c r="BH537" s="1131"/>
      <c r="BI537" s="1131"/>
      <c r="BJ537" s="1131"/>
      <c r="BK537" s="1131"/>
      <c r="BL537" s="1131"/>
      <c r="BM537" s="1131"/>
      <c r="BN537" s="1131"/>
      <c r="BO537" s="1131"/>
      <c r="BP537" s="1131"/>
      <c r="BQ537" s="1131"/>
      <c r="BR537" s="1131"/>
      <c r="BS537" s="1131"/>
      <c r="BT537" s="1131"/>
      <c r="BU537" s="1131"/>
      <c r="BV537" s="1131"/>
      <c r="BW537" s="1131"/>
      <c r="BX537" s="1131"/>
      <c r="BY537" s="1131"/>
      <c r="BZ537" s="1131"/>
      <c r="CA537" s="1131"/>
      <c r="CB537" s="1131"/>
      <c r="CC537" s="1131"/>
      <c r="CD537" s="1131"/>
      <c r="CE537" s="1131"/>
      <c r="CF537" s="1131"/>
      <c r="CG537" s="1131"/>
      <c r="CH537" s="29"/>
      <c r="CI537" s="185"/>
      <c r="CJ537" s="17"/>
    </row>
    <row r="538" spans="1:88" s="3" customFormat="1" hidden="1">
      <c r="A538" s="243" t="str">
        <f t="shared" si="9"/>
        <v>OK</v>
      </c>
      <c r="B538" s="1126" t="str">
        <f>IF(CONSOLIDA!DQ102="","",CONSOLIDA!DQ102)</f>
        <v/>
      </c>
      <c r="C538" s="1126"/>
      <c r="D538" s="1127" t="str">
        <f>IF(CONSOLIDA!DS102="","",CONSOLIDA!DS102)</f>
        <v/>
      </c>
      <c r="E538" s="1128"/>
      <c r="F538" s="1128"/>
      <c r="G538" s="1129" t="str">
        <f>IF(CONSOLIDA!DT102="","",CONSOLIDA!DT102)</f>
        <v/>
      </c>
      <c r="H538" s="1129"/>
      <c r="I538" s="1129"/>
      <c r="J538" s="1129"/>
      <c r="K538" s="1129"/>
      <c r="L538" s="1129"/>
      <c r="M538" s="1129"/>
      <c r="N538" s="1129"/>
      <c r="O538" s="1129"/>
      <c r="P538" s="1129"/>
      <c r="Q538" s="1129"/>
      <c r="R538" s="1129"/>
      <c r="S538" s="1129"/>
      <c r="T538" s="1129"/>
      <c r="U538" s="1129"/>
      <c r="V538" s="1129"/>
      <c r="W538" s="1129"/>
      <c r="X538" s="1129"/>
      <c r="Y538" s="1129"/>
      <c r="Z538" s="1129"/>
      <c r="AA538" s="1129"/>
      <c r="AB538" s="1129"/>
      <c r="AC538" s="1129"/>
      <c r="AD538" s="1129"/>
      <c r="AE538" s="1130"/>
      <c r="AF538" s="1131"/>
      <c r="AG538" s="1131"/>
      <c r="AH538" s="1131"/>
      <c r="AI538" s="1131"/>
      <c r="AJ538" s="1131"/>
      <c r="AK538" s="1131"/>
      <c r="AL538" s="1131"/>
      <c r="AM538" s="1131"/>
      <c r="AN538" s="1131"/>
      <c r="AO538" s="1131"/>
      <c r="AP538" s="1131"/>
      <c r="AQ538" s="1131"/>
      <c r="AR538" s="1131"/>
      <c r="AS538" s="1131"/>
      <c r="AT538" s="1131"/>
      <c r="AU538" s="1131"/>
      <c r="AV538" s="1131"/>
      <c r="AW538" s="1131"/>
      <c r="AX538" s="1131"/>
      <c r="AY538" s="1131"/>
      <c r="AZ538" s="1131"/>
      <c r="BA538" s="1131"/>
      <c r="BB538" s="1131"/>
      <c r="BC538" s="1131"/>
      <c r="BD538" s="1131"/>
      <c r="BE538" s="1131"/>
      <c r="BF538" s="1131"/>
      <c r="BG538" s="1131"/>
      <c r="BH538" s="1131"/>
      <c r="BI538" s="1131"/>
      <c r="BJ538" s="1131"/>
      <c r="BK538" s="1131"/>
      <c r="BL538" s="1131"/>
      <c r="BM538" s="1131"/>
      <c r="BN538" s="1131"/>
      <c r="BO538" s="1131"/>
      <c r="BP538" s="1131"/>
      <c r="BQ538" s="1131"/>
      <c r="BR538" s="1131"/>
      <c r="BS538" s="1131"/>
      <c r="BT538" s="1131"/>
      <c r="BU538" s="1131"/>
      <c r="BV538" s="1131"/>
      <c r="BW538" s="1131"/>
      <c r="BX538" s="1131"/>
      <c r="BY538" s="1131"/>
      <c r="BZ538" s="1131"/>
      <c r="CA538" s="1131"/>
      <c r="CB538" s="1131"/>
      <c r="CC538" s="1131"/>
      <c r="CD538" s="1131"/>
      <c r="CE538" s="1131"/>
      <c r="CF538" s="1131"/>
      <c r="CG538" s="1131"/>
      <c r="CH538" s="29"/>
      <c r="CI538" s="185"/>
      <c r="CJ538" s="17"/>
    </row>
    <row r="539" spans="1:88" s="3" customFormat="1" hidden="1">
      <c r="A539" s="243" t="str">
        <f t="shared" si="9"/>
        <v>OK</v>
      </c>
      <c r="B539" s="1126" t="str">
        <f>IF(CONSOLIDA!DQ103="","",CONSOLIDA!DQ103)</f>
        <v/>
      </c>
      <c r="C539" s="1126"/>
      <c r="D539" s="1127" t="str">
        <f>IF(CONSOLIDA!DS103="","",CONSOLIDA!DS103)</f>
        <v/>
      </c>
      <c r="E539" s="1128"/>
      <c r="F539" s="1128"/>
      <c r="G539" s="1129" t="str">
        <f>IF(CONSOLIDA!DT103="","",CONSOLIDA!DT103)</f>
        <v/>
      </c>
      <c r="H539" s="1129"/>
      <c r="I539" s="1129"/>
      <c r="J539" s="1129"/>
      <c r="K539" s="1129"/>
      <c r="L539" s="1129"/>
      <c r="M539" s="1129"/>
      <c r="N539" s="1129"/>
      <c r="O539" s="1129"/>
      <c r="P539" s="1129"/>
      <c r="Q539" s="1129"/>
      <c r="R539" s="1129"/>
      <c r="S539" s="1129"/>
      <c r="T539" s="1129"/>
      <c r="U539" s="1129"/>
      <c r="V539" s="1129"/>
      <c r="W539" s="1129"/>
      <c r="X539" s="1129"/>
      <c r="Y539" s="1129"/>
      <c r="Z539" s="1129"/>
      <c r="AA539" s="1129"/>
      <c r="AB539" s="1129"/>
      <c r="AC539" s="1129"/>
      <c r="AD539" s="1129"/>
      <c r="AE539" s="1130"/>
      <c r="AF539" s="1131"/>
      <c r="AG539" s="1131"/>
      <c r="AH539" s="1131"/>
      <c r="AI539" s="1131"/>
      <c r="AJ539" s="1131"/>
      <c r="AK539" s="1131"/>
      <c r="AL539" s="1131"/>
      <c r="AM539" s="1131"/>
      <c r="AN539" s="1131"/>
      <c r="AO539" s="1131"/>
      <c r="AP539" s="1131"/>
      <c r="AQ539" s="1131"/>
      <c r="AR539" s="1131"/>
      <c r="AS539" s="1131"/>
      <c r="AT539" s="1131"/>
      <c r="AU539" s="1131"/>
      <c r="AV539" s="1131"/>
      <c r="AW539" s="1131"/>
      <c r="AX539" s="1131"/>
      <c r="AY539" s="1131"/>
      <c r="AZ539" s="1131"/>
      <c r="BA539" s="1131"/>
      <c r="BB539" s="1131"/>
      <c r="BC539" s="1131"/>
      <c r="BD539" s="1131"/>
      <c r="BE539" s="1131"/>
      <c r="BF539" s="1131"/>
      <c r="BG539" s="1131"/>
      <c r="BH539" s="1131"/>
      <c r="BI539" s="1131"/>
      <c r="BJ539" s="1131"/>
      <c r="BK539" s="1131"/>
      <c r="BL539" s="1131"/>
      <c r="BM539" s="1131"/>
      <c r="BN539" s="1131"/>
      <c r="BO539" s="1131"/>
      <c r="BP539" s="1131"/>
      <c r="BQ539" s="1131"/>
      <c r="BR539" s="1131"/>
      <c r="BS539" s="1131"/>
      <c r="BT539" s="1131"/>
      <c r="BU539" s="1131"/>
      <c r="BV539" s="1131"/>
      <c r="BW539" s="1131"/>
      <c r="BX539" s="1131"/>
      <c r="BY539" s="1131"/>
      <c r="BZ539" s="1131"/>
      <c r="CA539" s="1131"/>
      <c r="CB539" s="1131"/>
      <c r="CC539" s="1131"/>
      <c r="CD539" s="1131"/>
      <c r="CE539" s="1131"/>
      <c r="CF539" s="1131"/>
      <c r="CG539" s="1131"/>
      <c r="CH539" s="29"/>
      <c r="CI539" s="185"/>
      <c r="CJ539" s="17"/>
    </row>
    <row r="540" spans="1:88" s="3" customFormat="1" hidden="1">
      <c r="A540" s="243" t="str">
        <f t="shared" si="9"/>
        <v>OK</v>
      </c>
      <c r="B540" s="1126" t="str">
        <f>IF(CONSOLIDA!DQ104="","",CONSOLIDA!DQ104)</f>
        <v/>
      </c>
      <c r="C540" s="1126"/>
      <c r="D540" s="1127" t="str">
        <f>IF(CONSOLIDA!DS104="","",CONSOLIDA!DS104)</f>
        <v/>
      </c>
      <c r="E540" s="1128"/>
      <c r="F540" s="1128"/>
      <c r="G540" s="1129" t="str">
        <f>IF(CONSOLIDA!DT104="","",CONSOLIDA!DT104)</f>
        <v/>
      </c>
      <c r="H540" s="1129"/>
      <c r="I540" s="1129"/>
      <c r="J540" s="1129"/>
      <c r="K540" s="1129"/>
      <c r="L540" s="1129"/>
      <c r="M540" s="1129"/>
      <c r="N540" s="1129"/>
      <c r="O540" s="1129"/>
      <c r="P540" s="1129"/>
      <c r="Q540" s="1129"/>
      <c r="R540" s="1129"/>
      <c r="S540" s="1129"/>
      <c r="T540" s="1129"/>
      <c r="U540" s="1129"/>
      <c r="V540" s="1129"/>
      <c r="W540" s="1129"/>
      <c r="X540" s="1129"/>
      <c r="Y540" s="1129"/>
      <c r="Z540" s="1129"/>
      <c r="AA540" s="1129"/>
      <c r="AB540" s="1129"/>
      <c r="AC540" s="1129"/>
      <c r="AD540" s="1129"/>
      <c r="AE540" s="1130"/>
      <c r="AF540" s="1131"/>
      <c r="AG540" s="1131"/>
      <c r="AH540" s="1131"/>
      <c r="AI540" s="1131"/>
      <c r="AJ540" s="1131"/>
      <c r="AK540" s="1131"/>
      <c r="AL540" s="1131"/>
      <c r="AM540" s="1131"/>
      <c r="AN540" s="1131"/>
      <c r="AO540" s="1131"/>
      <c r="AP540" s="1131"/>
      <c r="AQ540" s="1131"/>
      <c r="AR540" s="1131"/>
      <c r="AS540" s="1131"/>
      <c r="AT540" s="1131"/>
      <c r="AU540" s="1131"/>
      <c r="AV540" s="1131"/>
      <c r="AW540" s="1131"/>
      <c r="AX540" s="1131"/>
      <c r="AY540" s="1131"/>
      <c r="AZ540" s="1131"/>
      <c r="BA540" s="1131"/>
      <c r="BB540" s="1131"/>
      <c r="BC540" s="1131"/>
      <c r="BD540" s="1131"/>
      <c r="BE540" s="1131"/>
      <c r="BF540" s="1131"/>
      <c r="BG540" s="1131"/>
      <c r="BH540" s="1131"/>
      <c r="BI540" s="1131"/>
      <c r="BJ540" s="1131"/>
      <c r="BK540" s="1131"/>
      <c r="BL540" s="1131"/>
      <c r="BM540" s="1131"/>
      <c r="BN540" s="1131"/>
      <c r="BO540" s="1131"/>
      <c r="BP540" s="1131"/>
      <c r="BQ540" s="1131"/>
      <c r="BR540" s="1131"/>
      <c r="BS540" s="1131"/>
      <c r="BT540" s="1131"/>
      <c r="BU540" s="1131"/>
      <c r="BV540" s="1131"/>
      <c r="BW540" s="1131"/>
      <c r="BX540" s="1131"/>
      <c r="BY540" s="1131"/>
      <c r="BZ540" s="1131"/>
      <c r="CA540" s="1131"/>
      <c r="CB540" s="1131"/>
      <c r="CC540" s="1131"/>
      <c r="CD540" s="1131"/>
      <c r="CE540" s="1131"/>
      <c r="CF540" s="1131"/>
      <c r="CG540" s="1131"/>
      <c r="CH540" s="29"/>
      <c r="CI540" s="185"/>
      <c r="CJ540" s="17"/>
    </row>
    <row r="541" spans="1:88" s="3" customFormat="1" hidden="1">
      <c r="A541" s="243" t="str">
        <f t="shared" si="9"/>
        <v>OK</v>
      </c>
      <c r="B541" s="1126" t="str">
        <f>IF(CONSOLIDA!DQ105="","",CONSOLIDA!DQ105)</f>
        <v/>
      </c>
      <c r="C541" s="1126"/>
      <c r="D541" s="1127" t="str">
        <f>IF(CONSOLIDA!DS105="","",CONSOLIDA!DS105)</f>
        <v/>
      </c>
      <c r="E541" s="1128"/>
      <c r="F541" s="1128"/>
      <c r="G541" s="1129" t="str">
        <f>IF(CONSOLIDA!DT105="","",CONSOLIDA!DT105)</f>
        <v/>
      </c>
      <c r="H541" s="1129"/>
      <c r="I541" s="1129"/>
      <c r="J541" s="1129"/>
      <c r="K541" s="1129"/>
      <c r="L541" s="1129"/>
      <c r="M541" s="1129"/>
      <c r="N541" s="1129"/>
      <c r="O541" s="1129"/>
      <c r="P541" s="1129"/>
      <c r="Q541" s="1129"/>
      <c r="R541" s="1129"/>
      <c r="S541" s="1129"/>
      <c r="T541" s="1129"/>
      <c r="U541" s="1129"/>
      <c r="V541" s="1129"/>
      <c r="W541" s="1129"/>
      <c r="X541" s="1129"/>
      <c r="Y541" s="1129"/>
      <c r="Z541" s="1129"/>
      <c r="AA541" s="1129"/>
      <c r="AB541" s="1129"/>
      <c r="AC541" s="1129"/>
      <c r="AD541" s="1129"/>
      <c r="AE541" s="1130"/>
      <c r="AF541" s="1131"/>
      <c r="AG541" s="1131"/>
      <c r="AH541" s="1131"/>
      <c r="AI541" s="1131"/>
      <c r="AJ541" s="1131"/>
      <c r="AK541" s="1131"/>
      <c r="AL541" s="1131"/>
      <c r="AM541" s="1131"/>
      <c r="AN541" s="1131"/>
      <c r="AO541" s="1131"/>
      <c r="AP541" s="1131"/>
      <c r="AQ541" s="1131"/>
      <c r="AR541" s="1131"/>
      <c r="AS541" s="1131"/>
      <c r="AT541" s="1131"/>
      <c r="AU541" s="1131"/>
      <c r="AV541" s="1131"/>
      <c r="AW541" s="1131"/>
      <c r="AX541" s="1131"/>
      <c r="AY541" s="1131"/>
      <c r="AZ541" s="1131"/>
      <c r="BA541" s="1131"/>
      <c r="BB541" s="1131"/>
      <c r="BC541" s="1131"/>
      <c r="BD541" s="1131"/>
      <c r="BE541" s="1131"/>
      <c r="BF541" s="1131"/>
      <c r="BG541" s="1131"/>
      <c r="BH541" s="1131"/>
      <c r="BI541" s="1131"/>
      <c r="BJ541" s="1131"/>
      <c r="BK541" s="1131"/>
      <c r="BL541" s="1131"/>
      <c r="BM541" s="1131"/>
      <c r="BN541" s="1131"/>
      <c r="BO541" s="1131"/>
      <c r="BP541" s="1131"/>
      <c r="BQ541" s="1131"/>
      <c r="BR541" s="1131"/>
      <c r="BS541" s="1131"/>
      <c r="BT541" s="1131"/>
      <c r="BU541" s="1131"/>
      <c r="BV541" s="1131"/>
      <c r="BW541" s="1131"/>
      <c r="BX541" s="1131"/>
      <c r="BY541" s="1131"/>
      <c r="BZ541" s="1131"/>
      <c r="CA541" s="1131"/>
      <c r="CB541" s="1131"/>
      <c r="CC541" s="1131"/>
      <c r="CD541" s="1131"/>
      <c r="CE541" s="1131"/>
      <c r="CF541" s="1131"/>
      <c r="CG541" s="1131"/>
      <c r="CH541" s="29"/>
      <c r="CI541" s="185"/>
      <c r="CJ541" s="17"/>
    </row>
    <row r="542" spans="1:88" s="3" customFormat="1" hidden="1">
      <c r="A542" s="243" t="str">
        <f t="shared" si="9"/>
        <v>OK</v>
      </c>
      <c r="B542" s="1126" t="str">
        <f>IF(CONSOLIDA!DQ106="","",CONSOLIDA!DQ106)</f>
        <v/>
      </c>
      <c r="C542" s="1126"/>
      <c r="D542" s="1127" t="str">
        <f>IF(CONSOLIDA!DS106="","",CONSOLIDA!DS106)</f>
        <v/>
      </c>
      <c r="E542" s="1128"/>
      <c r="F542" s="1128"/>
      <c r="G542" s="1129" t="str">
        <f>IF(CONSOLIDA!DT106="","",CONSOLIDA!DT106)</f>
        <v/>
      </c>
      <c r="H542" s="1129"/>
      <c r="I542" s="1129"/>
      <c r="J542" s="1129"/>
      <c r="K542" s="1129"/>
      <c r="L542" s="1129"/>
      <c r="M542" s="1129"/>
      <c r="N542" s="1129"/>
      <c r="O542" s="1129"/>
      <c r="P542" s="1129"/>
      <c r="Q542" s="1129"/>
      <c r="R542" s="1129"/>
      <c r="S542" s="1129"/>
      <c r="T542" s="1129"/>
      <c r="U542" s="1129"/>
      <c r="V542" s="1129"/>
      <c r="W542" s="1129"/>
      <c r="X542" s="1129"/>
      <c r="Y542" s="1129"/>
      <c r="Z542" s="1129"/>
      <c r="AA542" s="1129"/>
      <c r="AB542" s="1129"/>
      <c r="AC542" s="1129"/>
      <c r="AD542" s="1129"/>
      <c r="AE542" s="1130"/>
      <c r="AF542" s="1131"/>
      <c r="AG542" s="1131"/>
      <c r="AH542" s="1131"/>
      <c r="AI542" s="1131"/>
      <c r="AJ542" s="1131"/>
      <c r="AK542" s="1131"/>
      <c r="AL542" s="1131"/>
      <c r="AM542" s="1131"/>
      <c r="AN542" s="1131"/>
      <c r="AO542" s="1131"/>
      <c r="AP542" s="1131"/>
      <c r="AQ542" s="1131"/>
      <c r="AR542" s="1131"/>
      <c r="AS542" s="1131"/>
      <c r="AT542" s="1131"/>
      <c r="AU542" s="1131"/>
      <c r="AV542" s="1131"/>
      <c r="AW542" s="1131"/>
      <c r="AX542" s="1131"/>
      <c r="AY542" s="1131"/>
      <c r="AZ542" s="1131"/>
      <c r="BA542" s="1131"/>
      <c r="BB542" s="1131"/>
      <c r="BC542" s="1131"/>
      <c r="BD542" s="1131"/>
      <c r="BE542" s="1131"/>
      <c r="BF542" s="1131"/>
      <c r="BG542" s="1131"/>
      <c r="BH542" s="1131"/>
      <c r="BI542" s="1131"/>
      <c r="BJ542" s="1131"/>
      <c r="BK542" s="1131"/>
      <c r="BL542" s="1131"/>
      <c r="BM542" s="1131"/>
      <c r="BN542" s="1131"/>
      <c r="BO542" s="1131"/>
      <c r="BP542" s="1131"/>
      <c r="BQ542" s="1131"/>
      <c r="BR542" s="1131"/>
      <c r="BS542" s="1131"/>
      <c r="BT542" s="1131"/>
      <c r="BU542" s="1131"/>
      <c r="BV542" s="1131"/>
      <c r="BW542" s="1131"/>
      <c r="BX542" s="1131"/>
      <c r="BY542" s="1131"/>
      <c r="BZ542" s="1131"/>
      <c r="CA542" s="1131"/>
      <c r="CB542" s="1131"/>
      <c r="CC542" s="1131"/>
      <c r="CD542" s="1131"/>
      <c r="CE542" s="1131"/>
      <c r="CF542" s="1131"/>
      <c r="CG542" s="1131"/>
      <c r="CH542" s="29"/>
      <c r="CI542" s="185"/>
      <c r="CJ542" s="17"/>
    </row>
    <row r="543" spans="1:88" s="3" customFormat="1" hidden="1">
      <c r="A543" s="243" t="str">
        <f t="shared" si="9"/>
        <v>OK</v>
      </c>
      <c r="B543" s="1126" t="str">
        <f>IF(CONSOLIDA!DQ107="","",CONSOLIDA!DQ107)</f>
        <v/>
      </c>
      <c r="C543" s="1126"/>
      <c r="D543" s="1127" t="str">
        <f>IF(CONSOLIDA!DS107="","",CONSOLIDA!DS107)</f>
        <v/>
      </c>
      <c r="E543" s="1128"/>
      <c r="F543" s="1128"/>
      <c r="G543" s="1129" t="str">
        <f>IF(CONSOLIDA!DT107="","",CONSOLIDA!DT107)</f>
        <v/>
      </c>
      <c r="H543" s="1129"/>
      <c r="I543" s="1129"/>
      <c r="J543" s="1129"/>
      <c r="K543" s="1129"/>
      <c r="L543" s="1129"/>
      <c r="M543" s="1129"/>
      <c r="N543" s="1129"/>
      <c r="O543" s="1129"/>
      <c r="P543" s="1129"/>
      <c r="Q543" s="1129"/>
      <c r="R543" s="1129"/>
      <c r="S543" s="1129"/>
      <c r="T543" s="1129"/>
      <c r="U543" s="1129"/>
      <c r="V543" s="1129"/>
      <c r="W543" s="1129"/>
      <c r="X543" s="1129"/>
      <c r="Y543" s="1129"/>
      <c r="Z543" s="1129"/>
      <c r="AA543" s="1129"/>
      <c r="AB543" s="1129"/>
      <c r="AC543" s="1129"/>
      <c r="AD543" s="1129"/>
      <c r="AE543" s="1130"/>
      <c r="AF543" s="1131"/>
      <c r="AG543" s="1131"/>
      <c r="AH543" s="1131"/>
      <c r="AI543" s="1131"/>
      <c r="AJ543" s="1131"/>
      <c r="AK543" s="1131"/>
      <c r="AL543" s="1131"/>
      <c r="AM543" s="1131"/>
      <c r="AN543" s="1131"/>
      <c r="AO543" s="1131"/>
      <c r="AP543" s="1131"/>
      <c r="AQ543" s="1131"/>
      <c r="AR543" s="1131"/>
      <c r="AS543" s="1131"/>
      <c r="AT543" s="1131"/>
      <c r="AU543" s="1131"/>
      <c r="AV543" s="1131"/>
      <c r="AW543" s="1131"/>
      <c r="AX543" s="1131"/>
      <c r="AY543" s="1131"/>
      <c r="AZ543" s="1131"/>
      <c r="BA543" s="1131"/>
      <c r="BB543" s="1131"/>
      <c r="BC543" s="1131"/>
      <c r="BD543" s="1131"/>
      <c r="BE543" s="1131"/>
      <c r="BF543" s="1131"/>
      <c r="BG543" s="1131"/>
      <c r="BH543" s="1131"/>
      <c r="BI543" s="1131"/>
      <c r="BJ543" s="1131"/>
      <c r="BK543" s="1131"/>
      <c r="BL543" s="1131"/>
      <c r="BM543" s="1131"/>
      <c r="BN543" s="1131"/>
      <c r="BO543" s="1131"/>
      <c r="BP543" s="1131"/>
      <c r="BQ543" s="1131"/>
      <c r="BR543" s="1131"/>
      <c r="BS543" s="1131"/>
      <c r="BT543" s="1131"/>
      <c r="BU543" s="1131"/>
      <c r="BV543" s="1131"/>
      <c r="BW543" s="1131"/>
      <c r="BX543" s="1131"/>
      <c r="BY543" s="1131"/>
      <c r="BZ543" s="1131"/>
      <c r="CA543" s="1131"/>
      <c r="CB543" s="1131"/>
      <c r="CC543" s="1131"/>
      <c r="CD543" s="1131"/>
      <c r="CE543" s="1131"/>
      <c r="CF543" s="1131"/>
      <c r="CG543" s="1131"/>
      <c r="CH543" s="29"/>
      <c r="CI543" s="185"/>
      <c r="CJ543" s="17"/>
    </row>
    <row r="544" spans="1:88" s="3" customFormat="1" hidden="1">
      <c r="A544" s="243" t="str">
        <f t="shared" si="9"/>
        <v>OK</v>
      </c>
      <c r="B544" s="1126" t="str">
        <f>IF(CONSOLIDA!DQ108="","",CONSOLIDA!DQ108)</f>
        <v/>
      </c>
      <c r="C544" s="1126"/>
      <c r="D544" s="1127" t="str">
        <f>IF(CONSOLIDA!DS108="","",CONSOLIDA!DS108)</f>
        <v/>
      </c>
      <c r="E544" s="1128"/>
      <c r="F544" s="1128"/>
      <c r="G544" s="1129" t="str">
        <f>IF(CONSOLIDA!DT108="","",CONSOLIDA!DT108)</f>
        <v/>
      </c>
      <c r="H544" s="1129"/>
      <c r="I544" s="1129"/>
      <c r="J544" s="1129"/>
      <c r="K544" s="1129"/>
      <c r="L544" s="1129"/>
      <c r="M544" s="1129"/>
      <c r="N544" s="1129"/>
      <c r="O544" s="1129"/>
      <c r="P544" s="1129"/>
      <c r="Q544" s="1129"/>
      <c r="R544" s="1129"/>
      <c r="S544" s="1129"/>
      <c r="T544" s="1129"/>
      <c r="U544" s="1129"/>
      <c r="V544" s="1129"/>
      <c r="W544" s="1129"/>
      <c r="X544" s="1129"/>
      <c r="Y544" s="1129"/>
      <c r="Z544" s="1129"/>
      <c r="AA544" s="1129"/>
      <c r="AB544" s="1129"/>
      <c r="AC544" s="1129"/>
      <c r="AD544" s="1129"/>
      <c r="AE544" s="1130"/>
      <c r="AF544" s="1131"/>
      <c r="AG544" s="1131"/>
      <c r="AH544" s="1131"/>
      <c r="AI544" s="1131"/>
      <c r="AJ544" s="1131"/>
      <c r="AK544" s="1131"/>
      <c r="AL544" s="1131"/>
      <c r="AM544" s="1131"/>
      <c r="AN544" s="1131"/>
      <c r="AO544" s="1131"/>
      <c r="AP544" s="1131"/>
      <c r="AQ544" s="1131"/>
      <c r="AR544" s="1131"/>
      <c r="AS544" s="1131"/>
      <c r="AT544" s="1131"/>
      <c r="AU544" s="1131"/>
      <c r="AV544" s="1131"/>
      <c r="AW544" s="1131"/>
      <c r="AX544" s="1131"/>
      <c r="AY544" s="1131"/>
      <c r="AZ544" s="1131"/>
      <c r="BA544" s="1131"/>
      <c r="BB544" s="1131"/>
      <c r="BC544" s="1131"/>
      <c r="BD544" s="1131"/>
      <c r="BE544" s="1131"/>
      <c r="BF544" s="1131"/>
      <c r="BG544" s="1131"/>
      <c r="BH544" s="1131"/>
      <c r="BI544" s="1131"/>
      <c r="BJ544" s="1131"/>
      <c r="BK544" s="1131"/>
      <c r="BL544" s="1131"/>
      <c r="BM544" s="1131"/>
      <c r="BN544" s="1131"/>
      <c r="BO544" s="1131"/>
      <c r="BP544" s="1131"/>
      <c r="BQ544" s="1131"/>
      <c r="BR544" s="1131"/>
      <c r="BS544" s="1131"/>
      <c r="BT544" s="1131"/>
      <c r="BU544" s="1131"/>
      <c r="BV544" s="1131"/>
      <c r="BW544" s="1131"/>
      <c r="BX544" s="1131"/>
      <c r="BY544" s="1131"/>
      <c r="BZ544" s="1131"/>
      <c r="CA544" s="1131"/>
      <c r="CB544" s="1131"/>
      <c r="CC544" s="1131"/>
      <c r="CD544" s="1131"/>
      <c r="CE544" s="1131"/>
      <c r="CF544" s="1131"/>
      <c r="CG544" s="1131"/>
      <c r="CH544" s="29"/>
      <c r="CI544" s="185"/>
      <c r="CJ544" s="17"/>
    </row>
    <row r="545" spans="1:89" s="3" customFormat="1" hidden="1">
      <c r="A545" s="243" t="str">
        <f t="shared" si="9"/>
        <v>OK</v>
      </c>
      <c r="B545" s="1126" t="str">
        <f>IF(CONSOLIDA!DQ109="","",CONSOLIDA!DQ109)</f>
        <v/>
      </c>
      <c r="C545" s="1126"/>
      <c r="D545" s="1127" t="str">
        <f>IF(CONSOLIDA!DS109="","",CONSOLIDA!DS109)</f>
        <v/>
      </c>
      <c r="E545" s="1128"/>
      <c r="F545" s="1128"/>
      <c r="G545" s="1129" t="str">
        <f>IF(CONSOLIDA!DT109="","",CONSOLIDA!DT109)</f>
        <v/>
      </c>
      <c r="H545" s="1129"/>
      <c r="I545" s="1129"/>
      <c r="J545" s="1129"/>
      <c r="K545" s="1129"/>
      <c r="L545" s="1129"/>
      <c r="M545" s="1129"/>
      <c r="N545" s="1129"/>
      <c r="O545" s="1129"/>
      <c r="P545" s="1129"/>
      <c r="Q545" s="1129"/>
      <c r="R545" s="1129"/>
      <c r="S545" s="1129"/>
      <c r="T545" s="1129"/>
      <c r="U545" s="1129"/>
      <c r="V545" s="1129"/>
      <c r="W545" s="1129"/>
      <c r="X545" s="1129"/>
      <c r="Y545" s="1129"/>
      <c r="Z545" s="1129"/>
      <c r="AA545" s="1129"/>
      <c r="AB545" s="1129"/>
      <c r="AC545" s="1129"/>
      <c r="AD545" s="1129"/>
      <c r="AE545" s="1130"/>
      <c r="AF545" s="1131"/>
      <c r="AG545" s="1131"/>
      <c r="AH545" s="1131"/>
      <c r="AI545" s="1131"/>
      <c r="AJ545" s="1131"/>
      <c r="AK545" s="1131"/>
      <c r="AL545" s="1131"/>
      <c r="AM545" s="1131"/>
      <c r="AN545" s="1131"/>
      <c r="AO545" s="1131"/>
      <c r="AP545" s="1131"/>
      <c r="AQ545" s="1131"/>
      <c r="AR545" s="1131"/>
      <c r="AS545" s="1131"/>
      <c r="AT545" s="1131"/>
      <c r="AU545" s="1131"/>
      <c r="AV545" s="1131"/>
      <c r="AW545" s="1131"/>
      <c r="AX545" s="1131"/>
      <c r="AY545" s="1131"/>
      <c r="AZ545" s="1131"/>
      <c r="BA545" s="1131"/>
      <c r="BB545" s="1131"/>
      <c r="BC545" s="1131"/>
      <c r="BD545" s="1131"/>
      <c r="BE545" s="1131"/>
      <c r="BF545" s="1131"/>
      <c r="BG545" s="1131"/>
      <c r="BH545" s="1131"/>
      <c r="BI545" s="1131"/>
      <c r="BJ545" s="1131"/>
      <c r="BK545" s="1131"/>
      <c r="BL545" s="1131"/>
      <c r="BM545" s="1131"/>
      <c r="BN545" s="1131"/>
      <c r="BO545" s="1131"/>
      <c r="BP545" s="1131"/>
      <c r="BQ545" s="1131"/>
      <c r="BR545" s="1131"/>
      <c r="BS545" s="1131"/>
      <c r="BT545" s="1131"/>
      <c r="BU545" s="1131"/>
      <c r="BV545" s="1131"/>
      <c r="BW545" s="1131"/>
      <c r="BX545" s="1131"/>
      <c r="BY545" s="1131"/>
      <c r="BZ545" s="1131"/>
      <c r="CA545" s="1131"/>
      <c r="CB545" s="1131"/>
      <c r="CC545" s="1131"/>
      <c r="CD545" s="1131"/>
      <c r="CE545" s="1131"/>
      <c r="CF545" s="1131"/>
      <c r="CG545" s="1131"/>
      <c r="CH545" s="29"/>
      <c r="CI545" s="185"/>
      <c r="CJ545" s="17"/>
    </row>
    <row r="546" spans="1:89" s="3" customFormat="1" hidden="1">
      <c r="A546" s="243" t="str">
        <f t="shared" si="9"/>
        <v>OK</v>
      </c>
      <c r="B546" s="1126" t="str">
        <f>IF(CONSOLIDA!DQ110="","",CONSOLIDA!DQ110)</f>
        <v/>
      </c>
      <c r="C546" s="1126"/>
      <c r="D546" s="1127" t="str">
        <f>IF(CONSOLIDA!DS110="","",CONSOLIDA!DS110)</f>
        <v/>
      </c>
      <c r="E546" s="1128"/>
      <c r="F546" s="1128"/>
      <c r="G546" s="1129" t="str">
        <f>IF(CONSOLIDA!DT110="","",CONSOLIDA!DT110)</f>
        <v/>
      </c>
      <c r="H546" s="1129"/>
      <c r="I546" s="1129"/>
      <c r="J546" s="1129"/>
      <c r="K546" s="1129"/>
      <c r="L546" s="1129"/>
      <c r="M546" s="1129"/>
      <c r="N546" s="1129"/>
      <c r="O546" s="1129"/>
      <c r="P546" s="1129"/>
      <c r="Q546" s="1129"/>
      <c r="R546" s="1129"/>
      <c r="S546" s="1129"/>
      <c r="T546" s="1129"/>
      <c r="U546" s="1129"/>
      <c r="V546" s="1129"/>
      <c r="W546" s="1129"/>
      <c r="X546" s="1129"/>
      <c r="Y546" s="1129"/>
      <c r="Z546" s="1129"/>
      <c r="AA546" s="1129"/>
      <c r="AB546" s="1129"/>
      <c r="AC546" s="1129"/>
      <c r="AD546" s="1129"/>
      <c r="AE546" s="1130"/>
      <c r="AF546" s="1131"/>
      <c r="AG546" s="1131"/>
      <c r="AH546" s="1131"/>
      <c r="AI546" s="1131"/>
      <c r="AJ546" s="1131"/>
      <c r="AK546" s="1131"/>
      <c r="AL546" s="1131"/>
      <c r="AM546" s="1131"/>
      <c r="AN546" s="1131"/>
      <c r="AO546" s="1131"/>
      <c r="AP546" s="1131"/>
      <c r="AQ546" s="1131"/>
      <c r="AR546" s="1131"/>
      <c r="AS546" s="1131"/>
      <c r="AT546" s="1131"/>
      <c r="AU546" s="1131"/>
      <c r="AV546" s="1131"/>
      <c r="AW546" s="1131"/>
      <c r="AX546" s="1131"/>
      <c r="AY546" s="1131"/>
      <c r="AZ546" s="1131"/>
      <c r="BA546" s="1131"/>
      <c r="BB546" s="1131"/>
      <c r="BC546" s="1131"/>
      <c r="BD546" s="1131"/>
      <c r="BE546" s="1131"/>
      <c r="BF546" s="1131"/>
      <c r="BG546" s="1131"/>
      <c r="BH546" s="1131"/>
      <c r="BI546" s="1131"/>
      <c r="BJ546" s="1131"/>
      <c r="BK546" s="1131"/>
      <c r="BL546" s="1131"/>
      <c r="BM546" s="1131"/>
      <c r="BN546" s="1131"/>
      <c r="BO546" s="1131"/>
      <c r="BP546" s="1131"/>
      <c r="BQ546" s="1131"/>
      <c r="BR546" s="1131"/>
      <c r="BS546" s="1131"/>
      <c r="BT546" s="1131"/>
      <c r="BU546" s="1131"/>
      <c r="BV546" s="1131"/>
      <c r="BW546" s="1131"/>
      <c r="BX546" s="1131"/>
      <c r="BY546" s="1131"/>
      <c r="BZ546" s="1131"/>
      <c r="CA546" s="1131"/>
      <c r="CB546" s="1131"/>
      <c r="CC546" s="1131"/>
      <c r="CD546" s="1131"/>
      <c r="CE546" s="1131"/>
      <c r="CF546" s="1131"/>
      <c r="CG546" s="1131"/>
      <c r="CH546" s="29"/>
      <c r="CI546" s="185"/>
      <c r="CJ546" s="17"/>
    </row>
    <row r="547" spans="1:89" s="3" customFormat="1" hidden="1">
      <c r="A547" s="243" t="str">
        <f t="shared" si="9"/>
        <v>OK</v>
      </c>
      <c r="B547" s="1126" t="str">
        <f>IF(CONSOLIDA!DQ111="","",CONSOLIDA!DQ111)</f>
        <v/>
      </c>
      <c r="C547" s="1126"/>
      <c r="D547" s="1127" t="str">
        <f>IF(CONSOLIDA!DS111="","",CONSOLIDA!DS111)</f>
        <v/>
      </c>
      <c r="E547" s="1128"/>
      <c r="F547" s="1128"/>
      <c r="G547" s="1129" t="str">
        <f>IF(CONSOLIDA!DT111="","",CONSOLIDA!DT111)</f>
        <v/>
      </c>
      <c r="H547" s="1129"/>
      <c r="I547" s="1129"/>
      <c r="J547" s="1129"/>
      <c r="K547" s="1129"/>
      <c r="L547" s="1129"/>
      <c r="M547" s="1129"/>
      <c r="N547" s="1129"/>
      <c r="O547" s="1129"/>
      <c r="P547" s="1129"/>
      <c r="Q547" s="1129"/>
      <c r="R547" s="1129"/>
      <c r="S547" s="1129"/>
      <c r="T547" s="1129"/>
      <c r="U547" s="1129"/>
      <c r="V547" s="1129"/>
      <c r="W547" s="1129"/>
      <c r="X547" s="1129"/>
      <c r="Y547" s="1129"/>
      <c r="Z547" s="1129"/>
      <c r="AA547" s="1129"/>
      <c r="AB547" s="1129"/>
      <c r="AC547" s="1129"/>
      <c r="AD547" s="1129"/>
      <c r="AE547" s="1130"/>
      <c r="AF547" s="1131"/>
      <c r="AG547" s="1131"/>
      <c r="AH547" s="1131"/>
      <c r="AI547" s="1131"/>
      <c r="AJ547" s="1131"/>
      <c r="AK547" s="1131"/>
      <c r="AL547" s="1131"/>
      <c r="AM547" s="1131"/>
      <c r="AN547" s="1131"/>
      <c r="AO547" s="1131"/>
      <c r="AP547" s="1131"/>
      <c r="AQ547" s="1131"/>
      <c r="AR547" s="1131"/>
      <c r="AS547" s="1131"/>
      <c r="AT547" s="1131"/>
      <c r="AU547" s="1131"/>
      <c r="AV547" s="1131"/>
      <c r="AW547" s="1131"/>
      <c r="AX547" s="1131"/>
      <c r="AY547" s="1131"/>
      <c r="AZ547" s="1131"/>
      <c r="BA547" s="1131"/>
      <c r="BB547" s="1131"/>
      <c r="BC547" s="1131"/>
      <c r="BD547" s="1131"/>
      <c r="BE547" s="1131"/>
      <c r="BF547" s="1131"/>
      <c r="BG547" s="1131"/>
      <c r="BH547" s="1131"/>
      <c r="BI547" s="1131"/>
      <c r="BJ547" s="1131"/>
      <c r="BK547" s="1131"/>
      <c r="BL547" s="1131"/>
      <c r="BM547" s="1131"/>
      <c r="BN547" s="1131"/>
      <c r="BO547" s="1131"/>
      <c r="BP547" s="1131"/>
      <c r="BQ547" s="1131"/>
      <c r="BR547" s="1131"/>
      <c r="BS547" s="1131"/>
      <c r="BT547" s="1131"/>
      <c r="BU547" s="1131"/>
      <c r="BV547" s="1131"/>
      <c r="BW547" s="1131"/>
      <c r="BX547" s="1131"/>
      <c r="BY547" s="1131"/>
      <c r="BZ547" s="1131"/>
      <c r="CA547" s="1131"/>
      <c r="CB547" s="1131"/>
      <c r="CC547" s="1131"/>
      <c r="CD547" s="1131"/>
      <c r="CE547" s="1131"/>
      <c r="CF547" s="1131"/>
      <c r="CG547" s="1131"/>
      <c r="CH547" s="29"/>
      <c r="CI547" s="185"/>
      <c r="CJ547" s="17"/>
    </row>
    <row r="548" spans="1:89" s="3" customFormat="1" hidden="1">
      <c r="A548" s="243" t="str">
        <f t="shared" si="9"/>
        <v>OK</v>
      </c>
      <c r="B548" s="1126" t="str">
        <f>IF(CONSOLIDA!DQ112="","",CONSOLIDA!DQ112)</f>
        <v/>
      </c>
      <c r="C548" s="1126"/>
      <c r="D548" s="1127" t="str">
        <f>IF(CONSOLIDA!DS112="","",CONSOLIDA!DS112)</f>
        <v/>
      </c>
      <c r="E548" s="1128"/>
      <c r="F548" s="1128"/>
      <c r="G548" s="1129" t="str">
        <f>IF(CONSOLIDA!DT112="","",CONSOLIDA!DT112)</f>
        <v/>
      </c>
      <c r="H548" s="1129"/>
      <c r="I548" s="1129"/>
      <c r="J548" s="1129"/>
      <c r="K548" s="1129"/>
      <c r="L548" s="1129"/>
      <c r="M548" s="1129"/>
      <c r="N548" s="1129"/>
      <c r="O548" s="1129"/>
      <c r="P548" s="1129"/>
      <c r="Q548" s="1129"/>
      <c r="R548" s="1129"/>
      <c r="S548" s="1129"/>
      <c r="T548" s="1129"/>
      <c r="U548" s="1129"/>
      <c r="V548" s="1129"/>
      <c r="W548" s="1129"/>
      <c r="X548" s="1129"/>
      <c r="Y548" s="1129"/>
      <c r="Z548" s="1129"/>
      <c r="AA548" s="1129"/>
      <c r="AB548" s="1129"/>
      <c r="AC548" s="1129"/>
      <c r="AD548" s="1129"/>
      <c r="AE548" s="1130"/>
      <c r="AF548" s="1131"/>
      <c r="AG548" s="1131"/>
      <c r="AH548" s="1131"/>
      <c r="AI548" s="1131"/>
      <c r="AJ548" s="1131"/>
      <c r="AK548" s="1131"/>
      <c r="AL548" s="1131"/>
      <c r="AM548" s="1131"/>
      <c r="AN548" s="1131"/>
      <c r="AO548" s="1131"/>
      <c r="AP548" s="1131"/>
      <c r="AQ548" s="1131"/>
      <c r="AR548" s="1131"/>
      <c r="AS548" s="1131"/>
      <c r="AT548" s="1131"/>
      <c r="AU548" s="1131"/>
      <c r="AV548" s="1131"/>
      <c r="AW548" s="1131"/>
      <c r="AX548" s="1131"/>
      <c r="AY548" s="1131"/>
      <c r="AZ548" s="1131"/>
      <c r="BA548" s="1131"/>
      <c r="BB548" s="1131"/>
      <c r="BC548" s="1131"/>
      <c r="BD548" s="1131"/>
      <c r="BE548" s="1131"/>
      <c r="BF548" s="1131"/>
      <c r="BG548" s="1131"/>
      <c r="BH548" s="1131"/>
      <c r="BI548" s="1131"/>
      <c r="BJ548" s="1131"/>
      <c r="BK548" s="1131"/>
      <c r="BL548" s="1131"/>
      <c r="BM548" s="1131"/>
      <c r="BN548" s="1131"/>
      <c r="BO548" s="1131"/>
      <c r="BP548" s="1131"/>
      <c r="BQ548" s="1131"/>
      <c r="BR548" s="1131"/>
      <c r="BS548" s="1131"/>
      <c r="BT548" s="1131"/>
      <c r="BU548" s="1131"/>
      <c r="BV548" s="1131"/>
      <c r="BW548" s="1131"/>
      <c r="BX548" s="1131"/>
      <c r="BY548" s="1131"/>
      <c r="BZ548" s="1131"/>
      <c r="CA548" s="1131"/>
      <c r="CB548" s="1131"/>
      <c r="CC548" s="1131"/>
      <c r="CD548" s="1131"/>
      <c r="CE548" s="1131"/>
      <c r="CF548" s="1131"/>
      <c r="CG548" s="1131"/>
      <c r="CH548" s="29"/>
      <c r="CI548" s="185"/>
      <c r="CJ548" s="17"/>
    </row>
    <row r="549" spans="1:89" s="3" customFormat="1" hidden="1">
      <c r="A549" s="243" t="str">
        <f t="shared" si="9"/>
        <v>OK</v>
      </c>
      <c r="B549" s="1126" t="str">
        <f>IF(CONSOLIDA!DQ113="","",CONSOLIDA!DQ113)</f>
        <v/>
      </c>
      <c r="C549" s="1126"/>
      <c r="D549" s="1127" t="str">
        <f>IF(CONSOLIDA!DS113="","",CONSOLIDA!DS113)</f>
        <v/>
      </c>
      <c r="E549" s="1128"/>
      <c r="F549" s="1128"/>
      <c r="G549" s="1129" t="str">
        <f>IF(CONSOLIDA!DT113="","",CONSOLIDA!DT113)</f>
        <v/>
      </c>
      <c r="H549" s="1129"/>
      <c r="I549" s="1129"/>
      <c r="J549" s="1129"/>
      <c r="K549" s="1129"/>
      <c r="L549" s="1129"/>
      <c r="M549" s="1129"/>
      <c r="N549" s="1129"/>
      <c r="O549" s="1129"/>
      <c r="P549" s="1129"/>
      <c r="Q549" s="1129"/>
      <c r="R549" s="1129"/>
      <c r="S549" s="1129"/>
      <c r="T549" s="1129"/>
      <c r="U549" s="1129"/>
      <c r="V549" s="1129"/>
      <c r="W549" s="1129"/>
      <c r="X549" s="1129"/>
      <c r="Y549" s="1129"/>
      <c r="Z549" s="1129"/>
      <c r="AA549" s="1129"/>
      <c r="AB549" s="1129"/>
      <c r="AC549" s="1129"/>
      <c r="AD549" s="1129"/>
      <c r="AE549" s="1130"/>
      <c r="AF549" s="1131"/>
      <c r="AG549" s="1131"/>
      <c r="AH549" s="1131"/>
      <c r="AI549" s="1131"/>
      <c r="AJ549" s="1131"/>
      <c r="AK549" s="1131"/>
      <c r="AL549" s="1131"/>
      <c r="AM549" s="1131"/>
      <c r="AN549" s="1131"/>
      <c r="AO549" s="1131"/>
      <c r="AP549" s="1131"/>
      <c r="AQ549" s="1131"/>
      <c r="AR549" s="1131"/>
      <c r="AS549" s="1131"/>
      <c r="AT549" s="1131"/>
      <c r="AU549" s="1131"/>
      <c r="AV549" s="1131"/>
      <c r="AW549" s="1131"/>
      <c r="AX549" s="1131"/>
      <c r="AY549" s="1131"/>
      <c r="AZ549" s="1131"/>
      <c r="BA549" s="1131"/>
      <c r="BB549" s="1131"/>
      <c r="BC549" s="1131"/>
      <c r="BD549" s="1131"/>
      <c r="BE549" s="1131"/>
      <c r="BF549" s="1131"/>
      <c r="BG549" s="1131"/>
      <c r="BH549" s="1131"/>
      <c r="BI549" s="1131"/>
      <c r="BJ549" s="1131"/>
      <c r="BK549" s="1131"/>
      <c r="BL549" s="1131"/>
      <c r="BM549" s="1131"/>
      <c r="BN549" s="1131"/>
      <c r="BO549" s="1131"/>
      <c r="BP549" s="1131"/>
      <c r="BQ549" s="1131"/>
      <c r="BR549" s="1131"/>
      <c r="BS549" s="1131"/>
      <c r="BT549" s="1131"/>
      <c r="BU549" s="1131"/>
      <c r="BV549" s="1131"/>
      <c r="BW549" s="1131"/>
      <c r="BX549" s="1131"/>
      <c r="BY549" s="1131"/>
      <c r="BZ549" s="1131"/>
      <c r="CA549" s="1131"/>
      <c r="CB549" s="1131"/>
      <c r="CC549" s="1131"/>
      <c r="CD549" s="1131"/>
      <c r="CE549" s="1131"/>
      <c r="CF549" s="1131"/>
      <c r="CG549" s="1131"/>
      <c r="CH549" s="29"/>
      <c r="CI549" s="185"/>
      <c r="CJ549" s="17"/>
    </row>
    <row r="550" spans="1:89" s="3" customFormat="1" hidden="1">
      <c r="A550" s="243" t="str">
        <f t="shared" si="9"/>
        <v>OK</v>
      </c>
      <c r="B550" s="1126" t="str">
        <f>IF(CONSOLIDA!DQ114="","",CONSOLIDA!DQ114)</f>
        <v/>
      </c>
      <c r="C550" s="1126"/>
      <c r="D550" s="1127" t="str">
        <f>IF(CONSOLIDA!DS114="","",CONSOLIDA!DS114)</f>
        <v/>
      </c>
      <c r="E550" s="1128"/>
      <c r="F550" s="1128"/>
      <c r="G550" s="1129" t="str">
        <f>IF(CONSOLIDA!DT114="","",CONSOLIDA!DT114)</f>
        <v/>
      </c>
      <c r="H550" s="1129"/>
      <c r="I550" s="1129"/>
      <c r="J550" s="1129"/>
      <c r="K550" s="1129"/>
      <c r="L550" s="1129"/>
      <c r="M550" s="1129"/>
      <c r="N550" s="1129"/>
      <c r="O550" s="1129"/>
      <c r="P550" s="1129"/>
      <c r="Q550" s="1129"/>
      <c r="R550" s="1129"/>
      <c r="S550" s="1129"/>
      <c r="T550" s="1129"/>
      <c r="U550" s="1129"/>
      <c r="V550" s="1129"/>
      <c r="W550" s="1129"/>
      <c r="X550" s="1129"/>
      <c r="Y550" s="1129"/>
      <c r="Z550" s="1129"/>
      <c r="AA550" s="1129"/>
      <c r="AB550" s="1129"/>
      <c r="AC550" s="1129"/>
      <c r="AD550" s="1129"/>
      <c r="AE550" s="1130"/>
      <c r="AF550" s="1131"/>
      <c r="AG550" s="1131"/>
      <c r="AH550" s="1131"/>
      <c r="AI550" s="1131"/>
      <c r="AJ550" s="1131"/>
      <c r="AK550" s="1131"/>
      <c r="AL550" s="1131"/>
      <c r="AM550" s="1131"/>
      <c r="AN550" s="1131"/>
      <c r="AO550" s="1131"/>
      <c r="AP550" s="1131"/>
      <c r="AQ550" s="1131"/>
      <c r="AR550" s="1131"/>
      <c r="AS550" s="1131"/>
      <c r="AT550" s="1131"/>
      <c r="AU550" s="1131"/>
      <c r="AV550" s="1131"/>
      <c r="AW550" s="1131"/>
      <c r="AX550" s="1131"/>
      <c r="AY550" s="1131"/>
      <c r="AZ550" s="1131"/>
      <c r="BA550" s="1131"/>
      <c r="BB550" s="1131"/>
      <c r="BC550" s="1131"/>
      <c r="BD550" s="1131"/>
      <c r="BE550" s="1131"/>
      <c r="BF550" s="1131"/>
      <c r="BG550" s="1131"/>
      <c r="BH550" s="1131"/>
      <c r="BI550" s="1131"/>
      <c r="BJ550" s="1131"/>
      <c r="BK550" s="1131"/>
      <c r="BL550" s="1131"/>
      <c r="BM550" s="1131"/>
      <c r="BN550" s="1131"/>
      <c r="BO550" s="1131"/>
      <c r="BP550" s="1131"/>
      <c r="BQ550" s="1131"/>
      <c r="BR550" s="1131"/>
      <c r="BS550" s="1131"/>
      <c r="BT550" s="1131"/>
      <c r="BU550" s="1131"/>
      <c r="BV550" s="1131"/>
      <c r="BW550" s="1131"/>
      <c r="BX550" s="1131"/>
      <c r="BY550" s="1131"/>
      <c r="BZ550" s="1131"/>
      <c r="CA550" s="1131"/>
      <c r="CB550" s="1131"/>
      <c r="CC550" s="1131"/>
      <c r="CD550" s="1131"/>
      <c r="CE550" s="1131"/>
      <c r="CF550" s="1131"/>
      <c r="CG550" s="1131"/>
      <c r="CH550" s="29"/>
      <c r="CI550" s="185"/>
      <c r="CJ550" s="17"/>
    </row>
    <row r="551" spans="1:89" s="3" customFormat="1" hidden="1">
      <c r="A551" s="243" t="str">
        <f t="shared" si="9"/>
        <v>OK</v>
      </c>
      <c r="B551" s="1126" t="str">
        <f>IF(CONSOLIDA!DQ115="","",CONSOLIDA!DQ115)</f>
        <v/>
      </c>
      <c r="C551" s="1126"/>
      <c r="D551" s="1127" t="str">
        <f>IF(CONSOLIDA!DS115="","",CONSOLIDA!DS115)</f>
        <v/>
      </c>
      <c r="E551" s="1128"/>
      <c r="F551" s="1128"/>
      <c r="G551" s="1129" t="str">
        <f>IF(CONSOLIDA!DT115="","",CONSOLIDA!DT115)</f>
        <v/>
      </c>
      <c r="H551" s="1129"/>
      <c r="I551" s="1129"/>
      <c r="J551" s="1129"/>
      <c r="K551" s="1129"/>
      <c r="L551" s="1129"/>
      <c r="M551" s="1129"/>
      <c r="N551" s="1129"/>
      <c r="O551" s="1129"/>
      <c r="P551" s="1129"/>
      <c r="Q551" s="1129"/>
      <c r="R551" s="1129"/>
      <c r="S551" s="1129"/>
      <c r="T551" s="1129"/>
      <c r="U551" s="1129"/>
      <c r="V551" s="1129"/>
      <c r="W551" s="1129"/>
      <c r="X551" s="1129"/>
      <c r="Y551" s="1129"/>
      <c r="Z551" s="1129"/>
      <c r="AA551" s="1129"/>
      <c r="AB551" s="1129"/>
      <c r="AC551" s="1129"/>
      <c r="AD551" s="1129"/>
      <c r="AE551" s="1130"/>
      <c r="AF551" s="1131"/>
      <c r="AG551" s="1131"/>
      <c r="AH551" s="1131"/>
      <c r="AI551" s="1131"/>
      <c r="AJ551" s="1131"/>
      <c r="AK551" s="1131"/>
      <c r="AL551" s="1131"/>
      <c r="AM551" s="1131"/>
      <c r="AN551" s="1131"/>
      <c r="AO551" s="1131"/>
      <c r="AP551" s="1131"/>
      <c r="AQ551" s="1131"/>
      <c r="AR551" s="1131"/>
      <c r="AS551" s="1131"/>
      <c r="AT551" s="1131"/>
      <c r="AU551" s="1131"/>
      <c r="AV551" s="1131"/>
      <c r="AW551" s="1131"/>
      <c r="AX551" s="1131"/>
      <c r="AY551" s="1131"/>
      <c r="AZ551" s="1131"/>
      <c r="BA551" s="1131"/>
      <c r="BB551" s="1131"/>
      <c r="BC551" s="1131"/>
      <c r="BD551" s="1131"/>
      <c r="BE551" s="1131"/>
      <c r="BF551" s="1131"/>
      <c r="BG551" s="1131"/>
      <c r="BH551" s="1131"/>
      <c r="BI551" s="1131"/>
      <c r="BJ551" s="1131"/>
      <c r="BK551" s="1131"/>
      <c r="BL551" s="1131"/>
      <c r="BM551" s="1131"/>
      <c r="BN551" s="1131"/>
      <c r="BO551" s="1131"/>
      <c r="BP551" s="1131"/>
      <c r="BQ551" s="1131"/>
      <c r="BR551" s="1131"/>
      <c r="BS551" s="1131"/>
      <c r="BT551" s="1131"/>
      <c r="BU551" s="1131"/>
      <c r="BV551" s="1131"/>
      <c r="BW551" s="1131"/>
      <c r="BX551" s="1131"/>
      <c r="BY551" s="1131"/>
      <c r="BZ551" s="1131"/>
      <c r="CA551" s="1131"/>
      <c r="CB551" s="1131"/>
      <c r="CC551" s="1131"/>
      <c r="CD551" s="1131"/>
      <c r="CE551" s="1131"/>
      <c r="CF551" s="1131"/>
      <c r="CG551" s="1131"/>
      <c r="CH551" s="29"/>
      <c r="CI551" s="185"/>
      <c r="CJ551" s="17"/>
    </row>
    <row r="552" spans="1:89" s="3" customFormat="1" hidden="1">
      <c r="A552" s="243" t="str">
        <f t="shared" si="9"/>
        <v>OK</v>
      </c>
      <c r="B552" s="1126" t="str">
        <f>IF(CONSOLIDA!DQ116="","",CONSOLIDA!DQ116)</f>
        <v/>
      </c>
      <c r="C552" s="1126"/>
      <c r="D552" s="1127" t="str">
        <f>IF(CONSOLIDA!DS116="","",CONSOLIDA!DS116)</f>
        <v/>
      </c>
      <c r="E552" s="1128"/>
      <c r="F552" s="1128"/>
      <c r="G552" s="1129" t="str">
        <f>IF(CONSOLIDA!DT116="","",CONSOLIDA!DT116)</f>
        <v/>
      </c>
      <c r="H552" s="1129"/>
      <c r="I552" s="1129"/>
      <c r="J552" s="1129"/>
      <c r="K552" s="1129"/>
      <c r="L552" s="1129"/>
      <c r="M552" s="1129"/>
      <c r="N552" s="1129"/>
      <c r="O552" s="1129"/>
      <c r="P552" s="1129"/>
      <c r="Q552" s="1129"/>
      <c r="R552" s="1129"/>
      <c r="S552" s="1129"/>
      <c r="T552" s="1129"/>
      <c r="U552" s="1129"/>
      <c r="V552" s="1129"/>
      <c r="W552" s="1129"/>
      <c r="X552" s="1129"/>
      <c r="Y552" s="1129"/>
      <c r="Z552" s="1129"/>
      <c r="AA552" s="1129"/>
      <c r="AB552" s="1129"/>
      <c r="AC552" s="1129"/>
      <c r="AD552" s="1129"/>
      <c r="AE552" s="1130"/>
      <c r="AF552" s="1131"/>
      <c r="AG552" s="1131"/>
      <c r="AH552" s="1131"/>
      <c r="AI552" s="1131"/>
      <c r="AJ552" s="1131"/>
      <c r="AK552" s="1131"/>
      <c r="AL552" s="1131"/>
      <c r="AM552" s="1131"/>
      <c r="AN552" s="1131"/>
      <c r="AO552" s="1131"/>
      <c r="AP552" s="1131"/>
      <c r="AQ552" s="1131"/>
      <c r="AR552" s="1131"/>
      <c r="AS552" s="1131"/>
      <c r="AT552" s="1131"/>
      <c r="AU552" s="1131"/>
      <c r="AV552" s="1131"/>
      <c r="AW552" s="1131"/>
      <c r="AX552" s="1131"/>
      <c r="AY552" s="1131"/>
      <c r="AZ552" s="1131"/>
      <c r="BA552" s="1131"/>
      <c r="BB552" s="1131"/>
      <c r="BC552" s="1131"/>
      <c r="BD552" s="1131"/>
      <c r="BE552" s="1131"/>
      <c r="BF552" s="1131"/>
      <c r="BG552" s="1131"/>
      <c r="BH552" s="1131"/>
      <c r="BI552" s="1131"/>
      <c r="BJ552" s="1131"/>
      <c r="BK552" s="1131"/>
      <c r="BL552" s="1131"/>
      <c r="BM552" s="1131"/>
      <c r="BN552" s="1131"/>
      <c r="BO552" s="1131"/>
      <c r="BP552" s="1131"/>
      <c r="BQ552" s="1131"/>
      <c r="BR552" s="1131"/>
      <c r="BS552" s="1131"/>
      <c r="BT552" s="1131"/>
      <c r="BU552" s="1131"/>
      <c r="BV552" s="1131"/>
      <c r="BW552" s="1131"/>
      <c r="BX552" s="1131"/>
      <c r="BY552" s="1131"/>
      <c r="BZ552" s="1131"/>
      <c r="CA552" s="1131"/>
      <c r="CB552" s="1131"/>
      <c r="CC552" s="1131"/>
      <c r="CD552" s="1131"/>
      <c r="CE552" s="1131"/>
      <c r="CF552" s="1131"/>
      <c r="CG552" s="1131"/>
      <c r="CH552" s="29"/>
      <c r="CI552" s="185"/>
      <c r="CJ552" s="17"/>
    </row>
    <row r="553" spans="1:89" s="3" customFormat="1" hidden="1">
      <c r="A553" s="243" t="str">
        <f t="shared" si="9"/>
        <v>OK</v>
      </c>
      <c r="B553" s="1126" t="str">
        <f>IF(CONSOLIDA!DQ117="","",CONSOLIDA!DQ117)</f>
        <v/>
      </c>
      <c r="C553" s="1126"/>
      <c r="D553" s="1127" t="str">
        <f>IF(CONSOLIDA!DS117="","",CONSOLIDA!DS117)</f>
        <v/>
      </c>
      <c r="E553" s="1128"/>
      <c r="F553" s="1128"/>
      <c r="G553" s="1129" t="str">
        <f>IF(CONSOLIDA!DT117="","",CONSOLIDA!DT117)</f>
        <v/>
      </c>
      <c r="H553" s="1129"/>
      <c r="I553" s="1129"/>
      <c r="J553" s="1129"/>
      <c r="K553" s="1129"/>
      <c r="L553" s="1129"/>
      <c r="M553" s="1129"/>
      <c r="N553" s="1129"/>
      <c r="O553" s="1129"/>
      <c r="P553" s="1129"/>
      <c r="Q553" s="1129"/>
      <c r="R553" s="1129"/>
      <c r="S553" s="1129"/>
      <c r="T553" s="1129"/>
      <c r="U553" s="1129"/>
      <c r="V553" s="1129"/>
      <c r="W553" s="1129"/>
      <c r="X553" s="1129"/>
      <c r="Y553" s="1129"/>
      <c r="Z553" s="1129"/>
      <c r="AA553" s="1129"/>
      <c r="AB553" s="1129"/>
      <c r="AC553" s="1129"/>
      <c r="AD553" s="1129"/>
      <c r="AE553" s="1130"/>
      <c r="AF553" s="1131"/>
      <c r="AG553" s="1131"/>
      <c r="AH553" s="1131"/>
      <c r="AI553" s="1131"/>
      <c r="AJ553" s="1131"/>
      <c r="AK553" s="1131"/>
      <c r="AL553" s="1131"/>
      <c r="AM553" s="1131"/>
      <c r="AN553" s="1131"/>
      <c r="AO553" s="1131"/>
      <c r="AP553" s="1131"/>
      <c r="AQ553" s="1131"/>
      <c r="AR553" s="1131"/>
      <c r="AS553" s="1131"/>
      <c r="AT553" s="1131"/>
      <c r="AU553" s="1131"/>
      <c r="AV553" s="1131"/>
      <c r="AW553" s="1131"/>
      <c r="AX553" s="1131"/>
      <c r="AY553" s="1131"/>
      <c r="AZ553" s="1131"/>
      <c r="BA553" s="1131"/>
      <c r="BB553" s="1131"/>
      <c r="BC553" s="1131"/>
      <c r="BD553" s="1131"/>
      <c r="BE553" s="1131"/>
      <c r="BF553" s="1131"/>
      <c r="BG553" s="1131"/>
      <c r="BH553" s="1131"/>
      <c r="BI553" s="1131"/>
      <c r="BJ553" s="1131"/>
      <c r="BK553" s="1131"/>
      <c r="BL553" s="1131"/>
      <c r="BM553" s="1131"/>
      <c r="BN553" s="1131"/>
      <c r="BO553" s="1131"/>
      <c r="BP553" s="1131"/>
      <c r="BQ553" s="1131"/>
      <c r="BR553" s="1131"/>
      <c r="BS553" s="1131"/>
      <c r="BT553" s="1131"/>
      <c r="BU553" s="1131"/>
      <c r="BV553" s="1131"/>
      <c r="BW553" s="1131"/>
      <c r="BX553" s="1131"/>
      <c r="BY553" s="1131"/>
      <c r="BZ553" s="1131"/>
      <c r="CA553" s="1131"/>
      <c r="CB553" s="1131"/>
      <c r="CC553" s="1131"/>
      <c r="CD553" s="1131"/>
      <c r="CE553" s="1131"/>
      <c r="CF553" s="1131"/>
      <c r="CG553" s="1131"/>
      <c r="CH553" s="29"/>
      <c r="CI553" s="185"/>
      <c r="CJ553" s="17"/>
    </row>
    <row r="554" spans="1:89" s="3" customFormat="1" hidden="1">
      <c r="A554" s="243" t="str">
        <f t="shared" si="9"/>
        <v>OK</v>
      </c>
      <c r="B554" s="1126" t="str">
        <f>IF(CONSOLIDA!DQ118="","",CONSOLIDA!DQ118)</f>
        <v/>
      </c>
      <c r="C554" s="1126"/>
      <c r="D554" s="1127" t="str">
        <f>IF(CONSOLIDA!DS118="","",CONSOLIDA!DS118)</f>
        <v/>
      </c>
      <c r="E554" s="1128"/>
      <c r="F554" s="1128"/>
      <c r="G554" s="1129" t="str">
        <f>IF(CONSOLIDA!DT118="","",CONSOLIDA!DT118)</f>
        <v/>
      </c>
      <c r="H554" s="1129"/>
      <c r="I554" s="1129"/>
      <c r="J554" s="1129"/>
      <c r="K554" s="1129"/>
      <c r="L554" s="1129"/>
      <c r="M554" s="1129"/>
      <c r="N554" s="1129"/>
      <c r="O554" s="1129"/>
      <c r="P554" s="1129"/>
      <c r="Q554" s="1129"/>
      <c r="R554" s="1129"/>
      <c r="S554" s="1129"/>
      <c r="T554" s="1129"/>
      <c r="U554" s="1129"/>
      <c r="V554" s="1129"/>
      <c r="W554" s="1129"/>
      <c r="X554" s="1129"/>
      <c r="Y554" s="1129"/>
      <c r="Z554" s="1129"/>
      <c r="AA554" s="1129"/>
      <c r="AB554" s="1129"/>
      <c r="AC554" s="1129"/>
      <c r="AD554" s="1129"/>
      <c r="AE554" s="1130"/>
      <c r="AF554" s="1131"/>
      <c r="AG554" s="1131"/>
      <c r="AH554" s="1131"/>
      <c r="AI554" s="1131"/>
      <c r="AJ554" s="1131"/>
      <c r="AK554" s="1131"/>
      <c r="AL554" s="1131"/>
      <c r="AM554" s="1131"/>
      <c r="AN554" s="1131"/>
      <c r="AO554" s="1131"/>
      <c r="AP554" s="1131"/>
      <c r="AQ554" s="1131"/>
      <c r="AR554" s="1131"/>
      <c r="AS554" s="1131"/>
      <c r="AT554" s="1131"/>
      <c r="AU554" s="1131"/>
      <c r="AV554" s="1131"/>
      <c r="AW554" s="1131"/>
      <c r="AX554" s="1131"/>
      <c r="AY554" s="1131"/>
      <c r="AZ554" s="1131"/>
      <c r="BA554" s="1131"/>
      <c r="BB554" s="1131"/>
      <c r="BC554" s="1131"/>
      <c r="BD554" s="1131"/>
      <c r="BE554" s="1131"/>
      <c r="BF554" s="1131"/>
      <c r="BG554" s="1131"/>
      <c r="BH554" s="1131"/>
      <c r="BI554" s="1131"/>
      <c r="BJ554" s="1131"/>
      <c r="BK554" s="1131"/>
      <c r="BL554" s="1131"/>
      <c r="BM554" s="1131"/>
      <c r="BN554" s="1131"/>
      <c r="BO554" s="1131"/>
      <c r="BP554" s="1131"/>
      <c r="BQ554" s="1131"/>
      <c r="BR554" s="1131"/>
      <c r="BS554" s="1131"/>
      <c r="BT554" s="1131"/>
      <c r="BU554" s="1131"/>
      <c r="BV554" s="1131"/>
      <c r="BW554" s="1131"/>
      <c r="BX554" s="1131"/>
      <c r="BY554" s="1131"/>
      <c r="BZ554" s="1131"/>
      <c r="CA554" s="1131"/>
      <c r="CB554" s="1131"/>
      <c r="CC554" s="1131"/>
      <c r="CD554" s="1131"/>
      <c r="CE554" s="1131"/>
      <c r="CF554" s="1131"/>
      <c r="CG554" s="1131"/>
      <c r="CH554" s="29"/>
      <c r="CI554" s="185"/>
      <c r="CJ554" s="17"/>
    </row>
    <row r="555" spans="1:89" s="3" customFormat="1" hidden="1">
      <c r="A555" s="243" t="str">
        <f t="shared" si="9"/>
        <v>OK</v>
      </c>
      <c r="B555" s="1126" t="str">
        <f>IF(CONSOLIDA!DQ119="","",CONSOLIDA!DQ119)</f>
        <v/>
      </c>
      <c r="C555" s="1126"/>
      <c r="D555" s="1127" t="str">
        <f>IF(CONSOLIDA!DS119="","",CONSOLIDA!DS119)</f>
        <v/>
      </c>
      <c r="E555" s="1128"/>
      <c r="F555" s="1128"/>
      <c r="G555" s="1129" t="str">
        <f>IF(CONSOLIDA!DT119="","",CONSOLIDA!DT119)</f>
        <v/>
      </c>
      <c r="H555" s="1129"/>
      <c r="I555" s="1129"/>
      <c r="J555" s="1129"/>
      <c r="K555" s="1129"/>
      <c r="L555" s="1129"/>
      <c r="M555" s="1129"/>
      <c r="N555" s="1129"/>
      <c r="O555" s="1129"/>
      <c r="P555" s="1129"/>
      <c r="Q555" s="1129"/>
      <c r="R555" s="1129"/>
      <c r="S555" s="1129"/>
      <c r="T555" s="1129"/>
      <c r="U555" s="1129"/>
      <c r="V555" s="1129"/>
      <c r="W555" s="1129"/>
      <c r="X555" s="1129"/>
      <c r="Y555" s="1129"/>
      <c r="Z555" s="1129"/>
      <c r="AA555" s="1129"/>
      <c r="AB555" s="1129"/>
      <c r="AC555" s="1129"/>
      <c r="AD555" s="1129"/>
      <c r="AE555" s="1130"/>
      <c r="AF555" s="1131"/>
      <c r="AG555" s="1131"/>
      <c r="AH555" s="1131"/>
      <c r="AI555" s="1131"/>
      <c r="AJ555" s="1131"/>
      <c r="AK555" s="1131"/>
      <c r="AL555" s="1131"/>
      <c r="AM555" s="1131"/>
      <c r="AN555" s="1131"/>
      <c r="AO555" s="1131"/>
      <c r="AP555" s="1131"/>
      <c r="AQ555" s="1131"/>
      <c r="AR555" s="1131"/>
      <c r="AS555" s="1131"/>
      <c r="AT555" s="1131"/>
      <c r="AU555" s="1131"/>
      <c r="AV555" s="1131"/>
      <c r="AW555" s="1131"/>
      <c r="AX555" s="1131"/>
      <c r="AY555" s="1131"/>
      <c r="AZ555" s="1131"/>
      <c r="BA555" s="1131"/>
      <c r="BB555" s="1131"/>
      <c r="BC555" s="1131"/>
      <c r="BD555" s="1131"/>
      <c r="BE555" s="1131"/>
      <c r="BF555" s="1131"/>
      <c r="BG555" s="1131"/>
      <c r="BH555" s="1131"/>
      <c r="BI555" s="1131"/>
      <c r="BJ555" s="1131"/>
      <c r="BK555" s="1131"/>
      <c r="BL555" s="1131"/>
      <c r="BM555" s="1131"/>
      <c r="BN555" s="1131"/>
      <c r="BO555" s="1131"/>
      <c r="BP555" s="1131"/>
      <c r="BQ555" s="1131"/>
      <c r="BR555" s="1131"/>
      <c r="BS555" s="1131"/>
      <c r="BT555" s="1131"/>
      <c r="BU555" s="1131"/>
      <c r="BV555" s="1131"/>
      <c r="BW555" s="1131"/>
      <c r="BX555" s="1131"/>
      <c r="BY555" s="1131"/>
      <c r="BZ555" s="1131"/>
      <c r="CA555" s="1131"/>
      <c r="CB555" s="1131"/>
      <c r="CC555" s="1131"/>
      <c r="CD555" s="1131"/>
      <c r="CE555" s="1131"/>
      <c r="CF555" s="1131"/>
      <c r="CG555" s="1131"/>
      <c r="CH555" s="29"/>
      <c r="CI555" s="185"/>
      <c r="CJ555" s="17"/>
    </row>
    <row r="556" spans="1:89" s="3" customFormat="1" hidden="1">
      <c r="A556" s="243" t="str">
        <f t="shared" si="9"/>
        <v>OK</v>
      </c>
      <c r="B556" s="1126" t="str">
        <f>IF(CONSOLIDA!DQ120="","",CONSOLIDA!DQ120)</f>
        <v/>
      </c>
      <c r="C556" s="1126"/>
      <c r="D556" s="1127" t="str">
        <f>IF(CONSOLIDA!DS120="","",CONSOLIDA!DS120)</f>
        <v/>
      </c>
      <c r="E556" s="1128"/>
      <c r="F556" s="1128"/>
      <c r="G556" s="1129" t="str">
        <f>IF(CONSOLIDA!DT120="","",CONSOLIDA!DT120)</f>
        <v/>
      </c>
      <c r="H556" s="1129"/>
      <c r="I556" s="1129"/>
      <c r="J556" s="1129"/>
      <c r="K556" s="1129"/>
      <c r="L556" s="1129"/>
      <c r="M556" s="1129"/>
      <c r="N556" s="1129"/>
      <c r="O556" s="1129"/>
      <c r="P556" s="1129"/>
      <c r="Q556" s="1129"/>
      <c r="R556" s="1129"/>
      <c r="S556" s="1129"/>
      <c r="T556" s="1129"/>
      <c r="U556" s="1129"/>
      <c r="V556" s="1129"/>
      <c r="W556" s="1129"/>
      <c r="X556" s="1129"/>
      <c r="Y556" s="1129"/>
      <c r="Z556" s="1129"/>
      <c r="AA556" s="1129"/>
      <c r="AB556" s="1129"/>
      <c r="AC556" s="1129"/>
      <c r="AD556" s="1129"/>
      <c r="AE556" s="1130"/>
      <c r="AF556" s="1131"/>
      <c r="AG556" s="1131"/>
      <c r="AH556" s="1131"/>
      <c r="AI556" s="1131"/>
      <c r="AJ556" s="1131"/>
      <c r="AK556" s="1131"/>
      <c r="AL556" s="1131"/>
      <c r="AM556" s="1131"/>
      <c r="AN556" s="1131"/>
      <c r="AO556" s="1131"/>
      <c r="AP556" s="1131"/>
      <c r="AQ556" s="1131"/>
      <c r="AR556" s="1131"/>
      <c r="AS556" s="1131"/>
      <c r="AT556" s="1131"/>
      <c r="AU556" s="1131"/>
      <c r="AV556" s="1131"/>
      <c r="AW556" s="1131"/>
      <c r="AX556" s="1131"/>
      <c r="AY556" s="1131"/>
      <c r="AZ556" s="1131"/>
      <c r="BA556" s="1131"/>
      <c r="BB556" s="1131"/>
      <c r="BC556" s="1131"/>
      <c r="BD556" s="1131"/>
      <c r="BE556" s="1131"/>
      <c r="BF556" s="1131"/>
      <c r="BG556" s="1131"/>
      <c r="BH556" s="1131"/>
      <c r="BI556" s="1131"/>
      <c r="BJ556" s="1131"/>
      <c r="BK556" s="1131"/>
      <c r="BL556" s="1131"/>
      <c r="BM556" s="1131"/>
      <c r="BN556" s="1131"/>
      <c r="BO556" s="1131"/>
      <c r="BP556" s="1131"/>
      <c r="BQ556" s="1131"/>
      <c r="BR556" s="1131"/>
      <c r="BS556" s="1131"/>
      <c r="BT556" s="1131"/>
      <c r="BU556" s="1131"/>
      <c r="BV556" s="1131"/>
      <c r="BW556" s="1131"/>
      <c r="BX556" s="1131"/>
      <c r="BY556" s="1131"/>
      <c r="BZ556" s="1131"/>
      <c r="CA556" s="1131"/>
      <c r="CB556" s="1131"/>
      <c r="CC556" s="1131"/>
      <c r="CD556" s="1131"/>
      <c r="CE556" s="1131"/>
      <c r="CF556" s="1131"/>
      <c r="CG556" s="1131"/>
      <c r="CH556" s="29"/>
      <c r="CI556" s="185"/>
      <c r="CJ556" s="17"/>
    </row>
    <row r="557" spans="1:89" s="3" customFormat="1" ht="12.75" hidden="1" customHeight="1">
      <c r="A557" s="243" t="str">
        <f t="shared" si="9"/>
        <v>OK</v>
      </c>
      <c r="B557" s="1126" t="str">
        <f>IF(CONSOLIDA!DQ121="","",CONSOLIDA!DQ121)</f>
        <v/>
      </c>
      <c r="C557" s="1126"/>
      <c r="D557" s="1127" t="str">
        <f>IF(CONSOLIDA!DS121="","",CONSOLIDA!DS121)</f>
        <v/>
      </c>
      <c r="E557" s="1128"/>
      <c r="F557" s="1128"/>
      <c r="G557" s="1129" t="str">
        <f>IF(CONSOLIDA!DT121="","",CONSOLIDA!DT121)</f>
        <v/>
      </c>
      <c r="H557" s="1129"/>
      <c r="I557" s="1129"/>
      <c r="J557" s="1129"/>
      <c r="K557" s="1129"/>
      <c r="L557" s="1129"/>
      <c r="M557" s="1129"/>
      <c r="N557" s="1129"/>
      <c r="O557" s="1129"/>
      <c r="P557" s="1129"/>
      <c r="Q557" s="1129"/>
      <c r="R557" s="1129"/>
      <c r="S557" s="1129"/>
      <c r="T557" s="1129"/>
      <c r="U557" s="1129"/>
      <c r="V557" s="1129"/>
      <c r="W557" s="1129"/>
      <c r="X557" s="1129"/>
      <c r="Y557" s="1129"/>
      <c r="Z557" s="1129"/>
      <c r="AA557" s="1129"/>
      <c r="AB557" s="1129"/>
      <c r="AC557" s="1129"/>
      <c r="AD557" s="1129"/>
      <c r="AE557" s="1130"/>
      <c r="AF557" s="1131"/>
      <c r="AG557" s="1131"/>
      <c r="AH557" s="1131"/>
      <c r="AI557" s="1131"/>
      <c r="AJ557" s="1131"/>
      <c r="AK557" s="1131"/>
      <c r="AL557" s="1131"/>
      <c r="AM557" s="1131"/>
      <c r="AN557" s="1131"/>
      <c r="AO557" s="1131"/>
      <c r="AP557" s="1131"/>
      <c r="AQ557" s="1131"/>
      <c r="AR557" s="1131"/>
      <c r="AS557" s="1131"/>
      <c r="AT557" s="1131"/>
      <c r="AU557" s="1131"/>
      <c r="AV557" s="1131"/>
      <c r="AW557" s="1131"/>
      <c r="AX557" s="1131"/>
      <c r="AY557" s="1131"/>
      <c r="AZ557" s="1131"/>
      <c r="BA557" s="1131"/>
      <c r="BB557" s="1131"/>
      <c r="BC557" s="1131"/>
      <c r="BD557" s="1131"/>
      <c r="BE557" s="1131"/>
      <c r="BF557" s="1131"/>
      <c r="BG557" s="1131"/>
      <c r="BH557" s="1131"/>
      <c r="BI557" s="1131"/>
      <c r="BJ557" s="1131"/>
      <c r="BK557" s="1131"/>
      <c r="BL557" s="1131"/>
      <c r="BM557" s="1131"/>
      <c r="BN557" s="1131"/>
      <c r="BO557" s="1131"/>
      <c r="BP557" s="1131"/>
      <c r="BQ557" s="1131"/>
      <c r="BR557" s="1131"/>
      <c r="BS557" s="1131"/>
      <c r="BT557" s="1131"/>
      <c r="BU557" s="1131"/>
      <c r="BV557" s="1131"/>
      <c r="BW557" s="1131"/>
      <c r="BX557" s="1131"/>
      <c r="BY557" s="1131"/>
      <c r="BZ557" s="1131"/>
      <c r="CA557" s="1131"/>
      <c r="CB557" s="1131"/>
      <c r="CC557" s="1131"/>
      <c r="CD557" s="1131"/>
      <c r="CE557" s="1131"/>
      <c r="CF557" s="1131"/>
      <c r="CG557" s="1131"/>
      <c r="CH557" s="29"/>
      <c r="CI557" s="185"/>
      <c r="CJ557" s="17"/>
    </row>
    <row r="558" spans="1:89" s="3" customFormat="1" ht="12.75" hidden="1" customHeight="1">
      <c r="A558" s="243" t="str">
        <f t="shared" si="9"/>
        <v>OK</v>
      </c>
      <c r="B558" s="1126" t="str">
        <f>IF(CONSOLIDA!DQ122="","",CONSOLIDA!DQ122)</f>
        <v/>
      </c>
      <c r="C558" s="1126"/>
      <c r="D558" s="1127" t="str">
        <f>IF(CONSOLIDA!DS122="","",CONSOLIDA!DS122)</f>
        <v/>
      </c>
      <c r="E558" s="1128"/>
      <c r="F558" s="1128"/>
      <c r="G558" s="1129" t="str">
        <f>IF(CONSOLIDA!DT122="","",CONSOLIDA!DT122)</f>
        <v/>
      </c>
      <c r="H558" s="1129"/>
      <c r="I558" s="1129"/>
      <c r="J558" s="1129"/>
      <c r="K558" s="1129"/>
      <c r="L558" s="1129"/>
      <c r="M558" s="1129"/>
      <c r="N558" s="1129"/>
      <c r="O558" s="1129"/>
      <c r="P558" s="1129"/>
      <c r="Q558" s="1129"/>
      <c r="R558" s="1129"/>
      <c r="S558" s="1129"/>
      <c r="T558" s="1129"/>
      <c r="U558" s="1129"/>
      <c r="V558" s="1129"/>
      <c r="W558" s="1129"/>
      <c r="X558" s="1129"/>
      <c r="Y558" s="1129"/>
      <c r="Z558" s="1129"/>
      <c r="AA558" s="1129"/>
      <c r="AB558" s="1129"/>
      <c r="AC558" s="1129"/>
      <c r="AD558" s="1129"/>
      <c r="AE558" s="1130"/>
      <c r="AF558" s="1131"/>
      <c r="AG558" s="1131"/>
      <c r="AH558" s="1131"/>
      <c r="AI558" s="1131"/>
      <c r="AJ558" s="1131"/>
      <c r="AK558" s="1131"/>
      <c r="AL558" s="1131"/>
      <c r="AM558" s="1131"/>
      <c r="AN558" s="1131"/>
      <c r="AO558" s="1131"/>
      <c r="AP558" s="1131"/>
      <c r="AQ558" s="1131"/>
      <c r="AR558" s="1131"/>
      <c r="AS558" s="1131"/>
      <c r="AT558" s="1131"/>
      <c r="AU558" s="1131"/>
      <c r="AV558" s="1131"/>
      <c r="AW558" s="1131"/>
      <c r="AX558" s="1131"/>
      <c r="AY558" s="1131"/>
      <c r="AZ558" s="1131"/>
      <c r="BA558" s="1131"/>
      <c r="BB558" s="1131"/>
      <c r="BC558" s="1131"/>
      <c r="BD558" s="1131"/>
      <c r="BE558" s="1131"/>
      <c r="BF558" s="1131"/>
      <c r="BG558" s="1131"/>
      <c r="BH558" s="1131"/>
      <c r="BI558" s="1131"/>
      <c r="BJ558" s="1131"/>
      <c r="BK558" s="1131"/>
      <c r="BL558" s="1131"/>
      <c r="BM558" s="1131"/>
      <c r="BN558" s="1131"/>
      <c r="BO558" s="1131"/>
      <c r="BP558" s="1131"/>
      <c r="BQ558" s="1131"/>
      <c r="BR558" s="1131"/>
      <c r="BS558" s="1131"/>
      <c r="BT558" s="1131"/>
      <c r="BU558" s="1131"/>
      <c r="BV558" s="1131"/>
      <c r="BW558" s="1131"/>
      <c r="BX558" s="1131"/>
      <c r="BY558" s="1131"/>
      <c r="BZ558" s="1131"/>
      <c r="CA558" s="1131"/>
      <c r="CB558" s="1131"/>
      <c r="CC558" s="1131"/>
      <c r="CD558" s="1131"/>
      <c r="CE558" s="1131"/>
      <c r="CF558" s="1131"/>
      <c r="CG558" s="1131"/>
      <c r="CH558" s="29"/>
      <c r="CI558" s="185"/>
      <c r="CJ558" s="17"/>
      <c r="CK558" s="99"/>
    </row>
    <row r="559" spans="1:89" s="3" customFormat="1" ht="12.75" hidden="1" customHeight="1">
      <c r="A559" s="243" t="str">
        <f t="shared" si="9"/>
        <v>OK</v>
      </c>
      <c r="B559" s="1126" t="str">
        <f>IF(CONSOLIDA!DQ123="","",CONSOLIDA!DQ123)</f>
        <v/>
      </c>
      <c r="C559" s="1126"/>
      <c r="D559" s="1127" t="str">
        <f>IF(CONSOLIDA!DS123="","",CONSOLIDA!DS123)</f>
        <v/>
      </c>
      <c r="E559" s="1128"/>
      <c r="F559" s="1128"/>
      <c r="G559" s="1129" t="str">
        <f>IF(CONSOLIDA!DT123="","",CONSOLIDA!DT123)</f>
        <v/>
      </c>
      <c r="H559" s="1129"/>
      <c r="I559" s="1129"/>
      <c r="J559" s="1129"/>
      <c r="K559" s="1129"/>
      <c r="L559" s="1129"/>
      <c r="M559" s="1129"/>
      <c r="N559" s="1129"/>
      <c r="O559" s="1129"/>
      <c r="P559" s="1129"/>
      <c r="Q559" s="1129"/>
      <c r="R559" s="1129"/>
      <c r="S559" s="1129"/>
      <c r="T559" s="1129"/>
      <c r="U559" s="1129"/>
      <c r="V559" s="1129"/>
      <c r="W559" s="1129"/>
      <c r="X559" s="1129"/>
      <c r="Y559" s="1129"/>
      <c r="Z559" s="1129"/>
      <c r="AA559" s="1129"/>
      <c r="AB559" s="1129"/>
      <c r="AC559" s="1129"/>
      <c r="AD559" s="1129"/>
      <c r="AE559" s="1130"/>
      <c r="AF559" s="1131"/>
      <c r="AG559" s="1131"/>
      <c r="AH559" s="1131"/>
      <c r="AI559" s="1131"/>
      <c r="AJ559" s="1131"/>
      <c r="AK559" s="1131"/>
      <c r="AL559" s="1131"/>
      <c r="AM559" s="1131"/>
      <c r="AN559" s="1131"/>
      <c r="AO559" s="1131"/>
      <c r="AP559" s="1131"/>
      <c r="AQ559" s="1131"/>
      <c r="AR559" s="1131"/>
      <c r="AS559" s="1131"/>
      <c r="AT559" s="1131"/>
      <c r="AU559" s="1131"/>
      <c r="AV559" s="1131"/>
      <c r="AW559" s="1131"/>
      <c r="AX559" s="1131"/>
      <c r="AY559" s="1131"/>
      <c r="AZ559" s="1131"/>
      <c r="BA559" s="1131"/>
      <c r="BB559" s="1131"/>
      <c r="BC559" s="1131"/>
      <c r="BD559" s="1131"/>
      <c r="BE559" s="1131"/>
      <c r="BF559" s="1131"/>
      <c r="BG559" s="1131"/>
      <c r="BH559" s="1131"/>
      <c r="BI559" s="1131"/>
      <c r="BJ559" s="1131"/>
      <c r="BK559" s="1131"/>
      <c r="BL559" s="1131"/>
      <c r="BM559" s="1131"/>
      <c r="BN559" s="1131"/>
      <c r="BO559" s="1131"/>
      <c r="BP559" s="1131"/>
      <c r="BQ559" s="1131"/>
      <c r="BR559" s="1131"/>
      <c r="BS559" s="1131"/>
      <c r="BT559" s="1131"/>
      <c r="BU559" s="1131"/>
      <c r="BV559" s="1131"/>
      <c r="BW559" s="1131"/>
      <c r="BX559" s="1131"/>
      <c r="BY559" s="1131"/>
      <c r="BZ559" s="1131"/>
      <c r="CA559" s="1131"/>
      <c r="CB559" s="1131"/>
      <c r="CC559" s="1131"/>
      <c r="CD559" s="1131"/>
      <c r="CE559" s="1131"/>
      <c r="CF559" s="1131"/>
      <c r="CG559" s="1131"/>
      <c r="CH559" s="29"/>
      <c r="CI559" s="185"/>
      <c r="CJ559" s="17"/>
    </row>
    <row r="560" spans="1:89" s="3" customFormat="1" ht="12.75" hidden="1" customHeight="1">
      <c r="A560" s="243" t="str">
        <f t="shared" si="9"/>
        <v>OK</v>
      </c>
      <c r="B560" s="1126" t="str">
        <f>IF(CONSOLIDA!DQ124="","",CONSOLIDA!DQ124)</f>
        <v/>
      </c>
      <c r="C560" s="1126"/>
      <c r="D560" s="1127" t="str">
        <f>IF(CONSOLIDA!DS124="","",CONSOLIDA!DS124)</f>
        <v/>
      </c>
      <c r="E560" s="1128"/>
      <c r="F560" s="1128"/>
      <c r="G560" s="1129" t="str">
        <f>IF(CONSOLIDA!DT124="","",CONSOLIDA!DT124)</f>
        <v/>
      </c>
      <c r="H560" s="1129"/>
      <c r="I560" s="1129"/>
      <c r="J560" s="1129"/>
      <c r="K560" s="1129"/>
      <c r="L560" s="1129"/>
      <c r="M560" s="1129"/>
      <c r="N560" s="1129"/>
      <c r="O560" s="1129"/>
      <c r="P560" s="1129"/>
      <c r="Q560" s="1129"/>
      <c r="R560" s="1129"/>
      <c r="S560" s="1129"/>
      <c r="T560" s="1129"/>
      <c r="U560" s="1129"/>
      <c r="V560" s="1129"/>
      <c r="W560" s="1129"/>
      <c r="X560" s="1129"/>
      <c r="Y560" s="1129"/>
      <c r="Z560" s="1129"/>
      <c r="AA560" s="1129"/>
      <c r="AB560" s="1129"/>
      <c r="AC560" s="1129"/>
      <c r="AD560" s="1129"/>
      <c r="AE560" s="1130"/>
      <c r="AF560" s="1131"/>
      <c r="AG560" s="1131"/>
      <c r="AH560" s="1131"/>
      <c r="AI560" s="1131"/>
      <c r="AJ560" s="1131"/>
      <c r="AK560" s="1131"/>
      <c r="AL560" s="1131"/>
      <c r="AM560" s="1131"/>
      <c r="AN560" s="1131"/>
      <c r="AO560" s="1131"/>
      <c r="AP560" s="1131"/>
      <c r="AQ560" s="1131"/>
      <c r="AR560" s="1131"/>
      <c r="AS560" s="1131"/>
      <c r="AT560" s="1131"/>
      <c r="AU560" s="1131"/>
      <c r="AV560" s="1131"/>
      <c r="AW560" s="1131"/>
      <c r="AX560" s="1131"/>
      <c r="AY560" s="1131"/>
      <c r="AZ560" s="1131"/>
      <c r="BA560" s="1131"/>
      <c r="BB560" s="1131"/>
      <c r="BC560" s="1131"/>
      <c r="BD560" s="1131"/>
      <c r="BE560" s="1131"/>
      <c r="BF560" s="1131"/>
      <c r="BG560" s="1131"/>
      <c r="BH560" s="1131"/>
      <c r="BI560" s="1131"/>
      <c r="BJ560" s="1131"/>
      <c r="BK560" s="1131"/>
      <c r="BL560" s="1131"/>
      <c r="BM560" s="1131"/>
      <c r="BN560" s="1131"/>
      <c r="BO560" s="1131"/>
      <c r="BP560" s="1131"/>
      <c r="BQ560" s="1131"/>
      <c r="BR560" s="1131"/>
      <c r="BS560" s="1131"/>
      <c r="BT560" s="1131"/>
      <c r="BU560" s="1131"/>
      <c r="BV560" s="1131"/>
      <c r="BW560" s="1131"/>
      <c r="BX560" s="1131"/>
      <c r="BY560" s="1131"/>
      <c r="BZ560" s="1131"/>
      <c r="CA560" s="1131"/>
      <c r="CB560" s="1131"/>
      <c r="CC560" s="1131"/>
      <c r="CD560" s="1131"/>
      <c r="CE560" s="1131"/>
      <c r="CF560" s="1131"/>
      <c r="CG560" s="1131"/>
      <c r="CH560" s="29"/>
      <c r="CI560" s="185"/>
      <c r="CJ560" s="17"/>
    </row>
    <row r="561" spans="1:88" s="3" customFormat="1" ht="12.75" hidden="1" customHeight="1">
      <c r="A561" s="243" t="str">
        <f t="shared" si="9"/>
        <v>OK</v>
      </c>
      <c r="B561" s="1126" t="str">
        <f>IF(CONSOLIDA!DQ125="","",CONSOLIDA!DQ125)</f>
        <v/>
      </c>
      <c r="C561" s="1126"/>
      <c r="D561" s="1127" t="str">
        <f>IF(CONSOLIDA!DS125="","",CONSOLIDA!DS125)</f>
        <v/>
      </c>
      <c r="E561" s="1128"/>
      <c r="F561" s="1128"/>
      <c r="G561" s="1129" t="str">
        <f>IF(CONSOLIDA!DT125="","",CONSOLIDA!DT125)</f>
        <v/>
      </c>
      <c r="H561" s="1129"/>
      <c r="I561" s="1129"/>
      <c r="J561" s="1129"/>
      <c r="K561" s="1129"/>
      <c r="L561" s="1129"/>
      <c r="M561" s="1129"/>
      <c r="N561" s="1129"/>
      <c r="O561" s="1129"/>
      <c r="P561" s="1129"/>
      <c r="Q561" s="1129"/>
      <c r="R561" s="1129"/>
      <c r="S561" s="1129"/>
      <c r="T561" s="1129"/>
      <c r="U561" s="1129"/>
      <c r="V561" s="1129"/>
      <c r="W561" s="1129"/>
      <c r="X561" s="1129"/>
      <c r="Y561" s="1129"/>
      <c r="Z561" s="1129"/>
      <c r="AA561" s="1129"/>
      <c r="AB561" s="1129"/>
      <c r="AC561" s="1129"/>
      <c r="AD561" s="1129"/>
      <c r="AE561" s="1130"/>
      <c r="AF561" s="1131"/>
      <c r="AG561" s="1131"/>
      <c r="AH561" s="1131"/>
      <c r="AI561" s="1131"/>
      <c r="AJ561" s="1131"/>
      <c r="AK561" s="1131"/>
      <c r="AL561" s="1131"/>
      <c r="AM561" s="1131"/>
      <c r="AN561" s="1131"/>
      <c r="AO561" s="1131"/>
      <c r="AP561" s="1131"/>
      <c r="AQ561" s="1131"/>
      <c r="AR561" s="1131"/>
      <c r="AS561" s="1131"/>
      <c r="AT561" s="1131"/>
      <c r="AU561" s="1131"/>
      <c r="AV561" s="1131"/>
      <c r="AW561" s="1131"/>
      <c r="AX561" s="1131"/>
      <c r="AY561" s="1131"/>
      <c r="AZ561" s="1131"/>
      <c r="BA561" s="1131"/>
      <c r="BB561" s="1131"/>
      <c r="BC561" s="1131"/>
      <c r="BD561" s="1131"/>
      <c r="BE561" s="1131"/>
      <c r="BF561" s="1131"/>
      <c r="BG561" s="1131"/>
      <c r="BH561" s="1131"/>
      <c r="BI561" s="1131"/>
      <c r="BJ561" s="1131"/>
      <c r="BK561" s="1131"/>
      <c r="BL561" s="1131"/>
      <c r="BM561" s="1131"/>
      <c r="BN561" s="1131"/>
      <c r="BO561" s="1131"/>
      <c r="BP561" s="1131"/>
      <c r="BQ561" s="1131"/>
      <c r="BR561" s="1131"/>
      <c r="BS561" s="1131"/>
      <c r="BT561" s="1131"/>
      <c r="BU561" s="1131"/>
      <c r="BV561" s="1131"/>
      <c r="BW561" s="1131"/>
      <c r="BX561" s="1131"/>
      <c r="BY561" s="1131"/>
      <c r="BZ561" s="1131"/>
      <c r="CA561" s="1131"/>
      <c r="CB561" s="1131"/>
      <c r="CC561" s="1131"/>
      <c r="CD561" s="1131"/>
      <c r="CE561" s="1131"/>
      <c r="CF561" s="1131"/>
      <c r="CG561" s="1131"/>
      <c r="CH561" s="29"/>
      <c r="CI561" s="185"/>
      <c r="CJ561" s="17"/>
    </row>
    <row r="562" spans="1:88" s="3" customFormat="1" ht="12.75" hidden="1" customHeight="1">
      <c r="A562" s="243" t="str">
        <f t="shared" si="9"/>
        <v>OK</v>
      </c>
      <c r="B562" s="1126" t="str">
        <f>IF(CONSOLIDA!DQ126="","",CONSOLIDA!DQ126)</f>
        <v/>
      </c>
      <c r="C562" s="1126"/>
      <c r="D562" s="1127" t="str">
        <f>IF(CONSOLIDA!DS126="","",CONSOLIDA!DS126)</f>
        <v/>
      </c>
      <c r="E562" s="1128"/>
      <c r="F562" s="1128"/>
      <c r="G562" s="1129" t="str">
        <f>IF(CONSOLIDA!DT126="","",CONSOLIDA!DT126)</f>
        <v/>
      </c>
      <c r="H562" s="1129"/>
      <c r="I562" s="1129"/>
      <c r="J562" s="1129"/>
      <c r="K562" s="1129"/>
      <c r="L562" s="1129"/>
      <c r="M562" s="1129"/>
      <c r="N562" s="1129"/>
      <c r="O562" s="1129"/>
      <c r="P562" s="1129"/>
      <c r="Q562" s="1129"/>
      <c r="R562" s="1129"/>
      <c r="S562" s="1129"/>
      <c r="T562" s="1129"/>
      <c r="U562" s="1129"/>
      <c r="V562" s="1129"/>
      <c r="W562" s="1129"/>
      <c r="X562" s="1129"/>
      <c r="Y562" s="1129"/>
      <c r="Z562" s="1129"/>
      <c r="AA562" s="1129"/>
      <c r="AB562" s="1129"/>
      <c r="AC562" s="1129"/>
      <c r="AD562" s="1129"/>
      <c r="AE562" s="1130"/>
      <c r="AF562" s="1131"/>
      <c r="AG562" s="1131"/>
      <c r="AH562" s="1131"/>
      <c r="AI562" s="1131"/>
      <c r="AJ562" s="1131"/>
      <c r="AK562" s="1131"/>
      <c r="AL562" s="1131"/>
      <c r="AM562" s="1131"/>
      <c r="AN562" s="1131"/>
      <c r="AO562" s="1131"/>
      <c r="AP562" s="1131"/>
      <c r="AQ562" s="1131"/>
      <c r="AR562" s="1131"/>
      <c r="AS562" s="1131"/>
      <c r="AT562" s="1131"/>
      <c r="AU562" s="1131"/>
      <c r="AV562" s="1131"/>
      <c r="AW562" s="1131"/>
      <c r="AX562" s="1131"/>
      <c r="AY562" s="1131"/>
      <c r="AZ562" s="1131"/>
      <c r="BA562" s="1131"/>
      <c r="BB562" s="1131"/>
      <c r="BC562" s="1131"/>
      <c r="BD562" s="1131"/>
      <c r="BE562" s="1131"/>
      <c r="BF562" s="1131"/>
      <c r="BG562" s="1131"/>
      <c r="BH562" s="1131"/>
      <c r="BI562" s="1131"/>
      <c r="BJ562" s="1131"/>
      <c r="BK562" s="1131"/>
      <c r="BL562" s="1131"/>
      <c r="BM562" s="1131"/>
      <c r="BN562" s="1131"/>
      <c r="BO562" s="1131"/>
      <c r="BP562" s="1131"/>
      <c r="BQ562" s="1131"/>
      <c r="BR562" s="1131"/>
      <c r="BS562" s="1131"/>
      <c r="BT562" s="1131"/>
      <c r="BU562" s="1131"/>
      <c r="BV562" s="1131"/>
      <c r="BW562" s="1131"/>
      <c r="BX562" s="1131"/>
      <c r="BY562" s="1131"/>
      <c r="BZ562" s="1131"/>
      <c r="CA562" s="1131"/>
      <c r="CB562" s="1131"/>
      <c r="CC562" s="1131"/>
      <c r="CD562" s="1131"/>
      <c r="CE562" s="1131"/>
      <c r="CF562" s="1131"/>
      <c r="CG562" s="1131"/>
      <c r="CH562" s="29"/>
      <c r="CI562" s="185"/>
      <c r="CJ562" s="17"/>
    </row>
    <row r="563" spans="1:88" s="3" customFormat="1" ht="12.75" hidden="1" customHeight="1">
      <c r="A563" s="243" t="str">
        <f t="shared" si="9"/>
        <v>OK</v>
      </c>
      <c r="B563" s="1126" t="str">
        <f>IF(CONSOLIDA!DQ127="","",CONSOLIDA!DQ127)</f>
        <v/>
      </c>
      <c r="C563" s="1126"/>
      <c r="D563" s="1127" t="str">
        <f>IF(CONSOLIDA!DS127="","",CONSOLIDA!DS127)</f>
        <v/>
      </c>
      <c r="E563" s="1128"/>
      <c r="F563" s="1128"/>
      <c r="G563" s="1129" t="str">
        <f>IF(CONSOLIDA!DT127="","",CONSOLIDA!DT127)</f>
        <v/>
      </c>
      <c r="H563" s="1129"/>
      <c r="I563" s="1129"/>
      <c r="J563" s="1129"/>
      <c r="K563" s="1129"/>
      <c r="L563" s="1129"/>
      <c r="M563" s="1129"/>
      <c r="N563" s="1129"/>
      <c r="O563" s="1129"/>
      <c r="P563" s="1129"/>
      <c r="Q563" s="1129"/>
      <c r="R563" s="1129"/>
      <c r="S563" s="1129"/>
      <c r="T563" s="1129"/>
      <c r="U563" s="1129"/>
      <c r="V563" s="1129"/>
      <c r="W563" s="1129"/>
      <c r="X563" s="1129"/>
      <c r="Y563" s="1129"/>
      <c r="Z563" s="1129"/>
      <c r="AA563" s="1129"/>
      <c r="AB563" s="1129"/>
      <c r="AC563" s="1129"/>
      <c r="AD563" s="1129"/>
      <c r="AE563" s="1130"/>
      <c r="AF563" s="1131"/>
      <c r="AG563" s="1131"/>
      <c r="AH563" s="1131"/>
      <c r="AI563" s="1131"/>
      <c r="AJ563" s="1131"/>
      <c r="AK563" s="1131"/>
      <c r="AL563" s="1131"/>
      <c r="AM563" s="1131"/>
      <c r="AN563" s="1131"/>
      <c r="AO563" s="1131"/>
      <c r="AP563" s="1131"/>
      <c r="AQ563" s="1131"/>
      <c r="AR563" s="1131"/>
      <c r="AS563" s="1131"/>
      <c r="AT563" s="1131"/>
      <c r="AU563" s="1131"/>
      <c r="AV563" s="1131"/>
      <c r="AW563" s="1131"/>
      <c r="AX563" s="1131"/>
      <c r="AY563" s="1131"/>
      <c r="AZ563" s="1131"/>
      <c r="BA563" s="1131"/>
      <c r="BB563" s="1131"/>
      <c r="BC563" s="1131"/>
      <c r="BD563" s="1131"/>
      <c r="BE563" s="1131"/>
      <c r="BF563" s="1131"/>
      <c r="BG563" s="1131"/>
      <c r="BH563" s="1131"/>
      <c r="BI563" s="1131"/>
      <c r="BJ563" s="1131"/>
      <c r="BK563" s="1131"/>
      <c r="BL563" s="1131"/>
      <c r="BM563" s="1131"/>
      <c r="BN563" s="1131"/>
      <c r="BO563" s="1131"/>
      <c r="BP563" s="1131"/>
      <c r="BQ563" s="1131"/>
      <c r="BR563" s="1131"/>
      <c r="BS563" s="1131"/>
      <c r="BT563" s="1131"/>
      <c r="BU563" s="1131"/>
      <c r="BV563" s="1131"/>
      <c r="BW563" s="1131"/>
      <c r="BX563" s="1131"/>
      <c r="BY563" s="1131"/>
      <c r="BZ563" s="1131"/>
      <c r="CA563" s="1131"/>
      <c r="CB563" s="1131"/>
      <c r="CC563" s="1131"/>
      <c r="CD563" s="1131"/>
      <c r="CE563" s="1131"/>
      <c r="CF563" s="1131"/>
      <c r="CG563" s="1131"/>
      <c r="CH563" s="29"/>
      <c r="CI563" s="185"/>
      <c r="CJ563" s="17"/>
    </row>
    <row r="564" spans="1:88" s="3" customFormat="1" ht="12.75" hidden="1" customHeight="1">
      <c r="A564" s="243" t="str">
        <f t="shared" si="9"/>
        <v>OK</v>
      </c>
      <c r="B564" s="1126" t="str">
        <f>IF(CONSOLIDA!DQ128="","",CONSOLIDA!DQ128)</f>
        <v/>
      </c>
      <c r="C564" s="1126"/>
      <c r="D564" s="1127" t="str">
        <f>IF(CONSOLIDA!DS128="","",CONSOLIDA!DS128)</f>
        <v/>
      </c>
      <c r="E564" s="1128"/>
      <c r="F564" s="1128"/>
      <c r="G564" s="1129" t="str">
        <f>IF(CONSOLIDA!DT128="","",CONSOLIDA!DT128)</f>
        <v/>
      </c>
      <c r="H564" s="1129"/>
      <c r="I564" s="1129"/>
      <c r="J564" s="1129"/>
      <c r="K564" s="1129"/>
      <c r="L564" s="1129"/>
      <c r="M564" s="1129"/>
      <c r="N564" s="1129"/>
      <c r="O564" s="1129"/>
      <c r="P564" s="1129"/>
      <c r="Q564" s="1129"/>
      <c r="R564" s="1129"/>
      <c r="S564" s="1129"/>
      <c r="T564" s="1129"/>
      <c r="U564" s="1129"/>
      <c r="V564" s="1129"/>
      <c r="W564" s="1129"/>
      <c r="X564" s="1129"/>
      <c r="Y564" s="1129"/>
      <c r="Z564" s="1129"/>
      <c r="AA564" s="1129"/>
      <c r="AB564" s="1129"/>
      <c r="AC564" s="1129"/>
      <c r="AD564" s="1129"/>
      <c r="AE564" s="1130"/>
      <c r="AF564" s="1131"/>
      <c r="AG564" s="1131"/>
      <c r="AH564" s="1131"/>
      <c r="AI564" s="1131"/>
      <c r="AJ564" s="1131"/>
      <c r="AK564" s="1131"/>
      <c r="AL564" s="1131"/>
      <c r="AM564" s="1131"/>
      <c r="AN564" s="1131"/>
      <c r="AO564" s="1131"/>
      <c r="AP564" s="1131"/>
      <c r="AQ564" s="1131"/>
      <c r="AR564" s="1131"/>
      <c r="AS564" s="1131"/>
      <c r="AT564" s="1131"/>
      <c r="AU564" s="1131"/>
      <c r="AV564" s="1131"/>
      <c r="AW564" s="1131"/>
      <c r="AX564" s="1131"/>
      <c r="AY564" s="1131"/>
      <c r="AZ564" s="1131"/>
      <c r="BA564" s="1131"/>
      <c r="BB564" s="1131"/>
      <c r="BC564" s="1131"/>
      <c r="BD564" s="1131"/>
      <c r="BE564" s="1131"/>
      <c r="BF564" s="1131"/>
      <c r="BG564" s="1131"/>
      <c r="BH564" s="1131"/>
      <c r="BI564" s="1131"/>
      <c r="BJ564" s="1131"/>
      <c r="BK564" s="1131"/>
      <c r="BL564" s="1131"/>
      <c r="BM564" s="1131"/>
      <c r="BN564" s="1131"/>
      <c r="BO564" s="1131"/>
      <c r="BP564" s="1131"/>
      <c r="BQ564" s="1131"/>
      <c r="BR564" s="1131"/>
      <c r="BS564" s="1131"/>
      <c r="BT564" s="1131"/>
      <c r="BU564" s="1131"/>
      <c r="BV564" s="1131"/>
      <c r="BW564" s="1131"/>
      <c r="BX564" s="1131"/>
      <c r="BY564" s="1131"/>
      <c r="BZ564" s="1131"/>
      <c r="CA564" s="1131"/>
      <c r="CB564" s="1131"/>
      <c r="CC564" s="1131"/>
      <c r="CD564" s="1131"/>
      <c r="CE564" s="1131"/>
      <c r="CF564" s="1131"/>
      <c r="CG564" s="1131"/>
      <c r="CH564" s="29"/>
      <c r="CI564" s="185"/>
      <c r="CJ564" s="17"/>
    </row>
    <row r="565" spans="1:88" s="3" customFormat="1" ht="12.75" hidden="1" customHeight="1">
      <c r="A565" s="243" t="str">
        <f t="shared" si="9"/>
        <v>OK</v>
      </c>
      <c r="B565" s="1126" t="str">
        <f>IF(CONSOLIDA!DQ129="","",CONSOLIDA!DQ129)</f>
        <v/>
      </c>
      <c r="C565" s="1126"/>
      <c r="D565" s="1127" t="str">
        <f>IF(CONSOLIDA!DS129="","",CONSOLIDA!DS129)</f>
        <v/>
      </c>
      <c r="E565" s="1128"/>
      <c r="F565" s="1128"/>
      <c r="G565" s="1129" t="str">
        <f>IF(CONSOLIDA!DT129="","",CONSOLIDA!DT129)</f>
        <v/>
      </c>
      <c r="H565" s="1129"/>
      <c r="I565" s="1129"/>
      <c r="J565" s="1129"/>
      <c r="K565" s="1129"/>
      <c r="L565" s="1129"/>
      <c r="M565" s="1129"/>
      <c r="N565" s="1129"/>
      <c r="O565" s="1129"/>
      <c r="P565" s="1129"/>
      <c r="Q565" s="1129"/>
      <c r="R565" s="1129"/>
      <c r="S565" s="1129"/>
      <c r="T565" s="1129"/>
      <c r="U565" s="1129"/>
      <c r="V565" s="1129"/>
      <c r="W565" s="1129"/>
      <c r="X565" s="1129"/>
      <c r="Y565" s="1129"/>
      <c r="Z565" s="1129"/>
      <c r="AA565" s="1129"/>
      <c r="AB565" s="1129"/>
      <c r="AC565" s="1129"/>
      <c r="AD565" s="1129"/>
      <c r="AE565" s="1130"/>
      <c r="AF565" s="1131"/>
      <c r="AG565" s="1131"/>
      <c r="AH565" s="1131"/>
      <c r="AI565" s="1131"/>
      <c r="AJ565" s="1131"/>
      <c r="AK565" s="1131"/>
      <c r="AL565" s="1131"/>
      <c r="AM565" s="1131"/>
      <c r="AN565" s="1131"/>
      <c r="AO565" s="1131"/>
      <c r="AP565" s="1131"/>
      <c r="AQ565" s="1131"/>
      <c r="AR565" s="1131"/>
      <c r="AS565" s="1131"/>
      <c r="AT565" s="1131"/>
      <c r="AU565" s="1131"/>
      <c r="AV565" s="1131"/>
      <c r="AW565" s="1131"/>
      <c r="AX565" s="1131"/>
      <c r="AY565" s="1131"/>
      <c r="AZ565" s="1131"/>
      <c r="BA565" s="1131"/>
      <c r="BB565" s="1131"/>
      <c r="BC565" s="1131"/>
      <c r="BD565" s="1131"/>
      <c r="BE565" s="1131"/>
      <c r="BF565" s="1131"/>
      <c r="BG565" s="1131"/>
      <c r="BH565" s="1131"/>
      <c r="BI565" s="1131"/>
      <c r="BJ565" s="1131"/>
      <c r="BK565" s="1131"/>
      <c r="BL565" s="1131"/>
      <c r="BM565" s="1131"/>
      <c r="BN565" s="1131"/>
      <c r="BO565" s="1131"/>
      <c r="BP565" s="1131"/>
      <c r="BQ565" s="1131"/>
      <c r="BR565" s="1131"/>
      <c r="BS565" s="1131"/>
      <c r="BT565" s="1131"/>
      <c r="BU565" s="1131"/>
      <c r="BV565" s="1131"/>
      <c r="BW565" s="1131"/>
      <c r="BX565" s="1131"/>
      <c r="BY565" s="1131"/>
      <c r="BZ565" s="1131"/>
      <c r="CA565" s="1131"/>
      <c r="CB565" s="1131"/>
      <c r="CC565" s="1131"/>
      <c r="CD565" s="1131"/>
      <c r="CE565" s="1131"/>
      <c r="CF565" s="1131"/>
      <c r="CG565" s="1131"/>
      <c r="CH565" s="29"/>
      <c r="CI565" s="185"/>
      <c r="CJ565" s="17"/>
    </row>
    <row r="566" spans="1:88" s="3" customFormat="1" ht="12.75" hidden="1" customHeight="1">
      <c r="A566" s="243" t="str">
        <f t="shared" si="9"/>
        <v>OK</v>
      </c>
      <c r="B566" s="1126" t="str">
        <f>IF(CONSOLIDA!DQ130="","",CONSOLIDA!DQ130)</f>
        <v/>
      </c>
      <c r="C566" s="1126"/>
      <c r="D566" s="1127" t="str">
        <f>IF(CONSOLIDA!DS130="","",CONSOLIDA!DS130)</f>
        <v/>
      </c>
      <c r="E566" s="1128"/>
      <c r="F566" s="1128"/>
      <c r="G566" s="1129" t="str">
        <f>IF(CONSOLIDA!DT130="","",CONSOLIDA!DT130)</f>
        <v/>
      </c>
      <c r="H566" s="1129"/>
      <c r="I566" s="1129"/>
      <c r="J566" s="1129"/>
      <c r="K566" s="1129"/>
      <c r="L566" s="1129"/>
      <c r="M566" s="1129"/>
      <c r="N566" s="1129"/>
      <c r="O566" s="1129"/>
      <c r="P566" s="1129"/>
      <c r="Q566" s="1129"/>
      <c r="R566" s="1129"/>
      <c r="S566" s="1129"/>
      <c r="T566" s="1129"/>
      <c r="U566" s="1129"/>
      <c r="V566" s="1129"/>
      <c r="W566" s="1129"/>
      <c r="X566" s="1129"/>
      <c r="Y566" s="1129"/>
      <c r="Z566" s="1129"/>
      <c r="AA566" s="1129"/>
      <c r="AB566" s="1129"/>
      <c r="AC566" s="1129"/>
      <c r="AD566" s="1129"/>
      <c r="AE566" s="1130"/>
      <c r="AF566" s="1131"/>
      <c r="AG566" s="1131"/>
      <c r="AH566" s="1131"/>
      <c r="AI566" s="1131"/>
      <c r="AJ566" s="1131"/>
      <c r="AK566" s="1131"/>
      <c r="AL566" s="1131"/>
      <c r="AM566" s="1131"/>
      <c r="AN566" s="1131"/>
      <c r="AO566" s="1131"/>
      <c r="AP566" s="1131"/>
      <c r="AQ566" s="1131"/>
      <c r="AR566" s="1131"/>
      <c r="AS566" s="1131"/>
      <c r="AT566" s="1131"/>
      <c r="AU566" s="1131"/>
      <c r="AV566" s="1131"/>
      <c r="AW566" s="1131"/>
      <c r="AX566" s="1131"/>
      <c r="AY566" s="1131"/>
      <c r="AZ566" s="1131"/>
      <c r="BA566" s="1131"/>
      <c r="BB566" s="1131"/>
      <c r="BC566" s="1131"/>
      <c r="BD566" s="1131"/>
      <c r="BE566" s="1131"/>
      <c r="BF566" s="1131"/>
      <c r="BG566" s="1131"/>
      <c r="BH566" s="1131"/>
      <c r="BI566" s="1131"/>
      <c r="BJ566" s="1131"/>
      <c r="BK566" s="1131"/>
      <c r="BL566" s="1131"/>
      <c r="BM566" s="1131"/>
      <c r="BN566" s="1131"/>
      <c r="BO566" s="1131"/>
      <c r="BP566" s="1131"/>
      <c r="BQ566" s="1131"/>
      <c r="BR566" s="1131"/>
      <c r="BS566" s="1131"/>
      <c r="BT566" s="1131"/>
      <c r="BU566" s="1131"/>
      <c r="BV566" s="1131"/>
      <c r="BW566" s="1131"/>
      <c r="BX566" s="1131"/>
      <c r="BY566" s="1131"/>
      <c r="BZ566" s="1131"/>
      <c r="CA566" s="1131"/>
      <c r="CB566" s="1131"/>
      <c r="CC566" s="1131"/>
      <c r="CD566" s="1131"/>
      <c r="CE566" s="1131"/>
      <c r="CF566" s="1131"/>
      <c r="CG566" s="1131"/>
      <c r="CH566" s="29"/>
      <c r="CI566" s="185"/>
      <c r="CJ566" s="17"/>
    </row>
    <row r="567" spans="1:88" s="29" customFormat="1" hidden="1">
      <c r="A567" s="243" t="str">
        <f t="shared" si="9"/>
        <v>OK</v>
      </c>
      <c r="B567" s="1126" t="str">
        <f>IF(CONSOLIDA!DQ131="","",CONSOLIDA!DQ131)</f>
        <v/>
      </c>
      <c r="C567" s="1126"/>
      <c r="D567" s="1127" t="str">
        <f>IF(CONSOLIDA!DS131="","",CONSOLIDA!DS131)</f>
        <v/>
      </c>
      <c r="E567" s="1128"/>
      <c r="F567" s="1128"/>
      <c r="G567" s="1129" t="str">
        <f>IF(CONSOLIDA!DT131="","",CONSOLIDA!DT131)</f>
        <v/>
      </c>
      <c r="H567" s="1129"/>
      <c r="I567" s="1129"/>
      <c r="J567" s="1129"/>
      <c r="K567" s="1129"/>
      <c r="L567" s="1129"/>
      <c r="M567" s="1129"/>
      <c r="N567" s="1129"/>
      <c r="O567" s="1129"/>
      <c r="P567" s="1129"/>
      <c r="Q567" s="1129"/>
      <c r="R567" s="1129"/>
      <c r="S567" s="1129"/>
      <c r="T567" s="1129"/>
      <c r="U567" s="1129"/>
      <c r="V567" s="1129"/>
      <c r="W567" s="1129"/>
      <c r="X567" s="1129"/>
      <c r="Y567" s="1129"/>
      <c r="Z567" s="1129"/>
      <c r="AA567" s="1129"/>
      <c r="AB567" s="1129"/>
      <c r="AC567" s="1129"/>
      <c r="AD567" s="1129"/>
      <c r="AE567" s="1130"/>
      <c r="AF567" s="1131"/>
      <c r="AG567" s="1131"/>
      <c r="AH567" s="1131"/>
      <c r="AI567" s="1131"/>
      <c r="AJ567" s="1131"/>
      <c r="AK567" s="1131"/>
      <c r="AL567" s="1131"/>
      <c r="AM567" s="1131"/>
      <c r="AN567" s="1131"/>
      <c r="AO567" s="1131"/>
      <c r="AP567" s="1131"/>
      <c r="AQ567" s="1131"/>
      <c r="AR567" s="1131"/>
      <c r="AS567" s="1131"/>
      <c r="AT567" s="1131"/>
      <c r="AU567" s="1131"/>
      <c r="AV567" s="1131"/>
      <c r="AW567" s="1131"/>
      <c r="AX567" s="1131"/>
      <c r="AY567" s="1131"/>
      <c r="AZ567" s="1131"/>
      <c r="BA567" s="1131"/>
      <c r="BB567" s="1131"/>
      <c r="BC567" s="1131"/>
      <c r="BD567" s="1131"/>
      <c r="BE567" s="1131"/>
      <c r="BF567" s="1131"/>
      <c r="BG567" s="1131"/>
      <c r="BH567" s="1131"/>
      <c r="BI567" s="1131"/>
      <c r="BJ567" s="1131"/>
      <c r="BK567" s="1131"/>
      <c r="BL567" s="1131"/>
      <c r="BM567" s="1131"/>
      <c r="BN567" s="1131"/>
      <c r="BO567" s="1131"/>
      <c r="BP567" s="1131"/>
      <c r="BQ567" s="1131"/>
      <c r="BR567" s="1131"/>
      <c r="BS567" s="1131"/>
      <c r="BT567" s="1131"/>
      <c r="BU567" s="1131"/>
      <c r="BV567" s="1131"/>
      <c r="BW567" s="1131"/>
      <c r="BX567" s="1131"/>
      <c r="BY567" s="1131"/>
      <c r="BZ567" s="1131"/>
      <c r="CA567" s="1131"/>
      <c r="CB567" s="1131"/>
      <c r="CC567" s="1131"/>
      <c r="CD567" s="1131"/>
      <c r="CE567" s="1131"/>
      <c r="CF567" s="1131"/>
      <c r="CG567" s="1131"/>
      <c r="CI567" s="185"/>
      <c r="CJ567" s="17"/>
    </row>
    <row r="568" spans="1:88" s="29" customFormat="1" hidden="1">
      <c r="A568" s="243" t="str">
        <f t="shared" ref="A568:A631" si="10">IF(D568="","OK","")</f>
        <v>OK</v>
      </c>
      <c r="B568" s="1126" t="str">
        <f>IF(CONSOLIDA!DQ132="","",CONSOLIDA!DQ132)</f>
        <v/>
      </c>
      <c r="C568" s="1126"/>
      <c r="D568" s="1127" t="str">
        <f>IF(CONSOLIDA!DS132="","",CONSOLIDA!DS132)</f>
        <v/>
      </c>
      <c r="E568" s="1128"/>
      <c r="F568" s="1128"/>
      <c r="G568" s="1129" t="str">
        <f>IF(CONSOLIDA!DT132="","",CONSOLIDA!DT132)</f>
        <v/>
      </c>
      <c r="H568" s="1129"/>
      <c r="I568" s="1129"/>
      <c r="J568" s="1129"/>
      <c r="K568" s="1129"/>
      <c r="L568" s="1129"/>
      <c r="M568" s="1129"/>
      <c r="N568" s="1129"/>
      <c r="O568" s="1129"/>
      <c r="P568" s="1129"/>
      <c r="Q568" s="1129"/>
      <c r="R568" s="1129"/>
      <c r="S568" s="1129"/>
      <c r="T568" s="1129"/>
      <c r="U568" s="1129"/>
      <c r="V568" s="1129"/>
      <c r="W568" s="1129"/>
      <c r="X568" s="1129"/>
      <c r="Y568" s="1129"/>
      <c r="Z568" s="1129"/>
      <c r="AA568" s="1129"/>
      <c r="AB568" s="1129"/>
      <c r="AC568" s="1129"/>
      <c r="AD568" s="1129"/>
      <c r="AE568" s="1130"/>
      <c r="AF568" s="1131"/>
      <c r="AG568" s="1131"/>
      <c r="AH568" s="1131"/>
      <c r="AI568" s="1131"/>
      <c r="AJ568" s="1131"/>
      <c r="AK568" s="1131"/>
      <c r="AL568" s="1131"/>
      <c r="AM568" s="1131"/>
      <c r="AN568" s="1131"/>
      <c r="AO568" s="1131"/>
      <c r="AP568" s="1131"/>
      <c r="AQ568" s="1131"/>
      <c r="AR568" s="1131"/>
      <c r="AS568" s="1131"/>
      <c r="AT568" s="1131"/>
      <c r="AU568" s="1131"/>
      <c r="AV568" s="1131"/>
      <c r="AW568" s="1131"/>
      <c r="AX568" s="1131"/>
      <c r="AY568" s="1131"/>
      <c r="AZ568" s="1131"/>
      <c r="BA568" s="1131"/>
      <c r="BB568" s="1131"/>
      <c r="BC568" s="1131"/>
      <c r="BD568" s="1131"/>
      <c r="BE568" s="1131"/>
      <c r="BF568" s="1131"/>
      <c r="BG568" s="1131"/>
      <c r="BH568" s="1131"/>
      <c r="BI568" s="1131"/>
      <c r="BJ568" s="1131"/>
      <c r="BK568" s="1131"/>
      <c r="BL568" s="1131"/>
      <c r="BM568" s="1131"/>
      <c r="BN568" s="1131"/>
      <c r="BO568" s="1131"/>
      <c r="BP568" s="1131"/>
      <c r="BQ568" s="1131"/>
      <c r="BR568" s="1131"/>
      <c r="BS568" s="1131"/>
      <c r="BT568" s="1131"/>
      <c r="BU568" s="1131"/>
      <c r="BV568" s="1131"/>
      <c r="BW568" s="1131"/>
      <c r="BX568" s="1131"/>
      <c r="BY568" s="1131"/>
      <c r="BZ568" s="1131"/>
      <c r="CA568" s="1131"/>
      <c r="CB568" s="1131"/>
      <c r="CC568" s="1131"/>
      <c r="CD568" s="1131"/>
      <c r="CE568" s="1131"/>
      <c r="CF568" s="1131"/>
      <c r="CG568" s="1131"/>
      <c r="CI568" s="185"/>
      <c r="CJ568" s="17"/>
    </row>
    <row r="569" spans="1:88" s="29" customFormat="1" hidden="1">
      <c r="A569" s="243" t="str">
        <f t="shared" si="10"/>
        <v>OK</v>
      </c>
      <c r="B569" s="1126" t="str">
        <f>IF(CONSOLIDA!DQ133="","",CONSOLIDA!DQ133)</f>
        <v/>
      </c>
      <c r="C569" s="1126"/>
      <c r="D569" s="1127" t="str">
        <f>IF(CONSOLIDA!DS133="","",CONSOLIDA!DS133)</f>
        <v/>
      </c>
      <c r="E569" s="1128"/>
      <c r="F569" s="1128"/>
      <c r="G569" s="1129" t="str">
        <f>IF(CONSOLIDA!DT133="","",CONSOLIDA!DT133)</f>
        <v/>
      </c>
      <c r="H569" s="1129"/>
      <c r="I569" s="1129"/>
      <c r="J569" s="1129"/>
      <c r="K569" s="1129"/>
      <c r="L569" s="1129"/>
      <c r="M569" s="1129"/>
      <c r="N569" s="1129"/>
      <c r="O569" s="1129"/>
      <c r="P569" s="1129"/>
      <c r="Q569" s="1129"/>
      <c r="R569" s="1129"/>
      <c r="S569" s="1129"/>
      <c r="T569" s="1129"/>
      <c r="U569" s="1129"/>
      <c r="V569" s="1129"/>
      <c r="W569" s="1129"/>
      <c r="X569" s="1129"/>
      <c r="Y569" s="1129"/>
      <c r="Z569" s="1129"/>
      <c r="AA569" s="1129"/>
      <c r="AB569" s="1129"/>
      <c r="AC569" s="1129"/>
      <c r="AD569" s="1129"/>
      <c r="AE569" s="1130"/>
      <c r="AF569" s="1131"/>
      <c r="AG569" s="1131"/>
      <c r="AH569" s="1131"/>
      <c r="AI569" s="1131"/>
      <c r="AJ569" s="1131"/>
      <c r="AK569" s="1131"/>
      <c r="AL569" s="1131"/>
      <c r="AM569" s="1131"/>
      <c r="AN569" s="1131"/>
      <c r="AO569" s="1131"/>
      <c r="AP569" s="1131"/>
      <c r="AQ569" s="1131"/>
      <c r="AR569" s="1131"/>
      <c r="AS569" s="1131"/>
      <c r="AT569" s="1131"/>
      <c r="AU569" s="1131"/>
      <c r="AV569" s="1131"/>
      <c r="AW569" s="1131"/>
      <c r="AX569" s="1131"/>
      <c r="AY569" s="1131"/>
      <c r="AZ569" s="1131"/>
      <c r="BA569" s="1131"/>
      <c r="BB569" s="1131"/>
      <c r="BC569" s="1131"/>
      <c r="BD569" s="1131"/>
      <c r="BE569" s="1131"/>
      <c r="BF569" s="1131"/>
      <c r="BG569" s="1131"/>
      <c r="BH569" s="1131"/>
      <c r="BI569" s="1131"/>
      <c r="BJ569" s="1131"/>
      <c r="BK569" s="1131"/>
      <c r="BL569" s="1131"/>
      <c r="BM569" s="1131"/>
      <c r="BN569" s="1131"/>
      <c r="BO569" s="1131"/>
      <c r="BP569" s="1131"/>
      <c r="BQ569" s="1131"/>
      <c r="BR569" s="1131"/>
      <c r="BS569" s="1131"/>
      <c r="BT569" s="1131"/>
      <c r="BU569" s="1131"/>
      <c r="BV569" s="1131"/>
      <c r="BW569" s="1131"/>
      <c r="BX569" s="1131"/>
      <c r="BY569" s="1131"/>
      <c r="BZ569" s="1131"/>
      <c r="CA569" s="1131"/>
      <c r="CB569" s="1131"/>
      <c r="CC569" s="1131"/>
      <c r="CD569" s="1131"/>
      <c r="CE569" s="1131"/>
      <c r="CF569" s="1131"/>
      <c r="CG569" s="1131"/>
      <c r="CI569" s="185"/>
      <c r="CJ569" s="17"/>
    </row>
    <row r="570" spans="1:88" s="29" customFormat="1" hidden="1">
      <c r="A570" s="243" t="str">
        <f t="shared" si="10"/>
        <v>OK</v>
      </c>
      <c r="B570" s="1126" t="str">
        <f>IF(CONSOLIDA!DQ134="","",CONSOLIDA!DQ134)</f>
        <v/>
      </c>
      <c r="C570" s="1126"/>
      <c r="D570" s="1127" t="str">
        <f>IF(CONSOLIDA!DS134="","",CONSOLIDA!DS134)</f>
        <v/>
      </c>
      <c r="E570" s="1128"/>
      <c r="F570" s="1128"/>
      <c r="G570" s="1129" t="str">
        <f>IF(CONSOLIDA!DT134="","",CONSOLIDA!DT134)</f>
        <v/>
      </c>
      <c r="H570" s="1129"/>
      <c r="I570" s="1129"/>
      <c r="J570" s="1129"/>
      <c r="K570" s="1129"/>
      <c r="L570" s="1129"/>
      <c r="M570" s="1129"/>
      <c r="N570" s="1129"/>
      <c r="O570" s="1129"/>
      <c r="P570" s="1129"/>
      <c r="Q570" s="1129"/>
      <c r="R570" s="1129"/>
      <c r="S570" s="1129"/>
      <c r="T570" s="1129"/>
      <c r="U570" s="1129"/>
      <c r="V570" s="1129"/>
      <c r="W570" s="1129"/>
      <c r="X570" s="1129"/>
      <c r="Y570" s="1129"/>
      <c r="Z570" s="1129"/>
      <c r="AA570" s="1129"/>
      <c r="AB570" s="1129"/>
      <c r="AC570" s="1129"/>
      <c r="AD570" s="1129"/>
      <c r="AE570" s="1130"/>
      <c r="AF570" s="1131"/>
      <c r="AG570" s="1131"/>
      <c r="AH570" s="1131"/>
      <c r="AI570" s="1131"/>
      <c r="AJ570" s="1131"/>
      <c r="AK570" s="1131"/>
      <c r="AL570" s="1131"/>
      <c r="AM570" s="1131"/>
      <c r="AN570" s="1131"/>
      <c r="AO570" s="1131"/>
      <c r="AP570" s="1131"/>
      <c r="AQ570" s="1131"/>
      <c r="AR570" s="1131"/>
      <c r="AS570" s="1131"/>
      <c r="AT570" s="1131"/>
      <c r="AU570" s="1131"/>
      <c r="AV570" s="1131"/>
      <c r="AW570" s="1131"/>
      <c r="AX570" s="1131"/>
      <c r="AY570" s="1131"/>
      <c r="AZ570" s="1131"/>
      <c r="BA570" s="1131"/>
      <c r="BB570" s="1131"/>
      <c r="BC570" s="1131"/>
      <c r="BD570" s="1131"/>
      <c r="BE570" s="1131"/>
      <c r="BF570" s="1131"/>
      <c r="BG570" s="1131"/>
      <c r="BH570" s="1131"/>
      <c r="BI570" s="1131"/>
      <c r="BJ570" s="1131"/>
      <c r="BK570" s="1131"/>
      <c r="BL570" s="1131"/>
      <c r="BM570" s="1131"/>
      <c r="BN570" s="1131"/>
      <c r="BO570" s="1131"/>
      <c r="BP570" s="1131"/>
      <c r="BQ570" s="1131"/>
      <c r="BR570" s="1131"/>
      <c r="BS570" s="1131"/>
      <c r="BT570" s="1131"/>
      <c r="BU570" s="1131"/>
      <c r="BV570" s="1131"/>
      <c r="BW570" s="1131"/>
      <c r="BX570" s="1131"/>
      <c r="BY570" s="1131"/>
      <c r="BZ570" s="1131"/>
      <c r="CA570" s="1131"/>
      <c r="CB570" s="1131"/>
      <c r="CC570" s="1131"/>
      <c r="CD570" s="1131"/>
      <c r="CE570" s="1131"/>
      <c r="CF570" s="1131"/>
      <c r="CG570" s="1131"/>
      <c r="CI570" s="185"/>
      <c r="CJ570" s="17"/>
    </row>
    <row r="571" spans="1:88" s="29" customFormat="1" hidden="1">
      <c r="A571" s="243" t="str">
        <f t="shared" si="10"/>
        <v>OK</v>
      </c>
      <c r="B571" s="1126" t="str">
        <f>IF(CONSOLIDA!DQ135="","",CONSOLIDA!DQ135)</f>
        <v/>
      </c>
      <c r="C571" s="1126"/>
      <c r="D571" s="1127" t="str">
        <f>IF(CONSOLIDA!DS135="","",CONSOLIDA!DS135)</f>
        <v/>
      </c>
      <c r="E571" s="1128"/>
      <c r="F571" s="1128"/>
      <c r="G571" s="1129" t="str">
        <f>IF(CONSOLIDA!DT135="","",CONSOLIDA!DT135)</f>
        <v/>
      </c>
      <c r="H571" s="1129"/>
      <c r="I571" s="1129"/>
      <c r="J571" s="1129"/>
      <c r="K571" s="1129"/>
      <c r="L571" s="1129"/>
      <c r="M571" s="1129"/>
      <c r="N571" s="1129"/>
      <c r="O571" s="1129"/>
      <c r="P571" s="1129"/>
      <c r="Q571" s="1129"/>
      <c r="R571" s="1129"/>
      <c r="S571" s="1129"/>
      <c r="T571" s="1129"/>
      <c r="U571" s="1129"/>
      <c r="V571" s="1129"/>
      <c r="W571" s="1129"/>
      <c r="X571" s="1129"/>
      <c r="Y571" s="1129"/>
      <c r="Z571" s="1129"/>
      <c r="AA571" s="1129"/>
      <c r="AB571" s="1129"/>
      <c r="AC571" s="1129"/>
      <c r="AD571" s="1129"/>
      <c r="AE571" s="1130"/>
      <c r="AF571" s="1131"/>
      <c r="AG571" s="1131"/>
      <c r="AH571" s="1131"/>
      <c r="AI571" s="1131"/>
      <c r="AJ571" s="1131"/>
      <c r="AK571" s="1131"/>
      <c r="AL571" s="1131"/>
      <c r="AM571" s="1131"/>
      <c r="AN571" s="1131"/>
      <c r="AO571" s="1131"/>
      <c r="AP571" s="1131"/>
      <c r="AQ571" s="1131"/>
      <c r="AR571" s="1131"/>
      <c r="AS571" s="1131"/>
      <c r="AT571" s="1131"/>
      <c r="AU571" s="1131"/>
      <c r="AV571" s="1131"/>
      <c r="AW571" s="1131"/>
      <c r="AX571" s="1131"/>
      <c r="AY571" s="1131"/>
      <c r="AZ571" s="1131"/>
      <c r="BA571" s="1131"/>
      <c r="BB571" s="1131"/>
      <c r="BC571" s="1131"/>
      <c r="BD571" s="1131"/>
      <c r="BE571" s="1131"/>
      <c r="BF571" s="1131"/>
      <c r="BG571" s="1131"/>
      <c r="BH571" s="1131"/>
      <c r="BI571" s="1131"/>
      <c r="BJ571" s="1131"/>
      <c r="BK571" s="1131"/>
      <c r="BL571" s="1131"/>
      <c r="BM571" s="1131"/>
      <c r="BN571" s="1131"/>
      <c r="BO571" s="1131"/>
      <c r="BP571" s="1131"/>
      <c r="BQ571" s="1131"/>
      <c r="BR571" s="1131"/>
      <c r="BS571" s="1131"/>
      <c r="BT571" s="1131"/>
      <c r="BU571" s="1131"/>
      <c r="BV571" s="1131"/>
      <c r="BW571" s="1131"/>
      <c r="BX571" s="1131"/>
      <c r="BY571" s="1131"/>
      <c r="BZ571" s="1131"/>
      <c r="CA571" s="1131"/>
      <c r="CB571" s="1131"/>
      <c r="CC571" s="1131"/>
      <c r="CD571" s="1131"/>
      <c r="CE571" s="1131"/>
      <c r="CF571" s="1131"/>
      <c r="CG571" s="1131"/>
      <c r="CI571" s="185"/>
      <c r="CJ571" s="17"/>
    </row>
    <row r="572" spans="1:88" s="29" customFormat="1" hidden="1">
      <c r="A572" s="243" t="str">
        <f t="shared" si="10"/>
        <v>OK</v>
      </c>
      <c r="B572" s="1126" t="str">
        <f>IF(CONSOLIDA!DQ136="","",CONSOLIDA!DQ136)</f>
        <v/>
      </c>
      <c r="C572" s="1126"/>
      <c r="D572" s="1127" t="str">
        <f>IF(CONSOLIDA!DS136="","",CONSOLIDA!DS136)</f>
        <v/>
      </c>
      <c r="E572" s="1128"/>
      <c r="F572" s="1128"/>
      <c r="G572" s="1129" t="str">
        <f>IF(CONSOLIDA!DT136="","",CONSOLIDA!DT136)</f>
        <v/>
      </c>
      <c r="H572" s="1129"/>
      <c r="I572" s="1129"/>
      <c r="J572" s="1129"/>
      <c r="K572" s="1129"/>
      <c r="L572" s="1129"/>
      <c r="M572" s="1129"/>
      <c r="N572" s="1129"/>
      <c r="O572" s="1129"/>
      <c r="P572" s="1129"/>
      <c r="Q572" s="1129"/>
      <c r="R572" s="1129"/>
      <c r="S572" s="1129"/>
      <c r="T572" s="1129"/>
      <c r="U572" s="1129"/>
      <c r="V572" s="1129"/>
      <c r="W572" s="1129"/>
      <c r="X572" s="1129"/>
      <c r="Y572" s="1129"/>
      <c r="Z572" s="1129"/>
      <c r="AA572" s="1129"/>
      <c r="AB572" s="1129"/>
      <c r="AC572" s="1129"/>
      <c r="AD572" s="1129"/>
      <c r="AE572" s="1130"/>
      <c r="AF572" s="1131"/>
      <c r="AG572" s="1131"/>
      <c r="AH572" s="1131"/>
      <c r="AI572" s="1131"/>
      <c r="AJ572" s="1131"/>
      <c r="AK572" s="1131"/>
      <c r="AL572" s="1131"/>
      <c r="AM572" s="1131"/>
      <c r="AN572" s="1131"/>
      <c r="AO572" s="1131"/>
      <c r="AP572" s="1131"/>
      <c r="AQ572" s="1131"/>
      <c r="AR572" s="1131"/>
      <c r="AS572" s="1131"/>
      <c r="AT572" s="1131"/>
      <c r="AU572" s="1131"/>
      <c r="AV572" s="1131"/>
      <c r="AW572" s="1131"/>
      <c r="AX572" s="1131"/>
      <c r="AY572" s="1131"/>
      <c r="AZ572" s="1131"/>
      <c r="BA572" s="1131"/>
      <c r="BB572" s="1131"/>
      <c r="BC572" s="1131"/>
      <c r="BD572" s="1131"/>
      <c r="BE572" s="1131"/>
      <c r="BF572" s="1131"/>
      <c r="BG572" s="1131"/>
      <c r="BH572" s="1131"/>
      <c r="BI572" s="1131"/>
      <c r="BJ572" s="1131"/>
      <c r="BK572" s="1131"/>
      <c r="BL572" s="1131"/>
      <c r="BM572" s="1131"/>
      <c r="BN572" s="1131"/>
      <c r="BO572" s="1131"/>
      <c r="BP572" s="1131"/>
      <c r="BQ572" s="1131"/>
      <c r="BR572" s="1131"/>
      <c r="BS572" s="1131"/>
      <c r="BT572" s="1131"/>
      <c r="BU572" s="1131"/>
      <c r="BV572" s="1131"/>
      <c r="BW572" s="1131"/>
      <c r="BX572" s="1131"/>
      <c r="BY572" s="1131"/>
      <c r="BZ572" s="1131"/>
      <c r="CA572" s="1131"/>
      <c r="CB572" s="1131"/>
      <c r="CC572" s="1131"/>
      <c r="CD572" s="1131"/>
      <c r="CE572" s="1131"/>
      <c r="CF572" s="1131"/>
      <c r="CG572" s="1131"/>
      <c r="CI572" s="185"/>
      <c r="CJ572" s="17"/>
    </row>
    <row r="573" spans="1:88" s="29" customFormat="1" hidden="1">
      <c r="A573" s="243" t="str">
        <f t="shared" si="10"/>
        <v>OK</v>
      </c>
      <c r="B573" s="1126" t="str">
        <f>IF(CONSOLIDA!DQ137="","",CONSOLIDA!DQ137)</f>
        <v/>
      </c>
      <c r="C573" s="1126"/>
      <c r="D573" s="1127" t="str">
        <f>IF(CONSOLIDA!DS137="","",CONSOLIDA!DS137)</f>
        <v/>
      </c>
      <c r="E573" s="1128"/>
      <c r="F573" s="1128"/>
      <c r="G573" s="1129" t="str">
        <f>IF(CONSOLIDA!DT137="","",CONSOLIDA!DT137)</f>
        <v/>
      </c>
      <c r="H573" s="1129"/>
      <c r="I573" s="1129"/>
      <c r="J573" s="1129"/>
      <c r="K573" s="1129"/>
      <c r="L573" s="1129"/>
      <c r="M573" s="1129"/>
      <c r="N573" s="1129"/>
      <c r="O573" s="1129"/>
      <c r="P573" s="1129"/>
      <c r="Q573" s="1129"/>
      <c r="R573" s="1129"/>
      <c r="S573" s="1129"/>
      <c r="T573" s="1129"/>
      <c r="U573" s="1129"/>
      <c r="V573" s="1129"/>
      <c r="W573" s="1129"/>
      <c r="X573" s="1129"/>
      <c r="Y573" s="1129"/>
      <c r="Z573" s="1129"/>
      <c r="AA573" s="1129"/>
      <c r="AB573" s="1129"/>
      <c r="AC573" s="1129"/>
      <c r="AD573" s="1129"/>
      <c r="AE573" s="1130"/>
      <c r="AF573" s="1131"/>
      <c r="AG573" s="1131"/>
      <c r="AH573" s="1131"/>
      <c r="AI573" s="1131"/>
      <c r="AJ573" s="1131"/>
      <c r="AK573" s="1131"/>
      <c r="AL573" s="1131"/>
      <c r="AM573" s="1131"/>
      <c r="AN573" s="1131"/>
      <c r="AO573" s="1131"/>
      <c r="AP573" s="1131"/>
      <c r="AQ573" s="1131"/>
      <c r="AR573" s="1131"/>
      <c r="AS573" s="1131"/>
      <c r="AT573" s="1131"/>
      <c r="AU573" s="1131"/>
      <c r="AV573" s="1131"/>
      <c r="AW573" s="1131"/>
      <c r="AX573" s="1131"/>
      <c r="AY573" s="1131"/>
      <c r="AZ573" s="1131"/>
      <c r="BA573" s="1131"/>
      <c r="BB573" s="1131"/>
      <c r="BC573" s="1131"/>
      <c r="BD573" s="1131"/>
      <c r="BE573" s="1131"/>
      <c r="BF573" s="1131"/>
      <c r="BG573" s="1131"/>
      <c r="BH573" s="1131"/>
      <c r="BI573" s="1131"/>
      <c r="BJ573" s="1131"/>
      <c r="BK573" s="1131"/>
      <c r="BL573" s="1131"/>
      <c r="BM573" s="1131"/>
      <c r="BN573" s="1131"/>
      <c r="BO573" s="1131"/>
      <c r="BP573" s="1131"/>
      <c r="BQ573" s="1131"/>
      <c r="BR573" s="1131"/>
      <c r="BS573" s="1131"/>
      <c r="BT573" s="1131"/>
      <c r="BU573" s="1131"/>
      <c r="BV573" s="1131"/>
      <c r="BW573" s="1131"/>
      <c r="BX573" s="1131"/>
      <c r="BY573" s="1131"/>
      <c r="BZ573" s="1131"/>
      <c r="CA573" s="1131"/>
      <c r="CB573" s="1131"/>
      <c r="CC573" s="1131"/>
      <c r="CD573" s="1131"/>
      <c r="CE573" s="1131"/>
      <c r="CF573" s="1131"/>
      <c r="CG573" s="1131"/>
      <c r="CI573" s="185"/>
      <c r="CJ573" s="17"/>
    </row>
    <row r="574" spans="1:88" s="29" customFormat="1" hidden="1">
      <c r="A574" s="243" t="str">
        <f t="shared" si="10"/>
        <v>OK</v>
      </c>
      <c r="B574" s="1126" t="str">
        <f>IF(CONSOLIDA!DQ138="","",CONSOLIDA!DQ138)</f>
        <v/>
      </c>
      <c r="C574" s="1126"/>
      <c r="D574" s="1127" t="str">
        <f>IF(CONSOLIDA!DS138="","",CONSOLIDA!DS138)</f>
        <v/>
      </c>
      <c r="E574" s="1128"/>
      <c r="F574" s="1128"/>
      <c r="G574" s="1129" t="str">
        <f>IF(CONSOLIDA!DT138="","",CONSOLIDA!DT138)</f>
        <v/>
      </c>
      <c r="H574" s="1129"/>
      <c r="I574" s="1129"/>
      <c r="J574" s="1129"/>
      <c r="K574" s="1129"/>
      <c r="L574" s="1129"/>
      <c r="M574" s="1129"/>
      <c r="N574" s="1129"/>
      <c r="O574" s="1129"/>
      <c r="P574" s="1129"/>
      <c r="Q574" s="1129"/>
      <c r="R574" s="1129"/>
      <c r="S574" s="1129"/>
      <c r="T574" s="1129"/>
      <c r="U574" s="1129"/>
      <c r="V574" s="1129"/>
      <c r="W574" s="1129"/>
      <c r="X574" s="1129"/>
      <c r="Y574" s="1129"/>
      <c r="Z574" s="1129"/>
      <c r="AA574" s="1129"/>
      <c r="AB574" s="1129"/>
      <c r="AC574" s="1129"/>
      <c r="AD574" s="1129"/>
      <c r="AE574" s="1130"/>
      <c r="AF574" s="1131"/>
      <c r="AG574" s="1131"/>
      <c r="AH574" s="1131"/>
      <c r="AI574" s="1131"/>
      <c r="AJ574" s="1131"/>
      <c r="AK574" s="1131"/>
      <c r="AL574" s="1131"/>
      <c r="AM574" s="1131"/>
      <c r="AN574" s="1131"/>
      <c r="AO574" s="1131"/>
      <c r="AP574" s="1131"/>
      <c r="AQ574" s="1131"/>
      <c r="AR574" s="1131"/>
      <c r="AS574" s="1131"/>
      <c r="AT574" s="1131"/>
      <c r="AU574" s="1131"/>
      <c r="AV574" s="1131"/>
      <c r="AW574" s="1131"/>
      <c r="AX574" s="1131"/>
      <c r="AY574" s="1131"/>
      <c r="AZ574" s="1131"/>
      <c r="BA574" s="1131"/>
      <c r="BB574" s="1131"/>
      <c r="BC574" s="1131"/>
      <c r="BD574" s="1131"/>
      <c r="BE574" s="1131"/>
      <c r="BF574" s="1131"/>
      <c r="BG574" s="1131"/>
      <c r="BH574" s="1131"/>
      <c r="BI574" s="1131"/>
      <c r="BJ574" s="1131"/>
      <c r="BK574" s="1131"/>
      <c r="BL574" s="1131"/>
      <c r="BM574" s="1131"/>
      <c r="BN574" s="1131"/>
      <c r="BO574" s="1131"/>
      <c r="BP574" s="1131"/>
      <c r="BQ574" s="1131"/>
      <c r="BR574" s="1131"/>
      <c r="BS574" s="1131"/>
      <c r="BT574" s="1131"/>
      <c r="BU574" s="1131"/>
      <c r="BV574" s="1131"/>
      <c r="BW574" s="1131"/>
      <c r="BX574" s="1131"/>
      <c r="BY574" s="1131"/>
      <c r="BZ574" s="1131"/>
      <c r="CA574" s="1131"/>
      <c r="CB574" s="1131"/>
      <c r="CC574" s="1131"/>
      <c r="CD574" s="1131"/>
      <c r="CE574" s="1131"/>
      <c r="CF574" s="1131"/>
      <c r="CG574" s="1131"/>
      <c r="CI574" s="185"/>
      <c r="CJ574" s="17"/>
    </row>
    <row r="575" spans="1:88" s="3" customFormat="1" hidden="1">
      <c r="A575" s="243" t="str">
        <f t="shared" si="10"/>
        <v>OK</v>
      </c>
      <c r="B575" s="1126" t="str">
        <f>IF(CONSOLIDA!DQ139="","",CONSOLIDA!DQ139)</f>
        <v/>
      </c>
      <c r="C575" s="1126"/>
      <c r="D575" s="1127" t="str">
        <f>IF(CONSOLIDA!DS139="","",CONSOLIDA!DS139)</f>
        <v/>
      </c>
      <c r="E575" s="1128"/>
      <c r="F575" s="1128"/>
      <c r="G575" s="1129" t="str">
        <f>IF(CONSOLIDA!DT139="","",CONSOLIDA!DT139)</f>
        <v/>
      </c>
      <c r="H575" s="1129"/>
      <c r="I575" s="1129"/>
      <c r="J575" s="1129"/>
      <c r="K575" s="1129"/>
      <c r="L575" s="1129"/>
      <c r="M575" s="1129"/>
      <c r="N575" s="1129"/>
      <c r="O575" s="1129"/>
      <c r="P575" s="1129"/>
      <c r="Q575" s="1129"/>
      <c r="R575" s="1129"/>
      <c r="S575" s="1129"/>
      <c r="T575" s="1129"/>
      <c r="U575" s="1129"/>
      <c r="V575" s="1129"/>
      <c r="W575" s="1129"/>
      <c r="X575" s="1129"/>
      <c r="Y575" s="1129"/>
      <c r="Z575" s="1129"/>
      <c r="AA575" s="1129"/>
      <c r="AB575" s="1129"/>
      <c r="AC575" s="1129"/>
      <c r="AD575" s="1129"/>
      <c r="AE575" s="1130"/>
      <c r="AF575" s="1131"/>
      <c r="AG575" s="1131"/>
      <c r="AH575" s="1131"/>
      <c r="AI575" s="1131"/>
      <c r="AJ575" s="1131"/>
      <c r="AK575" s="1131"/>
      <c r="AL575" s="1131"/>
      <c r="AM575" s="1131"/>
      <c r="AN575" s="1131"/>
      <c r="AO575" s="1131"/>
      <c r="AP575" s="1131"/>
      <c r="AQ575" s="1131"/>
      <c r="AR575" s="1131"/>
      <c r="AS575" s="1131"/>
      <c r="AT575" s="1131"/>
      <c r="AU575" s="1131"/>
      <c r="AV575" s="1131"/>
      <c r="AW575" s="1131"/>
      <c r="AX575" s="1131"/>
      <c r="AY575" s="1131"/>
      <c r="AZ575" s="1131"/>
      <c r="BA575" s="1131"/>
      <c r="BB575" s="1131"/>
      <c r="BC575" s="1131"/>
      <c r="BD575" s="1131"/>
      <c r="BE575" s="1131"/>
      <c r="BF575" s="1131"/>
      <c r="BG575" s="1131"/>
      <c r="BH575" s="1131"/>
      <c r="BI575" s="1131"/>
      <c r="BJ575" s="1131"/>
      <c r="BK575" s="1131"/>
      <c r="BL575" s="1131"/>
      <c r="BM575" s="1131"/>
      <c r="BN575" s="1131"/>
      <c r="BO575" s="1131"/>
      <c r="BP575" s="1131"/>
      <c r="BQ575" s="1131"/>
      <c r="BR575" s="1131"/>
      <c r="BS575" s="1131"/>
      <c r="BT575" s="1131"/>
      <c r="BU575" s="1131"/>
      <c r="BV575" s="1131"/>
      <c r="BW575" s="1131"/>
      <c r="BX575" s="1131"/>
      <c r="BY575" s="1131"/>
      <c r="BZ575" s="1131"/>
      <c r="CA575" s="1131"/>
      <c r="CB575" s="1131"/>
      <c r="CC575" s="1131"/>
      <c r="CD575" s="1131"/>
      <c r="CE575" s="1131"/>
      <c r="CF575" s="1131"/>
      <c r="CG575" s="1131"/>
      <c r="CH575" s="29"/>
      <c r="CI575" s="185"/>
      <c r="CJ575" s="17"/>
    </row>
    <row r="576" spans="1:88" s="3" customFormat="1" hidden="1">
      <c r="A576" s="243" t="str">
        <f t="shared" si="10"/>
        <v>OK</v>
      </c>
      <c r="B576" s="1126" t="str">
        <f>IF(CONSOLIDA!DQ140="","",CONSOLIDA!DQ140)</f>
        <v/>
      </c>
      <c r="C576" s="1126"/>
      <c r="D576" s="1127" t="str">
        <f>IF(CONSOLIDA!DS140="","",CONSOLIDA!DS140)</f>
        <v/>
      </c>
      <c r="E576" s="1128"/>
      <c r="F576" s="1128"/>
      <c r="G576" s="1129" t="str">
        <f>IF(CONSOLIDA!DT140="","",CONSOLIDA!DT140)</f>
        <v/>
      </c>
      <c r="H576" s="1129"/>
      <c r="I576" s="1129"/>
      <c r="J576" s="1129"/>
      <c r="K576" s="1129"/>
      <c r="L576" s="1129"/>
      <c r="M576" s="1129"/>
      <c r="N576" s="1129"/>
      <c r="O576" s="1129"/>
      <c r="P576" s="1129"/>
      <c r="Q576" s="1129"/>
      <c r="R576" s="1129"/>
      <c r="S576" s="1129"/>
      <c r="T576" s="1129"/>
      <c r="U576" s="1129"/>
      <c r="V576" s="1129"/>
      <c r="W576" s="1129"/>
      <c r="X576" s="1129"/>
      <c r="Y576" s="1129"/>
      <c r="Z576" s="1129"/>
      <c r="AA576" s="1129"/>
      <c r="AB576" s="1129"/>
      <c r="AC576" s="1129"/>
      <c r="AD576" s="1129"/>
      <c r="AE576" s="1130"/>
      <c r="AF576" s="1131"/>
      <c r="AG576" s="1131"/>
      <c r="AH576" s="1131"/>
      <c r="AI576" s="1131"/>
      <c r="AJ576" s="1131"/>
      <c r="AK576" s="1131"/>
      <c r="AL576" s="1131"/>
      <c r="AM576" s="1131"/>
      <c r="AN576" s="1131"/>
      <c r="AO576" s="1131"/>
      <c r="AP576" s="1131"/>
      <c r="AQ576" s="1131"/>
      <c r="AR576" s="1131"/>
      <c r="AS576" s="1131"/>
      <c r="AT576" s="1131"/>
      <c r="AU576" s="1131"/>
      <c r="AV576" s="1131"/>
      <c r="AW576" s="1131"/>
      <c r="AX576" s="1131"/>
      <c r="AY576" s="1131"/>
      <c r="AZ576" s="1131"/>
      <c r="BA576" s="1131"/>
      <c r="BB576" s="1131"/>
      <c r="BC576" s="1131"/>
      <c r="BD576" s="1131"/>
      <c r="BE576" s="1131"/>
      <c r="BF576" s="1131"/>
      <c r="BG576" s="1131"/>
      <c r="BH576" s="1131"/>
      <c r="BI576" s="1131"/>
      <c r="BJ576" s="1131"/>
      <c r="BK576" s="1131"/>
      <c r="BL576" s="1131"/>
      <c r="BM576" s="1131"/>
      <c r="BN576" s="1131"/>
      <c r="BO576" s="1131"/>
      <c r="BP576" s="1131"/>
      <c r="BQ576" s="1131"/>
      <c r="BR576" s="1131"/>
      <c r="BS576" s="1131"/>
      <c r="BT576" s="1131"/>
      <c r="BU576" s="1131"/>
      <c r="BV576" s="1131"/>
      <c r="BW576" s="1131"/>
      <c r="BX576" s="1131"/>
      <c r="BY576" s="1131"/>
      <c r="BZ576" s="1131"/>
      <c r="CA576" s="1131"/>
      <c r="CB576" s="1131"/>
      <c r="CC576" s="1131"/>
      <c r="CD576" s="1131"/>
      <c r="CE576" s="1131"/>
      <c r="CF576" s="1131"/>
      <c r="CG576" s="1131"/>
      <c r="CH576" s="29"/>
      <c r="CI576" s="185"/>
      <c r="CJ576" s="17"/>
    </row>
    <row r="577" spans="1:88" s="3" customFormat="1" hidden="1">
      <c r="A577" s="243" t="str">
        <f t="shared" si="10"/>
        <v>OK</v>
      </c>
      <c r="B577" s="1126" t="str">
        <f>IF(CONSOLIDA!DQ141="","",CONSOLIDA!DQ141)</f>
        <v/>
      </c>
      <c r="C577" s="1126"/>
      <c r="D577" s="1127" t="str">
        <f>IF(CONSOLIDA!DS141="","",CONSOLIDA!DS141)</f>
        <v/>
      </c>
      <c r="E577" s="1128"/>
      <c r="F577" s="1128"/>
      <c r="G577" s="1129" t="str">
        <f>IF(CONSOLIDA!DT141="","",CONSOLIDA!DT141)</f>
        <v/>
      </c>
      <c r="H577" s="1129"/>
      <c r="I577" s="1129"/>
      <c r="J577" s="1129"/>
      <c r="K577" s="1129"/>
      <c r="L577" s="1129"/>
      <c r="M577" s="1129"/>
      <c r="N577" s="1129"/>
      <c r="O577" s="1129"/>
      <c r="P577" s="1129"/>
      <c r="Q577" s="1129"/>
      <c r="R577" s="1129"/>
      <c r="S577" s="1129"/>
      <c r="T577" s="1129"/>
      <c r="U577" s="1129"/>
      <c r="V577" s="1129"/>
      <c r="W577" s="1129"/>
      <c r="X577" s="1129"/>
      <c r="Y577" s="1129"/>
      <c r="Z577" s="1129"/>
      <c r="AA577" s="1129"/>
      <c r="AB577" s="1129"/>
      <c r="AC577" s="1129"/>
      <c r="AD577" s="1129"/>
      <c r="AE577" s="1130"/>
      <c r="AF577" s="1131"/>
      <c r="AG577" s="1131"/>
      <c r="AH577" s="1131"/>
      <c r="AI577" s="1131"/>
      <c r="AJ577" s="1131"/>
      <c r="AK577" s="1131"/>
      <c r="AL577" s="1131"/>
      <c r="AM577" s="1131"/>
      <c r="AN577" s="1131"/>
      <c r="AO577" s="1131"/>
      <c r="AP577" s="1131"/>
      <c r="AQ577" s="1131"/>
      <c r="AR577" s="1131"/>
      <c r="AS577" s="1131"/>
      <c r="AT577" s="1131"/>
      <c r="AU577" s="1131"/>
      <c r="AV577" s="1131"/>
      <c r="AW577" s="1131"/>
      <c r="AX577" s="1131"/>
      <c r="AY577" s="1131"/>
      <c r="AZ577" s="1131"/>
      <c r="BA577" s="1131"/>
      <c r="BB577" s="1131"/>
      <c r="BC577" s="1131"/>
      <c r="BD577" s="1131"/>
      <c r="BE577" s="1131"/>
      <c r="BF577" s="1131"/>
      <c r="BG577" s="1131"/>
      <c r="BH577" s="1131"/>
      <c r="BI577" s="1131"/>
      <c r="BJ577" s="1131"/>
      <c r="BK577" s="1131"/>
      <c r="BL577" s="1131"/>
      <c r="BM577" s="1131"/>
      <c r="BN577" s="1131"/>
      <c r="BO577" s="1131"/>
      <c r="BP577" s="1131"/>
      <c r="BQ577" s="1131"/>
      <c r="BR577" s="1131"/>
      <c r="BS577" s="1131"/>
      <c r="BT577" s="1131"/>
      <c r="BU577" s="1131"/>
      <c r="BV577" s="1131"/>
      <c r="BW577" s="1131"/>
      <c r="BX577" s="1131"/>
      <c r="BY577" s="1131"/>
      <c r="BZ577" s="1131"/>
      <c r="CA577" s="1131"/>
      <c r="CB577" s="1131"/>
      <c r="CC577" s="1131"/>
      <c r="CD577" s="1131"/>
      <c r="CE577" s="1131"/>
      <c r="CF577" s="1131"/>
      <c r="CG577" s="1131"/>
      <c r="CH577" s="29"/>
      <c r="CI577" s="185"/>
      <c r="CJ577" s="17"/>
    </row>
    <row r="578" spans="1:88" s="3" customFormat="1" hidden="1">
      <c r="A578" s="243" t="str">
        <f t="shared" si="10"/>
        <v>OK</v>
      </c>
      <c r="B578" s="1126" t="str">
        <f>IF(CONSOLIDA!DQ142="","",CONSOLIDA!DQ142)</f>
        <v/>
      </c>
      <c r="C578" s="1126"/>
      <c r="D578" s="1127" t="str">
        <f>IF(CONSOLIDA!DS142="","",CONSOLIDA!DS142)</f>
        <v/>
      </c>
      <c r="E578" s="1128"/>
      <c r="F578" s="1128"/>
      <c r="G578" s="1129" t="str">
        <f>IF(CONSOLIDA!DT142="","",CONSOLIDA!DT142)</f>
        <v/>
      </c>
      <c r="H578" s="1129"/>
      <c r="I578" s="1129"/>
      <c r="J578" s="1129"/>
      <c r="K578" s="1129"/>
      <c r="L578" s="1129"/>
      <c r="M578" s="1129"/>
      <c r="N578" s="1129"/>
      <c r="O578" s="1129"/>
      <c r="P578" s="1129"/>
      <c r="Q578" s="1129"/>
      <c r="R578" s="1129"/>
      <c r="S578" s="1129"/>
      <c r="T578" s="1129"/>
      <c r="U578" s="1129"/>
      <c r="V578" s="1129"/>
      <c r="W578" s="1129"/>
      <c r="X578" s="1129"/>
      <c r="Y578" s="1129"/>
      <c r="Z578" s="1129"/>
      <c r="AA578" s="1129"/>
      <c r="AB578" s="1129"/>
      <c r="AC578" s="1129"/>
      <c r="AD578" s="1129"/>
      <c r="AE578" s="1130"/>
      <c r="AF578" s="1131"/>
      <c r="AG578" s="1131"/>
      <c r="AH578" s="1131"/>
      <c r="AI578" s="1131"/>
      <c r="AJ578" s="1131"/>
      <c r="AK578" s="1131"/>
      <c r="AL578" s="1131"/>
      <c r="AM578" s="1131"/>
      <c r="AN578" s="1131"/>
      <c r="AO578" s="1131"/>
      <c r="AP578" s="1131"/>
      <c r="AQ578" s="1131"/>
      <c r="AR578" s="1131"/>
      <c r="AS578" s="1131"/>
      <c r="AT578" s="1131"/>
      <c r="AU578" s="1131"/>
      <c r="AV578" s="1131"/>
      <c r="AW578" s="1131"/>
      <c r="AX578" s="1131"/>
      <c r="AY578" s="1131"/>
      <c r="AZ578" s="1131"/>
      <c r="BA578" s="1131"/>
      <c r="BB578" s="1131"/>
      <c r="BC578" s="1131"/>
      <c r="BD578" s="1131"/>
      <c r="BE578" s="1131"/>
      <c r="BF578" s="1131"/>
      <c r="BG578" s="1131"/>
      <c r="BH578" s="1131"/>
      <c r="BI578" s="1131"/>
      <c r="BJ578" s="1131"/>
      <c r="BK578" s="1131"/>
      <c r="BL578" s="1131"/>
      <c r="BM578" s="1131"/>
      <c r="BN578" s="1131"/>
      <c r="BO578" s="1131"/>
      <c r="BP578" s="1131"/>
      <c r="BQ578" s="1131"/>
      <c r="BR578" s="1131"/>
      <c r="BS578" s="1131"/>
      <c r="BT578" s="1131"/>
      <c r="BU578" s="1131"/>
      <c r="BV578" s="1131"/>
      <c r="BW578" s="1131"/>
      <c r="BX578" s="1131"/>
      <c r="BY578" s="1131"/>
      <c r="BZ578" s="1131"/>
      <c r="CA578" s="1131"/>
      <c r="CB578" s="1131"/>
      <c r="CC578" s="1131"/>
      <c r="CD578" s="1131"/>
      <c r="CE578" s="1131"/>
      <c r="CF578" s="1131"/>
      <c r="CG578" s="1131"/>
      <c r="CH578" s="29"/>
      <c r="CI578" s="185"/>
      <c r="CJ578" s="17"/>
    </row>
    <row r="579" spans="1:88" s="3" customFormat="1" hidden="1">
      <c r="A579" s="243" t="str">
        <f t="shared" si="10"/>
        <v>OK</v>
      </c>
      <c r="B579" s="1126" t="str">
        <f>IF(CONSOLIDA!DQ143="","",CONSOLIDA!DQ143)</f>
        <v/>
      </c>
      <c r="C579" s="1126"/>
      <c r="D579" s="1127" t="str">
        <f>IF(CONSOLIDA!DS143="","",CONSOLIDA!DS143)</f>
        <v/>
      </c>
      <c r="E579" s="1128"/>
      <c r="F579" s="1128"/>
      <c r="G579" s="1129" t="str">
        <f>IF(CONSOLIDA!DT143="","",CONSOLIDA!DT143)</f>
        <v/>
      </c>
      <c r="H579" s="1129"/>
      <c r="I579" s="1129"/>
      <c r="J579" s="1129"/>
      <c r="K579" s="1129"/>
      <c r="L579" s="1129"/>
      <c r="M579" s="1129"/>
      <c r="N579" s="1129"/>
      <c r="O579" s="1129"/>
      <c r="P579" s="1129"/>
      <c r="Q579" s="1129"/>
      <c r="R579" s="1129"/>
      <c r="S579" s="1129"/>
      <c r="T579" s="1129"/>
      <c r="U579" s="1129"/>
      <c r="V579" s="1129"/>
      <c r="W579" s="1129"/>
      <c r="X579" s="1129"/>
      <c r="Y579" s="1129"/>
      <c r="Z579" s="1129"/>
      <c r="AA579" s="1129"/>
      <c r="AB579" s="1129"/>
      <c r="AC579" s="1129"/>
      <c r="AD579" s="1129"/>
      <c r="AE579" s="1130"/>
      <c r="AF579" s="1131"/>
      <c r="AG579" s="1131"/>
      <c r="AH579" s="1131"/>
      <c r="AI579" s="1131"/>
      <c r="AJ579" s="1131"/>
      <c r="AK579" s="1131"/>
      <c r="AL579" s="1131"/>
      <c r="AM579" s="1131"/>
      <c r="AN579" s="1131"/>
      <c r="AO579" s="1131"/>
      <c r="AP579" s="1131"/>
      <c r="AQ579" s="1131"/>
      <c r="AR579" s="1131"/>
      <c r="AS579" s="1131"/>
      <c r="AT579" s="1131"/>
      <c r="AU579" s="1131"/>
      <c r="AV579" s="1131"/>
      <c r="AW579" s="1131"/>
      <c r="AX579" s="1131"/>
      <c r="AY579" s="1131"/>
      <c r="AZ579" s="1131"/>
      <c r="BA579" s="1131"/>
      <c r="BB579" s="1131"/>
      <c r="BC579" s="1131"/>
      <c r="BD579" s="1131"/>
      <c r="BE579" s="1131"/>
      <c r="BF579" s="1131"/>
      <c r="BG579" s="1131"/>
      <c r="BH579" s="1131"/>
      <c r="BI579" s="1131"/>
      <c r="BJ579" s="1131"/>
      <c r="BK579" s="1131"/>
      <c r="BL579" s="1131"/>
      <c r="BM579" s="1131"/>
      <c r="BN579" s="1131"/>
      <c r="BO579" s="1131"/>
      <c r="BP579" s="1131"/>
      <c r="BQ579" s="1131"/>
      <c r="BR579" s="1131"/>
      <c r="BS579" s="1131"/>
      <c r="BT579" s="1131"/>
      <c r="BU579" s="1131"/>
      <c r="BV579" s="1131"/>
      <c r="BW579" s="1131"/>
      <c r="BX579" s="1131"/>
      <c r="BY579" s="1131"/>
      <c r="BZ579" s="1131"/>
      <c r="CA579" s="1131"/>
      <c r="CB579" s="1131"/>
      <c r="CC579" s="1131"/>
      <c r="CD579" s="1131"/>
      <c r="CE579" s="1131"/>
      <c r="CF579" s="1131"/>
      <c r="CG579" s="1131"/>
      <c r="CH579" s="29"/>
      <c r="CI579" s="185"/>
      <c r="CJ579" s="17"/>
    </row>
    <row r="580" spans="1:88" s="3" customFormat="1" hidden="1">
      <c r="A580" s="243" t="str">
        <f t="shared" si="10"/>
        <v>OK</v>
      </c>
      <c r="B580" s="1126" t="str">
        <f>IF(CONSOLIDA!DQ144="","",CONSOLIDA!DQ144)</f>
        <v/>
      </c>
      <c r="C580" s="1126"/>
      <c r="D580" s="1127" t="str">
        <f>IF(CONSOLIDA!DS144="","",CONSOLIDA!DS144)</f>
        <v/>
      </c>
      <c r="E580" s="1128"/>
      <c r="F580" s="1128"/>
      <c r="G580" s="1129" t="str">
        <f>IF(CONSOLIDA!DT144="","",CONSOLIDA!DT144)</f>
        <v/>
      </c>
      <c r="H580" s="1129"/>
      <c r="I580" s="1129"/>
      <c r="J580" s="1129"/>
      <c r="K580" s="1129"/>
      <c r="L580" s="1129"/>
      <c r="M580" s="1129"/>
      <c r="N580" s="1129"/>
      <c r="O580" s="1129"/>
      <c r="P580" s="1129"/>
      <c r="Q580" s="1129"/>
      <c r="R580" s="1129"/>
      <c r="S580" s="1129"/>
      <c r="T580" s="1129"/>
      <c r="U580" s="1129"/>
      <c r="V580" s="1129"/>
      <c r="W580" s="1129"/>
      <c r="X580" s="1129"/>
      <c r="Y580" s="1129"/>
      <c r="Z580" s="1129"/>
      <c r="AA580" s="1129"/>
      <c r="AB580" s="1129"/>
      <c r="AC580" s="1129"/>
      <c r="AD580" s="1129"/>
      <c r="AE580" s="1130"/>
      <c r="AF580" s="1131"/>
      <c r="AG580" s="1131"/>
      <c r="AH580" s="1131"/>
      <c r="AI580" s="1131"/>
      <c r="AJ580" s="1131"/>
      <c r="AK580" s="1131"/>
      <c r="AL580" s="1131"/>
      <c r="AM580" s="1131"/>
      <c r="AN580" s="1131"/>
      <c r="AO580" s="1131"/>
      <c r="AP580" s="1131"/>
      <c r="AQ580" s="1131"/>
      <c r="AR580" s="1131"/>
      <c r="AS580" s="1131"/>
      <c r="AT580" s="1131"/>
      <c r="AU580" s="1131"/>
      <c r="AV580" s="1131"/>
      <c r="AW580" s="1131"/>
      <c r="AX580" s="1131"/>
      <c r="AY580" s="1131"/>
      <c r="AZ580" s="1131"/>
      <c r="BA580" s="1131"/>
      <c r="BB580" s="1131"/>
      <c r="BC580" s="1131"/>
      <c r="BD580" s="1131"/>
      <c r="BE580" s="1131"/>
      <c r="BF580" s="1131"/>
      <c r="BG580" s="1131"/>
      <c r="BH580" s="1131"/>
      <c r="BI580" s="1131"/>
      <c r="BJ580" s="1131"/>
      <c r="BK580" s="1131"/>
      <c r="BL580" s="1131"/>
      <c r="BM580" s="1131"/>
      <c r="BN580" s="1131"/>
      <c r="BO580" s="1131"/>
      <c r="BP580" s="1131"/>
      <c r="BQ580" s="1131"/>
      <c r="BR580" s="1131"/>
      <c r="BS580" s="1131"/>
      <c r="BT580" s="1131"/>
      <c r="BU580" s="1131"/>
      <c r="BV580" s="1131"/>
      <c r="BW580" s="1131"/>
      <c r="BX580" s="1131"/>
      <c r="BY580" s="1131"/>
      <c r="BZ580" s="1131"/>
      <c r="CA580" s="1131"/>
      <c r="CB580" s="1131"/>
      <c r="CC580" s="1131"/>
      <c r="CD580" s="1131"/>
      <c r="CE580" s="1131"/>
      <c r="CF580" s="1131"/>
      <c r="CG580" s="1131"/>
      <c r="CH580" s="29"/>
      <c r="CI580" s="185"/>
      <c r="CJ580" s="17"/>
    </row>
    <row r="581" spans="1:88" s="3" customFormat="1" hidden="1">
      <c r="A581" s="243" t="str">
        <f t="shared" si="10"/>
        <v>OK</v>
      </c>
      <c r="B581" s="1126" t="str">
        <f>IF(CONSOLIDA!DQ145="","",CONSOLIDA!DQ145)</f>
        <v/>
      </c>
      <c r="C581" s="1126"/>
      <c r="D581" s="1127" t="str">
        <f>IF(CONSOLIDA!DS145="","",CONSOLIDA!DS145)</f>
        <v/>
      </c>
      <c r="E581" s="1128"/>
      <c r="F581" s="1128"/>
      <c r="G581" s="1129" t="str">
        <f>IF(CONSOLIDA!DT145="","",CONSOLIDA!DT145)</f>
        <v/>
      </c>
      <c r="H581" s="1129"/>
      <c r="I581" s="1129"/>
      <c r="J581" s="1129"/>
      <c r="K581" s="1129"/>
      <c r="L581" s="1129"/>
      <c r="M581" s="1129"/>
      <c r="N581" s="1129"/>
      <c r="O581" s="1129"/>
      <c r="P581" s="1129"/>
      <c r="Q581" s="1129"/>
      <c r="R581" s="1129"/>
      <c r="S581" s="1129"/>
      <c r="T581" s="1129"/>
      <c r="U581" s="1129"/>
      <c r="V581" s="1129"/>
      <c r="W581" s="1129"/>
      <c r="X581" s="1129"/>
      <c r="Y581" s="1129"/>
      <c r="Z581" s="1129"/>
      <c r="AA581" s="1129"/>
      <c r="AB581" s="1129"/>
      <c r="AC581" s="1129"/>
      <c r="AD581" s="1129"/>
      <c r="AE581" s="1130"/>
      <c r="AF581" s="1131"/>
      <c r="AG581" s="1131"/>
      <c r="AH581" s="1131"/>
      <c r="AI581" s="1131"/>
      <c r="AJ581" s="1131"/>
      <c r="AK581" s="1131"/>
      <c r="AL581" s="1131"/>
      <c r="AM581" s="1131"/>
      <c r="AN581" s="1131"/>
      <c r="AO581" s="1131"/>
      <c r="AP581" s="1131"/>
      <c r="AQ581" s="1131"/>
      <c r="AR581" s="1131"/>
      <c r="AS581" s="1131"/>
      <c r="AT581" s="1131"/>
      <c r="AU581" s="1131"/>
      <c r="AV581" s="1131"/>
      <c r="AW581" s="1131"/>
      <c r="AX581" s="1131"/>
      <c r="AY581" s="1131"/>
      <c r="AZ581" s="1131"/>
      <c r="BA581" s="1131"/>
      <c r="BB581" s="1131"/>
      <c r="BC581" s="1131"/>
      <c r="BD581" s="1131"/>
      <c r="BE581" s="1131"/>
      <c r="BF581" s="1131"/>
      <c r="BG581" s="1131"/>
      <c r="BH581" s="1131"/>
      <c r="BI581" s="1131"/>
      <c r="BJ581" s="1131"/>
      <c r="BK581" s="1131"/>
      <c r="BL581" s="1131"/>
      <c r="BM581" s="1131"/>
      <c r="BN581" s="1131"/>
      <c r="BO581" s="1131"/>
      <c r="BP581" s="1131"/>
      <c r="BQ581" s="1131"/>
      <c r="BR581" s="1131"/>
      <c r="BS581" s="1131"/>
      <c r="BT581" s="1131"/>
      <c r="BU581" s="1131"/>
      <c r="BV581" s="1131"/>
      <c r="BW581" s="1131"/>
      <c r="BX581" s="1131"/>
      <c r="BY581" s="1131"/>
      <c r="BZ581" s="1131"/>
      <c r="CA581" s="1131"/>
      <c r="CB581" s="1131"/>
      <c r="CC581" s="1131"/>
      <c r="CD581" s="1131"/>
      <c r="CE581" s="1131"/>
      <c r="CF581" s="1131"/>
      <c r="CG581" s="1131"/>
      <c r="CH581" s="29"/>
      <c r="CI581" s="185"/>
      <c r="CJ581" s="17"/>
    </row>
    <row r="582" spans="1:88" s="3" customFormat="1" hidden="1">
      <c r="A582" s="243" t="str">
        <f t="shared" si="10"/>
        <v>OK</v>
      </c>
      <c r="B582" s="1126" t="str">
        <f>IF(CONSOLIDA!DQ146="","",CONSOLIDA!DQ146)</f>
        <v/>
      </c>
      <c r="C582" s="1126"/>
      <c r="D582" s="1127" t="str">
        <f>IF(CONSOLIDA!DS146="","",CONSOLIDA!DS146)</f>
        <v/>
      </c>
      <c r="E582" s="1128"/>
      <c r="F582" s="1128"/>
      <c r="G582" s="1129" t="str">
        <f>IF(CONSOLIDA!DT146="","",CONSOLIDA!DT146)</f>
        <v/>
      </c>
      <c r="H582" s="1129"/>
      <c r="I582" s="1129"/>
      <c r="J582" s="1129"/>
      <c r="K582" s="1129"/>
      <c r="L582" s="1129"/>
      <c r="M582" s="1129"/>
      <c r="N582" s="1129"/>
      <c r="O582" s="1129"/>
      <c r="P582" s="1129"/>
      <c r="Q582" s="1129"/>
      <c r="R582" s="1129"/>
      <c r="S582" s="1129"/>
      <c r="T582" s="1129"/>
      <c r="U582" s="1129"/>
      <c r="V582" s="1129"/>
      <c r="W582" s="1129"/>
      <c r="X582" s="1129"/>
      <c r="Y582" s="1129"/>
      <c r="Z582" s="1129"/>
      <c r="AA582" s="1129"/>
      <c r="AB582" s="1129"/>
      <c r="AC582" s="1129"/>
      <c r="AD582" s="1129"/>
      <c r="AE582" s="1130"/>
      <c r="AF582" s="1131"/>
      <c r="AG582" s="1131"/>
      <c r="AH582" s="1131"/>
      <c r="AI582" s="1131"/>
      <c r="AJ582" s="1131"/>
      <c r="AK582" s="1131"/>
      <c r="AL582" s="1131"/>
      <c r="AM582" s="1131"/>
      <c r="AN582" s="1131"/>
      <c r="AO582" s="1131"/>
      <c r="AP582" s="1131"/>
      <c r="AQ582" s="1131"/>
      <c r="AR582" s="1131"/>
      <c r="AS582" s="1131"/>
      <c r="AT582" s="1131"/>
      <c r="AU582" s="1131"/>
      <c r="AV582" s="1131"/>
      <c r="AW582" s="1131"/>
      <c r="AX582" s="1131"/>
      <c r="AY582" s="1131"/>
      <c r="AZ582" s="1131"/>
      <c r="BA582" s="1131"/>
      <c r="BB582" s="1131"/>
      <c r="BC582" s="1131"/>
      <c r="BD582" s="1131"/>
      <c r="BE582" s="1131"/>
      <c r="BF582" s="1131"/>
      <c r="BG582" s="1131"/>
      <c r="BH582" s="1131"/>
      <c r="BI582" s="1131"/>
      <c r="BJ582" s="1131"/>
      <c r="BK582" s="1131"/>
      <c r="BL582" s="1131"/>
      <c r="BM582" s="1131"/>
      <c r="BN582" s="1131"/>
      <c r="BO582" s="1131"/>
      <c r="BP582" s="1131"/>
      <c r="BQ582" s="1131"/>
      <c r="BR582" s="1131"/>
      <c r="BS582" s="1131"/>
      <c r="BT582" s="1131"/>
      <c r="BU582" s="1131"/>
      <c r="BV582" s="1131"/>
      <c r="BW582" s="1131"/>
      <c r="BX582" s="1131"/>
      <c r="BY582" s="1131"/>
      <c r="BZ582" s="1131"/>
      <c r="CA582" s="1131"/>
      <c r="CB582" s="1131"/>
      <c r="CC582" s="1131"/>
      <c r="CD582" s="1131"/>
      <c r="CE582" s="1131"/>
      <c r="CF582" s="1131"/>
      <c r="CG582" s="1131"/>
      <c r="CH582" s="29"/>
      <c r="CI582" s="185"/>
      <c r="CJ582" s="17"/>
    </row>
    <row r="583" spans="1:88" s="3" customFormat="1" hidden="1">
      <c r="A583" s="243" t="str">
        <f t="shared" si="10"/>
        <v>OK</v>
      </c>
      <c r="B583" s="1126" t="str">
        <f>IF(CONSOLIDA!DQ147="","",CONSOLIDA!DQ147)</f>
        <v/>
      </c>
      <c r="C583" s="1126"/>
      <c r="D583" s="1127" t="str">
        <f>IF(CONSOLIDA!DS147="","",CONSOLIDA!DS147)</f>
        <v/>
      </c>
      <c r="E583" s="1128"/>
      <c r="F583" s="1128"/>
      <c r="G583" s="1129" t="str">
        <f>IF(CONSOLIDA!DT147="","",CONSOLIDA!DT147)</f>
        <v/>
      </c>
      <c r="H583" s="1129"/>
      <c r="I583" s="1129"/>
      <c r="J583" s="1129"/>
      <c r="K583" s="1129"/>
      <c r="L583" s="1129"/>
      <c r="M583" s="1129"/>
      <c r="N583" s="1129"/>
      <c r="O583" s="1129"/>
      <c r="P583" s="1129"/>
      <c r="Q583" s="1129"/>
      <c r="R583" s="1129"/>
      <c r="S583" s="1129"/>
      <c r="T583" s="1129"/>
      <c r="U583" s="1129"/>
      <c r="V583" s="1129"/>
      <c r="W583" s="1129"/>
      <c r="X583" s="1129"/>
      <c r="Y583" s="1129"/>
      <c r="Z583" s="1129"/>
      <c r="AA583" s="1129"/>
      <c r="AB583" s="1129"/>
      <c r="AC583" s="1129"/>
      <c r="AD583" s="1129"/>
      <c r="AE583" s="1130"/>
      <c r="AF583" s="1131"/>
      <c r="AG583" s="1131"/>
      <c r="AH583" s="1131"/>
      <c r="AI583" s="1131"/>
      <c r="AJ583" s="1131"/>
      <c r="AK583" s="1131"/>
      <c r="AL583" s="1131"/>
      <c r="AM583" s="1131"/>
      <c r="AN583" s="1131"/>
      <c r="AO583" s="1131"/>
      <c r="AP583" s="1131"/>
      <c r="AQ583" s="1131"/>
      <c r="AR583" s="1131"/>
      <c r="AS583" s="1131"/>
      <c r="AT583" s="1131"/>
      <c r="AU583" s="1131"/>
      <c r="AV583" s="1131"/>
      <c r="AW583" s="1131"/>
      <c r="AX583" s="1131"/>
      <c r="AY583" s="1131"/>
      <c r="AZ583" s="1131"/>
      <c r="BA583" s="1131"/>
      <c r="BB583" s="1131"/>
      <c r="BC583" s="1131"/>
      <c r="BD583" s="1131"/>
      <c r="BE583" s="1131"/>
      <c r="BF583" s="1131"/>
      <c r="BG583" s="1131"/>
      <c r="BH583" s="1131"/>
      <c r="BI583" s="1131"/>
      <c r="BJ583" s="1131"/>
      <c r="BK583" s="1131"/>
      <c r="BL583" s="1131"/>
      <c r="BM583" s="1131"/>
      <c r="BN583" s="1131"/>
      <c r="BO583" s="1131"/>
      <c r="BP583" s="1131"/>
      <c r="BQ583" s="1131"/>
      <c r="BR583" s="1131"/>
      <c r="BS583" s="1131"/>
      <c r="BT583" s="1131"/>
      <c r="BU583" s="1131"/>
      <c r="BV583" s="1131"/>
      <c r="BW583" s="1131"/>
      <c r="BX583" s="1131"/>
      <c r="BY583" s="1131"/>
      <c r="BZ583" s="1131"/>
      <c r="CA583" s="1131"/>
      <c r="CB583" s="1131"/>
      <c r="CC583" s="1131"/>
      <c r="CD583" s="1131"/>
      <c r="CE583" s="1131"/>
      <c r="CF583" s="1131"/>
      <c r="CG583" s="1131"/>
      <c r="CH583" s="29"/>
      <c r="CI583" s="185"/>
      <c r="CJ583" s="17"/>
    </row>
    <row r="584" spans="1:88" s="3" customFormat="1" hidden="1">
      <c r="A584" s="243" t="str">
        <f t="shared" si="10"/>
        <v>OK</v>
      </c>
      <c r="B584" s="1126" t="str">
        <f>IF(CONSOLIDA!DQ148="","",CONSOLIDA!DQ148)</f>
        <v/>
      </c>
      <c r="C584" s="1126"/>
      <c r="D584" s="1127" t="str">
        <f>IF(CONSOLIDA!DS148="","",CONSOLIDA!DS148)</f>
        <v/>
      </c>
      <c r="E584" s="1128"/>
      <c r="F584" s="1128"/>
      <c r="G584" s="1129" t="str">
        <f>IF(CONSOLIDA!DT148="","",CONSOLIDA!DT148)</f>
        <v/>
      </c>
      <c r="H584" s="1129"/>
      <c r="I584" s="1129"/>
      <c r="J584" s="1129"/>
      <c r="K584" s="1129"/>
      <c r="L584" s="1129"/>
      <c r="M584" s="1129"/>
      <c r="N584" s="1129"/>
      <c r="O584" s="1129"/>
      <c r="P584" s="1129"/>
      <c r="Q584" s="1129"/>
      <c r="R584" s="1129"/>
      <c r="S584" s="1129"/>
      <c r="T584" s="1129"/>
      <c r="U584" s="1129"/>
      <c r="V584" s="1129"/>
      <c r="W584" s="1129"/>
      <c r="X584" s="1129"/>
      <c r="Y584" s="1129"/>
      <c r="Z584" s="1129"/>
      <c r="AA584" s="1129"/>
      <c r="AB584" s="1129"/>
      <c r="AC584" s="1129"/>
      <c r="AD584" s="1129"/>
      <c r="AE584" s="1130"/>
      <c r="AF584" s="1131"/>
      <c r="AG584" s="1131"/>
      <c r="AH584" s="1131"/>
      <c r="AI584" s="1131"/>
      <c r="AJ584" s="1131"/>
      <c r="AK584" s="1131"/>
      <c r="AL584" s="1131"/>
      <c r="AM584" s="1131"/>
      <c r="AN584" s="1131"/>
      <c r="AO584" s="1131"/>
      <c r="AP584" s="1131"/>
      <c r="AQ584" s="1131"/>
      <c r="AR584" s="1131"/>
      <c r="AS584" s="1131"/>
      <c r="AT584" s="1131"/>
      <c r="AU584" s="1131"/>
      <c r="AV584" s="1131"/>
      <c r="AW584" s="1131"/>
      <c r="AX584" s="1131"/>
      <c r="AY584" s="1131"/>
      <c r="AZ584" s="1131"/>
      <c r="BA584" s="1131"/>
      <c r="BB584" s="1131"/>
      <c r="BC584" s="1131"/>
      <c r="BD584" s="1131"/>
      <c r="BE584" s="1131"/>
      <c r="BF584" s="1131"/>
      <c r="BG584" s="1131"/>
      <c r="BH584" s="1131"/>
      <c r="BI584" s="1131"/>
      <c r="BJ584" s="1131"/>
      <c r="BK584" s="1131"/>
      <c r="BL584" s="1131"/>
      <c r="BM584" s="1131"/>
      <c r="BN584" s="1131"/>
      <c r="BO584" s="1131"/>
      <c r="BP584" s="1131"/>
      <c r="BQ584" s="1131"/>
      <c r="BR584" s="1131"/>
      <c r="BS584" s="1131"/>
      <c r="BT584" s="1131"/>
      <c r="BU584" s="1131"/>
      <c r="BV584" s="1131"/>
      <c r="BW584" s="1131"/>
      <c r="BX584" s="1131"/>
      <c r="BY584" s="1131"/>
      <c r="BZ584" s="1131"/>
      <c r="CA584" s="1131"/>
      <c r="CB584" s="1131"/>
      <c r="CC584" s="1131"/>
      <c r="CD584" s="1131"/>
      <c r="CE584" s="1131"/>
      <c r="CF584" s="1131"/>
      <c r="CG584" s="1131"/>
      <c r="CH584" s="29"/>
      <c r="CI584" s="185"/>
      <c r="CJ584" s="17"/>
    </row>
    <row r="585" spans="1:88" s="3" customFormat="1" hidden="1">
      <c r="A585" s="243" t="str">
        <f t="shared" si="10"/>
        <v>OK</v>
      </c>
      <c r="B585" s="1126" t="str">
        <f>IF(CONSOLIDA!DQ149="","",CONSOLIDA!DQ149)</f>
        <v/>
      </c>
      <c r="C585" s="1126"/>
      <c r="D585" s="1127" t="str">
        <f>IF(CONSOLIDA!DS149="","",CONSOLIDA!DS149)</f>
        <v/>
      </c>
      <c r="E585" s="1128"/>
      <c r="F585" s="1128"/>
      <c r="G585" s="1129" t="str">
        <f>IF(CONSOLIDA!DT149="","",CONSOLIDA!DT149)</f>
        <v/>
      </c>
      <c r="H585" s="1129"/>
      <c r="I585" s="1129"/>
      <c r="J585" s="1129"/>
      <c r="K585" s="1129"/>
      <c r="L585" s="1129"/>
      <c r="M585" s="1129"/>
      <c r="N585" s="1129"/>
      <c r="O585" s="1129"/>
      <c r="P585" s="1129"/>
      <c r="Q585" s="1129"/>
      <c r="R585" s="1129"/>
      <c r="S585" s="1129"/>
      <c r="T585" s="1129"/>
      <c r="U585" s="1129"/>
      <c r="V585" s="1129"/>
      <c r="W585" s="1129"/>
      <c r="X585" s="1129"/>
      <c r="Y585" s="1129"/>
      <c r="Z585" s="1129"/>
      <c r="AA585" s="1129"/>
      <c r="AB585" s="1129"/>
      <c r="AC585" s="1129"/>
      <c r="AD585" s="1129"/>
      <c r="AE585" s="1130"/>
      <c r="AF585" s="1131"/>
      <c r="AG585" s="1131"/>
      <c r="AH585" s="1131"/>
      <c r="AI585" s="1131"/>
      <c r="AJ585" s="1131"/>
      <c r="AK585" s="1131"/>
      <c r="AL585" s="1131"/>
      <c r="AM585" s="1131"/>
      <c r="AN585" s="1131"/>
      <c r="AO585" s="1131"/>
      <c r="AP585" s="1131"/>
      <c r="AQ585" s="1131"/>
      <c r="AR585" s="1131"/>
      <c r="AS585" s="1131"/>
      <c r="AT585" s="1131"/>
      <c r="AU585" s="1131"/>
      <c r="AV585" s="1131"/>
      <c r="AW585" s="1131"/>
      <c r="AX585" s="1131"/>
      <c r="AY585" s="1131"/>
      <c r="AZ585" s="1131"/>
      <c r="BA585" s="1131"/>
      <c r="BB585" s="1131"/>
      <c r="BC585" s="1131"/>
      <c r="BD585" s="1131"/>
      <c r="BE585" s="1131"/>
      <c r="BF585" s="1131"/>
      <c r="BG585" s="1131"/>
      <c r="BH585" s="1131"/>
      <c r="BI585" s="1131"/>
      <c r="BJ585" s="1131"/>
      <c r="BK585" s="1131"/>
      <c r="BL585" s="1131"/>
      <c r="BM585" s="1131"/>
      <c r="BN585" s="1131"/>
      <c r="BO585" s="1131"/>
      <c r="BP585" s="1131"/>
      <c r="BQ585" s="1131"/>
      <c r="BR585" s="1131"/>
      <c r="BS585" s="1131"/>
      <c r="BT585" s="1131"/>
      <c r="BU585" s="1131"/>
      <c r="BV585" s="1131"/>
      <c r="BW585" s="1131"/>
      <c r="BX585" s="1131"/>
      <c r="BY585" s="1131"/>
      <c r="BZ585" s="1131"/>
      <c r="CA585" s="1131"/>
      <c r="CB585" s="1131"/>
      <c r="CC585" s="1131"/>
      <c r="CD585" s="1131"/>
      <c r="CE585" s="1131"/>
      <c r="CF585" s="1131"/>
      <c r="CG585" s="1131"/>
      <c r="CH585" s="29"/>
      <c r="CI585" s="185"/>
      <c r="CJ585" s="17"/>
    </row>
    <row r="586" spans="1:88" s="3" customFormat="1" hidden="1">
      <c r="A586" s="243" t="str">
        <f t="shared" si="10"/>
        <v>OK</v>
      </c>
      <c r="B586" s="1126" t="str">
        <f>IF(CONSOLIDA!DQ150="","",CONSOLIDA!DQ150)</f>
        <v/>
      </c>
      <c r="C586" s="1126"/>
      <c r="D586" s="1127" t="str">
        <f>IF(CONSOLIDA!DS150="","",CONSOLIDA!DS150)</f>
        <v/>
      </c>
      <c r="E586" s="1128"/>
      <c r="F586" s="1128"/>
      <c r="G586" s="1129" t="str">
        <f>IF(CONSOLIDA!DT150="","",CONSOLIDA!DT150)</f>
        <v/>
      </c>
      <c r="H586" s="1129"/>
      <c r="I586" s="1129"/>
      <c r="J586" s="1129"/>
      <c r="K586" s="1129"/>
      <c r="L586" s="1129"/>
      <c r="M586" s="1129"/>
      <c r="N586" s="1129"/>
      <c r="O586" s="1129"/>
      <c r="P586" s="1129"/>
      <c r="Q586" s="1129"/>
      <c r="R586" s="1129"/>
      <c r="S586" s="1129"/>
      <c r="T586" s="1129"/>
      <c r="U586" s="1129"/>
      <c r="V586" s="1129"/>
      <c r="W586" s="1129"/>
      <c r="X586" s="1129"/>
      <c r="Y586" s="1129"/>
      <c r="Z586" s="1129"/>
      <c r="AA586" s="1129"/>
      <c r="AB586" s="1129"/>
      <c r="AC586" s="1129"/>
      <c r="AD586" s="1129"/>
      <c r="AE586" s="1130"/>
      <c r="AF586" s="1131"/>
      <c r="AG586" s="1131"/>
      <c r="AH586" s="1131"/>
      <c r="AI586" s="1131"/>
      <c r="AJ586" s="1131"/>
      <c r="AK586" s="1131"/>
      <c r="AL586" s="1131"/>
      <c r="AM586" s="1131"/>
      <c r="AN586" s="1131"/>
      <c r="AO586" s="1131"/>
      <c r="AP586" s="1131"/>
      <c r="AQ586" s="1131"/>
      <c r="AR586" s="1131"/>
      <c r="AS586" s="1131"/>
      <c r="AT586" s="1131"/>
      <c r="AU586" s="1131"/>
      <c r="AV586" s="1131"/>
      <c r="AW586" s="1131"/>
      <c r="AX586" s="1131"/>
      <c r="AY586" s="1131"/>
      <c r="AZ586" s="1131"/>
      <c r="BA586" s="1131"/>
      <c r="BB586" s="1131"/>
      <c r="BC586" s="1131"/>
      <c r="BD586" s="1131"/>
      <c r="BE586" s="1131"/>
      <c r="BF586" s="1131"/>
      <c r="BG586" s="1131"/>
      <c r="BH586" s="1131"/>
      <c r="BI586" s="1131"/>
      <c r="BJ586" s="1131"/>
      <c r="BK586" s="1131"/>
      <c r="BL586" s="1131"/>
      <c r="BM586" s="1131"/>
      <c r="BN586" s="1131"/>
      <c r="BO586" s="1131"/>
      <c r="BP586" s="1131"/>
      <c r="BQ586" s="1131"/>
      <c r="BR586" s="1131"/>
      <c r="BS586" s="1131"/>
      <c r="BT586" s="1131"/>
      <c r="BU586" s="1131"/>
      <c r="BV586" s="1131"/>
      <c r="BW586" s="1131"/>
      <c r="BX586" s="1131"/>
      <c r="BY586" s="1131"/>
      <c r="BZ586" s="1131"/>
      <c r="CA586" s="1131"/>
      <c r="CB586" s="1131"/>
      <c r="CC586" s="1131"/>
      <c r="CD586" s="1131"/>
      <c r="CE586" s="1131"/>
      <c r="CF586" s="1131"/>
      <c r="CG586" s="1131"/>
      <c r="CH586" s="29"/>
      <c r="CI586" s="185"/>
      <c r="CJ586" s="17"/>
    </row>
    <row r="587" spans="1:88" s="3" customFormat="1" hidden="1">
      <c r="A587" s="243" t="str">
        <f t="shared" si="10"/>
        <v>OK</v>
      </c>
      <c r="B587" s="1126" t="str">
        <f>IF(CONSOLIDA!DQ151="","",CONSOLIDA!DQ151)</f>
        <v/>
      </c>
      <c r="C587" s="1126"/>
      <c r="D587" s="1127" t="str">
        <f>IF(CONSOLIDA!DS151="","",CONSOLIDA!DS151)</f>
        <v/>
      </c>
      <c r="E587" s="1128"/>
      <c r="F587" s="1128"/>
      <c r="G587" s="1129" t="str">
        <f>IF(CONSOLIDA!DT151="","",CONSOLIDA!DT151)</f>
        <v/>
      </c>
      <c r="H587" s="1129"/>
      <c r="I587" s="1129"/>
      <c r="J587" s="1129"/>
      <c r="K587" s="1129"/>
      <c r="L587" s="1129"/>
      <c r="M587" s="1129"/>
      <c r="N587" s="1129"/>
      <c r="O587" s="1129"/>
      <c r="P587" s="1129"/>
      <c r="Q587" s="1129"/>
      <c r="R587" s="1129"/>
      <c r="S587" s="1129"/>
      <c r="T587" s="1129"/>
      <c r="U587" s="1129"/>
      <c r="V587" s="1129"/>
      <c r="W587" s="1129"/>
      <c r="X587" s="1129"/>
      <c r="Y587" s="1129"/>
      <c r="Z587" s="1129"/>
      <c r="AA587" s="1129"/>
      <c r="AB587" s="1129"/>
      <c r="AC587" s="1129"/>
      <c r="AD587" s="1129"/>
      <c r="AE587" s="1130"/>
      <c r="AF587" s="1131"/>
      <c r="AG587" s="1131"/>
      <c r="AH587" s="1131"/>
      <c r="AI587" s="1131"/>
      <c r="AJ587" s="1131"/>
      <c r="AK587" s="1131"/>
      <c r="AL587" s="1131"/>
      <c r="AM587" s="1131"/>
      <c r="AN587" s="1131"/>
      <c r="AO587" s="1131"/>
      <c r="AP587" s="1131"/>
      <c r="AQ587" s="1131"/>
      <c r="AR587" s="1131"/>
      <c r="AS587" s="1131"/>
      <c r="AT587" s="1131"/>
      <c r="AU587" s="1131"/>
      <c r="AV587" s="1131"/>
      <c r="AW587" s="1131"/>
      <c r="AX587" s="1131"/>
      <c r="AY587" s="1131"/>
      <c r="AZ587" s="1131"/>
      <c r="BA587" s="1131"/>
      <c r="BB587" s="1131"/>
      <c r="BC587" s="1131"/>
      <c r="BD587" s="1131"/>
      <c r="BE587" s="1131"/>
      <c r="BF587" s="1131"/>
      <c r="BG587" s="1131"/>
      <c r="BH587" s="1131"/>
      <c r="BI587" s="1131"/>
      <c r="BJ587" s="1131"/>
      <c r="BK587" s="1131"/>
      <c r="BL587" s="1131"/>
      <c r="BM587" s="1131"/>
      <c r="BN587" s="1131"/>
      <c r="BO587" s="1131"/>
      <c r="BP587" s="1131"/>
      <c r="BQ587" s="1131"/>
      <c r="BR587" s="1131"/>
      <c r="BS587" s="1131"/>
      <c r="BT587" s="1131"/>
      <c r="BU587" s="1131"/>
      <c r="BV587" s="1131"/>
      <c r="BW587" s="1131"/>
      <c r="BX587" s="1131"/>
      <c r="BY587" s="1131"/>
      <c r="BZ587" s="1131"/>
      <c r="CA587" s="1131"/>
      <c r="CB587" s="1131"/>
      <c r="CC587" s="1131"/>
      <c r="CD587" s="1131"/>
      <c r="CE587" s="1131"/>
      <c r="CF587" s="1131"/>
      <c r="CG587" s="1131"/>
      <c r="CH587" s="29"/>
      <c r="CI587" s="185"/>
      <c r="CJ587" s="17"/>
    </row>
    <row r="588" spans="1:88" s="3" customFormat="1" hidden="1">
      <c r="A588" s="243" t="str">
        <f t="shared" si="10"/>
        <v>OK</v>
      </c>
      <c r="B588" s="1126" t="str">
        <f>IF(CONSOLIDA!DQ152="","",CONSOLIDA!DQ152)</f>
        <v/>
      </c>
      <c r="C588" s="1126"/>
      <c r="D588" s="1127" t="str">
        <f>IF(CONSOLIDA!DS152="","",CONSOLIDA!DS152)</f>
        <v/>
      </c>
      <c r="E588" s="1128"/>
      <c r="F588" s="1128"/>
      <c r="G588" s="1129" t="str">
        <f>IF(CONSOLIDA!DT152="","",CONSOLIDA!DT152)</f>
        <v/>
      </c>
      <c r="H588" s="1129"/>
      <c r="I588" s="1129"/>
      <c r="J588" s="1129"/>
      <c r="K588" s="1129"/>
      <c r="L588" s="1129"/>
      <c r="M588" s="1129"/>
      <c r="N588" s="1129"/>
      <c r="O588" s="1129"/>
      <c r="P588" s="1129"/>
      <c r="Q588" s="1129"/>
      <c r="R588" s="1129"/>
      <c r="S588" s="1129"/>
      <c r="T588" s="1129"/>
      <c r="U588" s="1129"/>
      <c r="V588" s="1129"/>
      <c r="W588" s="1129"/>
      <c r="X588" s="1129"/>
      <c r="Y588" s="1129"/>
      <c r="Z588" s="1129"/>
      <c r="AA588" s="1129"/>
      <c r="AB588" s="1129"/>
      <c r="AC588" s="1129"/>
      <c r="AD588" s="1129"/>
      <c r="AE588" s="1130"/>
      <c r="AF588" s="1131"/>
      <c r="AG588" s="1131"/>
      <c r="AH588" s="1131"/>
      <c r="AI588" s="1131"/>
      <c r="AJ588" s="1131"/>
      <c r="AK588" s="1131"/>
      <c r="AL588" s="1131"/>
      <c r="AM588" s="1131"/>
      <c r="AN588" s="1131"/>
      <c r="AO588" s="1131"/>
      <c r="AP588" s="1131"/>
      <c r="AQ588" s="1131"/>
      <c r="AR588" s="1131"/>
      <c r="AS588" s="1131"/>
      <c r="AT588" s="1131"/>
      <c r="AU588" s="1131"/>
      <c r="AV588" s="1131"/>
      <c r="AW588" s="1131"/>
      <c r="AX588" s="1131"/>
      <c r="AY588" s="1131"/>
      <c r="AZ588" s="1131"/>
      <c r="BA588" s="1131"/>
      <c r="BB588" s="1131"/>
      <c r="BC588" s="1131"/>
      <c r="BD588" s="1131"/>
      <c r="BE588" s="1131"/>
      <c r="BF588" s="1131"/>
      <c r="BG588" s="1131"/>
      <c r="BH588" s="1131"/>
      <c r="BI588" s="1131"/>
      <c r="BJ588" s="1131"/>
      <c r="BK588" s="1131"/>
      <c r="BL588" s="1131"/>
      <c r="BM588" s="1131"/>
      <c r="BN588" s="1131"/>
      <c r="BO588" s="1131"/>
      <c r="BP588" s="1131"/>
      <c r="BQ588" s="1131"/>
      <c r="BR588" s="1131"/>
      <c r="BS588" s="1131"/>
      <c r="BT588" s="1131"/>
      <c r="BU588" s="1131"/>
      <c r="BV588" s="1131"/>
      <c r="BW588" s="1131"/>
      <c r="BX588" s="1131"/>
      <c r="BY588" s="1131"/>
      <c r="BZ588" s="1131"/>
      <c r="CA588" s="1131"/>
      <c r="CB588" s="1131"/>
      <c r="CC588" s="1131"/>
      <c r="CD588" s="1131"/>
      <c r="CE588" s="1131"/>
      <c r="CF588" s="1131"/>
      <c r="CG588" s="1131"/>
      <c r="CH588" s="29"/>
      <c r="CI588" s="185"/>
      <c r="CJ588" s="17"/>
    </row>
    <row r="589" spans="1:88" s="3" customFormat="1" hidden="1">
      <c r="A589" s="243" t="str">
        <f t="shared" si="10"/>
        <v>OK</v>
      </c>
      <c r="B589" s="1126" t="str">
        <f>IF(CONSOLIDA!DQ153="","",CONSOLIDA!DQ153)</f>
        <v/>
      </c>
      <c r="C589" s="1126"/>
      <c r="D589" s="1127" t="str">
        <f>IF(CONSOLIDA!DS153="","",CONSOLIDA!DS153)</f>
        <v/>
      </c>
      <c r="E589" s="1128"/>
      <c r="F589" s="1128"/>
      <c r="G589" s="1129" t="str">
        <f>IF(CONSOLIDA!DT153="","",CONSOLIDA!DT153)</f>
        <v/>
      </c>
      <c r="H589" s="1129"/>
      <c r="I589" s="1129"/>
      <c r="J589" s="1129"/>
      <c r="K589" s="1129"/>
      <c r="L589" s="1129"/>
      <c r="M589" s="1129"/>
      <c r="N589" s="1129"/>
      <c r="O589" s="1129"/>
      <c r="P589" s="1129"/>
      <c r="Q589" s="1129"/>
      <c r="R589" s="1129"/>
      <c r="S589" s="1129"/>
      <c r="T589" s="1129"/>
      <c r="U589" s="1129"/>
      <c r="V589" s="1129"/>
      <c r="W589" s="1129"/>
      <c r="X589" s="1129"/>
      <c r="Y589" s="1129"/>
      <c r="Z589" s="1129"/>
      <c r="AA589" s="1129"/>
      <c r="AB589" s="1129"/>
      <c r="AC589" s="1129"/>
      <c r="AD589" s="1129"/>
      <c r="AE589" s="1130"/>
      <c r="AF589" s="1131"/>
      <c r="AG589" s="1131"/>
      <c r="AH589" s="1131"/>
      <c r="AI589" s="1131"/>
      <c r="AJ589" s="1131"/>
      <c r="AK589" s="1131"/>
      <c r="AL589" s="1131"/>
      <c r="AM589" s="1131"/>
      <c r="AN589" s="1131"/>
      <c r="AO589" s="1131"/>
      <c r="AP589" s="1131"/>
      <c r="AQ589" s="1131"/>
      <c r="AR589" s="1131"/>
      <c r="AS589" s="1131"/>
      <c r="AT589" s="1131"/>
      <c r="AU589" s="1131"/>
      <c r="AV589" s="1131"/>
      <c r="AW589" s="1131"/>
      <c r="AX589" s="1131"/>
      <c r="AY589" s="1131"/>
      <c r="AZ589" s="1131"/>
      <c r="BA589" s="1131"/>
      <c r="BB589" s="1131"/>
      <c r="BC589" s="1131"/>
      <c r="BD589" s="1131"/>
      <c r="BE589" s="1131"/>
      <c r="BF589" s="1131"/>
      <c r="BG589" s="1131"/>
      <c r="BH589" s="1131"/>
      <c r="BI589" s="1131"/>
      <c r="BJ589" s="1131"/>
      <c r="BK589" s="1131"/>
      <c r="BL589" s="1131"/>
      <c r="BM589" s="1131"/>
      <c r="BN589" s="1131"/>
      <c r="BO589" s="1131"/>
      <c r="BP589" s="1131"/>
      <c r="BQ589" s="1131"/>
      <c r="BR589" s="1131"/>
      <c r="BS589" s="1131"/>
      <c r="BT589" s="1131"/>
      <c r="BU589" s="1131"/>
      <c r="BV589" s="1131"/>
      <c r="BW589" s="1131"/>
      <c r="BX589" s="1131"/>
      <c r="BY589" s="1131"/>
      <c r="BZ589" s="1131"/>
      <c r="CA589" s="1131"/>
      <c r="CB589" s="1131"/>
      <c r="CC589" s="1131"/>
      <c r="CD589" s="1131"/>
      <c r="CE589" s="1131"/>
      <c r="CF589" s="1131"/>
      <c r="CG589" s="1131"/>
      <c r="CH589" s="29"/>
      <c r="CI589" s="185"/>
      <c r="CJ589" s="17"/>
    </row>
    <row r="590" spans="1:88" s="3" customFormat="1" hidden="1">
      <c r="A590" s="243" t="str">
        <f t="shared" si="10"/>
        <v>OK</v>
      </c>
      <c r="B590" s="1126" t="str">
        <f>IF(CONSOLIDA!DQ154="","",CONSOLIDA!DQ154)</f>
        <v/>
      </c>
      <c r="C590" s="1126"/>
      <c r="D590" s="1127" t="str">
        <f>IF(CONSOLIDA!DS154="","",CONSOLIDA!DS154)</f>
        <v/>
      </c>
      <c r="E590" s="1128"/>
      <c r="F590" s="1128"/>
      <c r="G590" s="1129" t="str">
        <f>IF(CONSOLIDA!DT154="","",CONSOLIDA!DT154)</f>
        <v/>
      </c>
      <c r="H590" s="1129"/>
      <c r="I590" s="1129"/>
      <c r="J590" s="1129"/>
      <c r="K590" s="1129"/>
      <c r="L590" s="1129"/>
      <c r="M590" s="1129"/>
      <c r="N590" s="1129"/>
      <c r="O590" s="1129"/>
      <c r="P590" s="1129"/>
      <c r="Q590" s="1129"/>
      <c r="R590" s="1129"/>
      <c r="S590" s="1129"/>
      <c r="T590" s="1129"/>
      <c r="U590" s="1129"/>
      <c r="V590" s="1129"/>
      <c r="W590" s="1129"/>
      <c r="X590" s="1129"/>
      <c r="Y590" s="1129"/>
      <c r="Z590" s="1129"/>
      <c r="AA590" s="1129"/>
      <c r="AB590" s="1129"/>
      <c r="AC590" s="1129"/>
      <c r="AD590" s="1129"/>
      <c r="AE590" s="1130"/>
      <c r="AF590" s="1131"/>
      <c r="AG590" s="1131"/>
      <c r="AH590" s="1131"/>
      <c r="AI590" s="1131"/>
      <c r="AJ590" s="1131"/>
      <c r="AK590" s="1131"/>
      <c r="AL590" s="1131"/>
      <c r="AM590" s="1131"/>
      <c r="AN590" s="1131"/>
      <c r="AO590" s="1131"/>
      <c r="AP590" s="1131"/>
      <c r="AQ590" s="1131"/>
      <c r="AR590" s="1131"/>
      <c r="AS590" s="1131"/>
      <c r="AT590" s="1131"/>
      <c r="AU590" s="1131"/>
      <c r="AV590" s="1131"/>
      <c r="AW590" s="1131"/>
      <c r="AX590" s="1131"/>
      <c r="AY590" s="1131"/>
      <c r="AZ590" s="1131"/>
      <c r="BA590" s="1131"/>
      <c r="BB590" s="1131"/>
      <c r="BC590" s="1131"/>
      <c r="BD590" s="1131"/>
      <c r="BE590" s="1131"/>
      <c r="BF590" s="1131"/>
      <c r="BG590" s="1131"/>
      <c r="BH590" s="1131"/>
      <c r="BI590" s="1131"/>
      <c r="BJ590" s="1131"/>
      <c r="BK590" s="1131"/>
      <c r="BL590" s="1131"/>
      <c r="BM590" s="1131"/>
      <c r="BN590" s="1131"/>
      <c r="BO590" s="1131"/>
      <c r="BP590" s="1131"/>
      <c r="BQ590" s="1131"/>
      <c r="BR590" s="1131"/>
      <c r="BS590" s="1131"/>
      <c r="BT590" s="1131"/>
      <c r="BU590" s="1131"/>
      <c r="BV590" s="1131"/>
      <c r="BW590" s="1131"/>
      <c r="BX590" s="1131"/>
      <c r="BY590" s="1131"/>
      <c r="BZ590" s="1131"/>
      <c r="CA590" s="1131"/>
      <c r="CB590" s="1131"/>
      <c r="CC590" s="1131"/>
      <c r="CD590" s="1131"/>
      <c r="CE590" s="1131"/>
      <c r="CF590" s="1131"/>
      <c r="CG590" s="1131"/>
      <c r="CH590" s="29"/>
      <c r="CI590" s="185"/>
      <c r="CJ590" s="17"/>
    </row>
    <row r="591" spans="1:88" s="3" customFormat="1" hidden="1">
      <c r="A591" s="243" t="str">
        <f t="shared" si="10"/>
        <v>OK</v>
      </c>
      <c r="B591" s="1126" t="str">
        <f>IF(CONSOLIDA!DQ155="","",CONSOLIDA!DQ155)</f>
        <v/>
      </c>
      <c r="C591" s="1126"/>
      <c r="D591" s="1127" t="str">
        <f>IF(CONSOLIDA!DS155="","",CONSOLIDA!DS155)</f>
        <v/>
      </c>
      <c r="E591" s="1128"/>
      <c r="F591" s="1128"/>
      <c r="G591" s="1129" t="str">
        <f>IF(CONSOLIDA!DT155="","",CONSOLIDA!DT155)</f>
        <v/>
      </c>
      <c r="H591" s="1129"/>
      <c r="I591" s="1129"/>
      <c r="J591" s="1129"/>
      <c r="K591" s="1129"/>
      <c r="L591" s="1129"/>
      <c r="M591" s="1129"/>
      <c r="N591" s="1129"/>
      <c r="O591" s="1129"/>
      <c r="P591" s="1129"/>
      <c r="Q591" s="1129"/>
      <c r="R591" s="1129"/>
      <c r="S591" s="1129"/>
      <c r="T591" s="1129"/>
      <c r="U591" s="1129"/>
      <c r="V591" s="1129"/>
      <c r="W591" s="1129"/>
      <c r="X591" s="1129"/>
      <c r="Y591" s="1129"/>
      <c r="Z591" s="1129"/>
      <c r="AA591" s="1129"/>
      <c r="AB591" s="1129"/>
      <c r="AC591" s="1129"/>
      <c r="AD591" s="1129"/>
      <c r="AE591" s="1130"/>
      <c r="AF591" s="1131"/>
      <c r="AG591" s="1131"/>
      <c r="AH591" s="1131"/>
      <c r="AI591" s="1131"/>
      <c r="AJ591" s="1131"/>
      <c r="AK591" s="1131"/>
      <c r="AL591" s="1131"/>
      <c r="AM591" s="1131"/>
      <c r="AN591" s="1131"/>
      <c r="AO591" s="1131"/>
      <c r="AP591" s="1131"/>
      <c r="AQ591" s="1131"/>
      <c r="AR591" s="1131"/>
      <c r="AS591" s="1131"/>
      <c r="AT591" s="1131"/>
      <c r="AU591" s="1131"/>
      <c r="AV591" s="1131"/>
      <c r="AW591" s="1131"/>
      <c r="AX591" s="1131"/>
      <c r="AY591" s="1131"/>
      <c r="AZ591" s="1131"/>
      <c r="BA591" s="1131"/>
      <c r="BB591" s="1131"/>
      <c r="BC591" s="1131"/>
      <c r="BD591" s="1131"/>
      <c r="BE591" s="1131"/>
      <c r="BF591" s="1131"/>
      <c r="BG591" s="1131"/>
      <c r="BH591" s="1131"/>
      <c r="BI591" s="1131"/>
      <c r="BJ591" s="1131"/>
      <c r="BK591" s="1131"/>
      <c r="BL591" s="1131"/>
      <c r="BM591" s="1131"/>
      <c r="BN591" s="1131"/>
      <c r="BO591" s="1131"/>
      <c r="BP591" s="1131"/>
      <c r="BQ591" s="1131"/>
      <c r="BR591" s="1131"/>
      <c r="BS591" s="1131"/>
      <c r="BT591" s="1131"/>
      <c r="BU591" s="1131"/>
      <c r="BV591" s="1131"/>
      <c r="BW591" s="1131"/>
      <c r="BX591" s="1131"/>
      <c r="BY591" s="1131"/>
      <c r="BZ591" s="1131"/>
      <c r="CA591" s="1131"/>
      <c r="CB591" s="1131"/>
      <c r="CC591" s="1131"/>
      <c r="CD591" s="1131"/>
      <c r="CE591" s="1131"/>
      <c r="CF591" s="1131"/>
      <c r="CG591" s="1131"/>
      <c r="CH591" s="29"/>
      <c r="CI591" s="185"/>
      <c r="CJ591" s="17"/>
    </row>
    <row r="592" spans="1:88" s="3" customFormat="1" hidden="1">
      <c r="A592" s="243" t="str">
        <f t="shared" si="10"/>
        <v>OK</v>
      </c>
      <c r="B592" s="1126" t="str">
        <f>IF(CONSOLIDA!DQ156="","",CONSOLIDA!DQ156)</f>
        <v/>
      </c>
      <c r="C592" s="1126"/>
      <c r="D592" s="1127" t="str">
        <f>IF(CONSOLIDA!DS156="","",CONSOLIDA!DS156)</f>
        <v/>
      </c>
      <c r="E592" s="1128"/>
      <c r="F592" s="1128"/>
      <c r="G592" s="1129" t="str">
        <f>IF(CONSOLIDA!DT156="","",CONSOLIDA!DT156)</f>
        <v/>
      </c>
      <c r="H592" s="1129"/>
      <c r="I592" s="1129"/>
      <c r="J592" s="1129"/>
      <c r="K592" s="1129"/>
      <c r="L592" s="1129"/>
      <c r="M592" s="1129"/>
      <c r="N592" s="1129"/>
      <c r="O592" s="1129"/>
      <c r="P592" s="1129"/>
      <c r="Q592" s="1129"/>
      <c r="R592" s="1129"/>
      <c r="S592" s="1129"/>
      <c r="T592" s="1129"/>
      <c r="U592" s="1129"/>
      <c r="V592" s="1129"/>
      <c r="W592" s="1129"/>
      <c r="X592" s="1129"/>
      <c r="Y592" s="1129"/>
      <c r="Z592" s="1129"/>
      <c r="AA592" s="1129"/>
      <c r="AB592" s="1129"/>
      <c r="AC592" s="1129"/>
      <c r="AD592" s="1129"/>
      <c r="AE592" s="1130"/>
      <c r="AF592" s="1131"/>
      <c r="AG592" s="1131"/>
      <c r="AH592" s="1131"/>
      <c r="AI592" s="1131"/>
      <c r="AJ592" s="1131"/>
      <c r="AK592" s="1131"/>
      <c r="AL592" s="1131"/>
      <c r="AM592" s="1131"/>
      <c r="AN592" s="1131"/>
      <c r="AO592" s="1131"/>
      <c r="AP592" s="1131"/>
      <c r="AQ592" s="1131"/>
      <c r="AR592" s="1131"/>
      <c r="AS592" s="1131"/>
      <c r="AT592" s="1131"/>
      <c r="AU592" s="1131"/>
      <c r="AV592" s="1131"/>
      <c r="AW592" s="1131"/>
      <c r="AX592" s="1131"/>
      <c r="AY592" s="1131"/>
      <c r="AZ592" s="1131"/>
      <c r="BA592" s="1131"/>
      <c r="BB592" s="1131"/>
      <c r="BC592" s="1131"/>
      <c r="BD592" s="1131"/>
      <c r="BE592" s="1131"/>
      <c r="BF592" s="1131"/>
      <c r="BG592" s="1131"/>
      <c r="BH592" s="1131"/>
      <c r="BI592" s="1131"/>
      <c r="BJ592" s="1131"/>
      <c r="BK592" s="1131"/>
      <c r="BL592" s="1131"/>
      <c r="BM592" s="1131"/>
      <c r="BN592" s="1131"/>
      <c r="BO592" s="1131"/>
      <c r="BP592" s="1131"/>
      <c r="BQ592" s="1131"/>
      <c r="BR592" s="1131"/>
      <c r="BS592" s="1131"/>
      <c r="BT592" s="1131"/>
      <c r="BU592" s="1131"/>
      <c r="BV592" s="1131"/>
      <c r="BW592" s="1131"/>
      <c r="BX592" s="1131"/>
      <c r="BY592" s="1131"/>
      <c r="BZ592" s="1131"/>
      <c r="CA592" s="1131"/>
      <c r="CB592" s="1131"/>
      <c r="CC592" s="1131"/>
      <c r="CD592" s="1131"/>
      <c r="CE592" s="1131"/>
      <c r="CF592" s="1131"/>
      <c r="CG592" s="1131"/>
      <c r="CH592" s="29"/>
      <c r="CI592" s="185"/>
      <c r="CJ592" s="17"/>
    </row>
    <row r="593" spans="1:88" s="3" customFormat="1" hidden="1">
      <c r="A593" s="243" t="str">
        <f t="shared" si="10"/>
        <v>OK</v>
      </c>
      <c r="B593" s="1126" t="str">
        <f>IF(CONSOLIDA!DQ157="","",CONSOLIDA!DQ157)</f>
        <v/>
      </c>
      <c r="C593" s="1126"/>
      <c r="D593" s="1127" t="str">
        <f>IF(CONSOLIDA!DS157="","",CONSOLIDA!DS157)</f>
        <v/>
      </c>
      <c r="E593" s="1128"/>
      <c r="F593" s="1128"/>
      <c r="G593" s="1129" t="str">
        <f>IF(CONSOLIDA!DT157="","",CONSOLIDA!DT157)</f>
        <v/>
      </c>
      <c r="H593" s="1129"/>
      <c r="I593" s="1129"/>
      <c r="J593" s="1129"/>
      <c r="K593" s="1129"/>
      <c r="L593" s="1129"/>
      <c r="M593" s="1129"/>
      <c r="N593" s="1129"/>
      <c r="O593" s="1129"/>
      <c r="P593" s="1129"/>
      <c r="Q593" s="1129"/>
      <c r="R593" s="1129"/>
      <c r="S593" s="1129"/>
      <c r="T593" s="1129"/>
      <c r="U593" s="1129"/>
      <c r="V593" s="1129"/>
      <c r="W593" s="1129"/>
      <c r="X593" s="1129"/>
      <c r="Y593" s="1129"/>
      <c r="Z593" s="1129"/>
      <c r="AA593" s="1129"/>
      <c r="AB593" s="1129"/>
      <c r="AC593" s="1129"/>
      <c r="AD593" s="1129"/>
      <c r="AE593" s="1130"/>
      <c r="AF593" s="1131"/>
      <c r="AG593" s="1131"/>
      <c r="AH593" s="1131"/>
      <c r="AI593" s="1131"/>
      <c r="AJ593" s="1131"/>
      <c r="AK593" s="1131"/>
      <c r="AL593" s="1131"/>
      <c r="AM593" s="1131"/>
      <c r="AN593" s="1131"/>
      <c r="AO593" s="1131"/>
      <c r="AP593" s="1131"/>
      <c r="AQ593" s="1131"/>
      <c r="AR593" s="1131"/>
      <c r="AS593" s="1131"/>
      <c r="AT593" s="1131"/>
      <c r="AU593" s="1131"/>
      <c r="AV593" s="1131"/>
      <c r="AW593" s="1131"/>
      <c r="AX593" s="1131"/>
      <c r="AY593" s="1131"/>
      <c r="AZ593" s="1131"/>
      <c r="BA593" s="1131"/>
      <c r="BB593" s="1131"/>
      <c r="BC593" s="1131"/>
      <c r="BD593" s="1131"/>
      <c r="BE593" s="1131"/>
      <c r="BF593" s="1131"/>
      <c r="BG593" s="1131"/>
      <c r="BH593" s="1131"/>
      <c r="BI593" s="1131"/>
      <c r="BJ593" s="1131"/>
      <c r="BK593" s="1131"/>
      <c r="BL593" s="1131"/>
      <c r="BM593" s="1131"/>
      <c r="BN593" s="1131"/>
      <c r="BO593" s="1131"/>
      <c r="BP593" s="1131"/>
      <c r="BQ593" s="1131"/>
      <c r="BR593" s="1131"/>
      <c r="BS593" s="1131"/>
      <c r="BT593" s="1131"/>
      <c r="BU593" s="1131"/>
      <c r="BV593" s="1131"/>
      <c r="BW593" s="1131"/>
      <c r="BX593" s="1131"/>
      <c r="BY593" s="1131"/>
      <c r="BZ593" s="1131"/>
      <c r="CA593" s="1131"/>
      <c r="CB593" s="1131"/>
      <c r="CC593" s="1131"/>
      <c r="CD593" s="1131"/>
      <c r="CE593" s="1131"/>
      <c r="CF593" s="1131"/>
      <c r="CG593" s="1131"/>
      <c r="CH593" s="29"/>
      <c r="CI593" s="185"/>
      <c r="CJ593" s="17"/>
    </row>
    <row r="594" spans="1:88" s="3" customFormat="1" hidden="1">
      <c r="A594" s="243" t="str">
        <f t="shared" si="10"/>
        <v>OK</v>
      </c>
      <c r="B594" s="1126" t="str">
        <f>IF(CONSOLIDA!DQ158="","",CONSOLIDA!DQ158)</f>
        <v/>
      </c>
      <c r="C594" s="1126"/>
      <c r="D594" s="1127" t="str">
        <f>IF(CONSOLIDA!DS158="","",CONSOLIDA!DS158)</f>
        <v/>
      </c>
      <c r="E594" s="1128"/>
      <c r="F594" s="1128"/>
      <c r="G594" s="1129" t="str">
        <f>IF(CONSOLIDA!DT158="","",CONSOLIDA!DT158)</f>
        <v/>
      </c>
      <c r="H594" s="1129"/>
      <c r="I594" s="1129"/>
      <c r="J594" s="1129"/>
      <c r="K594" s="1129"/>
      <c r="L594" s="1129"/>
      <c r="M594" s="1129"/>
      <c r="N594" s="1129"/>
      <c r="O594" s="1129"/>
      <c r="P594" s="1129"/>
      <c r="Q594" s="1129"/>
      <c r="R594" s="1129"/>
      <c r="S594" s="1129"/>
      <c r="T594" s="1129"/>
      <c r="U594" s="1129"/>
      <c r="V594" s="1129"/>
      <c r="W594" s="1129"/>
      <c r="X594" s="1129"/>
      <c r="Y594" s="1129"/>
      <c r="Z594" s="1129"/>
      <c r="AA594" s="1129"/>
      <c r="AB594" s="1129"/>
      <c r="AC594" s="1129"/>
      <c r="AD594" s="1129"/>
      <c r="AE594" s="1130"/>
      <c r="AF594" s="1131"/>
      <c r="AG594" s="1131"/>
      <c r="AH594" s="1131"/>
      <c r="AI594" s="1131"/>
      <c r="AJ594" s="1131"/>
      <c r="AK594" s="1131"/>
      <c r="AL594" s="1131"/>
      <c r="AM594" s="1131"/>
      <c r="AN594" s="1131"/>
      <c r="AO594" s="1131"/>
      <c r="AP594" s="1131"/>
      <c r="AQ594" s="1131"/>
      <c r="AR594" s="1131"/>
      <c r="AS594" s="1131"/>
      <c r="AT594" s="1131"/>
      <c r="AU594" s="1131"/>
      <c r="AV594" s="1131"/>
      <c r="AW594" s="1131"/>
      <c r="AX594" s="1131"/>
      <c r="AY594" s="1131"/>
      <c r="AZ594" s="1131"/>
      <c r="BA594" s="1131"/>
      <c r="BB594" s="1131"/>
      <c r="BC594" s="1131"/>
      <c r="BD594" s="1131"/>
      <c r="BE594" s="1131"/>
      <c r="BF594" s="1131"/>
      <c r="BG594" s="1131"/>
      <c r="BH594" s="1131"/>
      <c r="BI594" s="1131"/>
      <c r="BJ594" s="1131"/>
      <c r="BK594" s="1131"/>
      <c r="BL594" s="1131"/>
      <c r="BM594" s="1131"/>
      <c r="BN594" s="1131"/>
      <c r="BO594" s="1131"/>
      <c r="BP594" s="1131"/>
      <c r="BQ594" s="1131"/>
      <c r="BR594" s="1131"/>
      <c r="BS594" s="1131"/>
      <c r="BT594" s="1131"/>
      <c r="BU594" s="1131"/>
      <c r="BV594" s="1131"/>
      <c r="BW594" s="1131"/>
      <c r="BX594" s="1131"/>
      <c r="BY594" s="1131"/>
      <c r="BZ594" s="1131"/>
      <c r="CA594" s="1131"/>
      <c r="CB594" s="1131"/>
      <c r="CC594" s="1131"/>
      <c r="CD594" s="1131"/>
      <c r="CE594" s="1131"/>
      <c r="CF594" s="1131"/>
      <c r="CG594" s="1131"/>
      <c r="CH594" s="29"/>
      <c r="CI594" s="185"/>
      <c r="CJ594" s="17"/>
    </row>
    <row r="595" spans="1:88" s="3" customFormat="1" hidden="1">
      <c r="A595" s="243" t="str">
        <f t="shared" si="10"/>
        <v>OK</v>
      </c>
      <c r="B595" s="1126" t="str">
        <f>IF(CONSOLIDA!DQ159="","",CONSOLIDA!DQ159)</f>
        <v/>
      </c>
      <c r="C595" s="1126"/>
      <c r="D595" s="1127" t="str">
        <f>IF(CONSOLIDA!DS159="","",CONSOLIDA!DS159)</f>
        <v/>
      </c>
      <c r="E595" s="1128"/>
      <c r="F595" s="1128"/>
      <c r="G595" s="1129" t="str">
        <f>IF(CONSOLIDA!DT159="","",CONSOLIDA!DT159)</f>
        <v/>
      </c>
      <c r="H595" s="1129"/>
      <c r="I595" s="1129"/>
      <c r="J595" s="1129"/>
      <c r="K595" s="1129"/>
      <c r="L595" s="1129"/>
      <c r="M595" s="1129"/>
      <c r="N595" s="1129"/>
      <c r="O595" s="1129"/>
      <c r="P595" s="1129"/>
      <c r="Q595" s="1129"/>
      <c r="R595" s="1129"/>
      <c r="S595" s="1129"/>
      <c r="T595" s="1129"/>
      <c r="U595" s="1129"/>
      <c r="V595" s="1129"/>
      <c r="W595" s="1129"/>
      <c r="X595" s="1129"/>
      <c r="Y595" s="1129"/>
      <c r="Z595" s="1129"/>
      <c r="AA595" s="1129"/>
      <c r="AB595" s="1129"/>
      <c r="AC595" s="1129"/>
      <c r="AD595" s="1129"/>
      <c r="AE595" s="1130"/>
      <c r="AF595" s="1131"/>
      <c r="AG595" s="1131"/>
      <c r="AH595" s="1131"/>
      <c r="AI595" s="1131"/>
      <c r="AJ595" s="1131"/>
      <c r="AK595" s="1131"/>
      <c r="AL595" s="1131"/>
      <c r="AM595" s="1131"/>
      <c r="AN595" s="1131"/>
      <c r="AO595" s="1131"/>
      <c r="AP595" s="1131"/>
      <c r="AQ595" s="1131"/>
      <c r="AR595" s="1131"/>
      <c r="AS595" s="1131"/>
      <c r="AT595" s="1131"/>
      <c r="AU595" s="1131"/>
      <c r="AV595" s="1131"/>
      <c r="AW595" s="1131"/>
      <c r="AX595" s="1131"/>
      <c r="AY595" s="1131"/>
      <c r="AZ595" s="1131"/>
      <c r="BA595" s="1131"/>
      <c r="BB595" s="1131"/>
      <c r="BC595" s="1131"/>
      <c r="BD595" s="1131"/>
      <c r="BE595" s="1131"/>
      <c r="BF595" s="1131"/>
      <c r="BG595" s="1131"/>
      <c r="BH595" s="1131"/>
      <c r="BI595" s="1131"/>
      <c r="BJ595" s="1131"/>
      <c r="BK595" s="1131"/>
      <c r="BL595" s="1131"/>
      <c r="BM595" s="1131"/>
      <c r="BN595" s="1131"/>
      <c r="BO595" s="1131"/>
      <c r="BP595" s="1131"/>
      <c r="BQ595" s="1131"/>
      <c r="BR595" s="1131"/>
      <c r="BS595" s="1131"/>
      <c r="BT595" s="1131"/>
      <c r="BU595" s="1131"/>
      <c r="BV595" s="1131"/>
      <c r="BW595" s="1131"/>
      <c r="BX595" s="1131"/>
      <c r="BY595" s="1131"/>
      <c r="BZ595" s="1131"/>
      <c r="CA595" s="1131"/>
      <c r="CB595" s="1131"/>
      <c r="CC595" s="1131"/>
      <c r="CD595" s="1131"/>
      <c r="CE595" s="1131"/>
      <c r="CF595" s="1131"/>
      <c r="CG595" s="1131"/>
      <c r="CH595" s="29"/>
      <c r="CI595" s="185"/>
      <c r="CJ595" s="17"/>
    </row>
    <row r="596" spans="1:88" s="3" customFormat="1" hidden="1">
      <c r="A596" s="243" t="str">
        <f t="shared" si="10"/>
        <v>OK</v>
      </c>
      <c r="B596" s="1126" t="str">
        <f>IF(CONSOLIDA!DQ160="","",CONSOLIDA!DQ160)</f>
        <v/>
      </c>
      <c r="C596" s="1126"/>
      <c r="D596" s="1127" t="str">
        <f>IF(CONSOLIDA!DS160="","",CONSOLIDA!DS160)</f>
        <v/>
      </c>
      <c r="E596" s="1128"/>
      <c r="F596" s="1128"/>
      <c r="G596" s="1129" t="str">
        <f>IF(CONSOLIDA!DT160="","",CONSOLIDA!DT160)</f>
        <v/>
      </c>
      <c r="H596" s="1129"/>
      <c r="I596" s="1129"/>
      <c r="J596" s="1129"/>
      <c r="K596" s="1129"/>
      <c r="L596" s="1129"/>
      <c r="M596" s="1129"/>
      <c r="N596" s="1129"/>
      <c r="O596" s="1129"/>
      <c r="P596" s="1129"/>
      <c r="Q596" s="1129"/>
      <c r="R596" s="1129"/>
      <c r="S596" s="1129"/>
      <c r="T596" s="1129"/>
      <c r="U596" s="1129"/>
      <c r="V596" s="1129"/>
      <c r="W596" s="1129"/>
      <c r="X596" s="1129"/>
      <c r="Y596" s="1129"/>
      <c r="Z596" s="1129"/>
      <c r="AA596" s="1129"/>
      <c r="AB596" s="1129"/>
      <c r="AC596" s="1129"/>
      <c r="AD596" s="1129"/>
      <c r="AE596" s="1130"/>
      <c r="AF596" s="1131"/>
      <c r="AG596" s="1131"/>
      <c r="AH596" s="1131"/>
      <c r="AI596" s="1131"/>
      <c r="AJ596" s="1131"/>
      <c r="AK596" s="1131"/>
      <c r="AL596" s="1131"/>
      <c r="AM596" s="1131"/>
      <c r="AN596" s="1131"/>
      <c r="AO596" s="1131"/>
      <c r="AP596" s="1131"/>
      <c r="AQ596" s="1131"/>
      <c r="AR596" s="1131"/>
      <c r="AS596" s="1131"/>
      <c r="AT596" s="1131"/>
      <c r="AU596" s="1131"/>
      <c r="AV596" s="1131"/>
      <c r="AW596" s="1131"/>
      <c r="AX596" s="1131"/>
      <c r="AY596" s="1131"/>
      <c r="AZ596" s="1131"/>
      <c r="BA596" s="1131"/>
      <c r="BB596" s="1131"/>
      <c r="BC596" s="1131"/>
      <c r="BD596" s="1131"/>
      <c r="BE596" s="1131"/>
      <c r="BF596" s="1131"/>
      <c r="BG596" s="1131"/>
      <c r="BH596" s="1131"/>
      <c r="BI596" s="1131"/>
      <c r="BJ596" s="1131"/>
      <c r="BK596" s="1131"/>
      <c r="BL596" s="1131"/>
      <c r="BM596" s="1131"/>
      <c r="BN596" s="1131"/>
      <c r="BO596" s="1131"/>
      <c r="BP596" s="1131"/>
      <c r="BQ596" s="1131"/>
      <c r="BR596" s="1131"/>
      <c r="BS596" s="1131"/>
      <c r="BT596" s="1131"/>
      <c r="BU596" s="1131"/>
      <c r="BV596" s="1131"/>
      <c r="BW596" s="1131"/>
      <c r="BX596" s="1131"/>
      <c r="BY596" s="1131"/>
      <c r="BZ596" s="1131"/>
      <c r="CA596" s="1131"/>
      <c r="CB596" s="1131"/>
      <c r="CC596" s="1131"/>
      <c r="CD596" s="1131"/>
      <c r="CE596" s="1131"/>
      <c r="CF596" s="1131"/>
      <c r="CG596" s="1131"/>
      <c r="CH596" s="29"/>
      <c r="CI596" s="185"/>
      <c r="CJ596" s="17"/>
    </row>
    <row r="597" spans="1:88" s="3" customFormat="1" hidden="1">
      <c r="A597" s="243" t="str">
        <f t="shared" si="10"/>
        <v>OK</v>
      </c>
      <c r="B597" s="1126" t="str">
        <f>IF(CONSOLIDA!DQ161="","",CONSOLIDA!DQ161)</f>
        <v/>
      </c>
      <c r="C597" s="1126"/>
      <c r="D597" s="1127" t="str">
        <f>IF(CONSOLIDA!DS161="","",CONSOLIDA!DS161)</f>
        <v/>
      </c>
      <c r="E597" s="1128"/>
      <c r="F597" s="1128"/>
      <c r="G597" s="1129" t="str">
        <f>IF(CONSOLIDA!DT161="","",CONSOLIDA!DT161)</f>
        <v/>
      </c>
      <c r="H597" s="1129"/>
      <c r="I597" s="1129"/>
      <c r="J597" s="1129"/>
      <c r="K597" s="1129"/>
      <c r="L597" s="1129"/>
      <c r="M597" s="1129"/>
      <c r="N597" s="1129"/>
      <c r="O597" s="1129"/>
      <c r="P597" s="1129"/>
      <c r="Q597" s="1129"/>
      <c r="R597" s="1129"/>
      <c r="S597" s="1129"/>
      <c r="T597" s="1129"/>
      <c r="U597" s="1129"/>
      <c r="V597" s="1129"/>
      <c r="W597" s="1129"/>
      <c r="X597" s="1129"/>
      <c r="Y597" s="1129"/>
      <c r="Z597" s="1129"/>
      <c r="AA597" s="1129"/>
      <c r="AB597" s="1129"/>
      <c r="AC597" s="1129"/>
      <c r="AD597" s="1129"/>
      <c r="AE597" s="1130"/>
      <c r="AF597" s="1131"/>
      <c r="AG597" s="1131"/>
      <c r="AH597" s="1131"/>
      <c r="AI597" s="1131"/>
      <c r="AJ597" s="1131"/>
      <c r="AK597" s="1131"/>
      <c r="AL597" s="1131"/>
      <c r="AM597" s="1131"/>
      <c r="AN597" s="1131"/>
      <c r="AO597" s="1131"/>
      <c r="AP597" s="1131"/>
      <c r="AQ597" s="1131"/>
      <c r="AR597" s="1131"/>
      <c r="AS597" s="1131"/>
      <c r="AT597" s="1131"/>
      <c r="AU597" s="1131"/>
      <c r="AV597" s="1131"/>
      <c r="AW597" s="1131"/>
      <c r="AX597" s="1131"/>
      <c r="AY597" s="1131"/>
      <c r="AZ597" s="1131"/>
      <c r="BA597" s="1131"/>
      <c r="BB597" s="1131"/>
      <c r="BC597" s="1131"/>
      <c r="BD597" s="1131"/>
      <c r="BE597" s="1131"/>
      <c r="BF597" s="1131"/>
      <c r="BG597" s="1131"/>
      <c r="BH597" s="1131"/>
      <c r="BI597" s="1131"/>
      <c r="BJ597" s="1131"/>
      <c r="BK597" s="1131"/>
      <c r="BL597" s="1131"/>
      <c r="BM597" s="1131"/>
      <c r="BN597" s="1131"/>
      <c r="BO597" s="1131"/>
      <c r="BP597" s="1131"/>
      <c r="BQ597" s="1131"/>
      <c r="BR597" s="1131"/>
      <c r="BS597" s="1131"/>
      <c r="BT597" s="1131"/>
      <c r="BU597" s="1131"/>
      <c r="BV597" s="1131"/>
      <c r="BW597" s="1131"/>
      <c r="BX597" s="1131"/>
      <c r="BY597" s="1131"/>
      <c r="BZ597" s="1131"/>
      <c r="CA597" s="1131"/>
      <c r="CB597" s="1131"/>
      <c r="CC597" s="1131"/>
      <c r="CD597" s="1131"/>
      <c r="CE597" s="1131"/>
      <c r="CF597" s="1131"/>
      <c r="CG597" s="1131"/>
      <c r="CH597" s="29"/>
      <c r="CI597" s="185"/>
      <c r="CJ597" s="17"/>
    </row>
    <row r="598" spans="1:88" s="3" customFormat="1" hidden="1">
      <c r="A598" s="243" t="str">
        <f t="shared" si="10"/>
        <v>OK</v>
      </c>
      <c r="B598" s="1126" t="str">
        <f>IF(CONSOLIDA!DQ162="","",CONSOLIDA!DQ162)</f>
        <v/>
      </c>
      <c r="C598" s="1126"/>
      <c r="D598" s="1127" t="str">
        <f>IF(CONSOLIDA!DS162="","",CONSOLIDA!DS162)</f>
        <v/>
      </c>
      <c r="E598" s="1128"/>
      <c r="F598" s="1128"/>
      <c r="G598" s="1129" t="str">
        <f>IF(CONSOLIDA!DT162="","",CONSOLIDA!DT162)</f>
        <v/>
      </c>
      <c r="H598" s="1129"/>
      <c r="I598" s="1129"/>
      <c r="J598" s="1129"/>
      <c r="K598" s="1129"/>
      <c r="L598" s="1129"/>
      <c r="M598" s="1129"/>
      <c r="N598" s="1129"/>
      <c r="O598" s="1129"/>
      <c r="P598" s="1129"/>
      <c r="Q598" s="1129"/>
      <c r="R598" s="1129"/>
      <c r="S598" s="1129"/>
      <c r="T598" s="1129"/>
      <c r="U598" s="1129"/>
      <c r="V598" s="1129"/>
      <c r="W598" s="1129"/>
      <c r="X598" s="1129"/>
      <c r="Y598" s="1129"/>
      <c r="Z598" s="1129"/>
      <c r="AA598" s="1129"/>
      <c r="AB598" s="1129"/>
      <c r="AC598" s="1129"/>
      <c r="AD598" s="1129"/>
      <c r="AE598" s="1130"/>
      <c r="AF598" s="1131"/>
      <c r="AG598" s="1131"/>
      <c r="AH598" s="1131"/>
      <c r="AI598" s="1131"/>
      <c r="AJ598" s="1131"/>
      <c r="AK598" s="1131"/>
      <c r="AL598" s="1131"/>
      <c r="AM598" s="1131"/>
      <c r="AN598" s="1131"/>
      <c r="AO598" s="1131"/>
      <c r="AP598" s="1131"/>
      <c r="AQ598" s="1131"/>
      <c r="AR598" s="1131"/>
      <c r="AS598" s="1131"/>
      <c r="AT598" s="1131"/>
      <c r="AU598" s="1131"/>
      <c r="AV598" s="1131"/>
      <c r="AW598" s="1131"/>
      <c r="AX598" s="1131"/>
      <c r="AY598" s="1131"/>
      <c r="AZ598" s="1131"/>
      <c r="BA598" s="1131"/>
      <c r="BB598" s="1131"/>
      <c r="BC598" s="1131"/>
      <c r="BD598" s="1131"/>
      <c r="BE598" s="1131"/>
      <c r="BF598" s="1131"/>
      <c r="BG598" s="1131"/>
      <c r="BH598" s="1131"/>
      <c r="BI598" s="1131"/>
      <c r="BJ598" s="1131"/>
      <c r="BK598" s="1131"/>
      <c r="BL598" s="1131"/>
      <c r="BM598" s="1131"/>
      <c r="BN598" s="1131"/>
      <c r="BO598" s="1131"/>
      <c r="BP598" s="1131"/>
      <c r="BQ598" s="1131"/>
      <c r="BR598" s="1131"/>
      <c r="BS598" s="1131"/>
      <c r="BT598" s="1131"/>
      <c r="BU598" s="1131"/>
      <c r="BV598" s="1131"/>
      <c r="BW598" s="1131"/>
      <c r="BX598" s="1131"/>
      <c r="BY598" s="1131"/>
      <c r="BZ598" s="1131"/>
      <c r="CA598" s="1131"/>
      <c r="CB598" s="1131"/>
      <c r="CC598" s="1131"/>
      <c r="CD598" s="1131"/>
      <c r="CE598" s="1131"/>
      <c r="CF598" s="1131"/>
      <c r="CG598" s="1131"/>
      <c r="CH598" s="29"/>
      <c r="CI598" s="185"/>
      <c r="CJ598" s="17"/>
    </row>
    <row r="599" spans="1:88" s="3" customFormat="1" hidden="1">
      <c r="A599" s="243" t="str">
        <f t="shared" si="10"/>
        <v>OK</v>
      </c>
      <c r="B599" s="1126" t="str">
        <f>IF(CONSOLIDA!DQ163="","",CONSOLIDA!DQ163)</f>
        <v/>
      </c>
      <c r="C599" s="1126"/>
      <c r="D599" s="1127" t="str">
        <f>IF(CONSOLIDA!DS163="","",CONSOLIDA!DS163)</f>
        <v/>
      </c>
      <c r="E599" s="1128"/>
      <c r="F599" s="1128"/>
      <c r="G599" s="1129" t="str">
        <f>IF(CONSOLIDA!DT163="","",CONSOLIDA!DT163)</f>
        <v/>
      </c>
      <c r="H599" s="1129"/>
      <c r="I599" s="1129"/>
      <c r="J599" s="1129"/>
      <c r="K599" s="1129"/>
      <c r="L599" s="1129"/>
      <c r="M599" s="1129"/>
      <c r="N599" s="1129"/>
      <c r="O599" s="1129"/>
      <c r="P599" s="1129"/>
      <c r="Q599" s="1129"/>
      <c r="R599" s="1129"/>
      <c r="S599" s="1129"/>
      <c r="T599" s="1129"/>
      <c r="U599" s="1129"/>
      <c r="V599" s="1129"/>
      <c r="W599" s="1129"/>
      <c r="X599" s="1129"/>
      <c r="Y599" s="1129"/>
      <c r="Z599" s="1129"/>
      <c r="AA599" s="1129"/>
      <c r="AB599" s="1129"/>
      <c r="AC599" s="1129"/>
      <c r="AD599" s="1129"/>
      <c r="AE599" s="1130"/>
      <c r="AF599" s="1131"/>
      <c r="AG599" s="1131"/>
      <c r="AH599" s="1131"/>
      <c r="AI599" s="1131"/>
      <c r="AJ599" s="1131"/>
      <c r="AK599" s="1131"/>
      <c r="AL599" s="1131"/>
      <c r="AM599" s="1131"/>
      <c r="AN599" s="1131"/>
      <c r="AO599" s="1131"/>
      <c r="AP599" s="1131"/>
      <c r="AQ599" s="1131"/>
      <c r="AR599" s="1131"/>
      <c r="AS599" s="1131"/>
      <c r="AT599" s="1131"/>
      <c r="AU599" s="1131"/>
      <c r="AV599" s="1131"/>
      <c r="AW599" s="1131"/>
      <c r="AX599" s="1131"/>
      <c r="AY599" s="1131"/>
      <c r="AZ599" s="1131"/>
      <c r="BA599" s="1131"/>
      <c r="BB599" s="1131"/>
      <c r="BC599" s="1131"/>
      <c r="BD599" s="1131"/>
      <c r="BE599" s="1131"/>
      <c r="BF599" s="1131"/>
      <c r="BG599" s="1131"/>
      <c r="BH599" s="1131"/>
      <c r="BI599" s="1131"/>
      <c r="BJ599" s="1131"/>
      <c r="BK599" s="1131"/>
      <c r="BL599" s="1131"/>
      <c r="BM599" s="1131"/>
      <c r="BN599" s="1131"/>
      <c r="BO599" s="1131"/>
      <c r="BP599" s="1131"/>
      <c r="BQ599" s="1131"/>
      <c r="BR599" s="1131"/>
      <c r="BS599" s="1131"/>
      <c r="BT599" s="1131"/>
      <c r="BU599" s="1131"/>
      <c r="BV599" s="1131"/>
      <c r="BW599" s="1131"/>
      <c r="BX599" s="1131"/>
      <c r="BY599" s="1131"/>
      <c r="BZ599" s="1131"/>
      <c r="CA599" s="1131"/>
      <c r="CB599" s="1131"/>
      <c r="CC599" s="1131"/>
      <c r="CD599" s="1131"/>
      <c r="CE599" s="1131"/>
      <c r="CF599" s="1131"/>
      <c r="CG599" s="1131"/>
      <c r="CH599" s="29"/>
      <c r="CI599" s="185"/>
      <c r="CJ599" s="17"/>
    </row>
    <row r="600" spans="1:88" s="3" customFormat="1" hidden="1">
      <c r="A600" s="243" t="str">
        <f t="shared" si="10"/>
        <v>OK</v>
      </c>
      <c r="B600" s="1126" t="str">
        <f>IF(CONSOLIDA!DQ164="","",CONSOLIDA!DQ164)</f>
        <v/>
      </c>
      <c r="C600" s="1126"/>
      <c r="D600" s="1127" t="str">
        <f>IF(CONSOLIDA!DS164="","",CONSOLIDA!DS164)</f>
        <v/>
      </c>
      <c r="E600" s="1128"/>
      <c r="F600" s="1128"/>
      <c r="G600" s="1129" t="str">
        <f>IF(CONSOLIDA!DT164="","",CONSOLIDA!DT164)</f>
        <v/>
      </c>
      <c r="H600" s="1129"/>
      <c r="I600" s="1129"/>
      <c r="J600" s="1129"/>
      <c r="K600" s="1129"/>
      <c r="L600" s="1129"/>
      <c r="M600" s="1129"/>
      <c r="N600" s="1129"/>
      <c r="O600" s="1129"/>
      <c r="P600" s="1129"/>
      <c r="Q600" s="1129"/>
      <c r="R600" s="1129"/>
      <c r="S600" s="1129"/>
      <c r="T600" s="1129"/>
      <c r="U600" s="1129"/>
      <c r="V600" s="1129"/>
      <c r="W600" s="1129"/>
      <c r="X600" s="1129"/>
      <c r="Y600" s="1129"/>
      <c r="Z600" s="1129"/>
      <c r="AA600" s="1129"/>
      <c r="AB600" s="1129"/>
      <c r="AC600" s="1129"/>
      <c r="AD600" s="1129"/>
      <c r="AE600" s="1130"/>
      <c r="AF600" s="1131"/>
      <c r="AG600" s="1131"/>
      <c r="AH600" s="1131"/>
      <c r="AI600" s="1131"/>
      <c r="AJ600" s="1131"/>
      <c r="AK600" s="1131"/>
      <c r="AL600" s="1131"/>
      <c r="AM600" s="1131"/>
      <c r="AN600" s="1131"/>
      <c r="AO600" s="1131"/>
      <c r="AP600" s="1131"/>
      <c r="AQ600" s="1131"/>
      <c r="AR600" s="1131"/>
      <c r="AS600" s="1131"/>
      <c r="AT600" s="1131"/>
      <c r="AU600" s="1131"/>
      <c r="AV600" s="1131"/>
      <c r="AW600" s="1131"/>
      <c r="AX600" s="1131"/>
      <c r="AY600" s="1131"/>
      <c r="AZ600" s="1131"/>
      <c r="BA600" s="1131"/>
      <c r="BB600" s="1131"/>
      <c r="BC600" s="1131"/>
      <c r="BD600" s="1131"/>
      <c r="BE600" s="1131"/>
      <c r="BF600" s="1131"/>
      <c r="BG600" s="1131"/>
      <c r="BH600" s="1131"/>
      <c r="BI600" s="1131"/>
      <c r="BJ600" s="1131"/>
      <c r="BK600" s="1131"/>
      <c r="BL600" s="1131"/>
      <c r="BM600" s="1131"/>
      <c r="BN600" s="1131"/>
      <c r="BO600" s="1131"/>
      <c r="BP600" s="1131"/>
      <c r="BQ600" s="1131"/>
      <c r="BR600" s="1131"/>
      <c r="BS600" s="1131"/>
      <c r="BT600" s="1131"/>
      <c r="BU600" s="1131"/>
      <c r="BV600" s="1131"/>
      <c r="BW600" s="1131"/>
      <c r="BX600" s="1131"/>
      <c r="BY600" s="1131"/>
      <c r="BZ600" s="1131"/>
      <c r="CA600" s="1131"/>
      <c r="CB600" s="1131"/>
      <c r="CC600" s="1131"/>
      <c r="CD600" s="1131"/>
      <c r="CE600" s="1131"/>
      <c r="CF600" s="1131"/>
      <c r="CG600" s="1131"/>
      <c r="CH600" s="29"/>
      <c r="CI600" s="185"/>
      <c r="CJ600" s="17"/>
    </row>
    <row r="601" spans="1:88" s="3" customFormat="1" hidden="1">
      <c r="A601" s="243" t="str">
        <f t="shared" si="10"/>
        <v>OK</v>
      </c>
      <c r="B601" s="1126" t="str">
        <f>IF(CONSOLIDA!DQ165="","",CONSOLIDA!DQ165)</f>
        <v/>
      </c>
      <c r="C601" s="1126"/>
      <c r="D601" s="1127" t="str">
        <f>IF(CONSOLIDA!DS165="","",CONSOLIDA!DS165)</f>
        <v/>
      </c>
      <c r="E601" s="1128"/>
      <c r="F601" s="1128"/>
      <c r="G601" s="1129" t="str">
        <f>IF(CONSOLIDA!DT165="","",CONSOLIDA!DT165)</f>
        <v/>
      </c>
      <c r="H601" s="1129"/>
      <c r="I601" s="1129"/>
      <c r="J601" s="1129"/>
      <c r="K601" s="1129"/>
      <c r="L601" s="1129"/>
      <c r="M601" s="1129"/>
      <c r="N601" s="1129"/>
      <c r="O601" s="1129"/>
      <c r="P601" s="1129"/>
      <c r="Q601" s="1129"/>
      <c r="R601" s="1129"/>
      <c r="S601" s="1129"/>
      <c r="T601" s="1129"/>
      <c r="U601" s="1129"/>
      <c r="V601" s="1129"/>
      <c r="W601" s="1129"/>
      <c r="X601" s="1129"/>
      <c r="Y601" s="1129"/>
      <c r="Z601" s="1129"/>
      <c r="AA601" s="1129"/>
      <c r="AB601" s="1129"/>
      <c r="AC601" s="1129"/>
      <c r="AD601" s="1129"/>
      <c r="AE601" s="1130"/>
      <c r="AF601" s="1131"/>
      <c r="AG601" s="1131"/>
      <c r="AH601" s="1131"/>
      <c r="AI601" s="1131"/>
      <c r="AJ601" s="1131"/>
      <c r="AK601" s="1131"/>
      <c r="AL601" s="1131"/>
      <c r="AM601" s="1131"/>
      <c r="AN601" s="1131"/>
      <c r="AO601" s="1131"/>
      <c r="AP601" s="1131"/>
      <c r="AQ601" s="1131"/>
      <c r="AR601" s="1131"/>
      <c r="AS601" s="1131"/>
      <c r="AT601" s="1131"/>
      <c r="AU601" s="1131"/>
      <c r="AV601" s="1131"/>
      <c r="AW601" s="1131"/>
      <c r="AX601" s="1131"/>
      <c r="AY601" s="1131"/>
      <c r="AZ601" s="1131"/>
      <c r="BA601" s="1131"/>
      <c r="BB601" s="1131"/>
      <c r="BC601" s="1131"/>
      <c r="BD601" s="1131"/>
      <c r="BE601" s="1131"/>
      <c r="BF601" s="1131"/>
      <c r="BG601" s="1131"/>
      <c r="BH601" s="1131"/>
      <c r="BI601" s="1131"/>
      <c r="BJ601" s="1131"/>
      <c r="BK601" s="1131"/>
      <c r="BL601" s="1131"/>
      <c r="BM601" s="1131"/>
      <c r="BN601" s="1131"/>
      <c r="BO601" s="1131"/>
      <c r="BP601" s="1131"/>
      <c r="BQ601" s="1131"/>
      <c r="BR601" s="1131"/>
      <c r="BS601" s="1131"/>
      <c r="BT601" s="1131"/>
      <c r="BU601" s="1131"/>
      <c r="BV601" s="1131"/>
      <c r="BW601" s="1131"/>
      <c r="BX601" s="1131"/>
      <c r="BY601" s="1131"/>
      <c r="BZ601" s="1131"/>
      <c r="CA601" s="1131"/>
      <c r="CB601" s="1131"/>
      <c r="CC601" s="1131"/>
      <c r="CD601" s="1131"/>
      <c r="CE601" s="1131"/>
      <c r="CF601" s="1131"/>
      <c r="CG601" s="1131"/>
      <c r="CH601" s="29"/>
      <c r="CI601" s="185"/>
      <c r="CJ601" s="17"/>
    </row>
    <row r="602" spans="1:88" s="3" customFormat="1" hidden="1">
      <c r="A602" s="243" t="str">
        <f t="shared" si="10"/>
        <v>OK</v>
      </c>
      <c r="B602" s="1126" t="str">
        <f>IF(CONSOLIDA!DQ166="","",CONSOLIDA!DQ166)</f>
        <v/>
      </c>
      <c r="C602" s="1126"/>
      <c r="D602" s="1127" t="str">
        <f>IF(CONSOLIDA!DS166="","",CONSOLIDA!DS166)</f>
        <v/>
      </c>
      <c r="E602" s="1128"/>
      <c r="F602" s="1128"/>
      <c r="G602" s="1129" t="str">
        <f>IF(CONSOLIDA!DT166="","",CONSOLIDA!DT166)</f>
        <v/>
      </c>
      <c r="H602" s="1129"/>
      <c r="I602" s="1129"/>
      <c r="J602" s="1129"/>
      <c r="K602" s="1129"/>
      <c r="L602" s="1129"/>
      <c r="M602" s="1129"/>
      <c r="N602" s="1129"/>
      <c r="O602" s="1129"/>
      <c r="P602" s="1129"/>
      <c r="Q602" s="1129"/>
      <c r="R602" s="1129"/>
      <c r="S602" s="1129"/>
      <c r="T602" s="1129"/>
      <c r="U602" s="1129"/>
      <c r="V602" s="1129"/>
      <c r="W602" s="1129"/>
      <c r="X602" s="1129"/>
      <c r="Y602" s="1129"/>
      <c r="Z602" s="1129"/>
      <c r="AA602" s="1129"/>
      <c r="AB602" s="1129"/>
      <c r="AC602" s="1129"/>
      <c r="AD602" s="1129"/>
      <c r="AE602" s="1130"/>
      <c r="AF602" s="1131"/>
      <c r="AG602" s="1131"/>
      <c r="AH602" s="1131"/>
      <c r="AI602" s="1131"/>
      <c r="AJ602" s="1131"/>
      <c r="AK602" s="1131"/>
      <c r="AL602" s="1131"/>
      <c r="AM602" s="1131"/>
      <c r="AN602" s="1131"/>
      <c r="AO602" s="1131"/>
      <c r="AP602" s="1131"/>
      <c r="AQ602" s="1131"/>
      <c r="AR602" s="1131"/>
      <c r="AS602" s="1131"/>
      <c r="AT602" s="1131"/>
      <c r="AU602" s="1131"/>
      <c r="AV602" s="1131"/>
      <c r="AW602" s="1131"/>
      <c r="AX602" s="1131"/>
      <c r="AY602" s="1131"/>
      <c r="AZ602" s="1131"/>
      <c r="BA602" s="1131"/>
      <c r="BB602" s="1131"/>
      <c r="BC602" s="1131"/>
      <c r="BD602" s="1131"/>
      <c r="BE602" s="1131"/>
      <c r="BF602" s="1131"/>
      <c r="BG602" s="1131"/>
      <c r="BH602" s="1131"/>
      <c r="BI602" s="1131"/>
      <c r="BJ602" s="1131"/>
      <c r="BK602" s="1131"/>
      <c r="BL602" s="1131"/>
      <c r="BM602" s="1131"/>
      <c r="BN602" s="1131"/>
      <c r="BO602" s="1131"/>
      <c r="BP602" s="1131"/>
      <c r="BQ602" s="1131"/>
      <c r="BR602" s="1131"/>
      <c r="BS602" s="1131"/>
      <c r="BT602" s="1131"/>
      <c r="BU602" s="1131"/>
      <c r="BV602" s="1131"/>
      <c r="BW602" s="1131"/>
      <c r="BX602" s="1131"/>
      <c r="BY602" s="1131"/>
      <c r="BZ602" s="1131"/>
      <c r="CA602" s="1131"/>
      <c r="CB602" s="1131"/>
      <c r="CC602" s="1131"/>
      <c r="CD602" s="1131"/>
      <c r="CE602" s="1131"/>
      <c r="CF602" s="1131"/>
      <c r="CG602" s="1131"/>
      <c r="CH602" s="29"/>
      <c r="CI602" s="185"/>
      <c r="CJ602" s="17"/>
    </row>
    <row r="603" spans="1:88" s="3" customFormat="1" hidden="1">
      <c r="A603" s="243" t="str">
        <f t="shared" si="10"/>
        <v>OK</v>
      </c>
      <c r="B603" s="1126" t="str">
        <f>IF(CONSOLIDA!DQ167="","",CONSOLIDA!DQ167)</f>
        <v/>
      </c>
      <c r="C603" s="1126"/>
      <c r="D603" s="1127" t="str">
        <f>IF(CONSOLIDA!DS167="","",CONSOLIDA!DS167)</f>
        <v/>
      </c>
      <c r="E603" s="1128"/>
      <c r="F603" s="1128"/>
      <c r="G603" s="1129" t="str">
        <f>IF(CONSOLIDA!DT167="","",CONSOLIDA!DT167)</f>
        <v/>
      </c>
      <c r="H603" s="1129"/>
      <c r="I603" s="1129"/>
      <c r="J603" s="1129"/>
      <c r="K603" s="1129"/>
      <c r="L603" s="1129"/>
      <c r="M603" s="1129"/>
      <c r="N603" s="1129"/>
      <c r="O603" s="1129"/>
      <c r="P603" s="1129"/>
      <c r="Q603" s="1129"/>
      <c r="R603" s="1129"/>
      <c r="S603" s="1129"/>
      <c r="T603" s="1129"/>
      <c r="U603" s="1129"/>
      <c r="V603" s="1129"/>
      <c r="W603" s="1129"/>
      <c r="X603" s="1129"/>
      <c r="Y603" s="1129"/>
      <c r="Z603" s="1129"/>
      <c r="AA603" s="1129"/>
      <c r="AB603" s="1129"/>
      <c r="AC603" s="1129"/>
      <c r="AD603" s="1129"/>
      <c r="AE603" s="1130"/>
      <c r="AF603" s="1131"/>
      <c r="AG603" s="1131"/>
      <c r="AH603" s="1131"/>
      <c r="AI603" s="1131"/>
      <c r="AJ603" s="1131"/>
      <c r="AK603" s="1131"/>
      <c r="AL603" s="1131"/>
      <c r="AM603" s="1131"/>
      <c r="AN603" s="1131"/>
      <c r="AO603" s="1131"/>
      <c r="AP603" s="1131"/>
      <c r="AQ603" s="1131"/>
      <c r="AR603" s="1131"/>
      <c r="AS603" s="1131"/>
      <c r="AT603" s="1131"/>
      <c r="AU603" s="1131"/>
      <c r="AV603" s="1131"/>
      <c r="AW603" s="1131"/>
      <c r="AX603" s="1131"/>
      <c r="AY603" s="1131"/>
      <c r="AZ603" s="1131"/>
      <c r="BA603" s="1131"/>
      <c r="BB603" s="1131"/>
      <c r="BC603" s="1131"/>
      <c r="BD603" s="1131"/>
      <c r="BE603" s="1131"/>
      <c r="BF603" s="1131"/>
      <c r="BG603" s="1131"/>
      <c r="BH603" s="1131"/>
      <c r="BI603" s="1131"/>
      <c r="BJ603" s="1131"/>
      <c r="BK603" s="1131"/>
      <c r="BL603" s="1131"/>
      <c r="BM603" s="1131"/>
      <c r="BN603" s="1131"/>
      <c r="BO603" s="1131"/>
      <c r="BP603" s="1131"/>
      <c r="BQ603" s="1131"/>
      <c r="BR603" s="1131"/>
      <c r="BS603" s="1131"/>
      <c r="BT603" s="1131"/>
      <c r="BU603" s="1131"/>
      <c r="BV603" s="1131"/>
      <c r="BW603" s="1131"/>
      <c r="BX603" s="1131"/>
      <c r="BY603" s="1131"/>
      <c r="BZ603" s="1131"/>
      <c r="CA603" s="1131"/>
      <c r="CB603" s="1131"/>
      <c r="CC603" s="1131"/>
      <c r="CD603" s="1131"/>
      <c r="CE603" s="1131"/>
      <c r="CF603" s="1131"/>
      <c r="CG603" s="1131"/>
      <c r="CH603" s="29"/>
      <c r="CI603" s="185"/>
      <c r="CJ603" s="17"/>
    </row>
    <row r="604" spans="1:88" s="3" customFormat="1" hidden="1">
      <c r="A604" s="243" t="str">
        <f t="shared" si="10"/>
        <v>OK</v>
      </c>
      <c r="B604" s="1126" t="str">
        <f>IF(CONSOLIDA!DQ168="","",CONSOLIDA!DQ168)</f>
        <v/>
      </c>
      <c r="C604" s="1126"/>
      <c r="D604" s="1127" t="str">
        <f>IF(CONSOLIDA!DS168="","",CONSOLIDA!DS168)</f>
        <v/>
      </c>
      <c r="E604" s="1128"/>
      <c r="F604" s="1128"/>
      <c r="G604" s="1129" t="str">
        <f>IF(CONSOLIDA!DT168="","",CONSOLIDA!DT168)</f>
        <v/>
      </c>
      <c r="H604" s="1129"/>
      <c r="I604" s="1129"/>
      <c r="J604" s="1129"/>
      <c r="K604" s="1129"/>
      <c r="L604" s="1129"/>
      <c r="M604" s="1129"/>
      <c r="N604" s="1129"/>
      <c r="O604" s="1129"/>
      <c r="P604" s="1129"/>
      <c r="Q604" s="1129"/>
      <c r="R604" s="1129"/>
      <c r="S604" s="1129"/>
      <c r="T604" s="1129"/>
      <c r="U604" s="1129"/>
      <c r="V604" s="1129"/>
      <c r="W604" s="1129"/>
      <c r="X604" s="1129"/>
      <c r="Y604" s="1129"/>
      <c r="Z604" s="1129"/>
      <c r="AA604" s="1129"/>
      <c r="AB604" s="1129"/>
      <c r="AC604" s="1129"/>
      <c r="AD604" s="1129"/>
      <c r="AE604" s="1130"/>
      <c r="AF604" s="1131"/>
      <c r="AG604" s="1131"/>
      <c r="AH604" s="1131"/>
      <c r="AI604" s="1131"/>
      <c r="AJ604" s="1131"/>
      <c r="AK604" s="1131"/>
      <c r="AL604" s="1131"/>
      <c r="AM604" s="1131"/>
      <c r="AN604" s="1131"/>
      <c r="AO604" s="1131"/>
      <c r="AP604" s="1131"/>
      <c r="AQ604" s="1131"/>
      <c r="AR604" s="1131"/>
      <c r="AS604" s="1131"/>
      <c r="AT604" s="1131"/>
      <c r="AU604" s="1131"/>
      <c r="AV604" s="1131"/>
      <c r="AW604" s="1131"/>
      <c r="AX604" s="1131"/>
      <c r="AY604" s="1131"/>
      <c r="AZ604" s="1131"/>
      <c r="BA604" s="1131"/>
      <c r="BB604" s="1131"/>
      <c r="BC604" s="1131"/>
      <c r="BD604" s="1131"/>
      <c r="BE604" s="1131"/>
      <c r="BF604" s="1131"/>
      <c r="BG604" s="1131"/>
      <c r="BH604" s="1131"/>
      <c r="BI604" s="1131"/>
      <c r="BJ604" s="1131"/>
      <c r="BK604" s="1131"/>
      <c r="BL604" s="1131"/>
      <c r="BM604" s="1131"/>
      <c r="BN604" s="1131"/>
      <c r="BO604" s="1131"/>
      <c r="BP604" s="1131"/>
      <c r="BQ604" s="1131"/>
      <c r="BR604" s="1131"/>
      <c r="BS604" s="1131"/>
      <c r="BT604" s="1131"/>
      <c r="BU604" s="1131"/>
      <c r="BV604" s="1131"/>
      <c r="BW604" s="1131"/>
      <c r="BX604" s="1131"/>
      <c r="BY604" s="1131"/>
      <c r="BZ604" s="1131"/>
      <c r="CA604" s="1131"/>
      <c r="CB604" s="1131"/>
      <c r="CC604" s="1131"/>
      <c r="CD604" s="1131"/>
      <c r="CE604" s="1131"/>
      <c r="CF604" s="1131"/>
      <c r="CG604" s="1131"/>
      <c r="CH604" s="29"/>
      <c r="CI604" s="185"/>
      <c r="CJ604" s="17"/>
    </row>
    <row r="605" spans="1:88" s="3" customFormat="1" hidden="1">
      <c r="A605" s="243" t="str">
        <f t="shared" si="10"/>
        <v>OK</v>
      </c>
      <c r="B605" s="1126" t="str">
        <f>IF(CONSOLIDA!DQ169="","",CONSOLIDA!DQ169)</f>
        <v/>
      </c>
      <c r="C605" s="1126"/>
      <c r="D605" s="1127" t="str">
        <f>IF(CONSOLIDA!DS169="","",CONSOLIDA!DS169)</f>
        <v/>
      </c>
      <c r="E605" s="1128"/>
      <c r="F605" s="1128"/>
      <c r="G605" s="1129" t="str">
        <f>IF(CONSOLIDA!DT169="","",CONSOLIDA!DT169)</f>
        <v/>
      </c>
      <c r="H605" s="1129"/>
      <c r="I605" s="1129"/>
      <c r="J605" s="1129"/>
      <c r="K605" s="1129"/>
      <c r="L605" s="1129"/>
      <c r="M605" s="1129"/>
      <c r="N605" s="1129"/>
      <c r="O605" s="1129"/>
      <c r="P605" s="1129"/>
      <c r="Q605" s="1129"/>
      <c r="R605" s="1129"/>
      <c r="S605" s="1129"/>
      <c r="T605" s="1129"/>
      <c r="U605" s="1129"/>
      <c r="V605" s="1129"/>
      <c r="W605" s="1129"/>
      <c r="X605" s="1129"/>
      <c r="Y605" s="1129"/>
      <c r="Z605" s="1129"/>
      <c r="AA605" s="1129"/>
      <c r="AB605" s="1129"/>
      <c r="AC605" s="1129"/>
      <c r="AD605" s="1129"/>
      <c r="AE605" s="1130"/>
      <c r="AF605" s="1131"/>
      <c r="AG605" s="1131"/>
      <c r="AH605" s="1131"/>
      <c r="AI605" s="1131"/>
      <c r="AJ605" s="1131"/>
      <c r="AK605" s="1131"/>
      <c r="AL605" s="1131"/>
      <c r="AM605" s="1131"/>
      <c r="AN605" s="1131"/>
      <c r="AO605" s="1131"/>
      <c r="AP605" s="1131"/>
      <c r="AQ605" s="1131"/>
      <c r="AR605" s="1131"/>
      <c r="AS605" s="1131"/>
      <c r="AT605" s="1131"/>
      <c r="AU605" s="1131"/>
      <c r="AV605" s="1131"/>
      <c r="AW605" s="1131"/>
      <c r="AX605" s="1131"/>
      <c r="AY605" s="1131"/>
      <c r="AZ605" s="1131"/>
      <c r="BA605" s="1131"/>
      <c r="BB605" s="1131"/>
      <c r="BC605" s="1131"/>
      <c r="BD605" s="1131"/>
      <c r="BE605" s="1131"/>
      <c r="BF605" s="1131"/>
      <c r="BG605" s="1131"/>
      <c r="BH605" s="1131"/>
      <c r="BI605" s="1131"/>
      <c r="BJ605" s="1131"/>
      <c r="BK605" s="1131"/>
      <c r="BL605" s="1131"/>
      <c r="BM605" s="1131"/>
      <c r="BN605" s="1131"/>
      <c r="BO605" s="1131"/>
      <c r="BP605" s="1131"/>
      <c r="BQ605" s="1131"/>
      <c r="BR605" s="1131"/>
      <c r="BS605" s="1131"/>
      <c r="BT605" s="1131"/>
      <c r="BU605" s="1131"/>
      <c r="BV605" s="1131"/>
      <c r="BW605" s="1131"/>
      <c r="BX605" s="1131"/>
      <c r="BY605" s="1131"/>
      <c r="BZ605" s="1131"/>
      <c r="CA605" s="1131"/>
      <c r="CB605" s="1131"/>
      <c r="CC605" s="1131"/>
      <c r="CD605" s="1131"/>
      <c r="CE605" s="1131"/>
      <c r="CF605" s="1131"/>
      <c r="CG605" s="1131"/>
      <c r="CH605" s="29"/>
      <c r="CI605" s="185"/>
      <c r="CJ605" s="17"/>
    </row>
    <row r="606" spans="1:88" s="3" customFormat="1" hidden="1">
      <c r="A606" s="243" t="str">
        <f t="shared" si="10"/>
        <v>OK</v>
      </c>
      <c r="B606" s="1126" t="str">
        <f>IF(CONSOLIDA!DQ170="","",CONSOLIDA!DQ170)</f>
        <v/>
      </c>
      <c r="C606" s="1126"/>
      <c r="D606" s="1127" t="str">
        <f>IF(CONSOLIDA!DS170="","",CONSOLIDA!DS170)</f>
        <v/>
      </c>
      <c r="E606" s="1128"/>
      <c r="F606" s="1128"/>
      <c r="G606" s="1129" t="str">
        <f>IF(CONSOLIDA!DT170="","",CONSOLIDA!DT170)</f>
        <v/>
      </c>
      <c r="H606" s="1129"/>
      <c r="I606" s="1129"/>
      <c r="J606" s="1129"/>
      <c r="K606" s="1129"/>
      <c r="L606" s="1129"/>
      <c r="M606" s="1129"/>
      <c r="N606" s="1129"/>
      <c r="O606" s="1129"/>
      <c r="P606" s="1129"/>
      <c r="Q606" s="1129"/>
      <c r="R606" s="1129"/>
      <c r="S606" s="1129"/>
      <c r="T606" s="1129"/>
      <c r="U606" s="1129"/>
      <c r="V606" s="1129"/>
      <c r="W606" s="1129"/>
      <c r="X606" s="1129"/>
      <c r="Y606" s="1129"/>
      <c r="Z606" s="1129"/>
      <c r="AA606" s="1129"/>
      <c r="AB606" s="1129"/>
      <c r="AC606" s="1129"/>
      <c r="AD606" s="1129"/>
      <c r="AE606" s="1130"/>
      <c r="AF606" s="1131"/>
      <c r="AG606" s="1131"/>
      <c r="AH606" s="1131"/>
      <c r="AI606" s="1131"/>
      <c r="AJ606" s="1131"/>
      <c r="AK606" s="1131"/>
      <c r="AL606" s="1131"/>
      <c r="AM606" s="1131"/>
      <c r="AN606" s="1131"/>
      <c r="AO606" s="1131"/>
      <c r="AP606" s="1131"/>
      <c r="AQ606" s="1131"/>
      <c r="AR606" s="1131"/>
      <c r="AS606" s="1131"/>
      <c r="AT606" s="1131"/>
      <c r="AU606" s="1131"/>
      <c r="AV606" s="1131"/>
      <c r="AW606" s="1131"/>
      <c r="AX606" s="1131"/>
      <c r="AY606" s="1131"/>
      <c r="AZ606" s="1131"/>
      <c r="BA606" s="1131"/>
      <c r="BB606" s="1131"/>
      <c r="BC606" s="1131"/>
      <c r="BD606" s="1131"/>
      <c r="BE606" s="1131"/>
      <c r="BF606" s="1131"/>
      <c r="BG606" s="1131"/>
      <c r="BH606" s="1131"/>
      <c r="BI606" s="1131"/>
      <c r="BJ606" s="1131"/>
      <c r="BK606" s="1131"/>
      <c r="BL606" s="1131"/>
      <c r="BM606" s="1131"/>
      <c r="BN606" s="1131"/>
      <c r="BO606" s="1131"/>
      <c r="BP606" s="1131"/>
      <c r="BQ606" s="1131"/>
      <c r="BR606" s="1131"/>
      <c r="BS606" s="1131"/>
      <c r="BT606" s="1131"/>
      <c r="BU606" s="1131"/>
      <c r="BV606" s="1131"/>
      <c r="BW606" s="1131"/>
      <c r="BX606" s="1131"/>
      <c r="BY606" s="1131"/>
      <c r="BZ606" s="1131"/>
      <c r="CA606" s="1131"/>
      <c r="CB606" s="1131"/>
      <c r="CC606" s="1131"/>
      <c r="CD606" s="1131"/>
      <c r="CE606" s="1131"/>
      <c r="CF606" s="1131"/>
      <c r="CG606" s="1131"/>
      <c r="CH606" s="29"/>
      <c r="CI606" s="185"/>
      <c r="CJ606" s="17"/>
    </row>
    <row r="607" spans="1:88" hidden="1">
      <c r="A607" s="243" t="str">
        <f t="shared" si="10"/>
        <v>OK</v>
      </c>
      <c r="B607" s="1126" t="str">
        <f>IF(CONSOLIDA!DQ171="","",CONSOLIDA!DQ171)</f>
        <v/>
      </c>
      <c r="C607" s="1126"/>
      <c r="D607" s="1127" t="str">
        <f>IF(CONSOLIDA!DS171="","",CONSOLIDA!DS171)</f>
        <v/>
      </c>
      <c r="E607" s="1128"/>
      <c r="F607" s="1128"/>
      <c r="G607" s="1129" t="str">
        <f>IF(CONSOLIDA!DT171="","",CONSOLIDA!DT171)</f>
        <v/>
      </c>
      <c r="H607" s="1129"/>
      <c r="I607" s="1129"/>
      <c r="J607" s="1129"/>
      <c r="K607" s="1129"/>
      <c r="L607" s="1129"/>
      <c r="M607" s="1129"/>
      <c r="N607" s="1129"/>
      <c r="O607" s="1129"/>
      <c r="P607" s="1129"/>
      <c r="Q607" s="1129"/>
      <c r="R607" s="1129"/>
      <c r="S607" s="1129"/>
      <c r="T607" s="1129"/>
      <c r="U607" s="1129"/>
      <c r="V607" s="1129"/>
      <c r="W607" s="1129"/>
      <c r="X607" s="1129"/>
      <c r="Y607" s="1129"/>
      <c r="Z607" s="1129"/>
      <c r="AA607" s="1129"/>
      <c r="AB607" s="1129"/>
      <c r="AC607" s="1129"/>
      <c r="AD607" s="1129"/>
      <c r="AE607" s="1130"/>
      <c r="AF607" s="1131"/>
      <c r="AG607" s="1131"/>
      <c r="AH607" s="1131"/>
      <c r="AI607" s="1131"/>
      <c r="AJ607" s="1131"/>
      <c r="AK607" s="1131"/>
      <c r="AL607" s="1131"/>
      <c r="AM607" s="1131"/>
      <c r="AN607" s="1131"/>
      <c r="AO607" s="1131"/>
      <c r="AP607" s="1131"/>
      <c r="AQ607" s="1131"/>
      <c r="AR607" s="1131"/>
      <c r="AS607" s="1131"/>
      <c r="AT607" s="1131"/>
      <c r="AU607" s="1131"/>
      <c r="AV607" s="1131"/>
      <c r="AW607" s="1131"/>
      <c r="AX607" s="1131"/>
      <c r="AY607" s="1131"/>
      <c r="AZ607" s="1131"/>
      <c r="BA607" s="1131"/>
      <c r="BB607" s="1131"/>
      <c r="BC607" s="1131"/>
      <c r="BD607" s="1131"/>
      <c r="BE607" s="1131"/>
      <c r="BF607" s="1131"/>
      <c r="BG607" s="1131"/>
      <c r="BH607" s="1131"/>
      <c r="BI607" s="1131"/>
      <c r="BJ607" s="1131"/>
      <c r="BK607" s="1131"/>
      <c r="BL607" s="1131"/>
      <c r="BM607" s="1131"/>
      <c r="BN607" s="1131"/>
      <c r="BO607" s="1131"/>
      <c r="BP607" s="1131"/>
      <c r="BQ607" s="1131"/>
      <c r="BR607" s="1131"/>
      <c r="BS607" s="1131"/>
      <c r="BT607" s="1131"/>
      <c r="BU607" s="1131"/>
      <c r="BV607" s="1131"/>
      <c r="BW607" s="1131"/>
      <c r="BX607" s="1131"/>
      <c r="BY607" s="1131"/>
      <c r="BZ607" s="1131"/>
      <c r="CA607" s="1131"/>
      <c r="CB607" s="1131"/>
      <c r="CC607" s="1131"/>
      <c r="CD607" s="1131"/>
      <c r="CE607" s="1131"/>
      <c r="CF607" s="1131"/>
      <c r="CG607" s="1131"/>
      <c r="CH607" s="29"/>
      <c r="CI607" s="185"/>
      <c r="CJ607" s="17"/>
    </row>
    <row r="608" spans="1:88" hidden="1">
      <c r="A608" s="243" t="str">
        <f t="shared" si="10"/>
        <v>OK</v>
      </c>
      <c r="B608" s="1126" t="str">
        <f>IF(CONSOLIDA!DQ172="","",CONSOLIDA!DQ172)</f>
        <v/>
      </c>
      <c r="C608" s="1126"/>
      <c r="D608" s="1127" t="str">
        <f>IF(CONSOLIDA!DS172="","",CONSOLIDA!DS172)</f>
        <v/>
      </c>
      <c r="E608" s="1128"/>
      <c r="F608" s="1128"/>
      <c r="G608" s="1129" t="str">
        <f>IF(CONSOLIDA!DT172="","",CONSOLIDA!DT172)</f>
        <v/>
      </c>
      <c r="H608" s="1129"/>
      <c r="I608" s="1129"/>
      <c r="J608" s="1129"/>
      <c r="K608" s="1129"/>
      <c r="L608" s="1129"/>
      <c r="M608" s="1129"/>
      <c r="N608" s="1129"/>
      <c r="O608" s="1129"/>
      <c r="P608" s="1129"/>
      <c r="Q608" s="1129"/>
      <c r="R608" s="1129"/>
      <c r="S608" s="1129"/>
      <c r="T608" s="1129"/>
      <c r="U608" s="1129"/>
      <c r="V608" s="1129"/>
      <c r="W608" s="1129"/>
      <c r="X608" s="1129"/>
      <c r="Y608" s="1129"/>
      <c r="Z608" s="1129"/>
      <c r="AA608" s="1129"/>
      <c r="AB608" s="1129"/>
      <c r="AC608" s="1129"/>
      <c r="AD608" s="1129"/>
      <c r="AE608" s="1130"/>
      <c r="AF608" s="1131"/>
      <c r="AG608" s="1131"/>
      <c r="AH608" s="1131"/>
      <c r="AI608" s="1131"/>
      <c r="AJ608" s="1131"/>
      <c r="AK608" s="1131"/>
      <c r="AL608" s="1131"/>
      <c r="AM608" s="1131"/>
      <c r="AN608" s="1131"/>
      <c r="AO608" s="1131"/>
      <c r="AP608" s="1131"/>
      <c r="AQ608" s="1131"/>
      <c r="AR608" s="1131"/>
      <c r="AS608" s="1131"/>
      <c r="AT608" s="1131"/>
      <c r="AU608" s="1131"/>
      <c r="AV608" s="1131"/>
      <c r="AW608" s="1131"/>
      <c r="AX608" s="1131"/>
      <c r="AY608" s="1131"/>
      <c r="AZ608" s="1131"/>
      <c r="BA608" s="1131"/>
      <c r="BB608" s="1131"/>
      <c r="BC608" s="1131"/>
      <c r="BD608" s="1131"/>
      <c r="BE608" s="1131"/>
      <c r="BF608" s="1131"/>
      <c r="BG608" s="1131"/>
      <c r="BH608" s="1131"/>
      <c r="BI608" s="1131"/>
      <c r="BJ608" s="1131"/>
      <c r="BK608" s="1131"/>
      <c r="BL608" s="1131"/>
      <c r="BM608" s="1131"/>
      <c r="BN608" s="1131"/>
      <c r="BO608" s="1131"/>
      <c r="BP608" s="1131"/>
      <c r="BQ608" s="1131"/>
      <c r="BR608" s="1131"/>
      <c r="BS608" s="1131"/>
      <c r="BT608" s="1131"/>
      <c r="BU608" s="1131"/>
      <c r="BV608" s="1131"/>
      <c r="BW608" s="1131"/>
      <c r="BX608" s="1131"/>
      <c r="BY608" s="1131"/>
      <c r="BZ608" s="1131"/>
      <c r="CA608" s="1131"/>
      <c r="CB608" s="1131"/>
      <c r="CC608" s="1131"/>
      <c r="CD608" s="1131"/>
      <c r="CE608" s="1131"/>
      <c r="CF608" s="1131"/>
      <c r="CG608" s="1131"/>
      <c r="CH608" s="29"/>
      <c r="CI608" s="185"/>
      <c r="CJ608" s="17"/>
    </row>
    <row r="609" spans="1:88" hidden="1">
      <c r="A609" s="243" t="str">
        <f t="shared" si="10"/>
        <v>OK</v>
      </c>
      <c r="B609" s="1126" t="str">
        <f>IF(CONSOLIDA!DQ173="","",CONSOLIDA!DQ173)</f>
        <v/>
      </c>
      <c r="C609" s="1126"/>
      <c r="D609" s="1127" t="str">
        <f>IF(CONSOLIDA!DS173="","",CONSOLIDA!DS173)</f>
        <v/>
      </c>
      <c r="E609" s="1128"/>
      <c r="F609" s="1128"/>
      <c r="G609" s="1129" t="str">
        <f>IF(CONSOLIDA!DT173="","",CONSOLIDA!DT173)</f>
        <v/>
      </c>
      <c r="H609" s="1129"/>
      <c r="I609" s="1129"/>
      <c r="J609" s="1129"/>
      <c r="K609" s="1129"/>
      <c r="L609" s="1129"/>
      <c r="M609" s="1129"/>
      <c r="N609" s="1129"/>
      <c r="O609" s="1129"/>
      <c r="P609" s="1129"/>
      <c r="Q609" s="1129"/>
      <c r="R609" s="1129"/>
      <c r="S609" s="1129"/>
      <c r="T609" s="1129"/>
      <c r="U609" s="1129"/>
      <c r="V609" s="1129"/>
      <c r="W609" s="1129"/>
      <c r="X609" s="1129"/>
      <c r="Y609" s="1129"/>
      <c r="Z609" s="1129"/>
      <c r="AA609" s="1129"/>
      <c r="AB609" s="1129"/>
      <c r="AC609" s="1129"/>
      <c r="AD609" s="1129"/>
      <c r="AE609" s="1130"/>
      <c r="AF609" s="1131"/>
      <c r="AG609" s="1131"/>
      <c r="AH609" s="1131"/>
      <c r="AI609" s="1131"/>
      <c r="AJ609" s="1131"/>
      <c r="AK609" s="1131"/>
      <c r="AL609" s="1131"/>
      <c r="AM609" s="1131"/>
      <c r="AN609" s="1131"/>
      <c r="AO609" s="1131"/>
      <c r="AP609" s="1131"/>
      <c r="AQ609" s="1131"/>
      <c r="AR609" s="1131"/>
      <c r="AS609" s="1131"/>
      <c r="AT609" s="1131"/>
      <c r="AU609" s="1131"/>
      <c r="AV609" s="1131"/>
      <c r="AW609" s="1131"/>
      <c r="AX609" s="1131"/>
      <c r="AY609" s="1131"/>
      <c r="AZ609" s="1131"/>
      <c r="BA609" s="1131"/>
      <c r="BB609" s="1131"/>
      <c r="BC609" s="1131"/>
      <c r="BD609" s="1131"/>
      <c r="BE609" s="1131"/>
      <c r="BF609" s="1131"/>
      <c r="BG609" s="1131"/>
      <c r="BH609" s="1131"/>
      <c r="BI609" s="1131"/>
      <c r="BJ609" s="1131"/>
      <c r="BK609" s="1131"/>
      <c r="BL609" s="1131"/>
      <c r="BM609" s="1131"/>
      <c r="BN609" s="1131"/>
      <c r="BO609" s="1131"/>
      <c r="BP609" s="1131"/>
      <c r="BQ609" s="1131"/>
      <c r="BR609" s="1131"/>
      <c r="BS609" s="1131"/>
      <c r="BT609" s="1131"/>
      <c r="BU609" s="1131"/>
      <c r="BV609" s="1131"/>
      <c r="BW609" s="1131"/>
      <c r="BX609" s="1131"/>
      <c r="BY609" s="1131"/>
      <c r="BZ609" s="1131"/>
      <c r="CA609" s="1131"/>
      <c r="CB609" s="1131"/>
      <c r="CC609" s="1131"/>
      <c r="CD609" s="1131"/>
      <c r="CE609" s="1131"/>
      <c r="CF609" s="1131"/>
      <c r="CG609" s="1131"/>
      <c r="CH609" s="29"/>
      <c r="CI609" s="185"/>
      <c r="CJ609" s="17"/>
    </row>
    <row r="610" spans="1:88" hidden="1">
      <c r="A610" s="243" t="str">
        <f t="shared" si="10"/>
        <v>OK</v>
      </c>
      <c r="B610" s="1126" t="str">
        <f>IF(CONSOLIDA!DQ174="","",CONSOLIDA!DQ174)</f>
        <v/>
      </c>
      <c r="C610" s="1126"/>
      <c r="D610" s="1127" t="str">
        <f>IF(CONSOLIDA!DS174="","",CONSOLIDA!DS174)</f>
        <v/>
      </c>
      <c r="E610" s="1128"/>
      <c r="F610" s="1128"/>
      <c r="G610" s="1129" t="str">
        <f>IF(CONSOLIDA!DT174="","",CONSOLIDA!DT174)</f>
        <v/>
      </c>
      <c r="H610" s="1129"/>
      <c r="I610" s="1129"/>
      <c r="J610" s="1129"/>
      <c r="K610" s="1129"/>
      <c r="L610" s="1129"/>
      <c r="M610" s="1129"/>
      <c r="N610" s="1129"/>
      <c r="O610" s="1129"/>
      <c r="P610" s="1129"/>
      <c r="Q610" s="1129"/>
      <c r="R610" s="1129"/>
      <c r="S610" s="1129"/>
      <c r="T610" s="1129"/>
      <c r="U610" s="1129"/>
      <c r="V610" s="1129"/>
      <c r="W610" s="1129"/>
      <c r="X610" s="1129"/>
      <c r="Y610" s="1129"/>
      <c r="Z610" s="1129"/>
      <c r="AA610" s="1129"/>
      <c r="AB610" s="1129"/>
      <c r="AC610" s="1129"/>
      <c r="AD610" s="1129"/>
      <c r="AE610" s="1130"/>
      <c r="AF610" s="1131"/>
      <c r="AG610" s="1131"/>
      <c r="AH610" s="1131"/>
      <c r="AI610" s="1131"/>
      <c r="AJ610" s="1131"/>
      <c r="AK610" s="1131"/>
      <c r="AL610" s="1131"/>
      <c r="AM610" s="1131"/>
      <c r="AN610" s="1131"/>
      <c r="AO610" s="1131"/>
      <c r="AP610" s="1131"/>
      <c r="AQ610" s="1131"/>
      <c r="AR610" s="1131"/>
      <c r="AS610" s="1131"/>
      <c r="AT610" s="1131"/>
      <c r="AU610" s="1131"/>
      <c r="AV610" s="1131"/>
      <c r="AW610" s="1131"/>
      <c r="AX610" s="1131"/>
      <c r="AY610" s="1131"/>
      <c r="AZ610" s="1131"/>
      <c r="BA610" s="1131"/>
      <c r="BB610" s="1131"/>
      <c r="BC610" s="1131"/>
      <c r="BD610" s="1131"/>
      <c r="BE610" s="1131"/>
      <c r="BF610" s="1131"/>
      <c r="BG610" s="1131"/>
      <c r="BH610" s="1131"/>
      <c r="BI610" s="1131"/>
      <c r="BJ610" s="1131"/>
      <c r="BK610" s="1131"/>
      <c r="BL610" s="1131"/>
      <c r="BM610" s="1131"/>
      <c r="BN610" s="1131"/>
      <c r="BO610" s="1131"/>
      <c r="BP610" s="1131"/>
      <c r="BQ610" s="1131"/>
      <c r="BR610" s="1131"/>
      <c r="BS610" s="1131"/>
      <c r="BT610" s="1131"/>
      <c r="BU610" s="1131"/>
      <c r="BV610" s="1131"/>
      <c r="BW610" s="1131"/>
      <c r="BX610" s="1131"/>
      <c r="BY610" s="1131"/>
      <c r="BZ610" s="1131"/>
      <c r="CA610" s="1131"/>
      <c r="CB610" s="1131"/>
      <c r="CC610" s="1131"/>
      <c r="CD610" s="1131"/>
      <c r="CE610" s="1131"/>
      <c r="CF610" s="1131"/>
      <c r="CG610" s="1131"/>
      <c r="CH610" s="29"/>
      <c r="CI610" s="185"/>
      <c r="CJ610" s="17"/>
    </row>
    <row r="611" spans="1:88" hidden="1">
      <c r="A611" s="243" t="str">
        <f t="shared" si="10"/>
        <v>OK</v>
      </c>
      <c r="B611" s="1126" t="str">
        <f>IF(CONSOLIDA!DQ175="","",CONSOLIDA!DQ175)</f>
        <v/>
      </c>
      <c r="C611" s="1126"/>
      <c r="D611" s="1127" t="str">
        <f>IF(CONSOLIDA!DS175="","",CONSOLIDA!DS175)</f>
        <v/>
      </c>
      <c r="E611" s="1128"/>
      <c r="F611" s="1128"/>
      <c r="G611" s="1129" t="str">
        <f>IF(CONSOLIDA!DT175="","",CONSOLIDA!DT175)</f>
        <v/>
      </c>
      <c r="H611" s="1129"/>
      <c r="I611" s="1129"/>
      <c r="J611" s="1129"/>
      <c r="K611" s="1129"/>
      <c r="L611" s="1129"/>
      <c r="M611" s="1129"/>
      <c r="N611" s="1129"/>
      <c r="O611" s="1129"/>
      <c r="P611" s="1129"/>
      <c r="Q611" s="1129"/>
      <c r="R611" s="1129"/>
      <c r="S611" s="1129"/>
      <c r="T611" s="1129"/>
      <c r="U611" s="1129"/>
      <c r="V611" s="1129"/>
      <c r="W611" s="1129"/>
      <c r="X611" s="1129"/>
      <c r="Y611" s="1129"/>
      <c r="Z611" s="1129"/>
      <c r="AA611" s="1129"/>
      <c r="AB611" s="1129"/>
      <c r="AC611" s="1129"/>
      <c r="AD611" s="1129"/>
      <c r="AE611" s="1130"/>
      <c r="AF611" s="1131"/>
      <c r="AG611" s="1131"/>
      <c r="AH611" s="1131"/>
      <c r="AI611" s="1131"/>
      <c r="AJ611" s="1131"/>
      <c r="AK611" s="1131"/>
      <c r="AL611" s="1131"/>
      <c r="AM611" s="1131"/>
      <c r="AN611" s="1131"/>
      <c r="AO611" s="1131"/>
      <c r="AP611" s="1131"/>
      <c r="AQ611" s="1131"/>
      <c r="AR611" s="1131"/>
      <c r="AS611" s="1131"/>
      <c r="AT611" s="1131"/>
      <c r="AU611" s="1131"/>
      <c r="AV611" s="1131"/>
      <c r="AW611" s="1131"/>
      <c r="AX611" s="1131"/>
      <c r="AY611" s="1131"/>
      <c r="AZ611" s="1131"/>
      <c r="BA611" s="1131"/>
      <c r="BB611" s="1131"/>
      <c r="BC611" s="1131"/>
      <c r="BD611" s="1131"/>
      <c r="BE611" s="1131"/>
      <c r="BF611" s="1131"/>
      <c r="BG611" s="1131"/>
      <c r="BH611" s="1131"/>
      <c r="BI611" s="1131"/>
      <c r="BJ611" s="1131"/>
      <c r="BK611" s="1131"/>
      <c r="BL611" s="1131"/>
      <c r="BM611" s="1131"/>
      <c r="BN611" s="1131"/>
      <c r="BO611" s="1131"/>
      <c r="BP611" s="1131"/>
      <c r="BQ611" s="1131"/>
      <c r="BR611" s="1131"/>
      <c r="BS611" s="1131"/>
      <c r="BT611" s="1131"/>
      <c r="BU611" s="1131"/>
      <c r="BV611" s="1131"/>
      <c r="BW611" s="1131"/>
      <c r="BX611" s="1131"/>
      <c r="BY611" s="1131"/>
      <c r="BZ611" s="1131"/>
      <c r="CA611" s="1131"/>
      <c r="CB611" s="1131"/>
      <c r="CC611" s="1131"/>
      <c r="CD611" s="1131"/>
      <c r="CE611" s="1131"/>
      <c r="CF611" s="1131"/>
      <c r="CG611" s="1131"/>
      <c r="CH611" s="29"/>
      <c r="CI611" s="185"/>
      <c r="CJ611" s="17"/>
    </row>
    <row r="612" spans="1:88" hidden="1">
      <c r="A612" s="243" t="str">
        <f t="shared" si="10"/>
        <v>OK</v>
      </c>
      <c r="B612" s="1126" t="str">
        <f>IF(CONSOLIDA!DQ176="","",CONSOLIDA!DQ176)</f>
        <v/>
      </c>
      <c r="C612" s="1126"/>
      <c r="D612" s="1127" t="str">
        <f>IF(CONSOLIDA!DS176="","",CONSOLIDA!DS176)</f>
        <v/>
      </c>
      <c r="E612" s="1128"/>
      <c r="F612" s="1128"/>
      <c r="G612" s="1129" t="str">
        <f>IF(CONSOLIDA!DT176="","",CONSOLIDA!DT176)</f>
        <v/>
      </c>
      <c r="H612" s="1129"/>
      <c r="I612" s="1129"/>
      <c r="J612" s="1129"/>
      <c r="K612" s="1129"/>
      <c r="L612" s="1129"/>
      <c r="M612" s="1129"/>
      <c r="N612" s="1129"/>
      <c r="O612" s="1129"/>
      <c r="P612" s="1129"/>
      <c r="Q612" s="1129"/>
      <c r="R612" s="1129"/>
      <c r="S612" s="1129"/>
      <c r="T612" s="1129"/>
      <c r="U612" s="1129"/>
      <c r="V612" s="1129"/>
      <c r="W612" s="1129"/>
      <c r="X612" s="1129"/>
      <c r="Y612" s="1129"/>
      <c r="Z612" s="1129"/>
      <c r="AA612" s="1129"/>
      <c r="AB612" s="1129"/>
      <c r="AC612" s="1129"/>
      <c r="AD612" s="1129"/>
      <c r="AE612" s="1130"/>
      <c r="AF612" s="1131"/>
      <c r="AG612" s="1131"/>
      <c r="AH612" s="1131"/>
      <c r="AI612" s="1131"/>
      <c r="AJ612" s="1131"/>
      <c r="AK612" s="1131"/>
      <c r="AL612" s="1131"/>
      <c r="AM612" s="1131"/>
      <c r="AN612" s="1131"/>
      <c r="AO612" s="1131"/>
      <c r="AP612" s="1131"/>
      <c r="AQ612" s="1131"/>
      <c r="AR612" s="1131"/>
      <c r="AS612" s="1131"/>
      <c r="AT612" s="1131"/>
      <c r="AU612" s="1131"/>
      <c r="AV612" s="1131"/>
      <c r="AW612" s="1131"/>
      <c r="AX612" s="1131"/>
      <c r="AY612" s="1131"/>
      <c r="AZ612" s="1131"/>
      <c r="BA612" s="1131"/>
      <c r="BB612" s="1131"/>
      <c r="BC612" s="1131"/>
      <c r="BD612" s="1131"/>
      <c r="BE612" s="1131"/>
      <c r="BF612" s="1131"/>
      <c r="BG612" s="1131"/>
      <c r="BH612" s="1131"/>
      <c r="BI612" s="1131"/>
      <c r="BJ612" s="1131"/>
      <c r="BK612" s="1131"/>
      <c r="BL612" s="1131"/>
      <c r="BM612" s="1131"/>
      <c r="BN612" s="1131"/>
      <c r="BO612" s="1131"/>
      <c r="BP612" s="1131"/>
      <c r="BQ612" s="1131"/>
      <c r="BR612" s="1131"/>
      <c r="BS612" s="1131"/>
      <c r="BT612" s="1131"/>
      <c r="BU612" s="1131"/>
      <c r="BV612" s="1131"/>
      <c r="BW612" s="1131"/>
      <c r="BX612" s="1131"/>
      <c r="BY612" s="1131"/>
      <c r="BZ612" s="1131"/>
      <c r="CA612" s="1131"/>
      <c r="CB612" s="1131"/>
      <c r="CC612" s="1131"/>
      <c r="CD612" s="1131"/>
      <c r="CE612" s="1131"/>
      <c r="CF612" s="1131"/>
      <c r="CG612" s="1131"/>
      <c r="CH612" s="29"/>
      <c r="CI612" s="185"/>
      <c r="CJ612" s="17"/>
    </row>
    <row r="613" spans="1:88" hidden="1">
      <c r="A613" s="243" t="str">
        <f t="shared" si="10"/>
        <v>OK</v>
      </c>
      <c r="B613" s="1126" t="str">
        <f>IF(CONSOLIDA!DQ201="","",CONSOLIDA!DQ201)</f>
        <v/>
      </c>
      <c r="C613" s="1126"/>
      <c r="D613" s="1127" t="str">
        <f>IF(CONSOLIDA!DS201="","",CONSOLIDA!DS201)</f>
        <v/>
      </c>
      <c r="E613" s="1128"/>
      <c r="F613" s="1128"/>
      <c r="G613" s="1129" t="str">
        <f>IF(CONSOLIDA!DT201="","",CONSOLIDA!DT201)</f>
        <v/>
      </c>
      <c r="H613" s="1129"/>
      <c r="I613" s="1129"/>
      <c r="J613" s="1129"/>
      <c r="K613" s="1129"/>
      <c r="L613" s="1129"/>
      <c r="M613" s="1129"/>
      <c r="N613" s="1129"/>
      <c r="O613" s="1129"/>
      <c r="P613" s="1129"/>
      <c r="Q613" s="1129"/>
      <c r="R613" s="1129"/>
      <c r="S613" s="1129"/>
      <c r="T613" s="1129"/>
      <c r="U613" s="1129"/>
      <c r="V613" s="1129"/>
      <c r="W613" s="1129"/>
      <c r="X613" s="1129"/>
      <c r="Y613" s="1129"/>
      <c r="Z613" s="1129"/>
      <c r="AA613" s="1129"/>
      <c r="AB613" s="1129"/>
      <c r="AC613" s="1129"/>
      <c r="AD613" s="1129"/>
      <c r="AE613" s="1130"/>
      <c r="AF613" s="1131"/>
      <c r="AG613" s="1131"/>
      <c r="AH613" s="1131"/>
      <c r="AI613" s="1131"/>
      <c r="AJ613" s="1131"/>
      <c r="AK613" s="1131"/>
      <c r="AL613" s="1131"/>
      <c r="AM613" s="1131"/>
      <c r="AN613" s="1131"/>
      <c r="AO613" s="1131"/>
      <c r="AP613" s="1131"/>
      <c r="AQ613" s="1131"/>
      <c r="AR613" s="1131"/>
      <c r="AS613" s="1131"/>
      <c r="AT613" s="1131"/>
      <c r="AU613" s="1131"/>
      <c r="AV613" s="1131"/>
      <c r="AW613" s="1131"/>
      <c r="AX613" s="1131"/>
      <c r="AY613" s="1131"/>
      <c r="AZ613" s="1131"/>
      <c r="BA613" s="1131"/>
      <c r="BB613" s="1131"/>
      <c r="BC613" s="1131"/>
      <c r="BD613" s="1131"/>
      <c r="BE613" s="1131"/>
      <c r="BF613" s="1131"/>
      <c r="BG613" s="1131"/>
      <c r="BH613" s="1131"/>
      <c r="BI613" s="1131"/>
      <c r="BJ613" s="1131"/>
      <c r="BK613" s="1131"/>
      <c r="BL613" s="1131"/>
      <c r="BM613" s="1131"/>
      <c r="BN613" s="1131"/>
      <c r="BO613" s="1131"/>
      <c r="BP613" s="1131"/>
      <c r="BQ613" s="1131"/>
      <c r="BR613" s="1131"/>
      <c r="BS613" s="1131"/>
      <c r="BT613" s="1131"/>
      <c r="BU613" s="1131"/>
      <c r="BV613" s="1131"/>
      <c r="BW613" s="1131"/>
      <c r="BX613" s="1131"/>
      <c r="BY613" s="1131"/>
      <c r="BZ613" s="1131"/>
      <c r="CA613" s="1131"/>
      <c r="CB613" s="1131"/>
      <c r="CC613" s="1131"/>
      <c r="CD613" s="1131"/>
      <c r="CE613" s="1131"/>
      <c r="CF613" s="1131"/>
      <c r="CG613" s="1131"/>
      <c r="CH613" s="29"/>
      <c r="CI613" s="185"/>
      <c r="CJ613" s="17"/>
    </row>
    <row r="614" spans="1:88" hidden="1">
      <c r="A614" s="243" t="str">
        <f t="shared" si="10"/>
        <v>OK</v>
      </c>
      <c r="B614" s="1126" t="str">
        <f>IF(CONSOLIDA!DQ202="","",CONSOLIDA!DQ202)</f>
        <v/>
      </c>
      <c r="C614" s="1126"/>
      <c r="D614" s="1127" t="str">
        <f>IF(CONSOLIDA!DS202="","",CONSOLIDA!DS202)</f>
        <v/>
      </c>
      <c r="E614" s="1128"/>
      <c r="F614" s="1128"/>
      <c r="G614" s="1129" t="str">
        <f>IF(CONSOLIDA!DT202="","",CONSOLIDA!DT202)</f>
        <v/>
      </c>
      <c r="H614" s="1129"/>
      <c r="I614" s="1129"/>
      <c r="J614" s="1129"/>
      <c r="K614" s="1129"/>
      <c r="L614" s="1129"/>
      <c r="M614" s="1129"/>
      <c r="N614" s="1129"/>
      <c r="O614" s="1129"/>
      <c r="P614" s="1129"/>
      <c r="Q614" s="1129"/>
      <c r="R614" s="1129"/>
      <c r="S614" s="1129"/>
      <c r="T614" s="1129"/>
      <c r="U614" s="1129"/>
      <c r="V614" s="1129"/>
      <c r="W614" s="1129"/>
      <c r="X614" s="1129"/>
      <c r="Y614" s="1129"/>
      <c r="Z614" s="1129"/>
      <c r="AA614" s="1129"/>
      <c r="AB614" s="1129"/>
      <c r="AC614" s="1129"/>
      <c r="AD614" s="1129"/>
      <c r="AE614" s="1130"/>
      <c r="AF614" s="1131"/>
      <c r="AG614" s="1131"/>
      <c r="AH614" s="1131"/>
      <c r="AI614" s="1131"/>
      <c r="AJ614" s="1131"/>
      <c r="AK614" s="1131"/>
      <c r="AL614" s="1131"/>
      <c r="AM614" s="1131"/>
      <c r="AN614" s="1131"/>
      <c r="AO614" s="1131"/>
      <c r="AP614" s="1131"/>
      <c r="AQ614" s="1131"/>
      <c r="AR614" s="1131"/>
      <c r="AS614" s="1131"/>
      <c r="AT614" s="1131"/>
      <c r="AU614" s="1131"/>
      <c r="AV614" s="1131"/>
      <c r="AW614" s="1131"/>
      <c r="AX614" s="1131"/>
      <c r="AY614" s="1131"/>
      <c r="AZ614" s="1131"/>
      <c r="BA614" s="1131"/>
      <c r="BB614" s="1131"/>
      <c r="BC614" s="1131"/>
      <c r="BD614" s="1131"/>
      <c r="BE614" s="1131"/>
      <c r="BF614" s="1131"/>
      <c r="BG614" s="1131"/>
      <c r="BH614" s="1131"/>
      <c r="BI614" s="1131"/>
      <c r="BJ614" s="1131"/>
      <c r="BK614" s="1131"/>
      <c r="BL614" s="1131"/>
      <c r="BM614" s="1131"/>
      <c r="BN614" s="1131"/>
      <c r="BO614" s="1131"/>
      <c r="BP614" s="1131"/>
      <c r="BQ614" s="1131"/>
      <c r="BR614" s="1131"/>
      <c r="BS614" s="1131"/>
      <c r="BT614" s="1131"/>
      <c r="BU614" s="1131"/>
      <c r="BV614" s="1131"/>
      <c r="BW614" s="1131"/>
      <c r="BX614" s="1131"/>
      <c r="BY614" s="1131"/>
      <c r="BZ614" s="1131"/>
      <c r="CA614" s="1131"/>
      <c r="CB614" s="1131"/>
      <c r="CC614" s="1131"/>
      <c r="CD614" s="1131"/>
      <c r="CE614" s="1131"/>
      <c r="CF614" s="1131"/>
      <c r="CG614" s="1131"/>
      <c r="CH614" s="29"/>
      <c r="CI614" s="185"/>
      <c r="CJ614" s="17"/>
    </row>
    <row r="615" spans="1:88" hidden="1">
      <c r="A615" s="243" t="str">
        <f t="shared" si="10"/>
        <v>OK</v>
      </c>
      <c r="B615" s="1126" t="str">
        <f>IF(CONSOLIDA!DQ203="","",CONSOLIDA!DQ203)</f>
        <v/>
      </c>
      <c r="C615" s="1126"/>
      <c r="D615" s="1127" t="str">
        <f>IF(CONSOLIDA!DS203="","",CONSOLIDA!DS203)</f>
        <v/>
      </c>
      <c r="E615" s="1128"/>
      <c r="F615" s="1128"/>
      <c r="G615" s="1129" t="str">
        <f>IF(CONSOLIDA!DT203="","",CONSOLIDA!DT203)</f>
        <v/>
      </c>
      <c r="H615" s="1129"/>
      <c r="I615" s="1129"/>
      <c r="J615" s="1129"/>
      <c r="K615" s="1129"/>
      <c r="L615" s="1129"/>
      <c r="M615" s="1129"/>
      <c r="N615" s="1129"/>
      <c r="O615" s="1129"/>
      <c r="P615" s="1129"/>
      <c r="Q615" s="1129"/>
      <c r="R615" s="1129"/>
      <c r="S615" s="1129"/>
      <c r="T615" s="1129"/>
      <c r="U615" s="1129"/>
      <c r="V615" s="1129"/>
      <c r="W615" s="1129"/>
      <c r="X615" s="1129"/>
      <c r="Y615" s="1129"/>
      <c r="Z615" s="1129"/>
      <c r="AA615" s="1129"/>
      <c r="AB615" s="1129"/>
      <c r="AC615" s="1129"/>
      <c r="AD615" s="1129"/>
      <c r="AE615" s="1130"/>
      <c r="AF615" s="1131"/>
      <c r="AG615" s="1131"/>
      <c r="AH615" s="1131"/>
      <c r="AI615" s="1131"/>
      <c r="AJ615" s="1131"/>
      <c r="AK615" s="1131"/>
      <c r="AL615" s="1131"/>
      <c r="AM615" s="1131"/>
      <c r="AN615" s="1131"/>
      <c r="AO615" s="1131"/>
      <c r="AP615" s="1131"/>
      <c r="AQ615" s="1131"/>
      <c r="AR615" s="1131"/>
      <c r="AS615" s="1131"/>
      <c r="AT615" s="1131"/>
      <c r="AU615" s="1131"/>
      <c r="AV615" s="1131"/>
      <c r="AW615" s="1131"/>
      <c r="AX615" s="1131"/>
      <c r="AY615" s="1131"/>
      <c r="AZ615" s="1131"/>
      <c r="BA615" s="1131"/>
      <c r="BB615" s="1131"/>
      <c r="BC615" s="1131"/>
      <c r="BD615" s="1131"/>
      <c r="BE615" s="1131"/>
      <c r="BF615" s="1131"/>
      <c r="BG615" s="1131"/>
      <c r="BH615" s="1131"/>
      <c r="BI615" s="1131"/>
      <c r="BJ615" s="1131"/>
      <c r="BK615" s="1131"/>
      <c r="BL615" s="1131"/>
      <c r="BM615" s="1131"/>
      <c r="BN615" s="1131"/>
      <c r="BO615" s="1131"/>
      <c r="BP615" s="1131"/>
      <c r="BQ615" s="1131"/>
      <c r="BR615" s="1131"/>
      <c r="BS615" s="1131"/>
      <c r="BT615" s="1131"/>
      <c r="BU615" s="1131"/>
      <c r="BV615" s="1131"/>
      <c r="BW615" s="1131"/>
      <c r="BX615" s="1131"/>
      <c r="BY615" s="1131"/>
      <c r="BZ615" s="1131"/>
      <c r="CA615" s="1131"/>
      <c r="CB615" s="1131"/>
      <c r="CC615" s="1131"/>
      <c r="CD615" s="1131"/>
      <c r="CE615" s="1131"/>
      <c r="CF615" s="1131"/>
      <c r="CG615" s="1131"/>
      <c r="CH615" s="29"/>
      <c r="CI615" s="185"/>
      <c r="CJ615" s="17"/>
    </row>
    <row r="616" spans="1:88" hidden="1">
      <c r="A616" s="243" t="str">
        <f t="shared" si="10"/>
        <v>OK</v>
      </c>
      <c r="B616" s="1126" t="str">
        <f>IF(CONSOLIDA!DQ204="","",CONSOLIDA!DQ204)</f>
        <v/>
      </c>
      <c r="C616" s="1126"/>
      <c r="D616" s="1127" t="str">
        <f>IF(CONSOLIDA!DS204="","",CONSOLIDA!DS204)</f>
        <v/>
      </c>
      <c r="E616" s="1128"/>
      <c r="F616" s="1128"/>
      <c r="G616" s="1129" t="str">
        <f>IF(CONSOLIDA!DT204="","",CONSOLIDA!DT204)</f>
        <v/>
      </c>
      <c r="H616" s="1129"/>
      <c r="I616" s="1129"/>
      <c r="J616" s="1129"/>
      <c r="K616" s="1129"/>
      <c r="L616" s="1129"/>
      <c r="M616" s="1129"/>
      <c r="N616" s="1129"/>
      <c r="O616" s="1129"/>
      <c r="P616" s="1129"/>
      <c r="Q616" s="1129"/>
      <c r="R616" s="1129"/>
      <c r="S616" s="1129"/>
      <c r="T616" s="1129"/>
      <c r="U616" s="1129"/>
      <c r="V616" s="1129"/>
      <c r="W616" s="1129"/>
      <c r="X616" s="1129"/>
      <c r="Y616" s="1129"/>
      <c r="Z616" s="1129"/>
      <c r="AA616" s="1129"/>
      <c r="AB616" s="1129"/>
      <c r="AC616" s="1129"/>
      <c r="AD616" s="1129"/>
      <c r="AE616" s="1130"/>
      <c r="AF616" s="1131"/>
      <c r="AG616" s="1131"/>
      <c r="AH616" s="1131"/>
      <c r="AI616" s="1131"/>
      <c r="AJ616" s="1131"/>
      <c r="AK616" s="1131"/>
      <c r="AL616" s="1131"/>
      <c r="AM616" s="1131"/>
      <c r="AN616" s="1131"/>
      <c r="AO616" s="1131"/>
      <c r="AP616" s="1131"/>
      <c r="AQ616" s="1131"/>
      <c r="AR616" s="1131"/>
      <c r="AS616" s="1131"/>
      <c r="AT616" s="1131"/>
      <c r="AU616" s="1131"/>
      <c r="AV616" s="1131"/>
      <c r="AW616" s="1131"/>
      <c r="AX616" s="1131"/>
      <c r="AY616" s="1131"/>
      <c r="AZ616" s="1131"/>
      <c r="BA616" s="1131"/>
      <c r="BB616" s="1131"/>
      <c r="BC616" s="1131"/>
      <c r="BD616" s="1131"/>
      <c r="BE616" s="1131"/>
      <c r="BF616" s="1131"/>
      <c r="BG616" s="1131"/>
      <c r="BH616" s="1131"/>
      <c r="BI616" s="1131"/>
      <c r="BJ616" s="1131"/>
      <c r="BK616" s="1131"/>
      <c r="BL616" s="1131"/>
      <c r="BM616" s="1131"/>
      <c r="BN616" s="1131"/>
      <c r="BO616" s="1131"/>
      <c r="BP616" s="1131"/>
      <c r="BQ616" s="1131"/>
      <c r="BR616" s="1131"/>
      <c r="BS616" s="1131"/>
      <c r="BT616" s="1131"/>
      <c r="BU616" s="1131"/>
      <c r="BV616" s="1131"/>
      <c r="BW616" s="1131"/>
      <c r="BX616" s="1131"/>
      <c r="BY616" s="1131"/>
      <c r="BZ616" s="1131"/>
      <c r="CA616" s="1131"/>
      <c r="CB616" s="1131"/>
      <c r="CC616" s="1131"/>
      <c r="CD616" s="1131"/>
      <c r="CE616" s="1131"/>
      <c r="CF616" s="1131"/>
      <c r="CG616" s="1131"/>
      <c r="CH616" s="29"/>
      <c r="CI616" s="185"/>
      <c r="CJ616" s="17"/>
    </row>
    <row r="617" spans="1:88" hidden="1">
      <c r="A617" s="243" t="str">
        <f t="shared" si="10"/>
        <v>OK</v>
      </c>
      <c r="B617" s="1126" t="str">
        <f>IF(CONSOLIDA!DQ205="","",CONSOLIDA!DQ205)</f>
        <v/>
      </c>
      <c r="C617" s="1126"/>
      <c r="D617" s="1127" t="str">
        <f>IF(CONSOLIDA!DS205="","",CONSOLIDA!DS205)</f>
        <v/>
      </c>
      <c r="E617" s="1128"/>
      <c r="F617" s="1128"/>
      <c r="G617" s="1129" t="str">
        <f>IF(CONSOLIDA!DT205="","",CONSOLIDA!DT205)</f>
        <v/>
      </c>
      <c r="H617" s="1129"/>
      <c r="I617" s="1129"/>
      <c r="J617" s="1129"/>
      <c r="K617" s="1129"/>
      <c r="L617" s="1129"/>
      <c r="M617" s="1129"/>
      <c r="N617" s="1129"/>
      <c r="O617" s="1129"/>
      <c r="P617" s="1129"/>
      <c r="Q617" s="1129"/>
      <c r="R617" s="1129"/>
      <c r="S617" s="1129"/>
      <c r="T617" s="1129"/>
      <c r="U617" s="1129"/>
      <c r="V617" s="1129"/>
      <c r="W617" s="1129"/>
      <c r="X617" s="1129"/>
      <c r="Y617" s="1129"/>
      <c r="Z617" s="1129"/>
      <c r="AA617" s="1129"/>
      <c r="AB617" s="1129"/>
      <c r="AC617" s="1129"/>
      <c r="AD617" s="1129"/>
      <c r="AE617" s="1130"/>
      <c r="AF617" s="1131"/>
      <c r="AG617" s="1131"/>
      <c r="AH617" s="1131"/>
      <c r="AI617" s="1131"/>
      <c r="AJ617" s="1131"/>
      <c r="AK617" s="1131"/>
      <c r="AL617" s="1131"/>
      <c r="AM617" s="1131"/>
      <c r="AN617" s="1131"/>
      <c r="AO617" s="1131"/>
      <c r="AP617" s="1131"/>
      <c r="AQ617" s="1131"/>
      <c r="AR617" s="1131"/>
      <c r="AS617" s="1131"/>
      <c r="AT617" s="1131"/>
      <c r="AU617" s="1131"/>
      <c r="AV617" s="1131"/>
      <c r="AW617" s="1131"/>
      <c r="AX617" s="1131"/>
      <c r="AY617" s="1131"/>
      <c r="AZ617" s="1131"/>
      <c r="BA617" s="1131"/>
      <c r="BB617" s="1131"/>
      <c r="BC617" s="1131"/>
      <c r="BD617" s="1131"/>
      <c r="BE617" s="1131"/>
      <c r="BF617" s="1131"/>
      <c r="BG617" s="1131"/>
      <c r="BH617" s="1131"/>
      <c r="BI617" s="1131"/>
      <c r="BJ617" s="1131"/>
      <c r="BK617" s="1131"/>
      <c r="BL617" s="1131"/>
      <c r="BM617" s="1131"/>
      <c r="BN617" s="1131"/>
      <c r="BO617" s="1131"/>
      <c r="BP617" s="1131"/>
      <c r="BQ617" s="1131"/>
      <c r="BR617" s="1131"/>
      <c r="BS617" s="1131"/>
      <c r="BT617" s="1131"/>
      <c r="BU617" s="1131"/>
      <c r="BV617" s="1131"/>
      <c r="BW617" s="1131"/>
      <c r="BX617" s="1131"/>
      <c r="BY617" s="1131"/>
      <c r="BZ617" s="1131"/>
      <c r="CA617" s="1131"/>
      <c r="CB617" s="1131"/>
      <c r="CC617" s="1131"/>
      <c r="CD617" s="1131"/>
      <c r="CE617" s="1131"/>
      <c r="CF617" s="1131"/>
      <c r="CG617" s="1131"/>
      <c r="CH617" s="29"/>
      <c r="CI617" s="185"/>
      <c r="CJ617" s="17"/>
    </row>
    <row r="618" spans="1:88" hidden="1">
      <c r="A618" s="243" t="str">
        <f t="shared" si="10"/>
        <v>OK</v>
      </c>
      <c r="B618" s="1126" t="str">
        <f>IF(CONSOLIDA!DQ206="","",CONSOLIDA!DQ206)</f>
        <v/>
      </c>
      <c r="C618" s="1126"/>
      <c r="D618" s="1127" t="str">
        <f>IF(CONSOLIDA!DS206="","",CONSOLIDA!DS206)</f>
        <v/>
      </c>
      <c r="E618" s="1128"/>
      <c r="F618" s="1128"/>
      <c r="G618" s="1129" t="str">
        <f>IF(CONSOLIDA!DT206="","",CONSOLIDA!DT206)</f>
        <v/>
      </c>
      <c r="H618" s="1129"/>
      <c r="I618" s="1129"/>
      <c r="J618" s="1129"/>
      <c r="K618" s="1129"/>
      <c r="L618" s="1129"/>
      <c r="M618" s="1129"/>
      <c r="N618" s="1129"/>
      <c r="O618" s="1129"/>
      <c r="P618" s="1129"/>
      <c r="Q618" s="1129"/>
      <c r="R618" s="1129"/>
      <c r="S618" s="1129"/>
      <c r="T618" s="1129"/>
      <c r="U618" s="1129"/>
      <c r="V618" s="1129"/>
      <c r="W618" s="1129"/>
      <c r="X618" s="1129"/>
      <c r="Y618" s="1129"/>
      <c r="Z618" s="1129"/>
      <c r="AA618" s="1129"/>
      <c r="AB618" s="1129"/>
      <c r="AC618" s="1129"/>
      <c r="AD618" s="1129"/>
      <c r="AE618" s="1130"/>
      <c r="AF618" s="1131"/>
      <c r="AG618" s="1131"/>
      <c r="AH618" s="1131"/>
      <c r="AI618" s="1131"/>
      <c r="AJ618" s="1131"/>
      <c r="AK618" s="1131"/>
      <c r="AL618" s="1131"/>
      <c r="AM618" s="1131"/>
      <c r="AN618" s="1131"/>
      <c r="AO618" s="1131"/>
      <c r="AP618" s="1131"/>
      <c r="AQ618" s="1131"/>
      <c r="AR618" s="1131"/>
      <c r="AS618" s="1131"/>
      <c r="AT618" s="1131"/>
      <c r="AU618" s="1131"/>
      <c r="AV618" s="1131"/>
      <c r="AW618" s="1131"/>
      <c r="AX618" s="1131"/>
      <c r="AY618" s="1131"/>
      <c r="AZ618" s="1131"/>
      <c r="BA618" s="1131"/>
      <c r="BB618" s="1131"/>
      <c r="BC618" s="1131"/>
      <c r="BD618" s="1131"/>
      <c r="BE618" s="1131"/>
      <c r="BF618" s="1131"/>
      <c r="BG618" s="1131"/>
      <c r="BH618" s="1131"/>
      <c r="BI618" s="1131"/>
      <c r="BJ618" s="1131"/>
      <c r="BK618" s="1131"/>
      <c r="BL618" s="1131"/>
      <c r="BM618" s="1131"/>
      <c r="BN618" s="1131"/>
      <c r="BO618" s="1131"/>
      <c r="BP618" s="1131"/>
      <c r="BQ618" s="1131"/>
      <c r="BR618" s="1131"/>
      <c r="BS618" s="1131"/>
      <c r="BT618" s="1131"/>
      <c r="BU618" s="1131"/>
      <c r="BV618" s="1131"/>
      <c r="BW618" s="1131"/>
      <c r="BX618" s="1131"/>
      <c r="BY618" s="1131"/>
      <c r="BZ618" s="1131"/>
      <c r="CA618" s="1131"/>
      <c r="CB618" s="1131"/>
      <c r="CC618" s="1131"/>
      <c r="CD618" s="1131"/>
      <c r="CE618" s="1131"/>
      <c r="CF618" s="1131"/>
      <c r="CG618" s="1131"/>
      <c r="CH618" s="29"/>
      <c r="CI618" s="185"/>
      <c r="CJ618" s="17"/>
    </row>
    <row r="619" spans="1:88" hidden="1">
      <c r="A619" s="243" t="str">
        <f t="shared" si="10"/>
        <v>OK</v>
      </c>
      <c r="B619" s="1126" t="str">
        <f>IF(CONSOLIDA!DQ207="","",CONSOLIDA!DQ207)</f>
        <v/>
      </c>
      <c r="C619" s="1126"/>
      <c r="D619" s="1127" t="str">
        <f>IF(CONSOLIDA!DS207="","",CONSOLIDA!DS207)</f>
        <v/>
      </c>
      <c r="E619" s="1128"/>
      <c r="F619" s="1128"/>
      <c r="G619" s="1129" t="str">
        <f>IF(CONSOLIDA!DT207="","",CONSOLIDA!DT207)</f>
        <v/>
      </c>
      <c r="H619" s="1129"/>
      <c r="I619" s="1129"/>
      <c r="J619" s="1129"/>
      <c r="K619" s="1129"/>
      <c r="L619" s="1129"/>
      <c r="M619" s="1129"/>
      <c r="N619" s="1129"/>
      <c r="O619" s="1129"/>
      <c r="P619" s="1129"/>
      <c r="Q619" s="1129"/>
      <c r="R619" s="1129"/>
      <c r="S619" s="1129"/>
      <c r="T619" s="1129"/>
      <c r="U619" s="1129"/>
      <c r="V619" s="1129"/>
      <c r="W619" s="1129"/>
      <c r="X619" s="1129"/>
      <c r="Y619" s="1129"/>
      <c r="Z619" s="1129"/>
      <c r="AA619" s="1129"/>
      <c r="AB619" s="1129"/>
      <c r="AC619" s="1129"/>
      <c r="AD619" s="1129"/>
      <c r="AE619" s="1130"/>
      <c r="AF619" s="1131"/>
      <c r="AG619" s="1131"/>
      <c r="AH619" s="1131"/>
      <c r="AI619" s="1131"/>
      <c r="AJ619" s="1131"/>
      <c r="AK619" s="1131"/>
      <c r="AL619" s="1131"/>
      <c r="AM619" s="1131"/>
      <c r="AN619" s="1131"/>
      <c r="AO619" s="1131"/>
      <c r="AP619" s="1131"/>
      <c r="AQ619" s="1131"/>
      <c r="AR619" s="1131"/>
      <c r="AS619" s="1131"/>
      <c r="AT619" s="1131"/>
      <c r="AU619" s="1131"/>
      <c r="AV619" s="1131"/>
      <c r="AW619" s="1131"/>
      <c r="AX619" s="1131"/>
      <c r="AY619" s="1131"/>
      <c r="AZ619" s="1131"/>
      <c r="BA619" s="1131"/>
      <c r="BB619" s="1131"/>
      <c r="BC619" s="1131"/>
      <c r="BD619" s="1131"/>
      <c r="BE619" s="1131"/>
      <c r="BF619" s="1131"/>
      <c r="BG619" s="1131"/>
      <c r="BH619" s="1131"/>
      <c r="BI619" s="1131"/>
      <c r="BJ619" s="1131"/>
      <c r="BK619" s="1131"/>
      <c r="BL619" s="1131"/>
      <c r="BM619" s="1131"/>
      <c r="BN619" s="1131"/>
      <c r="BO619" s="1131"/>
      <c r="BP619" s="1131"/>
      <c r="BQ619" s="1131"/>
      <c r="BR619" s="1131"/>
      <c r="BS619" s="1131"/>
      <c r="BT619" s="1131"/>
      <c r="BU619" s="1131"/>
      <c r="BV619" s="1131"/>
      <c r="BW619" s="1131"/>
      <c r="BX619" s="1131"/>
      <c r="BY619" s="1131"/>
      <c r="BZ619" s="1131"/>
      <c r="CA619" s="1131"/>
      <c r="CB619" s="1131"/>
      <c r="CC619" s="1131"/>
      <c r="CD619" s="1131"/>
      <c r="CE619" s="1131"/>
      <c r="CF619" s="1131"/>
      <c r="CG619" s="1131"/>
      <c r="CH619" s="29"/>
      <c r="CI619" s="185"/>
      <c r="CJ619" s="17"/>
    </row>
    <row r="620" spans="1:88" hidden="1">
      <c r="A620" s="243" t="str">
        <f t="shared" si="10"/>
        <v>OK</v>
      </c>
      <c r="B620" s="1126" t="str">
        <f>IF(CONSOLIDA!DQ208="","",CONSOLIDA!DQ208)</f>
        <v/>
      </c>
      <c r="C620" s="1126"/>
      <c r="D620" s="1127" t="str">
        <f>IF(CONSOLIDA!DS208="","",CONSOLIDA!DS208)</f>
        <v/>
      </c>
      <c r="E620" s="1128"/>
      <c r="F620" s="1128"/>
      <c r="G620" s="1129" t="str">
        <f>IF(CONSOLIDA!DT208="","",CONSOLIDA!DT208)</f>
        <v/>
      </c>
      <c r="H620" s="1129"/>
      <c r="I620" s="1129"/>
      <c r="J620" s="1129"/>
      <c r="K620" s="1129"/>
      <c r="L620" s="1129"/>
      <c r="M620" s="1129"/>
      <c r="N620" s="1129"/>
      <c r="O620" s="1129"/>
      <c r="P620" s="1129"/>
      <c r="Q620" s="1129"/>
      <c r="R620" s="1129"/>
      <c r="S620" s="1129"/>
      <c r="T620" s="1129"/>
      <c r="U620" s="1129"/>
      <c r="V620" s="1129"/>
      <c r="W620" s="1129"/>
      <c r="X620" s="1129"/>
      <c r="Y620" s="1129"/>
      <c r="Z620" s="1129"/>
      <c r="AA620" s="1129"/>
      <c r="AB620" s="1129"/>
      <c r="AC620" s="1129"/>
      <c r="AD620" s="1129"/>
      <c r="AE620" s="1130"/>
      <c r="AF620" s="1131"/>
      <c r="AG620" s="1131"/>
      <c r="AH620" s="1131"/>
      <c r="AI620" s="1131"/>
      <c r="AJ620" s="1131"/>
      <c r="AK620" s="1131"/>
      <c r="AL620" s="1131"/>
      <c r="AM620" s="1131"/>
      <c r="AN620" s="1131"/>
      <c r="AO620" s="1131"/>
      <c r="AP620" s="1131"/>
      <c r="AQ620" s="1131"/>
      <c r="AR620" s="1131"/>
      <c r="AS620" s="1131"/>
      <c r="AT620" s="1131"/>
      <c r="AU620" s="1131"/>
      <c r="AV620" s="1131"/>
      <c r="AW620" s="1131"/>
      <c r="AX620" s="1131"/>
      <c r="AY620" s="1131"/>
      <c r="AZ620" s="1131"/>
      <c r="BA620" s="1131"/>
      <c r="BB620" s="1131"/>
      <c r="BC620" s="1131"/>
      <c r="BD620" s="1131"/>
      <c r="BE620" s="1131"/>
      <c r="BF620" s="1131"/>
      <c r="BG620" s="1131"/>
      <c r="BH620" s="1131"/>
      <c r="BI620" s="1131"/>
      <c r="BJ620" s="1131"/>
      <c r="BK620" s="1131"/>
      <c r="BL620" s="1131"/>
      <c r="BM620" s="1131"/>
      <c r="BN620" s="1131"/>
      <c r="BO620" s="1131"/>
      <c r="BP620" s="1131"/>
      <c r="BQ620" s="1131"/>
      <c r="BR620" s="1131"/>
      <c r="BS620" s="1131"/>
      <c r="BT620" s="1131"/>
      <c r="BU620" s="1131"/>
      <c r="BV620" s="1131"/>
      <c r="BW620" s="1131"/>
      <c r="BX620" s="1131"/>
      <c r="BY620" s="1131"/>
      <c r="BZ620" s="1131"/>
      <c r="CA620" s="1131"/>
      <c r="CB620" s="1131"/>
      <c r="CC620" s="1131"/>
      <c r="CD620" s="1131"/>
      <c r="CE620" s="1131"/>
      <c r="CF620" s="1131"/>
      <c r="CG620" s="1131"/>
      <c r="CH620" s="29"/>
      <c r="CI620" s="185"/>
      <c r="CJ620" s="17"/>
    </row>
    <row r="621" spans="1:88" hidden="1">
      <c r="A621" s="243" t="str">
        <f t="shared" si="10"/>
        <v>OK</v>
      </c>
      <c r="B621" s="1126" t="str">
        <f>IF(CONSOLIDA!DQ209="","",CONSOLIDA!DQ209)</f>
        <v/>
      </c>
      <c r="C621" s="1126"/>
      <c r="D621" s="1127" t="str">
        <f>IF(CONSOLIDA!DS209="","",CONSOLIDA!DS209)</f>
        <v/>
      </c>
      <c r="E621" s="1128"/>
      <c r="F621" s="1128"/>
      <c r="G621" s="1129" t="str">
        <f>IF(CONSOLIDA!DT209="","",CONSOLIDA!DT209)</f>
        <v/>
      </c>
      <c r="H621" s="1129"/>
      <c r="I621" s="1129"/>
      <c r="J621" s="1129"/>
      <c r="K621" s="1129"/>
      <c r="L621" s="1129"/>
      <c r="M621" s="1129"/>
      <c r="N621" s="1129"/>
      <c r="O621" s="1129"/>
      <c r="P621" s="1129"/>
      <c r="Q621" s="1129"/>
      <c r="R621" s="1129"/>
      <c r="S621" s="1129"/>
      <c r="T621" s="1129"/>
      <c r="U621" s="1129"/>
      <c r="V621" s="1129"/>
      <c r="W621" s="1129"/>
      <c r="X621" s="1129"/>
      <c r="Y621" s="1129"/>
      <c r="Z621" s="1129"/>
      <c r="AA621" s="1129"/>
      <c r="AB621" s="1129"/>
      <c r="AC621" s="1129"/>
      <c r="AD621" s="1129"/>
      <c r="AE621" s="1130"/>
      <c r="AF621" s="1131"/>
      <c r="AG621" s="1131"/>
      <c r="AH621" s="1131"/>
      <c r="AI621" s="1131"/>
      <c r="AJ621" s="1131"/>
      <c r="AK621" s="1131"/>
      <c r="AL621" s="1131"/>
      <c r="AM621" s="1131"/>
      <c r="AN621" s="1131"/>
      <c r="AO621" s="1131"/>
      <c r="AP621" s="1131"/>
      <c r="AQ621" s="1131"/>
      <c r="AR621" s="1131"/>
      <c r="AS621" s="1131"/>
      <c r="AT621" s="1131"/>
      <c r="AU621" s="1131"/>
      <c r="AV621" s="1131"/>
      <c r="AW621" s="1131"/>
      <c r="AX621" s="1131"/>
      <c r="AY621" s="1131"/>
      <c r="AZ621" s="1131"/>
      <c r="BA621" s="1131"/>
      <c r="BB621" s="1131"/>
      <c r="BC621" s="1131"/>
      <c r="BD621" s="1131"/>
      <c r="BE621" s="1131"/>
      <c r="BF621" s="1131"/>
      <c r="BG621" s="1131"/>
      <c r="BH621" s="1131"/>
      <c r="BI621" s="1131"/>
      <c r="BJ621" s="1131"/>
      <c r="BK621" s="1131"/>
      <c r="BL621" s="1131"/>
      <c r="BM621" s="1131"/>
      <c r="BN621" s="1131"/>
      <c r="BO621" s="1131"/>
      <c r="BP621" s="1131"/>
      <c r="BQ621" s="1131"/>
      <c r="BR621" s="1131"/>
      <c r="BS621" s="1131"/>
      <c r="BT621" s="1131"/>
      <c r="BU621" s="1131"/>
      <c r="BV621" s="1131"/>
      <c r="BW621" s="1131"/>
      <c r="BX621" s="1131"/>
      <c r="BY621" s="1131"/>
      <c r="BZ621" s="1131"/>
      <c r="CA621" s="1131"/>
      <c r="CB621" s="1131"/>
      <c r="CC621" s="1131"/>
      <c r="CD621" s="1131"/>
      <c r="CE621" s="1131"/>
      <c r="CF621" s="1131"/>
      <c r="CG621" s="1131"/>
      <c r="CH621" s="29"/>
      <c r="CI621" s="185"/>
      <c r="CJ621" s="17"/>
    </row>
    <row r="622" spans="1:88" hidden="1">
      <c r="A622" s="243" t="str">
        <f t="shared" si="10"/>
        <v>OK</v>
      </c>
      <c r="B622" s="1126" t="str">
        <f>IF(CONSOLIDA!DQ210="","",CONSOLIDA!DQ210)</f>
        <v/>
      </c>
      <c r="C622" s="1126"/>
      <c r="D622" s="1127" t="str">
        <f>IF(CONSOLIDA!DS210="","",CONSOLIDA!DS210)</f>
        <v/>
      </c>
      <c r="E622" s="1128"/>
      <c r="F622" s="1128"/>
      <c r="G622" s="1129" t="str">
        <f>IF(CONSOLIDA!DT210="","",CONSOLIDA!DT210)</f>
        <v/>
      </c>
      <c r="H622" s="1129"/>
      <c r="I622" s="1129"/>
      <c r="J622" s="1129"/>
      <c r="K622" s="1129"/>
      <c r="L622" s="1129"/>
      <c r="M622" s="1129"/>
      <c r="N622" s="1129"/>
      <c r="O622" s="1129"/>
      <c r="P622" s="1129"/>
      <c r="Q622" s="1129"/>
      <c r="R622" s="1129"/>
      <c r="S622" s="1129"/>
      <c r="T622" s="1129"/>
      <c r="U622" s="1129"/>
      <c r="V622" s="1129"/>
      <c r="W622" s="1129"/>
      <c r="X622" s="1129"/>
      <c r="Y622" s="1129"/>
      <c r="Z622" s="1129"/>
      <c r="AA622" s="1129"/>
      <c r="AB622" s="1129"/>
      <c r="AC622" s="1129"/>
      <c r="AD622" s="1129"/>
      <c r="AE622" s="1130"/>
      <c r="AF622" s="1131"/>
      <c r="AG622" s="1131"/>
      <c r="AH622" s="1131"/>
      <c r="AI622" s="1131"/>
      <c r="AJ622" s="1131"/>
      <c r="AK622" s="1131"/>
      <c r="AL622" s="1131"/>
      <c r="AM622" s="1131"/>
      <c r="AN622" s="1131"/>
      <c r="AO622" s="1131"/>
      <c r="AP622" s="1131"/>
      <c r="AQ622" s="1131"/>
      <c r="AR622" s="1131"/>
      <c r="AS622" s="1131"/>
      <c r="AT622" s="1131"/>
      <c r="AU622" s="1131"/>
      <c r="AV622" s="1131"/>
      <c r="AW622" s="1131"/>
      <c r="AX622" s="1131"/>
      <c r="AY622" s="1131"/>
      <c r="AZ622" s="1131"/>
      <c r="BA622" s="1131"/>
      <c r="BB622" s="1131"/>
      <c r="BC622" s="1131"/>
      <c r="BD622" s="1131"/>
      <c r="BE622" s="1131"/>
      <c r="BF622" s="1131"/>
      <c r="BG622" s="1131"/>
      <c r="BH622" s="1131"/>
      <c r="BI622" s="1131"/>
      <c r="BJ622" s="1131"/>
      <c r="BK622" s="1131"/>
      <c r="BL622" s="1131"/>
      <c r="BM622" s="1131"/>
      <c r="BN622" s="1131"/>
      <c r="BO622" s="1131"/>
      <c r="BP622" s="1131"/>
      <c r="BQ622" s="1131"/>
      <c r="BR622" s="1131"/>
      <c r="BS622" s="1131"/>
      <c r="BT622" s="1131"/>
      <c r="BU622" s="1131"/>
      <c r="BV622" s="1131"/>
      <c r="BW622" s="1131"/>
      <c r="BX622" s="1131"/>
      <c r="BY622" s="1131"/>
      <c r="BZ622" s="1131"/>
      <c r="CA622" s="1131"/>
      <c r="CB622" s="1131"/>
      <c r="CC622" s="1131"/>
      <c r="CD622" s="1131"/>
      <c r="CE622" s="1131"/>
      <c r="CF622" s="1131"/>
      <c r="CG622" s="1131"/>
      <c r="CH622" s="29"/>
      <c r="CI622" s="185"/>
      <c r="CJ622" s="17"/>
    </row>
    <row r="623" spans="1:88" hidden="1">
      <c r="A623" s="243" t="str">
        <f t="shared" si="10"/>
        <v>OK</v>
      </c>
      <c r="B623" s="1126" t="str">
        <f>IF(CONSOLIDA!DQ211="","",CONSOLIDA!DQ211)</f>
        <v/>
      </c>
      <c r="C623" s="1126"/>
      <c r="D623" s="1127" t="str">
        <f>IF(CONSOLIDA!DS211="","",CONSOLIDA!DS211)</f>
        <v/>
      </c>
      <c r="E623" s="1128"/>
      <c r="F623" s="1128"/>
      <c r="G623" s="1129" t="str">
        <f>IF(CONSOLIDA!DT211="","",CONSOLIDA!DT211)</f>
        <v/>
      </c>
      <c r="H623" s="1129"/>
      <c r="I623" s="1129"/>
      <c r="J623" s="1129"/>
      <c r="K623" s="1129"/>
      <c r="L623" s="1129"/>
      <c r="M623" s="1129"/>
      <c r="N623" s="1129"/>
      <c r="O623" s="1129"/>
      <c r="P623" s="1129"/>
      <c r="Q623" s="1129"/>
      <c r="R623" s="1129"/>
      <c r="S623" s="1129"/>
      <c r="T623" s="1129"/>
      <c r="U623" s="1129"/>
      <c r="V623" s="1129"/>
      <c r="W623" s="1129"/>
      <c r="X623" s="1129"/>
      <c r="Y623" s="1129"/>
      <c r="Z623" s="1129"/>
      <c r="AA623" s="1129"/>
      <c r="AB623" s="1129"/>
      <c r="AC623" s="1129"/>
      <c r="AD623" s="1129"/>
      <c r="AE623" s="1130"/>
      <c r="AF623" s="1131"/>
      <c r="AG623" s="1131"/>
      <c r="AH623" s="1131"/>
      <c r="AI623" s="1131"/>
      <c r="AJ623" s="1131"/>
      <c r="AK623" s="1131"/>
      <c r="AL623" s="1131"/>
      <c r="AM623" s="1131"/>
      <c r="AN623" s="1131"/>
      <c r="AO623" s="1131"/>
      <c r="AP623" s="1131"/>
      <c r="AQ623" s="1131"/>
      <c r="AR623" s="1131"/>
      <c r="AS623" s="1131"/>
      <c r="AT623" s="1131"/>
      <c r="AU623" s="1131"/>
      <c r="AV623" s="1131"/>
      <c r="AW623" s="1131"/>
      <c r="AX623" s="1131"/>
      <c r="AY623" s="1131"/>
      <c r="AZ623" s="1131"/>
      <c r="BA623" s="1131"/>
      <c r="BB623" s="1131"/>
      <c r="BC623" s="1131"/>
      <c r="BD623" s="1131"/>
      <c r="BE623" s="1131"/>
      <c r="BF623" s="1131"/>
      <c r="BG623" s="1131"/>
      <c r="BH623" s="1131"/>
      <c r="BI623" s="1131"/>
      <c r="BJ623" s="1131"/>
      <c r="BK623" s="1131"/>
      <c r="BL623" s="1131"/>
      <c r="BM623" s="1131"/>
      <c r="BN623" s="1131"/>
      <c r="BO623" s="1131"/>
      <c r="BP623" s="1131"/>
      <c r="BQ623" s="1131"/>
      <c r="BR623" s="1131"/>
      <c r="BS623" s="1131"/>
      <c r="BT623" s="1131"/>
      <c r="BU623" s="1131"/>
      <c r="BV623" s="1131"/>
      <c r="BW623" s="1131"/>
      <c r="BX623" s="1131"/>
      <c r="BY623" s="1131"/>
      <c r="BZ623" s="1131"/>
      <c r="CA623" s="1131"/>
      <c r="CB623" s="1131"/>
      <c r="CC623" s="1131"/>
      <c r="CD623" s="1131"/>
      <c r="CE623" s="1131"/>
      <c r="CF623" s="1131"/>
      <c r="CG623" s="1131"/>
      <c r="CH623" s="29"/>
      <c r="CI623" s="185"/>
      <c r="CJ623" s="17"/>
    </row>
    <row r="624" spans="1:88" hidden="1">
      <c r="A624" s="243" t="str">
        <f t="shared" si="10"/>
        <v>OK</v>
      </c>
      <c r="B624" s="1126" t="str">
        <f>IF(CONSOLIDA!DQ212="","",CONSOLIDA!DQ212)</f>
        <v/>
      </c>
      <c r="C624" s="1126"/>
      <c r="D624" s="1127" t="str">
        <f>IF(CONSOLIDA!DS212="","",CONSOLIDA!DS212)</f>
        <v/>
      </c>
      <c r="E624" s="1128"/>
      <c r="F624" s="1128"/>
      <c r="G624" s="1129" t="str">
        <f>IF(CONSOLIDA!DT212="","",CONSOLIDA!DT212)</f>
        <v/>
      </c>
      <c r="H624" s="1129"/>
      <c r="I624" s="1129"/>
      <c r="J624" s="1129"/>
      <c r="K624" s="1129"/>
      <c r="L624" s="1129"/>
      <c r="M624" s="1129"/>
      <c r="N624" s="1129"/>
      <c r="O624" s="1129"/>
      <c r="P624" s="1129"/>
      <c r="Q624" s="1129"/>
      <c r="R624" s="1129"/>
      <c r="S624" s="1129"/>
      <c r="T624" s="1129"/>
      <c r="U624" s="1129"/>
      <c r="V624" s="1129"/>
      <c r="W624" s="1129"/>
      <c r="X624" s="1129"/>
      <c r="Y624" s="1129"/>
      <c r="Z624" s="1129"/>
      <c r="AA624" s="1129"/>
      <c r="AB624" s="1129"/>
      <c r="AC624" s="1129"/>
      <c r="AD624" s="1129"/>
      <c r="AE624" s="1130"/>
      <c r="AF624" s="1131"/>
      <c r="AG624" s="1131"/>
      <c r="AH624" s="1131"/>
      <c r="AI624" s="1131"/>
      <c r="AJ624" s="1131"/>
      <c r="AK624" s="1131"/>
      <c r="AL624" s="1131"/>
      <c r="AM624" s="1131"/>
      <c r="AN624" s="1131"/>
      <c r="AO624" s="1131"/>
      <c r="AP624" s="1131"/>
      <c r="AQ624" s="1131"/>
      <c r="AR624" s="1131"/>
      <c r="AS624" s="1131"/>
      <c r="AT624" s="1131"/>
      <c r="AU624" s="1131"/>
      <c r="AV624" s="1131"/>
      <c r="AW624" s="1131"/>
      <c r="AX624" s="1131"/>
      <c r="AY624" s="1131"/>
      <c r="AZ624" s="1131"/>
      <c r="BA624" s="1131"/>
      <c r="BB624" s="1131"/>
      <c r="BC624" s="1131"/>
      <c r="BD624" s="1131"/>
      <c r="BE624" s="1131"/>
      <c r="BF624" s="1131"/>
      <c r="BG624" s="1131"/>
      <c r="BH624" s="1131"/>
      <c r="BI624" s="1131"/>
      <c r="BJ624" s="1131"/>
      <c r="BK624" s="1131"/>
      <c r="BL624" s="1131"/>
      <c r="BM624" s="1131"/>
      <c r="BN624" s="1131"/>
      <c r="BO624" s="1131"/>
      <c r="BP624" s="1131"/>
      <c r="BQ624" s="1131"/>
      <c r="BR624" s="1131"/>
      <c r="BS624" s="1131"/>
      <c r="BT624" s="1131"/>
      <c r="BU624" s="1131"/>
      <c r="BV624" s="1131"/>
      <c r="BW624" s="1131"/>
      <c r="BX624" s="1131"/>
      <c r="BY624" s="1131"/>
      <c r="BZ624" s="1131"/>
      <c r="CA624" s="1131"/>
      <c r="CB624" s="1131"/>
      <c r="CC624" s="1131"/>
      <c r="CD624" s="1131"/>
      <c r="CE624" s="1131"/>
      <c r="CF624" s="1131"/>
      <c r="CG624" s="1131"/>
      <c r="CH624" s="29"/>
      <c r="CI624" s="185"/>
      <c r="CJ624" s="17"/>
    </row>
    <row r="625" spans="1:88" hidden="1">
      <c r="A625" s="243" t="str">
        <f t="shared" si="10"/>
        <v>OK</v>
      </c>
      <c r="B625" s="1126" t="str">
        <f>IF(CONSOLIDA!DQ213="","",CONSOLIDA!DQ213)</f>
        <v/>
      </c>
      <c r="C625" s="1126"/>
      <c r="D625" s="1127" t="str">
        <f>IF(CONSOLIDA!DS213="","",CONSOLIDA!DS213)</f>
        <v/>
      </c>
      <c r="E625" s="1128"/>
      <c r="F625" s="1128"/>
      <c r="G625" s="1129" t="str">
        <f>IF(CONSOLIDA!DT213="","",CONSOLIDA!DT213)</f>
        <v/>
      </c>
      <c r="H625" s="1129"/>
      <c r="I625" s="1129"/>
      <c r="J625" s="1129"/>
      <c r="K625" s="1129"/>
      <c r="L625" s="1129"/>
      <c r="M625" s="1129"/>
      <c r="N625" s="1129"/>
      <c r="O625" s="1129"/>
      <c r="P625" s="1129"/>
      <c r="Q625" s="1129"/>
      <c r="R625" s="1129"/>
      <c r="S625" s="1129"/>
      <c r="T625" s="1129"/>
      <c r="U625" s="1129"/>
      <c r="V625" s="1129"/>
      <c r="W625" s="1129"/>
      <c r="X625" s="1129"/>
      <c r="Y625" s="1129"/>
      <c r="Z625" s="1129"/>
      <c r="AA625" s="1129"/>
      <c r="AB625" s="1129"/>
      <c r="AC625" s="1129"/>
      <c r="AD625" s="1129"/>
      <c r="AE625" s="1130"/>
      <c r="AF625" s="1131"/>
      <c r="AG625" s="1131"/>
      <c r="AH625" s="1131"/>
      <c r="AI625" s="1131"/>
      <c r="AJ625" s="1131"/>
      <c r="AK625" s="1131"/>
      <c r="AL625" s="1131"/>
      <c r="AM625" s="1131"/>
      <c r="AN625" s="1131"/>
      <c r="AO625" s="1131"/>
      <c r="AP625" s="1131"/>
      <c r="AQ625" s="1131"/>
      <c r="AR625" s="1131"/>
      <c r="AS625" s="1131"/>
      <c r="AT625" s="1131"/>
      <c r="AU625" s="1131"/>
      <c r="AV625" s="1131"/>
      <c r="AW625" s="1131"/>
      <c r="AX625" s="1131"/>
      <c r="AY625" s="1131"/>
      <c r="AZ625" s="1131"/>
      <c r="BA625" s="1131"/>
      <c r="BB625" s="1131"/>
      <c r="BC625" s="1131"/>
      <c r="BD625" s="1131"/>
      <c r="BE625" s="1131"/>
      <c r="BF625" s="1131"/>
      <c r="BG625" s="1131"/>
      <c r="BH625" s="1131"/>
      <c r="BI625" s="1131"/>
      <c r="BJ625" s="1131"/>
      <c r="BK625" s="1131"/>
      <c r="BL625" s="1131"/>
      <c r="BM625" s="1131"/>
      <c r="BN625" s="1131"/>
      <c r="BO625" s="1131"/>
      <c r="BP625" s="1131"/>
      <c r="BQ625" s="1131"/>
      <c r="BR625" s="1131"/>
      <c r="BS625" s="1131"/>
      <c r="BT625" s="1131"/>
      <c r="BU625" s="1131"/>
      <c r="BV625" s="1131"/>
      <c r="BW625" s="1131"/>
      <c r="BX625" s="1131"/>
      <c r="BY625" s="1131"/>
      <c r="BZ625" s="1131"/>
      <c r="CA625" s="1131"/>
      <c r="CB625" s="1131"/>
      <c r="CC625" s="1131"/>
      <c r="CD625" s="1131"/>
      <c r="CE625" s="1131"/>
      <c r="CF625" s="1131"/>
      <c r="CG625" s="1131"/>
      <c r="CH625" s="29"/>
      <c r="CI625" s="185"/>
      <c r="CJ625" s="17"/>
    </row>
    <row r="626" spans="1:88" hidden="1">
      <c r="A626" s="243" t="str">
        <f t="shared" si="10"/>
        <v>OK</v>
      </c>
      <c r="B626" s="1126" t="str">
        <f>IF(CONSOLIDA!DQ214="","",CONSOLIDA!DQ214)</f>
        <v/>
      </c>
      <c r="C626" s="1126"/>
      <c r="D626" s="1127" t="str">
        <f>IF(CONSOLIDA!DS214="","",CONSOLIDA!DS214)</f>
        <v/>
      </c>
      <c r="E626" s="1128"/>
      <c r="F626" s="1128"/>
      <c r="G626" s="1129" t="str">
        <f>IF(CONSOLIDA!DT214="","",CONSOLIDA!DT214)</f>
        <v/>
      </c>
      <c r="H626" s="1129"/>
      <c r="I626" s="1129"/>
      <c r="J626" s="1129"/>
      <c r="K626" s="1129"/>
      <c r="L626" s="1129"/>
      <c r="M626" s="1129"/>
      <c r="N626" s="1129"/>
      <c r="O626" s="1129"/>
      <c r="P626" s="1129"/>
      <c r="Q626" s="1129"/>
      <c r="R626" s="1129"/>
      <c r="S626" s="1129"/>
      <c r="T626" s="1129"/>
      <c r="U626" s="1129"/>
      <c r="V626" s="1129"/>
      <c r="W626" s="1129"/>
      <c r="X626" s="1129"/>
      <c r="Y626" s="1129"/>
      <c r="Z626" s="1129"/>
      <c r="AA626" s="1129"/>
      <c r="AB626" s="1129"/>
      <c r="AC626" s="1129"/>
      <c r="AD626" s="1129"/>
      <c r="AE626" s="1130"/>
      <c r="AF626" s="1131"/>
      <c r="AG626" s="1131"/>
      <c r="AH626" s="1131"/>
      <c r="AI626" s="1131"/>
      <c r="AJ626" s="1131"/>
      <c r="AK626" s="1131"/>
      <c r="AL626" s="1131"/>
      <c r="AM626" s="1131"/>
      <c r="AN626" s="1131"/>
      <c r="AO626" s="1131"/>
      <c r="AP626" s="1131"/>
      <c r="AQ626" s="1131"/>
      <c r="AR626" s="1131"/>
      <c r="AS626" s="1131"/>
      <c r="AT626" s="1131"/>
      <c r="AU626" s="1131"/>
      <c r="AV626" s="1131"/>
      <c r="AW626" s="1131"/>
      <c r="AX626" s="1131"/>
      <c r="AY626" s="1131"/>
      <c r="AZ626" s="1131"/>
      <c r="BA626" s="1131"/>
      <c r="BB626" s="1131"/>
      <c r="BC626" s="1131"/>
      <c r="BD626" s="1131"/>
      <c r="BE626" s="1131"/>
      <c r="BF626" s="1131"/>
      <c r="BG626" s="1131"/>
      <c r="BH626" s="1131"/>
      <c r="BI626" s="1131"/>
      <c r="BJ626" s="1131"/>
      <c r="BK626" s="1131"/>
      <c r="BL626" s="1131"/>
      <c r="BM626" s="1131"/>
      <c r="BN626" s="1131"/>
      <c r="BO626" s="1131"/>
      <c r="BP626" s="1131"/>
      <c r="BQ626" s="1131"/>
      <c r="BR626" s="1131"/>
      <c r="BS626" s="1131"/>
      <c r="BT626" s="1131"/>
      <c r="BU626" s="1131"/>
      <c r="BV626" s="1131"/>
      <c r="BW626" s="1131"/>
      <c r="BX626" s="1131"/>
      <c r="BY626" s="1131"/>
      <c r="BZ626" s="1131"/>
      <c r="CA626" s="1131"/>
      <c r="CB626" s="1131"/>
      <c r="CC626" s="1131"/>
      <c r="CD626" s="1131"/>
      <c r="CE626" s="1131"/>
      <c r="CF626" s="1131"/>
      <c r="CG626" s="1131"/>
      <c r="CH626" s="29"/>
      <c r="CI626" s="185"/>
      <c r="CJ626" s="17"/>
    </row>
    <row r="627" spans="1:88" hidden="1">
      <c r="A627" s="243" t="str">
        <f t="shared" si="10"/>
        <v>OK</v>
      </c>
      <c r="B627" s="1126" t="str">
        <f>IF(CONSOLIDA!DQ215="","",CONSOLIDA!DQ215)</f>
        <v/>
      </c>
      <c r="C627" s="1126"/>
      <c r="D627" s="1127" t="str">
        <f>IF(CONSOLIDA!DS215="","",CONSOLIDA!DS215)</f>
        <v/>
      </c>
      <c r="E627" s="1128"/>
      <c r="F627" s="1128"/>
      <c r="G627" s="1129" t="str">
        <f>IF(CONSOLIDA!DT215="","",CONSOLIDA!DT215)</f>
        <v/>
      </c>
      <c r="H627" s="1129"/>
      <c r="I627" s="1129"/>
      <c r="J627" s="1129"/>
      <c r="K627" s="1129"/>
      <c r="L627" s="1129"/>
      <c r="M627" s="1129"/>
      <c r="N627" s="1129"/>
      <c r="O627" s="1129"/>
      <c r="P627" s="1129"/>
      <c r="Q627" s="1129"/>
      <c r="R627" s="1129"/>
      <c r="S627" s="1129"/>
      <c r="T627" s="1129"/>
      <c r="U627" s="1129"/>
      <c r="V627" s="1129"/>
      <c r="W627" s="1129"/>
      <c r="X627" s="1129"/>
      <c r="Y627" s="1129"/>
      <c r="Z627" s="1129"/>
      <c r="AA627" s="1129"/>
      <c r="AB627" s="1129"/>
      <c r="AC627" s="1129"/>
      <c r="AD627" s="1129"/>
      <c r="AE627" s="1130"/>
      <c r="AF627" s="1131"/>
      <c r="AG627" s="1131"/>
      <c r="AH627" s="1131"/>
      <c r="AI627" s="1131"/>
      <c r="AJ627" s="1131"/>
      <c r="AK627" s="1131"/>
      <c r="AL627" s="1131"/>
      <c r="AM627" s="1131"/>
      <c r="AN627" s="1131"/>
      <c r="AO627" s="1131"/>
      <c r="AP627" s="1131"/>
      <c r="AQ627" s="1131"/>
      <c r="AR627" s="1131"/>
      <c r="AS627" s="1131"/>
      <c r="AT627" s="1131"/>
      <c r="AU627" s="1131"/>
      <c r="AV627" s="1131"/>
      <c r="AW627" s="1131"/>
      <c r="AX627" s="1131"/>
      <c r="AY627" s="1131"/>
      <c r="AZ627" s="1131"/>
      <c r="BA627" s="1131"/>
      <c r="BB627" s="1131"/>
      <c r="BC627" s="1131"/>
      <c r="BD627" s="1131"/>
      <c r="BE627" s="1131"/>
      <c r="BF627" s="1131"/>
      <c r="BG627" s="1131"/>
      <c r="BH627" s="1131"/>
      <c r="BI627" s="1131"/>
      <c r="BJ627" s="1131"/>
      <c r="BK627" s="1131"/>
      <c r="BL627" s="1131"/>
      <c r="BM627" s="1131"/>
      <c r="BN627" s="1131"/>
      <c r="BO627" s="1131"/>
      <c r="BP627" s="1131"/>
      <c r="BQ627" s="1131"/>
      <c r="BR627" s="1131"/>
      <c r="BS627" s="1131"/>
      <c r="BT627" s="1131"/>
      <c r="BU627" s="1131"/>
      <c r="BV627" s="1131"/>
      <c r="BW627" s="1131"/>
      <c r="BX627" s="1131"/>
      <c r="BY627" s="1131"/>
      <c r="BZ627" s="1131"/>
      <c r="CA627" s="1131"/>
      <c r="CB627" s="1131"/>
      <c r="CC627" s="1131"/>
      <c r="CD627" s="1131"/>
      <c r="CE627" s="1131"/>
      <c r="CF627" s="1131"/>
      <c r="CG627" s="1131"/>
      <c r="CH627" s="29"/>
      <c r="CI627" s="185"/>
      <c r="CJ627" s="17"/>
    </row>
    <row r="628" spans="1:88" hidden="1">
      <c r="A628" s="243" t="str">
        <f t="shared" si="10"/>
        <v>OK</v>
      </c>
      <c r="B628" s="1126" t="str">
        <f>IF(CONSOLIDA!DQ216="","",CONSOLIDA!DQ216)</f>
        <v/>
      </c>
      <c r="C628" s="1126"/>
      <c r="D628" s="1127" t="str">
        <f>IF(CONSOLIDA!DS216="","",CONSOLIDA!DS216)</f>
        <v/>
      </c>
      <c r="E628" s="1128"/>
      <c r="F628" s="1128"/>
      <c r="G628" s="1129" t="str">
        <f>IF(CONSOLIDA!DT216="","",CONSOLIDA!DT216)</f>
        <v/>
      </c>
      <c r="H628" s="1129"/>
      <c r="I628" s="1129"/>
      <c r="J628" s="1129"/>
      <c r="K628" s="1129"/>
      <c r="L628" s="1129"/>
      <c r="M628" s="1129"/>
      <c r="N628" s="1129"/>
      <c r="O628" s="1129"/>
      <c r="P628" s="1129"/>
      <c r="Q628" s="1129"/>
      <c r="R628" s="1129"/>
      <c r="S628" s="1129"/>
      <c r="T628" s="1129"/>
      <c r="U628" s="1129"/>
      <c r="V628" s="1129"/>
      <c r="W628" s="1129"/>
      <c r="X628" s="1129"/>
      <c r="Y628" s="1129"/>
      <c r="Z628" s="1129"/>
      <c r="AA628" s="1129"/>
      <c r="AB628" s="1129"/>
      <c r="AC628" s="1129"/>
      <c r="AD628" s="1129"/>
      <c r="AE628" s="1130"/>
      <c r="AF628" s="1131"/>
      <c r="AG628" s="1131"/>
      <c r="AH628" s="1131"/>
      <c r="AI628" s="1131"/>
      <c r="AJ628" s="1131"/>
      <c r="AK628" s="1131"/>
      <c r="AL628" s="1131"/>
      <c r="AM628" s="1131"/>
      <c r="AN628" s="1131"/>
      <c r="AO628" s="1131"/>
      <c r="AP628" s="1131"/>
      <c r="AQ628" s="1131"/>
      <c r="AR628" s="1131"/>
      <c r="AS628" s="1131"/>
      <c r="AT628" s="1131"/>
      <c r="AU628" s="1131"/>
      <c r="AV628" s="1131"/>
      <c r="AW628" s="1131"/>
      <c r="AX628" s="1131"/>
      <c r="AY628" s="1131"/>
      <c r="AZ628" s="1131"/>
      <c r="BA628" s="1131"/>
      <c r="BB628" s="1131"/>
      <c r="BC628" s="1131"/>
      <c r="BD628" s="1131"/>
      <c r="BE628" s="1131"/>
      <c r="BF628" s="1131"/>
      <c r="BG628" s="1131"/>
      <c r="BH628" s="1131"/>
      <c r="BI628" s="1131"/>
      <c r="BJ628" s="1131"/>
      <c r="BK628" s="1131"/>
      <c r="BL628" s="1131"/>
      <c r="BM628" s="1131"/>
      <c r="BN628" s="1131"/>
      <c r="BO628" s="1131"/>
      <c r="BP628" s="1131"/>
      <c r="BQ628" s="1131"/>
      <c r="BR628" s="1131"/>
      <c r="BS628" s="1131"/>
      <c r="BT628" s="1131"/>
      <c r="BU628" s="1131"/>
      <c r="BV628" s="1131"/>
      <c r="BW628" s="1131"/>
      <c r="BX628" s="1131"/>
      <c r="BY628" s="1131"/>
      <c r="BZ628" s="1131"/>
      <c r="CA628" s="1131"/>
      <c r="CB628" s="1131"/>
      <c r="CC628" s="1131"/>
      <c r="CD628" s="1131"/>
      <c r="CE628" s="1131"/>
      <c r="CF628" s="1131"/>
      <c r="CG628" s="1131"/>
      <c r="CH628" s="29"/>
      <c r="CI628" s="185"/>
      <c r="CJ628" s="17"/>
    </row>
    <row r="629" spans="1:88" hidden="1">
      <c r="A629" s="243" t="str">
        <f t="shared" si="10"/>
        <v>OK</v>
      </c>
      <c r="B629" s="1126" t="str">
        <f>IF(CONSOLIDA!DQ217="","",CONSOLIDA!DQ217)</f>
        <v/>
      </c>
      <c r="C629" s="1126"/>
      <c r="D629" s="1127" t="str">
        <f>IF(CONSOLIDA!DS217="","",CONSOLIDA!DS217)</f>
        <v/>
      </c>
      <c r="E629" s="1128"/>
      <c r="F629" s="1128"/>
      <c r="G629" s="1129" t="str">
        <f>IF(CONSOLIDA!DT217="","",CONSOLIDA!DT217)</f>
        <v/>
      </c>
      <c r="H629" s="1129"/>
      <c r="I629" s="1129"/>
      <c r="J629" s="1129"/>
      <c r="K629" s="1129"/>
      <c r="L629" s="1129"/>
      <c r="M629" s="1129"/>
      <c r="N629" s="1129"/>
      <c r="O629" s="1129"/>
      <c r="P629" s="1129"/>
      <c r="Q629" s="1129"/>
      <c r="R629" s="1129"/>
      <c r="S629" s="1129"/>
      <c r="T629" s="1129"/>
      <c r="U629" s="1129"/>
      <c r="V629" s="1129"/>
      <c r="W629" s="1129"/>
      <c r="X629" s="1129"/>
      <c r="Y629" s="1129"/>
      <c r="Z629" s="1129"/>
      <c r="AA629" s="1129"/>
      <c r="AB629" s="1129"/>
      <c r="AC629" s="1129"/>
      <c r="AD629" s="1129"/>
      <c r="AE629" s="1130"/>
      <c r="AF629" s="1131"/>
      <c r="AG629" s="1131"/>
      <c r="AH629" s="1131"/>
      <c r="AI629" s="1131"/>
      <c r="AJ629" s="1131"/>
      <c r="AK629" s="1131"/>
      <c r="AL629" s="1131"/>
      <c r="AM629" s="1131"/>
      <c r="AN629" s="1131"/>
      <c r="AO629" s="1131"/>
      <c r="AP629" s="1131"/>
      <c r="AQ629" s="1131"/>
      <c r="AR629" s="1131"/>
      <c r="AS629" s="1131"/>
      <c r="AT629" s="1131"/>
      <c r="AU629" s="1131"/>
      <c r="AV629" s="1131"/>
      <c r="AW629" s="1131"/>
      <c r="AX629" s="1131"/>
      <c r="AY629" s="1131"/>
      <c r="AZ629" s="1131"/>
      <c r="BA629" s="1131"/>
      <c r="BB629" s="1131"/>
      <c r="BC629" s="1131"/>
      <c r="BD629" s="1131"/>
      <c r="BE629" s="1131"/>
      <c r="BF629" s="1131"/>
      <c r="BG629" s="1131"/>
      <c r="BH629" s="1131"/>
      <c r="BI629" s="1131"/>
      <c r="BJ629" s="1131"/>
      <c r="BK629" s="1131"/>
      <c r="BL629" s="1131"/>
      <c r="BM629" s="1131"/>
      <c r="BN629" s="1131"/>
      <c r="BO629" s="1131"/>
      <c r="BP629" s="1131"/>
      <c r="BQ629" s="1131"/>
      <c r="BR629" s="1131"/>
      <c r="BS629" s="1131"/>
      <c r="BT629" s="1131"/>
      <c r="BU629" s="1131"/>
      <c r="BV629" s="1131"/>
      <c r="BW629" s="1131"/>
      <c r="BX629" s="1131"/>
      <c r="BY629" s="1131"/>
      <c r="BZ629" s="1131"/>
      <c r="CA629" s="1131"/>
      <c r="CB629" s="1131"/>
      <c r="CC629" s="1131"/>
      <c r="CD629" s="1131"/>
      <c r="CE629" s="1131"/>
      <c r="CF629" s="1131"/>
      <c r="CG629" s="1131"/>
      <c r="CH629" s="29"/>
      <c r="CI629" s="185"/>
      <c r="CJ629" s="17"/>
    </row>
    <row r="630" spans="1:88" hidden="1">
      <c r="A630" s="243" t="str">
        <f t="shared" si="10"/>
        <v>OK</v>
      </c>
      <c r="B630" s="1126" t="str">
        <f>IF(CONSOLIDA!DQ218="","",CONSOLIDA!DQ218)</f>
        <v/>
      </c>
      <c r="C630" s="1126"/>
      <c r="D630" s="1127" t="str">
        <f>IF(CONSOLIDA!DS218="","",CONSOLIDA!DS218)</f>
        <v/>
      </c>
      <c r="E630" s="1128"/>
      <c r="F630" s="1128"/>
      <c r="G630" s="1129" t="str">
        <f>IF(CONSOLIDA!DT218="","",CONSOLIDA!DT218)</f>
        <v/>
      </c>
      <c r="H630" s="1129"/>
      <c r="I630" s="1129"/>
      <c r="J630" s="1129"/>
      <c r="K630" s="1129"/>
      <c r="L630" s="1129"/>
      <c r="M630" s="1129"/>
      <c r="N630" s="1129"/>
      <c r="O630" s="1129"/>
      <c r="P630" s="1129"/>
      <c r="Q630" s="1129"/>
      <c r="R630" s="1129"/>
      <c r="S630" s="1129"/>
      <c r="T630" s="1129"/>
      <c r="U630" s="1129"/>
      <c r="V630" s="1129"/>
      <c r="W630" s="1129"/>
      <c r="X630" s="1129"/>
      <c r="Y630" s="1129"/>
      <c r="Z630" s="1129"/>
      <c r="AA630" s="1129"/>
      <c r="AB630" s="1129"/>
      <c r="AC630" s="1129"/>
      <c r="AD630" s="1129"/>
      <c r="AE630" s="1130"/>
      <c r="AF630" s="1131"/>
      <c r="AG630" s="1131"/>
      <c r="AH630" s="1131"/>
      <c r="AI630" s="1131"/>
      <c r="AJ630" s="1131"/>
      <c r="AK630" s="1131"/>
      <c r="AL630" s="1131"/>
      <c r="AM630" s="1131"/>
      <c r="AN630" s="1131"/>
      <c r="AO630" s="1131"/>
      <c r="AP630" s="1131"/>
      <c r="AQ630" s="1131"/>
      <c r="AR630" s="1131"/>
      <c r="AS630" s="1131"/>
      <c r="AT630" s="1131"/>
      <c r="AU630" s="1131"/>
      <c r="AV630" s="1131"/>
      <c r="AW630" s="1131"/>
      <c r="AX630" s="1131"/>
      <c r="AY630" s="1131"/>
      <c r="AZ630" s="1131"/>
      <c r="BA630" s="1131"/>
      <c r="BB630" s="1131"/>
      <c r="BC630" s="1131"/>
      <c r="BD630" s="1131"/>
      <c r="BE630" s="1131"/>
      <c r="BF630" s="1131"/>
      <c r="BG630" s="1131"/>
      <c r="BH630" s="1131"/>
      <c r="BI630" s="1131"/>
      <c r="BJ630" s="1131"/>
      <c r="BK630" s="1131"/>
      <c r="BL630" s="1131"/>
      <c r="BM630" s="1131"/>
      <c r="BN630" s="1131"/>
      <c r="BO630" s="1131"/>
      <c r="BP630" s="1131"/>
      <c r="BQ630" s="1131"/>
      <c r="BR630" s="1131"/>
      <c r="BS630" s="1131"/>
      <c r="BT630" s="1131"/>
      <c r="BU630" s="1131"/>
      <c r="BV630" s="1131"/>
      <c r="BW630" s="1131"/>
      <c r="BX630" s="1131"/>
      <c r="BY630" s="1131"/>
      <c r="BZ630" s="1131"/>
      <c r="CA630" s="1131"/>
      <c r="CB630" s="1131"/>
      <c r="CC630" s="1131"/>
      <c r="CD630" s="1131"/>
      <c r="CE630" s="1131"/>
      <c r="CF630" s="1131"/>
      <c r="CG630" s="1131"/>
      <c r="CH630" s="29"/>
      <c r="CI630" s="185"/>
      <c r="CJ630" s="17"/>
    </row>
    <row r="631" spans="1:88" hidden="1">
      <c r="A631" s="243" t="str">
        <f t="shared" si="10"/>
        <v>OK</v>
      </c>
      <c r="B631" s="1126" t="str">
        <f>IF(CONSOLIDA!DQ219="","",CONSOLIDA!DQ219)</f>
        <v/>
      </c>
      <c r="C631" s="1126"/>
      <c r="D631" s="1127" t="str">
        <f>IF(CONSOLIDA!DS219="","",CONSOLIDA!DS219)</f>
        <v/>
      </c>
      <c r="E631" s="1128"/>
      <c r="F631" s="1128"/>
      <c r="G631" s="1129" t="str">
        <f>IF(CONSOLIDA!DT219="","",CONSOLIDA!DT219)</f>
        <v/>
      </c>
      <c r="H631" s="1129"/>
      <c r="I631" s="1129"/>
      <c r="J631" s="1129"/>
      <c r="K631" s="1129"/>
      <c r="L631" s="1129"/>
      <c r="M631" s="1129"/>
      <c r="N631" s="1129"/>
      <c r="O631" s="1129"/>
      <c r="P631" s="1129"/>
      <c r="Q631" s="1129"/>
      <c r="R631" s="1129"/>
      <c r="S631" s="1129"/>
      <c r="T631" s="1129"/>
      <c r="U631" s="1129"/>
      <c r="V631" s="1129"/>
      <c r="W631" s="1129"/>
      <c r="X631" s="1129"/>
      <c r="Y631" s="1129"/>
      <c r="Z631" s="1129"/>
      <c r="AA631" s="1129"/>
      <c r="AB631" s="1129"/>
      <c r="AC631" s="1129"/>
      <c r="AD631" s="1129"/>
      <c r="AE631" s="1130"/>
      <c r="AF631" s="1131"/>
      <c r="AG631" s="1131"/>
      <c r="AH631" s="1131"/>
      <c r="AI631" s="1131"/>
      <c r="AJ631" s="1131"/>
      <c r="AK631" s="1131"/>
      <c r="AL631" s="1131"/>
      <c r="AM631" s="1131"/>
      <c r="AN631" s="1131"/>
      <c r="AO631" s="1131"/>
      <c r="AP631" s="1131"/>
      <c r="AQ631" s="1131"/>
      <c r="AR631" s="1131"/>
      <c r="AS631" s="1131"/>
      <c r="AT631" s="1131"/>
      <c r="AU631" s="1131"/>
      <c r="AV631" s="1131"/>
      <c r="AW631" s="1131"/>
      <c r="AX631" s="1131"/>
      <c r="AY631" s="1131"/>
      <c r="AZ631" s="1131"/>
      <c r="BA631" s="1131"/>
      <c r="BB631" s="1131"/>
      <c r="BC631" s="1131"/>
      <c r="BD631" s="1131"/>
      <c r="BE631" s="1131"/>
      <c r="BF631" s="1131"/>
      <c r="BG631" s="1131"/>
      <c r="BH631" s="1131"/>
      <c r="BI631" s="1131"/>
      <c r="BJ631" s="1131"/>
      <c r="BK631" s="1131"/>
      <c r="BL631" s="1131"/>
      <c r="BM631" s="1131"/>
      <c r="BN631" s="1131"/>
      <c r="BO631" s="1131"/>
      <c r="BP631" s="1131"/>
      <c r="BQ631" s="1131"/>
      <c r="BR631" s="1131"/>
      <c r="BS631" s="1131"/>
      <c r="BT631" s="1131"/>
      <c r="BU631" s="1131"/>
      <c r="BV631" s="1131"/>
      <c r="BW631" s="1131"/>
      <c r="BX631" s="1131"/>
      <c r="BY631" s="1131"/>
      <c r="BZ631" s="1131"/>
      <c r="CA631" s="1131"/>
      <c r="CB631" s="1131"/>
      <c r="CC631" s="1131"/>
      <c r="CD631" s="1131"/>
      <c r="CE631" s="1131"/>
      <c r="CF631" s="1131"/>
      <c r="CG631" s="1131"/>
      <c r="CH631" s="29"/>
      <c r="CI631" s="185"/>
      <c r="CJ631" s="17"/>
    </row>
    <row r="632" spans="1:88" hidden="1">
      <c r="A632" s="243" t="str">
        <f t="shared" ref="A632:A643" si="11">IF(D632="","OK","")</f>
        <v>OK</v>
      </c>
      <c r="B632" s="1126" t="str">
        <f>IF(CONSOLIDA!DQ220="","",CONSOLIDA!DQ220)</f>
        <v/>
      </c>
      <c r="C632" s="1126"/>
      <c r="D632" s="1127" t="str">
        <f>IF(CONSOLIDA!DS220="","",CONSOLIDA!DS220)</f>
        <v/>
      </c>
      <c r="E632" s="1128"/>
      <c r="F632" s="1128"/>
      <c r="G632" s="1129" t="str">
        <f>IF(CONSOLIDA!DT220="","",CONSOLIDA!DT220)</f>
        <v/>
      </c>
      <c r="H632" s="1129"/>
      <c r="I632" s="1129"/>
      <c r="J632" s="1129"/>
      <c r="K632" s="1129"/>
      <c r="L632" s="1129"/>
      <c r="M632" s="1129"/>
      <c r="N632" s="1129"/>
      <c r="O632" s="1129"/>
      <c r="P632" s="1129"/>
      <c r="Q632" s="1129"/>
      <c r="R632" s="1129"/>
      <c r="S632" s="1129"/>
      <c r="T632" s="1129"/>
      <c r="U632" s="1129"/>
      <c r="V632" s="1129"/>
      <c r="W632" s="1129"/>
      <c r="X632" s="1129"/>
      <c r="Y632" s="1129"/>
      <c r="Z632" s="1129"/>
      <c r="AA632" s="1129"/>
      <c r="AB632" s="1129"/>
      <c r="AC632" s="1129"/>
      <c r="AD632" s="1129"/>
      <c r="AE632" s="1130"/>
      <c r="AF632" s="1131"/>
      <c r="AG632" s="1131"/>
      <c r="AH632" s="1131"/>
      <c r="AI632" s="1131"/>
      <c r="AJ632" s="1131"/>
      <c r="AK632" s="1131"/>
      <c r="AL632" s="1131"/>
      <c r="AM632" s="1131"/>
      <c r="AN632" s="1131"/>
      <c r="AO632" s="1131"/>
      <c r="AP632" s="1131"/>
      <c r="AQ632" s="1131"/>
      <c r="AR632" s="1131"/>
      <c r="AS632" s="1131"/>
      <c r="AT632" s="1131"/>
      <c r="AU632" s="1131"/>
      <c r="AV632" s="1131"/>
      <c r="AW632" s="1131"/>
      <c r="AX632" s="1131"/>
      <c r="AY632" s="1131"/>
      <c r="AZ632" s="1131"/>
      <c r="BA632" s="1131"/>
      <c r="BB632" s="1131"/>
      <c r="BC632" s="1131"/>
      <c r="BD632" s="1131"/>
      <c r="BE632" s="1131"/>
      <c r="BF632" s="1131"/>
      <c r="BG632" s="1131"/>
      <c r="BH632" s="1131"/>
      <c r="BI632" s="1131"/>
      <c r="BJ632" s="1131"/>
      <c r="BK632" s="1131"/>
      <c r="BL632" s="1131"/>
      <c r="BM632" s="1131"/>
      <c r="BN632" s="1131"/>
      <c r="BO632" s="1131"/>
      <c r="BP632" s="1131"/>
      <c r="BQ632" s="1131"/>
      <c r="BR632" s="1131"/>
      <c r="BS632" s="1131"/>
      <c r="BT632" s="1131"/>
      <c r="BU632" s="1131"/>
      <c r="BV632" s="1131"/>
      <c r="BW632" s="1131"/>
      <c r="BX632" s="1131"/>
      <c r="BY632" s="1131"/>
      <c r="BZ632" s="1131"/>
      <c r="CA632" s="1131"/>
      <c r="CB632" s="1131"/>
      <c r="CC632" s="1131"/>
      <c r="CD632" s="1131"/>
      <c r="CE632" s="1131"/>
      <c r="CF632" s="1131"/>
      <c r="CG632" s="1131"/>
      <c r="CH632" s="29"/>
      <c r="CI632" s="185"/>
      <c r="CJ632" s="17"/>
    </row>
    <row r="633" spans="1:88" hidden="1">
      <c r="A633" s="243" t="str">
        <f t="shared" si="11"/>
        <v>OK</v>
      </c>
      <c r="B633" s="1126" t="str">
        <f>IF(CONSOLIDA!DQ221="","",CONSOLIDA!DQ221)</f>
        <v/>
      </c>
      <c r="C633" s="1126"/>
      <c r="D633" s="1127" t="str">
        <f>IF(CONSOLIDA!DS221="","",CONSOLIDA!DS221)</f>
        <v/>
      </c>
      <c r="E633" s="1128"/>
      <c r="F633" s="1128"/>
      <c r="G633" s="1129" t="str">
        <f>IF(CONSOLIDA!DT221="","",CONSOLIDA!DT221)</f>
        <v/>
      </c>
      <c r="H633" s="1129"/>
      <c r="I633" s="1129"/>
      <c r="J633" s="1129"/>
      <c r="K633" s="1129"/>
      <c r="L633" s="1129"/>
      <c r="M633" s="1129"/>
      <c r="N633" s="1129"/>
      <c r="O633" s="1129"/>
      <c r="P633" s="1129"/>
      <c r="Q633" s="1129"/>
      <c r="R633" s="1129"/>
      <c r="S633" s="1129"/>
      <c r="T633" s="1129"/>
      <c r="U633" s="1129"/>
      <c r="V633" s="1129"/>
      <c r="W633" s="1129"/>
      <c r="X633" s="1129"/>
      <c r="Y633" s="1129"/>
      <c r="Z633" s="1129"/>
      <c r="AA633" s="1129"/>
      <c r="AB633" s="1129"/>
      <c r="AC633" s="1129"/>
      <c r="AD633" s="1129"/>
      <c r="AE633" s="1130"/>
      <c r="AF633" s="1131"/>
      <c r="AG633" s="1131"/>
      <c r="AH633" s="1131"/>
      <c r="AI633" s="1131"/>
      <c r="AJ633" s="1131"/>
      <c r="AK633" s="1131"/>
      <c r="AL633" s="1131"/>
      <c r="AM633" s="1131"/>
      <c r="AN633" s="1131"/>
      <c r="AO633" s="1131"/>
      <c r="AP633" s="1131"/>
      <c r="AQ633" s="1131"/>
      <c r="AR633" s="1131"/>
      <c r="AS633" s="1131"/>
      <c r="AT633" s="1131"/>
      <c r="AU633" s="1131"/>
      <c r="AV633" s="1131"/>
      <c r="AW633" s="1131"/>
      <c r="AX633" s="1131"/>
      <c r="AY633" s="1131"/>
      <c r="AZ633" s="1131"/>
      <c r="BA633" s="1131"/>
      <c r="BB633" s="1131"/>
      <c r="BC633" s="1131"/>
      <c r="BD633" s="1131"/>
      <c r="BE633" s="1131"/>
      <c r="BF633" s="1131"/>
      <c r="BG633" s="1131"/>
      <c r="BH633" s="1131"/>
      <c r="BI633" s="1131"/>
      <c r="BJ633" s="1131"/>
      <c r="BK633" s="1131"/>
      <c r="BL633" s="1131"/>
      <c r="BM633" s="1131"/>
      <c r="BN633" s="1131"/>
      <c r="BO633" s="1131"/>
      <c r="BP633" s="1131"/>
      <c r="BQ633" s="1131"/>
      <c r="BR633" s="1131"/>
      <c r="BS633" s="1131"/>
      <c r="BT633" s="1131"/>
      <c r="BU633" s="1131"/>
      <c r="BV633" s="1131"/>
      <c r="BW633" s="1131"/>
      <c r="BX633" s="1131"/>
      <c r="BY633" s="1131"/>
      <c r="BZ633" s="1131"/>
      <c r="CA633" s="1131"/>
      <c r="CB633" s="1131"/>
      <c r="CC633" s="1131"/>
      <c r="CD633" s="1131"/>
      <c r="CE633" s="1131"/>
      <c r="CF633" s="1131"/>
      <c r="CG633" s="1131"/>
      <c r="CH633" s="29"/>
      <c r="CI633" s="185"/>
      <c r="CJ633" s="17"/>
    </row>
    <row r="634" spans="1:88" hidden="1">
      <c r="A634" s="243" t="str">
        <f t="shared" si="11"/>
        <v>OK</v>
      </c>
      <c r="B634" s="1126" t="str">
        <f>IF(CONSOLIDA!DQ222="","",CONSOLIDA!DQ222)</f>
        <v/>
      </c>
      <c r="C634" s="1126"/>
      <c r="D634" s="1127" t="str">
        <f>IF(CONSOLIDA!DS222="","",CONSOLIDA!DS222)</f>
        <v/>
      </c>
      <c r="E634" s="1128"/>
      <c r="F634" s="1128"/>
      <c r="G634" s="1129" t="str">
        <f>IF(CONSOLIDA!DT222="","",CONSOLIDA!DT222)</f>
        <v/>
      </c>
      <c r="H634" s="1129"/>
      <c r="I634" s="1129"/>
      <c r="J634" s="1129"/>
      <c r="K634" s="1129"/>
      <c r="L634" s="1129"/>
      <c r="M634" s="1129"/>
      <c r="N634" s="1129"/>
      <c r="O634" s="1129"/>
      <c r="P634" s="1129"/>
      <c r="Q634" s="1129"/>
      <c r="R634" s="1129"/>
      <c r="S634" s="1129"/>
      <c r="T634" s="1129"/>
      <c r="U634" s="1129"/>
      <c r="V634" s="1129"/>
      <c r="W634" s="1129"/>
      <c r="X634" s="1129"/>
      <c r="Y634" s="1129"/>
      <c r="Z634" s="1129"/>
      <c r="AA634" s="1129"/>
      <c r="AB634" s="1129"/>
      <c r="AC634" s="1129"/>
      <c r="AD634" s="1129"/>
      <c r="AE634" s="1130"/>
      <c r="AF634" s="1131"/>
      <c r="AG634" s="1131"/>
      <c r="AH634" s="1131"/>
      <c r="AI634" s="1131"/>
      <c r="AJ634" s="1131"/>
      <c r="AK634" s="1131"/>
      <c r="AL634" s="1131"/>
      <c r="AM634" s="1131"/>
      <c r="AN634" s="1131"/>
      <c r="AO634" s="1131"/>
      <c r="AP634" s="1131"/>
      <c r="AQ634" s="1131"/>
      <c r="AR634" s="1131"/>
      <c r="AS634" s="1131"/>
      <c r="AT634" s="1131"/>
      <c r="AU634" s="1131"/>
      <c r="AV634" s="1131"/>
      <c r="AW634" s="1131"/>
      <c r="AX634" s="1131"/>
      <c r="AY634" s="1131"/>
      <c r="AZ634" s="1131"/>
      <c r="BA634" s="1131"/>
      <c r="BB634" s="1131"/>
      <c r="BC634" s="1131"/>
      <c r="BD634" s="1131"/>
      <c r="BE634" s="1131"/>
      <c r="BF634" s="1131"/>
      <c r="BG634" s="1131"/>
      <c r="BH634" s="1131"/>
      <c r="BI634" s="1131"/>
      <c r="BJ634" s="1131"/>
      <c r="BK634" s="1131"/>
      <c r="BL634" s="1131"/>
      <c r="BM634" s="1131"/>
      <c r="BN634" s="1131"/>
      <c r="BO634" s="1131"/>
      <c r="BP634" s="1131"/>
      <c r="BQ634" s="1131"/>
      <c r="BR634" s="1131"/>
      <c r="BS634" s="1131"/>
      <c r="BT634" s="1131"/>
      <c r="BU634" s="1131"/>
      <c r="BV634" s="1131"/>
      <c r="BW634" s="1131"/>
      <c r="BX634" s="1131"/>
      <c r="BY634" s="1131"/>
      <c r="BZ634" s="1131"/>
      <c r="CA634" s="1131"/>
      <c r="CB634" s="1131"/>
      <c r="CC634" s="1131"/>
      <c r="CD634" s="1131"/>
      <c r="CE634" s="1131"/>
      <c r="CF634" s="1131"/>
      <c r="CG634" s="1131"/>
      <c r="CH634" s="29"/>
      <c r="CI634" s="185"/>
      <c r="CJ634" s="17"/>
    </row>
    <row r="635" spans="1:88" hidden="1">
      <c r="A635" s="243" t="str">
        <f t="shared" si="11"/>
        <v>OK</v>
      </c>
      <c r="B635" s="1126" t="str">
        <f>IF(CONSOLIDA!DQ223="","",CONSOLIDA!DQ223)</f>
        <v/>
      </c>
      <c r="C635" s="1126"/>
      <c r="D635" s="1127" t="str">
        <f>IF(CONSOLIDA!DS223="","",CONSOLIDA!DS223)</f>
        <v/>
      </c>
      <c r="E635" s="1128"/>
      <c r="F635" s="1128"/>
      <c r="G635" s="1129" t="str">
        <f>IF(CONSOLIDA!DT223="","",CONSOLIDA!DT223)</f>
        <v/>
      </c>
      <c r="H635" s="1129"/>
      <c r="I635" s="1129"/>
      <c r="J635" s="1129"/>
      <c r="K635" s="1129"/>
      <c r="L635" s="1129"/>
      <c r="M635" s="1129"/>
      <c r="N635" s="1129"/>
      <c r="O635" s="1129"/>
      <c r="P635" s="1129"/>
      <c r="Q635" s="1129"/>
      <c r="R635" s="1129"/>
      <c r="S635" s="1129"/>
      <c r="T635" s="1129"/>
      <c r="U635" s="1129"/>
      <c r="V635" s="1129"/>
      <c r="W635" s="1129"/>
      <c r="X635" s="1129"/>
      <c r="Y635" s="1129"/>
      <c r="Z635" s="1129"/>
      <c r="AA635" s="1129"/>
      <c r="AB635" s="1129"/>
      <c r="AC635" s="1129"/>
      <c r="AD635" s="1129"/>
      <c r="AE635" s="1130"/>
      <c r="AF635" s="1131"/>
      <c r="AG635" s="1131"/>
      <c r="AH635" s="1131"/>
      <c r="AI635" s="1131"/>
      <c r="AJ635" s="1131"/>
      <c r="AK635" s="1131"/>
      <c r="AL635" s="1131"/>
      <c r="AM635" s="1131"/>
      <c r="AN635" s="1131"/>
      <c r="AO635" s="1131"/>
      <c r="AP635" s="1131"/>
      <c r="AQ635" s="1131"/>
      <c r="AR635" s="1131"/>
      <c r="AS635" s="1131"/>
      <c r="AT635" s="1131"/>
      <c r="AU635" s="1131"/>
      <c r="AV635" s="1131"/>
      <c r="AW635" s="1131"/>
      <c r="AX635" s="1131"/>
      <c r="AY635" s="1131"/>
      <c r="AZ635" s="1131"/>
      <c r="BA635" s="1131"/>
      <c r="BB635" s="1131"/>
      <c r="BC635" s="1131"/>
      <c r="BD635" s="1131"/>
      <c r="BE635" s="1131"/>
      <c r="BF635" s="1131"/>
      <c r="BG635" s="1131"/>
      <c r="BH635" s="1131"/>
      <c r="BI635" s="1131"/>
      <c r="BJ635" s="1131"/>
      <c r="BK635" s="1131"/>
      <c r="BL635" s="1131"/>
      <c r="BM635" s="1131"/>
      <c r="BN635" s="1131"/>
      <c r="BO635" s="1131"/>
      <c r="BP635" s="1131"/>
      <c r="BQ635" s="1131"/>
      <c r="BR635" s="1131"/>
      <c r="BS635" s="1131"/>
      <c r="BT635" s="1131"/>
      <c r="BU635" s="1131"/>
      <c r="BV635" s="1131"/>
      <c r="BW635" s="1131"/>
      <c r="BX635" s="1131"/>
      <c r="BY635" s="1131"/>
      <c r="BZ635" s="1131"/>
      <c r="CA635" s="1131"/>
      <c r="CB635" s="1131"/>
      <c r="CC635" s="1131"/>
      <c r="CD635" s="1131"/>
      <c r="CE635" s="1131"/>
      <c r="CF635" s="1131"/>
      <c r="CG635" s="1131"/>
      <c r="CH635" s="29"/>
      <c r="CI635" s="185"/>
      <c r="CJ635" s="17"/>
    </row>
    <row r="636" spans="1:88" hidden="1">
      <c r="A636" s="243" t="str">
        <f t="shared" si="11"/>
        <v>OK</v>
      </c>
      <c r="B636" s="1126" t="str">
        <f>IF(CONSOLIDA!DQ224="","",CONSOLIDA!DQ224)</f>
        <v/>
      </c>
      <c r="C636" s="1126"/>
      <c r="D636" s="1127" t="str">
        <f>IF(CONSOLIDA!DS224="","",CONSOLIDA!DS224)</f>
        <v/>
      </c>
      <c r="E636" s="1128"/>
      <c r="F636" s="1128"/>
      <c r="G636" s="1129" t="str">
        <f>IF(CONSOLIDA!DT224="","",CONSOLIDA!DT224)</f>
        <v/>
      </c>
      <c r="H636" s="1129"/>
      <c r="I636" s="1129"/>
      <c r="J636" s="1129"/>
      <c r="K636" s="1129"/>
      <c r="L636" s="1129"/>
      <c r="M636" s="1129"/>
      <c r="N636" s="1129"/>
      <c r="O636" s="1129"/>
      <c r="P636" s="1129"/>
      <c r="Q636" s="1129"/>
      <c r="R636" s="1129"/>
      <c r="S636" s="1129"/>
      <c r="T636" s="1129"/>
      <c r="U636" s="1129"/>
      <c r="V636" s="1129"/>
      <c r="W636" s="1129"/>
      <c r="X636" s="1129"/>
      <c r="Y636" s="1129"/>
      <c r="Z636" s="1129"/>
      <c r="AA636" s="1129"/>
      <c r="AB636" s="1129"/>
      <c r="AC636" s="1129"/>
      <c r="AD636" s="1129"/>
      <c r="AE636" s="1130"/>
      <c r="AF636" s="1131"/>
      <c r="AG636" s="1131"/>
      <c r="AH636" s="1131"/>
      <c r="AI636" s="1131"/>
      <c r="AJ636" s="1131"/>
      <c r="AK636" s="1131"/>
      <c r="AL636" s="1131"/>
      <c r="AM636" s="1131"/>
      <c r="AN636" s="1131"/>
      <c r="AO636" s="1131"/>
      <c r="AP636" s="1131"/>
      <c r="AQ636" s="1131"/>
      <c r="AR636" s="1131"/>
      <c r="AS636" s="1131"/>
      <c r="AT636" s="1131"/>
      <c r="AU636" s="1131"/>
      <c r="AV636" s="1131"/>
      <c r="AW636" s="1131"/>
      <c r="AX636" s="1131"/>
      <c r="AY636" s="1131"/>
      <c r="AZ636" s="1131"/>
      <c r="BA636" s="1131"/>
      <c r="BB636" s="1131"/>
      <c r="BC636" s="1131"/>
      <c r="BD636" s="1131"/>
      <c r="BE636" s="1131"/>
      <c r="BF636" s="1131"/>
      <c r="BG636" s="1131"/>
      <c r="BH636" s="1131"/>
      <c r="BI636" s="1131"/>
      <c r="BJ636" s="1131"/>
      <c r="BK636" s="1131"/>
      <c r="BL636" s="1131"/>
      <c r="BM636" s="1131"/>
      <c r="BN636" s="1131"/>
      <c r="BO636" s="1131"/>
      <c r="BP636" s="1131"/>
      <c r="BQ636" s="1131"/>
      <c r="BR636" s="1131"/>
      <c r="BS636" s="1131"/>
      <c r="BT636" s="1131"/>
      <c r="BU636" s="1131"/>
      <c r="BV636" s="1131"/>
      <c r="BW636" s="1131"/>
      <c r="BX636" s="1131"/>
      <c r="BY636" s="1131"/>
      <c r="BZ636" s="1131"/>
      <c r="CA636" s="1131"/>
      <c r="CB636" s="1131"/>
      <c r="CC636" s="1131"/>
      <c r="CD636" s="1131"/>
      <c r="CE636" s="1131"/>
      <c r="CF636" s="1131"/>
      <c r="CG636" s="1131"/>
      <c r="CH636" s="29"/>
      <c r="CI636" s="185"/>
      <c r="CJ636" s="17"/>
    </row>
    <row r="637" spans="1:88" hidden="1">
      <c r="A637" s="243" t="str">
        <f t="shared" si="11"/>
        <v>OK</v>
      </c>
      <c r="B637" s="1126" t="str">
        <f>IF(CONSOLIDA!DQ225="","",CONSOLIDA!DQ225)</f>
        <v/>
      </c>
      <c r="C637" s="1126"/>
      <c r="D637" s="1127" t="str">
        <f>IF(CONSOLIDA!DS225="","",CONSOLIDA!DS225)</f>
        <v/>
      </c>
      <c r="E637" s="1128"/>
      <c r="F637" s="1128"/>
      <c r="G637" s="1129" t="str">
        <f>IF(CONSOLIDA!DT225="","",CONSOLIDA!DT225)</f>
        <v/>
      </c>
      <c r="H637" s="1129"/>
      <c r="I637" s="1129"/>
      <c r="J637" s="1129"/>
      <c r="K637" s="1129"/>
      <c r="L637" s="1129"/>
      <c r="M637" s="1129"/>
      <c r="N637" s="1129"/>
      <c r="O637" s="1129"/>
      <c r="P637" s="1129"/>
      <c r="Q637" s="1129"/>
      <c r="R637" s="1129"/>
      <c r="S637" s="1129"/>
      <c r="T637" s="1129"/>
      <c r="U637" s="1129"/>
      <c r="V637" s="1129"/>
      <c r="W637" s="1129"/>
      <c r="X637" s="1129"/>
      <c r="Y637" s="1129"/>
      <c r="Z637" s="1129"/>
      <c r="AA637" s="1129"/>
      <c r="AB637" s="1129"/>
      <c r="AC637" s="1129"/>
      <c r="AD637" s="1129"/>
      <c r="AE637" s="1130"/>
      <c r="AF637" s="1131"/>
      <c r="AG637" s="1131"/>
      <c r="AH637" s="1131"/>
      <c r="AI637" s="1131"/>
      <c r="AJ637" s="1131"/>
      <c r="AK637" s="1131"/>
      <c r="AL637" s="1131"/>
      <c r="AM637" s="1131"/>
      <c r="AN637" s="1131"/>
      <c r="AO637" s="1131"/>
      <c r="AP637" s="1131"/>
      <c r="AQ637" s="1131"/>
      <c r="AR637" s="1131"/>
      <c r="AS637" s="1131"/>
      <c r="AT637" s="1131"/>
      <c r="AU637" s="1131"/>
      <c r="AV637" s="1131"/>
      <c r="AW637" s="1131"/>
      <c r="AX637" s="1131"/>
      <c r="AY637" s="1131"/>
      <c r="AZ637" s="1131"/>
      <c r="BA637" s="1131"/>
      <c r="BB637" s="1131"/>
      <c r="BC637" s="1131"/>
      <c r="BD637" s="1131"/>
      <c r="BE637" s="1131"/>
      <c r="BF637" s="1131"/>
      <c r="BG637" s="1131"/>
      <c r="BH637" s="1131"/>
      <c r="BI637" s="1131"/>
      <c r="BJ637" s="1131"/>
      <c r="BK637" s="1131"/>
      <c r="BL637" s="1131"/>
      <c r="BM637" s="1131"/>
      <c r="BN637" s="1131"/>
      <c r="BO637" s="1131"/>
      <c r="BP637" s="1131"/>
      <c r="BQ637" s="1131"/>
      <c r="BR637" s="1131"/>
      <c r="BS637" s="1131"/>
      <c r="BT637" s="1131"/>
      <c r="BU637" s="1131"/>
      <c r="BV637" s="1131"/>
      <c r="BW637" s="1131"/>
      <c r="BX637" s="1131"/>
      <c r="BY637" s="1131"/>
      <c r="BZ637" s="1131"/>
      <c r="CA637" s="1131"/>
      <c r="CB637" s="1131"/>
      <c r="CC637" s="1131"/>
      <c r="CD637" s="1131"/>
      <c r="CE637" s="1131"/>
      <c r="CF637" s="1131"/>
      <c r="CG637" s="1131"/>
      <c r="CH637" s="29"/>
      <c r="CI637" s="185"/>
      <c r="CJ637" s="17"/>
    </row>
    <row r="638" spans="1:88" hidden="1">
      <c r="A638" s="243" t="str">
        <f t="shared" si="11"/>
        <v>OK</v>
      </c>
      <c r="B638" s="1126" t="str">
        <f>IF(CONSOLIDA!DQ226="","",CONSOLIDA!DQ226)</f>
        <v/>
      </c>
      <c r="C638" s="1126"/>
      <c r="D638" s="1127" t="str">
        <f>IF(CONSOLIDA!DS226="","",CONSOLIDA!DS226)</f>
        <v/>
      </c>
      <c r="E638" s="1128"/>
      <c r="F638" s="1128"/>
      <c r="G638" s="1129" t="str">
        <f>IF(CONSOLIDA!DT226="","",CONSOLIDA!DT226)</f>
        <v/>
      </c>
      <c r="H638" s="1129"/>
      <c r="I638" s="1129"/>
      <c r="J638" s="1129"/>
      <c r="K638" s="1129"/>
      <c r="L638" s="1129"/>
      <c r="M638" s="1129"/>
      <c r="N638" s="1129"/>
      <c r="O638" s="1129"/>
      <c r="P638" s="1129"/>
      <c r="Q638" s="1129"/>
      <c r="R638" s="1129"/>
      <c r="S638" s="1129"/>
      <c r="T638" s="1129"/>
      <c r="U638" s="1129"/>
      <c r="V638" s="1129"/>
      <c r="W638" s="1129"/>
      <c r="X638" s="1129"/>
      <c r="Y638" s="1129"/>
      <c r="Z638" s="1129"/>
      <c r="AA638" s="1129"/>
      <c r="AB638" s="1129"/>
      <c r="AC638" s="1129"/>
      <c r="AD638" s="1129"/>
      <c r="AE638" s="1130"/>
      <c r="AF638" s="1131"/>
      <c r="AG638" s="1131"/>
      <c r="AH638" s="1131"/>
      <c r="AI638" s="1131"/>
      <c r="AJ638" s="1131"/>
      <c r="AK638" s="1131"/>
      <c r="AL638" s="1131"/>
      <c r="AM638" s="1131"/>
      <c r="AN638" s="1131"/>
      <c r="AO638" s="1131"/>
      <c r="AP638" s="1131"/>
      <c r="AQ638" s="1131"/>
      <c r="AR638" s="1131"/>
      <c r="AS638" s="1131"/>
      <c r="AT638" s="1131"/>
      <c r="AU638" s="1131"/>
      <c r="AV638" s="1131"/>
      <c r="AW638" s="1131"/>
      <c r="AX638" s="1131"/>
      <c r="AY638" s="1131"/>
      <c r="AZ638" s="1131"/>
      <c r="BA638" s="1131"/>
      <c r="BB638" s="1131"/>
      <c r="BC638" s="1131"/>
      <c r="BD638" s="1131"/>
      <c r="BE638" s="1131"/>
      <c r="BF638" s="1131"/>
      <c r="BG638" s="1131"/>
      <c r="BH638" s="1131"/>
      <c r="BI638" s="1131"/>
      <c r="BJ638" s="1131"/>
      <c r="BK638" s="1131"/>
      <c r="BL638" s="1131"/>
      <c r="BM638" s="1131"/>
      <c r="BN638" s="1131"/>
      <c r="BO638" s="1131"/>
      <c r="BP638" s="1131"/>
      <c r="BQ638" s="1131"/>
      <c r="BR638" s="1131"/>
      <c r="BS638" s="1131"/>
      <c r="BT638" s="1131"/>
      <c r="BU638" s="1131"/>
      <c r="BV638" s="1131"/>
      <c r="BW638" s="1131"/>
      <c r="BX638" s="1131"/>
      <c r="BY638" s="1131"/>
      <c r="BZ638" s="1131"/>
      <c r="CA638" s="1131"/>
      <c r="CB638" s="1131"/>
      <c r="CC638" s="1131"/>
      <c r="CD638" s="1131"/>
      <c r="CE638" s="1131"/>
      <c r="CF638" s="1131"/>
      <c r="CG638" s="1131"/>
      <c r="CH638" s="29"/>
      <c r="CI638" s="185"/>
      <c r="CJ638" s="17"/>
    </row>
    <row r="639" spans="1:88" hidden="1">
      <c r="A639" s="243" t="str">
        <f t="shared" si="11"/>
        <v>OK</v>
      </c>
      <c r="B639" s="1126" t="str">
        <f>IF(CONSOLIDA!DQ227="","",CONSOLIDA!DQ227)</f>
        <v/>
      </c>
      <c r="C639" s="1126"/>
      <c r="D639" s="1127" t="str">
        <f>IF(CONSOLIDA!DS227="","",CONSOLIDA!DS227)</f>
        <v/>
      </c>
      <c r="E639" s="1128"/>
      <c r="F639" s="1128"/>
      <c r="G639" s="1129" t="str">
        <f>IF(CONSOLIDA!DT227="","",CONSOLIDA!DT227)</f>
        <v/>
      </c>
      <c r="H639" s="1129"/>
      <c r="I639" s="1129"/>
      <c r="J639" s="1129"/>
      <c r="K639" s="1129"/>
      <c r="L639" s="1129"/>
      <c r="M639" s="1129"/>
      <c r="N639" s="1129"/>
      <c r="O639" s="1129"/>
      <c r="P639" s="1129"/>
      <c r="Q639" s="1129"/>
      <c r="R639" s="1129"/>
      <c r="S639" s="1129"/>
      <c r="T639" s="1129"/>
      <c r="U639" s="1129"/>
      <c r="V639" s="1129"/>
      <c r="W639" s="1129"/>
      <c r="X639" s="1129"/>
      <c r="Y639" s="1129"/>
      <c r="Z639" s="1129"/>
      <c r="AA639" s="1129"/>
      <c r="AB639" s="1129"/>
      <c r="AC639" s="1129"/>
      <c r="AD639" s="1129"/>
      <c r="AE639" s="1130"/>
      <c r="AF639" s="1131"/>
      <c r="AG639" s="1131"/>
      <c r="AH639" s="1131"/>
      <c r="AI639" s="1131"/>
      <c r="AJ639" s="1131"/>
      <c r="AK639" s="1131"/>
      <c r="AL639" s="1131"/>
      <c r="AM639" s="1131"/>
      <c r="AN639" s="1131"/>
      <c r="AO639" s="1131"/>
      <c r="AP639" s="1131"/>
      <c r="AQ639" s="1131"/>
      <c r="AR639" s="1131"/>
      <c r="AS639" s="1131"/>
      <c r="AT639" s="1131"/>
      <c r="AU639" s="1131"/>
      <c r="AV639" s="1131"/>
      <c r="AW639" s="1131"/>
      <c r="AX639" s="1131"/>
      <c r="AY639" s="1131"/>
      <c r="AZ639" s="1131"/>
      <c r="BA639" s="1131"/>
      <c r="BB639" s="1131"/>
      <c r="BC639" s="1131"/>
      <c r="BD639" s="1131"/>
      <c r="BE639" s="1131"/>
      <c r="BF639" s="1131"/>
      <c r="BG639" s="1131"/>
      <c r="BH639" s="1131"/>
      <c r="BI639" s="1131"/>
      <c r="BJ639" s="1131"/>
      <c r="BK639" s="1131"/>
      <c r="BL639" s="1131"/>
      <c r="BM639" s="1131"/>
      <c r="BN639" s="1131"/>
      <c r="BO639" s="1131"/>
      <c r="BP639" s="1131"/>
      <c r="BQ639" s="1131"/>
      <c r="BR639" s="1131"/>
      <c r="BS639" s="1131"/>
      <c r="BT639" s="1131"/>
      <c r="BU639" s="1131"/>
      <c r="BV639" s="1131"/>
      <c r="BW639" s="1131"/>
      <c r="BX639" s="1131"/>
      <c r="BY639" s="1131"/>
      <c r="BZ639" s="1131"/>
      <c r="CA639" s="1131"/>
      <c r="CB639" s="1131"/>
      <c r="CC639" s="1131"/>
      <c r="CD639" s="1131"/>
      <c r="CE639" s="1131"/>
      <c r="CF639" s="1131"/>
      <c r="CG639" s="1131"/>
      <c r="CH639" s="29"/>
      <c r="CI639" s="185"/>
      <c r="CJ639" s="17"/>
    </row>
    <row r="640" spans="1:88" hidden="1">
      <c r="A640" s="243" t="str">
        <f t="shared" si="11"/>
        <v>OK</v>
      </c>
      <c r="B640" s="1126" t="str">
        <f>IF(CONSOLIDA!DQ228="","",CONSOLIDA!DQ228)</f>
        <v/>
      </c>
      <c r="C640" s="1126"/>
      <c r="D640" s="1127" t="str">
        <f>IF(CONSOLIDA!DS228="","",CONSOLIDA!DS228)</f>
        <v/>
      </c>
      <c r="E640" s="1128"/>
      <c r="F640" s="1128"/>
      <c r="G640" s="1129" t="str">
        <f>IF(CONSOLIDA!DT228="","",CONSOLIDA!DT228)</f>
        <v/>
      </c>
      <c r="H640" s="1129"/>
      <c r="I640" s="1129"/>
      <c r="J640" s="1129"/>
      <c r="K640" s="1129"/>
      <c r="L640" s="1129"/>
      <c r="M640" s="1129"/>
      <c r="N640" s="1129"/>
      <c r="O640" s="1129"/>
      <c r="P640" s="1129"/>
      <c r="Q640" s="1129"/>
      <c r="R640" s="1129"/>
      <c r="S640" s="1129"/>
      <c r="T640" s="1129"/>
      <c r="U640" s="1129"/>
      <c r="V640" s="1129"/>
      <c r="W640" s="1129"/>
      <c r="X640" s="1129"/>
      <c r="Y640" s="1129"/>
      <c r="Z640" s="1129"/>
      <c r="AA640" s="1129"/>
      <c r="AB640" s="1129"/>
      <c r="AC640" s="1129"/>
      <c r="AD640" s="1129"/>
      <c r="AE640" s="1130"/>
      <c r="AF640" s="1131"/>
      <c r="AG640" s="1131"/>
      <c r="AH640" s="1131"/>
      <c r="AI640" s="1131"/>
      <c r="AJ640" s="1131"/>
      <c r="AK640" s="1131"/>
      <c r="AL640" s="1131"/>
      <c r="AM640" s="1131"/>
      <c r="AN640" s="1131"/>
      <c r="AO640" s="1131"/>
      <c r="AP640" s="1131"/>
      <c r="AQ640" s="1131"/>
      <c r="AR640" s="1131"/>
      <c r="AS640" s="1131"/>
      <c r="AT640" s="1131"/>
      <c r="AU640" s="1131"/>
      <c r="AV640" s="1131"/>
      <c r="AW640" s="1131"/>
      <c r="AX640" s="1131"/>
      <c r="AY640" s="1131"/>
      <c r="AZ640" s="1131"/>
      <c r="BA640" s="1131"/>
      <c r="BB640" s="1131"/>
      <c r="BC640" s="1131"/>
      <c r="BD640" s="1131"/>
      <c r="BE640" s="1131"/>
      <c r="BF640" s="1131"/>
      <c r="BG640" s="1131"/>
      <c r="BH640" s="1131"/>
      <c r="BI640" s="1131"/>
      <c r="BJ640" s="1131"/>
      <c r="BK640" s="1131"/>
      <c r="BL640" s="1131"/>
      <c r="BM640" s="1131"/>
      <c r="BN640" s="1131"/>
      <c r="BO640" s="1131"/>
      <c r="BP640" s="1131"/>
      <c r="BQ640" s="1131"/>
      <c r="BR640" s="1131"/>
      <c r="BS640" s="1131"/>
      <c r="BT640" s="1131"/>
      <c r="BU640" s="1131"/>
      <c r="BV640" s="1131"/>
      <c r="BW640" s="1131"/>
      <c r="BX640" s="1131"/>
      <c r="BY640" s="1131"/>
      <c r="BZ640" s="1131"/>
      <c r="CA640" s="1131"/>
      <c r="CB640" s="1131"/>
      <c r="CC640" s="1131"/>
      <c r="CD640" s="1131"/>
      <c r="CE640" s="1131"/>
      <c r="CF640" s="1131"/>
      <c r="CG640" s="1131"/>
      <c r="CH640" s="29"/>
      <c r="CI640" s="185"/>
      <c r="CJ640" s="17"/>
    </row>
    <row r="641" spans="1:88" hidden="1">
      <c r="A641" s="243" t="str">
        <f t="shared" si="11"/>
        <v>OK</v>
      </c>
      <c r="B641" s="1126" t="str">
        <f>IF(CONSOLIDA!DQ229="","",CONSOLIDA!DQ229)</f>
        <v/>
      </c>
      <c r="C641" s="1126"/>
      <c r="D641" s="1127" t="str">
        <f>IF(CONSOLIDA!DS229="","",CONSOLIDA!DS229)</f>
        <v/>
      </c>
      <c r="E641" s="1128"/>
      <c r="F641" s="1128"/>
      <c r="G641" s="1129" t="str">
        <f>IF(CONSOLIDA!DT229="","",CONSOLIDA!DT229)</f>
        <v/>
      </c>
      <c r="H641" s="1129"/>
      <c r="I641" s="1129"/>
      <c r="J641" s="1129"/>
      <c r="K641" s="1129"/>
      <c r="L641" s="1129"/>
      <c r="M641" s="1129"/>
      <c r="N641" s="1129"/>
      <c r="O641" s="1129"/>
      <c r="P641" s="1129"/>
      <c r="Q641" s="1129"/>
      <c r="R641" s="1129"/>
      <c r="S641" s="1129"/>
      <c r="T641" s="1129"/>
      <c r="U641" s="1129"/>
      <c r="V641" s="1129"/>
      <c r="W641" s="1129"/>
      <c r="X641" s="1129"/>
      <c r="Y641" s="1129"/>
      <c r="Z641" s="1129"/>
      <c r="AA641" s="1129"/>
      <c r="AB641" s="1129"/>
      <c r="AC641" s="1129"/>
      <c r="AD641" s="1129"/>
      <c r="AE641" s="1130"/>
      <c r="AF641" s="1131"/>
      <c r="AG641" s="1131"/>
      <c r="AH641" s="1131"/>
      <c r="AI641" s="1131"/>
      <c r="AJ641" s="1131"/>
      <c r="AK641" s="1131"/>
      <c r="AL641" s="1131"/>
      <c r="AM641" s="1131"/>
      <c r="AN641" s="1131"/>
      <c r="AO641" s="1131"/>
      <c r="AP641" s="1131"/>
      <c r="AQ641" s="1131"/>
      <c r="AR641" s="1131"/>
      <c r="AS641" s="1131"/>
      <c r="AT641" s="1131"/>
      <c r="AU641" s="1131"/>
      <c r="AV641" s="1131"/>
      <c r="AW641" s="1131"/>
      <c r="AX641" s="1131"/>
      <c r="AY641" s="1131"/>
      <c r="AZ641" s="1131"/>
      <c r="BA641" s="1131"/>
      <c r="BB641" s="1131"/>
      <c r="BC641" s="1131"/>
      <c r="BD641" s="1131"/>
      <c r="BE641" s="1131"/>
      <c r="BF641" s="1131"/>
      <c r="BG641" s="1131"/>
      <c r="BH641" s="1131"/>
      <c r="BI641" s="1131"/>
      <c r="BJ641" s="1131"/>
      <c r="BK641" s="1131"/>
      <c r="BL641" s="1131"/>
      <c r="BM641" s="1131"/>
      <c r="BN641" s="1131"/>
      <c r="BO641" s="1131"/>
      <c r="BP641" s="1131"/>
      <c r="BQ641" s="1131"/>
      <c r="BR641" s="1131"/>
      <c r="BS641" s="1131"/>
      <c r="BT641" s="1131"/>
      <c r="BU641" s="1131"/>
      <c r="BV641" s="1131"/>
      <c r="BW641" s="1131"/>
      <c r="BX641" s="1131"/>
      <c r="BY641" s="1131"/>
      <c r="BZ641" s="1131"/>
      <c r="CA641" s="1131"/>
      <c r="CB641" s="1131"/>
      <c r="CC641" s="1131"/>
      <c r="CD641" s="1131"/>
      <c r="CE641" s="1131"/>
      <c r="CF641" s="1131"/>
      <c r="CG641" s="1131"/>
      <c r="CH641" s="29"/>
      <c r="CI641" s="185"/>
      <c r="CJ641" s="17"/>
    </row>
    <row r="642" spans="1:88" hidden="1">
      <c r="A642" s="243" t="str">
        <f t="shared" si="11"/>
        <v>OK</v>
      </c>
      <c r="B642" s="1126" t="str">
        <f>IF(CONSOLIDA!DQ230="","",CONSOLIDA!DQ230)</f>
        <v/>
      </c>
      <c r="C642" s="1126"/>
      <c r="D642" s="1127" t="str">
        <f>IF(CONSOLIDA!DS230="","",CONSOLIDA!DS230)</f>
        <v/>
      </c>
      <c r="E642" s="1128"/>
      <c r="F642" s="1128"/>
      <c r="G642" s="1129" t="str">
        <f>IF(CONSOLIDA!DT230="","",CONSOLIDA!DT230)</f>
        <v/>
      </c>
      <c r="H642" s="1129"/>
      <c r="I642" s="1129"/>
      <c r="J642" s="1129"/>
      <c r="K642" s="1129"/>
      <c r="L642" s="1129"/>
      <c r="M642" s="1129"/>
      <c r="N642" s="1129"/>
      <c r="O642" s="1129"/>
      <c r="P642" s="1129"/>
      <c r="Q642" s="1129"/>
      <c r="R642" s="1129"/>
      <c r="S642" s="1129"/>
      <c r="T642" s="1129"/>
      <c r="U642" s="1129"/>
      <c r="V642" s="1129"/>
      <c r="W642" s="1129"/>
      <c r="X642" s="1129"/>
      <c r="Y642" s="1129"/>
      <c r="Z642" s="1129"/>
      <c r="AA642" s="1129"/>
      <c r="AB642" s="1129"/>
      <c r="AC642" s="1129"/>
      <c r="AD642" s="1129"/>
      <c r="AE642" s="1130"/>
      <c r="AF642" s="1131"/>
      <c r="AG642" s="1131"/>
      <c r="AH642" s="1131"/>
      <c r="AI642" s="1131"/>
      <c r="AJ642" s="1131"/>
      <c r="AK642" s="1131"/>
      <c r="AL642" s="1131"/>
      <c r="AM642" s="1131"/>
      <c r="AN642" s="1131"/>
      <c r="AO642" s="1131"/>
      <c r="AP642" s="1131"/>
      <c r="AQ642" s="1131"/>
      <c r="AR642" s="1131"/>
      <c r="AS642" s="1131"/>
      <c r="AT642" s="1131"/>
      <c r="AU642" s="1131"/>
      <c r="AV642" s="1131"/>
      <c r="AW642" s="1131"/>
      <c r="AX642" s="1131"/>
      <c r="AY642" s="1131"/>
      <c r="AZ642" s="1131"/>
      <c r="BA642" s="1131"/>
      <c r="BB642" s="1131"/>
      <c r="BC642" s="1131"/>
      <c r="BD642" s="1131"/>
      <c r="BE642" s="1131"/>
      <c r="BF642" s="1131"/>
      <c r="BG642" s="1131"/>
      <c r="BH642" s="1131"/>
      <c r="BI642" s="1131"/>
      <c r="BJ642" s="1131"/>
      <c r="BK642" s="1131"/>
      <c r="BL642" s="1131"/>
      <c r="BM642" s="1131"/>
      <c r="BN642" s="1131"/>
      <c r="BO642" s="1131"/>
      <c r="BP642" s="1131"/>
      <c r="BQ642" s="1131"/>
      <c r="BR642" s="1131"/>
      <c r="BS642" s="1131"/>
      <c r="BT642" s="1131"/>
      <c r="BU642" s="1131"/>
      <c r="BV642" s="1131"/>
      <c r="BW642" s="1131"/>
      <c r="BX642" s="1131"/>
      <c r="BY642" s="1131"/>
      <c r="BZ642" s="1131"/>
      <c r="CA642" s="1131"/>
      <c r="CB642" s="1131"/>
      <c r="CC642" s="1131"/>
      <c r="CD642" s="1131"/>
      <c r="CE642" s="1131"/>
      <c r="CF642" s="1131"/>
      <c r="CG642" s="1131"/>
      <c r="CH642" s="29"/>
      <c r="CI642" s="185"/>
      <c r="CJ642" s="17"/>
    </row>
    <row r="643" spans="1:88" hidden="1">
      <c r="A643" s="243" t="str">
        <f t="shared" si="11"/>
        <v>OK</v>
      </c>
      <c r="B643" s="1126" t="str">
        <f>IF(CONSOLIDA!DQ232="","",CONSOLIDA!DQ232)</f>
        <v/>
      </c>
      <c r="C643" s="1126"/>
      <c r="D643" s="1127" t="str">
        <f>IF(CONSOLIDA!DS232="","",CONSOLIDA!DS232)</f>
        <v/>
      </c>
      <c r="E643" s="1128"/>
      <c r="F643" s="1128"/>
      <c r="G643" s="1129" t="str">
        <f>IF(CONSOLIDA!DT232="","",CONSOLIDA!DT232)</f>
        <v/>
      </c>
      <c r="H643" s="1129"/>
      <c r="I643" s="1129"/>
      <c r="J643" s="1129"/>
      <c r="K643" s="1129"/>
      <c r="L643" s="1129"/>
      <c r="M643" s="1129"/>
      <c r="N643" s="1129"/>
      <c r="O643" s="1129"/>
      <c r="P643" s="1129"/>
      <c r="Q643" s="1129"/>
      <c r="R643" s="1129"/>
      <c r="S643" s="1129"/>
      <c r="T643" s="1129"/>
      <c r="U643" s="1129"/>
      <c r="V643" s="1129"/>
      <c r="W643" s="1129"/>
      <c r="X643" s="1129"/>
      <c r="Y643" s="1129"/>
      <c r="Z643" s="1129"/>
      <c r="AA643" s="1129"/>
      <c r="AB643" s="1129"/>
      <c r="AC643" s="1129"/>
      <c r="AD643" s="1129"/>
      <c r="AE643" s="1130"/>
      <c r="AF643" s="1131"/>
      <c r="AG643" s="1131"/>
      <c r="AH643" s="1131"/>
      <c r="AI643" s="1131"/>
      <c r="AJ643" s="1131"/>
      <c r="AK643" s="1131"/>
      <c r="AL643" s="1131"/>
      <c r="AM643" s="1131"/>
      <c r="AN643" s="1131"/>
      <c r="AO643" s="1131"/>
      <c r="AP643" s="1131"/>
      <c r="AQ643" s="1131"/>
      <c r="AR643" s="1131"/>
      <c r="AS643" s="1131"/>
      <c r="AT643" s="1131"/>
      <c r="AU643" s="1131"/>
      <c r="AV643" s="1131"/>
      <c r="AW643" s="1131"/>
      <c r="AX643" s="1131"/>
      <c r="AY643" s="1131"/>
      <c r="AZ643" s="1131"/>
      <c r="BA643" s="1131"/>
      <c r="BB643" s="1131"/>
      <c r="BC643" s="1131"/>
      <c r="BD643" s="1131"/>
      <c r="BE643" s="1131"/>
      <c r="BF643" s="1131"/>
      <c r="BG643" s="1131"/>
      <c r="BH643" s="1131"/>
      <c r="BI643" s="1131"/>
      <c r="BJ643" s="1131"/>
      <c r="BK643" s="1131"/>
      <c r="BL643" s="1131"/>
      <c r="BM643" s="1131"/>
      <c r="BN643" s="1131"/>
      <c r="BO643" s="1131"/>
      <c r="BP643" s="1131"/>
      <c r="BQ643" s="1131"/>
      <c r="BR643" s="1131"/>
      <c r="BS643" s="1131"/>
      <c r="BT643" s="1131"/>
      <c r="BU643" s="1131"/>
      <c r="BV643" s="1131"/>
      <c r="BW643" s="1131"/>
      <c r="BX643" s="1131"/>
      <c r="BY643" s="1131"/>
      <c r="BZ643" s="1131"/>
      <c r="CA643" s="1131"/>
      <c r="CB643" s="1131"/>
      <c r="CC643" s="1131"/>
      <c r="CD643" s="1131"/>
      <c r="CE643" s="1131"/>
      <c r="CF643" s="1131"/>
      <c r="CG643" s="1131"/>
      <c r="CH643" s="29"/>
      <c r="CI643" s="185"/>
      <c r="CJ643" s="17"/>
    </row>
    <row r="644" spans="1:88" ht="12.75" customHeight="1">
      <c r="A644" s="243"/>
      <c r="B644" s="897"/>
      <c r="C644" s="897"/>
      <c r="D644" s="897"/>
      <c r="E644" s="897"/>
      <c r="F644" s="897"/>
      <c r="G644" s="897"/>
      <c r="H644" s="897"/>
      <c r="I644" s="897"/>
      <c r="J644" s="897"/>
      <c r="K644" s="897"/>
      <c r="L644" s="897"/>
      <c r="M644" s="897"/>
      <c r="N644" s="897"/>
      <c r="O644" s="897"/>
      <c r="P644" s="897"/>
      <c r="Q644" s="897"/>
      <c r="R644" s="897"/>
      <c r="S644" s="897"/>
      <c r="T644" s="897"/>
      <c r="U644" s="897"/>
      <c r="V644" s="897"/>
      <c r="W644" s="897"/>
      <c r="X644" s="897"/>
      <c r="Y644" s="897"/>
      <c r="Z644" s="897"/>
      <c r="AA644" s="897"/>
      <c r="AB644" s="897"/>
      <c r="AC644" s="897"/>
      <c r="AD644" s="897"/>
      <c r="AE644" s="897"/>
      <c r="AF644" s="897"/>
      <c r="AG644" s="897"/>
      <c r="AH644" s="897"/>
      <c r="AI644" s="897"/>
      <c r="AJ644" s="897"/>
      <c r="AK644" s="897"/>
      <c r="AL644" s="897"/>
      <c r="AM644" s="897"/>
      <c r="AN644" s="897"/>
      <c r="AO644" s="897"/>
      <c r="AP644" s="897"/>
      <c r="AQ644" s="897"/>
      <c r="AR644" s="897"/>
      <c r="AS644" s="897"/>
      <c r="AT644" s="897"/>
      <c r="AU644" s="897"/>
      <c r="AV644" s="897"/>
      <c r="AW644" s="897"/>
      <c r="AX644" s="897"/>
      <c r="AY644" s="897"/>
      <c r="AZ644" s="897"/>
      <c r="BA644" s="897"/>
      <c r="BB644" s="897"/>
      <c r="BC644" s="897"/>
      <c r="BD644" s="897"/>
      <c r="BE644" s="897"/>
      <c r="BF644" s="897"/>
      <c r="BG644" s="897"/>
      <c r="BH644" s="897"/>
      <c r="BI644" s="897"/>
      <c r="BJ644" s="897"/>
      <c r="BK644" s="897"/>
      <c r="BL644" s="897"/>
      <c r="BM644" s="897"/>
      <c r="BN644" s="897"/>
      <c r="BO644" s="897"/>
      <c r="BP644" s="897"/>
      <c r="BQ644" s="897"/>
      <c r="BR644" s="897"/>
      <c r="BS644" s="897"/>
      <c r="BT644" s="897"/>
      <c r="BU644" s="897"/>
      <c r="BV644" s="897"/>
      <c r="BW644" s="897"/>
      <c r="BX644" s="897"/>
      <c r="BY644" s="897"/>
      <c r="BZ644" s="897"/>
      <c r="CA644" s="897"/>
      <c r="CB644" s="897"/>
      <c r="CC644" s="897"/>
      <c r="CD644" s="897"/>
      <c r="CE644" s="897"/>
      <c r="CF644" s="897"/>
      <c r="CG644" s="897"/>
      <c r="CH644" s="29"/>
      <c r="CI644" s="185"/>
      <c r="CJ644" s="17"/>
    </row>
    <row r="645" spans="1:88" ht="12.75" customHeight="1">
      <c r="A645" s="106"/>
      <c r="B645" s="897"/>
      <c r="C645" s="897"/>
      <c r="D645" s="1132" t="s">
        <v>212</v>
      </c>
      <c r="E645" s="1132"/>
      <c r="F645" s="1132"/>
      <c r="G645" s="1132"/>
      <c r="H645" s="1132"/>
      <c r="I645" s="1132"/>
      <c r="J645" s="1132"/>
      <c r="K645" s="1132"/>
      <c r="L645" s="1132"/>
      <c r="M645" s="1132"/>
      <c r="N645" s="1132"/>
      <c r="O645" s="1132"/>
      <c r="P645" s="1132"/>
      <c r="Q645" s="1132"/>
      <c r="R645" s="1132"/>
      <c r="S645" s="1132"/>
      <c r="T645" s="1132"/>
      <c r="U645" s="1132"/>
      <c r="V645" s="1132"/>
      <c r="W645" s="1132"/>
      <c r="X645" s="1132"/>
      <c r="Y645" s="1132"/>
      <c r="Z645" s="1132"/>
      <c r="AA645" s="1132"/>
      <c r="AB645" s="1132"/>
      <c r="AC645" s="1132"/>
      <c r="AD645" s="1132"/>
      <c r="AE645" s="1132"/>
      <c r="AF645" s="1132"/>
      <c r="AG645" s="1132"/>
      <c r="AH645" s="1132"/>
      <c r="AI645" s="1132"/>
      <c r="AJ645" s="1132"/>
      <c r="AK645" s="1132"/>
      <c r="AL645" s="1132"/>
      <c r="AM645" s="1132"/>
      <c r="AN645" s="1132"/>
      <c r="AO645" s="1132"/>
      <c r="AP645" s="1132"/>
      <c r="AQ645" s="1132"/>
      <c r="AR645" s="1132"/>
      <c r="AS645" s="1132"/>
      <c r="AT645" s="1132"/>
      <c r="AU645" s="1132"/>
      <c r="AV645" s="1132"/>
      <c r="AW645" s="1132"/>
      <c r="AX645" s="1132"/>
      <c r="AY645" s="1132"/>
      <c r="AZ645" s="1132"/>
      <c r="BA645" s="1132"/>
      <c r="BB645" s="1132"/>
      <c r="BC645" s="1132"/>
      <c r="BD645" s="1132"/>
      <c r="BE645" s="1132"/>
      <c r="BF645" s="1132"/>
      <c r="BG645" s="1132"/>
      <c r="BH645" s="1132"/>
      <c r="BI645" s="1132"/>
      <c r="BJ645" s="1132"/>
      <c r="BK645" s="1132"/>
      <c r="BL645" s="1132"/>
      <c r="BM645" s="1132"/>
      <c r="BN645" s="1132"/>
      <c r="BO645" s="1132"/>
      <c r="BP645" s="1132"/>
      <c r="BQ645" s="1132"/>
      <c r="BR645" s="1132"/>
      <c r="BS645" s="1132"/>
      <c r="BT645" s="1132"/>
      <c r="BU645" s="1132"/>
      <c r="BV645" s="1132"/>
      <c r="BW645" s="1132"/>
      <c r="BX645" s="1132"/>
      <c r="BY645" s="1132"/>
      <c r="BZ645" s="1132"/>
      <c r="CA645" s="1132"/>
      <c r="CB645" s="1132"/>
      <c r="CC645" s="1132"/>
      <c r="CD645" s="1132"/>
      <c r="CE645" s="1132"/>
      <c r="CF645" s="1132"/>
      <c r="CG645" s="1132"/>
      <c r="CH645" s="29"/>
      <c r="CI645" s="185"/>
      <c r="CJ645" s="17"/>
    </row>
    <row r="646" spans="1:88" ht="12.75" customHeight="1">
      <c r="A646" s="106"/>
      <c r="B646" s="897"/>
      <c r="C646" s="897"/>
      <c r="D646" s="1133" t="s">
        <v>213</v>
      </c>
      <c r="E646" s="1133"/>
      <c r="F646" s="1133"/>
      <c r="G646" s="1133"/>
      <c r="H646" s="1133"/>
      <c r="I646" s="1133"/>
      <c r="J646" s="1133"/>
      <c r="K646" s="1133"/>
      <c r="L646" s="1133"/>
      <c r="M646" s="1133"/>
      <c r="N646" s="1133"/>
      <c r="O646" s="1133"/>
      <c r="P646" s="1133"/>
      <c r="Q646" s="1133"/>
      <c r="R646" s="1133"/>
      <c r="S646" s="1133"/>
      <c r="T646" s="1133"/>
      <c r="U646" s="1133"/>
      <c r="V646" s="1133"/>
      <c r="W646" s="1133"/>
      <c r="X646" s="1133"/>
      <c r="Y646" s="1133"/>
      <c r="Z646" s="1133"/>
      <c r="AA646" s="1133"/>
      <c r="AB646" s="1133"/>
      <c r="AC646" s="1133"/>
      <c r="AD646" s="1133"/>
      <c r="AE646" s="1133"/>
      <c r="AF646" s="1133"/>
      <c r="AG646" s="1133"/>
      <c r="AH646" s="1133"/>
      <c r="AI646" s="1133"/>
      <c r="AJ646" s="1133"/>
      <c r="AK646" s="1133"/>
      <c r="AL646" s="1133"/>
      <c r="AM646" s="1133"/>
      <c r="AN646" s="1133"/>
      <c r="AO646" s="1133"/>
      <c r="AP646" s="1133"/>
      <c r="AQ646" s="1133"/>
      <c r="AR646" s="1133"/>
      <c r="AS646" s="1133"/>
      <c r="AT646" s="1133"/>
      <c r="AU646" s="1133"/>
      <c r="AV646" s="1133"/>
      <c r="AW646" s="1133"/>
      <c r="AX646" s="1133"/>
      <c r="AY646" s="1133"/>
      <c r="AZ646" s="1133"/>
      <c r="BA646" s="1133"/>
      <c r="BB646" s="1133"/>
      <c r="BC646" s="1133"/>
      <c r="BD646" s="1133"/>
      <c r="BE646" s="1133"/>
      <c r="BF646" s="1133"/>
      <c r="BG646" s="1133"/>
      <c r="BH646" s="1133"/>
      <c r="BI646" s="1133"/>
      <c r="BJ646" s="1133"/>
      <c r="BK646" s="1133"/>
      <c r="BL646" s="1133"/>
      <c r="BM646" s="1133"/>
      <c r="BN646" s="1133"/>
      <c r="BO646" s="1133"/>
      <c r="BP646" s="1133"/>
      <c r="BQ646" s="1133"/>
      <c r="BR646" s="1133"/>
      <c r="BS646" s="1133"/>
      <c r="BT646" s="1133"/>
      <c r="BU646" s="1133"/>
      <c r="BV646" s="1133"/>
      <c r="BW646" s="1133"/>
      <c r="BX646" s="1133"/>
      <c r="BY646" s="1133"/>
      <c r="BZ646" s="1133"/>
      <c r="CA646" s="1133"/>
      <c r="CB646" s="1133"/>
      <c r="CC646" s="1133"/>
      <c r="CD646" s="1133"/>
      <c r="CE646" s="1133"/>
      <c r="CF646" s="1133"/>
      <c r="CG646" s="1133"/>
      <c r="CH646" s="29"/>
      <c r="CI646" s="185"/>
      <c r="CJ646" s="17"/>
    </row>
    <row r="647" spans="1:88" ht="12.75" customHeight="1">
      <c r="A647" s="106"/>
      <c r="B647" s="1132"/>
      <c r="C647" s="1132"/>
      <c r="D647" s="1132"/>
      <c r="E647" s="1132"/>
      <c r="F647" s="1132"/>
      <c r="G647" s="1132"/>
      <c r="H647" s="1132"/>
      <c r="I647" s="1132"/>
      <c r="J647" s="1132"/>
      <c r="K647" s="1132"/>
      <c r="L647" s="1132"/>
      <c r="M647" s="1132"/>
      <c r="N647" s="1132"/>
      <c r="O647" s="1132"/>
      <c r="P647" s="1132"/>
      <c r="Q647" s="1132"/>
      <c r="R647" s="1132"/>
      <c r="S647" s="1132"/>
      <c r="T647" s="1132"/>
      <c r="U647" s="1132"/>
      <c r="V647" s="1132"/>
      <c r="W647" s="1132"/>
      <c r="X647" s="1132"/>
      <c r="Y647" s="1132"/>
      <c r="Z647" s="1132"/>
      <c r="AA647" s="1132"/>
      <c r="AB647" s="1132"/>
      <c r="AC647" s="1132"/>
      <c r="AD647" s="1132"/>
      <c r="AE647" s="1132"/>
      <c r="AF647" s="1132"/>
      <c r="AG647" s="1132"/>
      <c r="AH647" s="1132"/>
      <c r="AI647" s="1132"/>
      <c r="AJ647" s="1132"/>
      <c r="AK647" s="1132"/>
      <c r="AL647" s="1132"/>
      <c r="AM647" s="1132"/>
      <c r="AN647" s="1132"/>
      <c r="AO647" s="1132"/>
      <c r="AP647" s="1132"/>
      <c r="AQ647" s="1132"/>
      <c r="AR647" s="1132"/>
      <c r="AS647" s="1132"/>
      <c r="AT647" s="1132"/>
      <c r="AU647" s="1132"/>
      <c r="AV647" s="1132"/>
      <c r="AW647" s="1132"/>
      <c r="AX647" s="1132"/>
      <c r="AY647" s="1132"/>
      <c r="AZ647" s="1132"/>
      <c r="BA647" s="1132"/>
      <c r="BB647" s="1132"/>
      <c r="BC647" s="1132"/>
      <c r="BD647" s="1132"/>
      <c r="BE647" s="1132"/>
      <c r="BF647" s="1132"/>
      <c r="BG647" s="1132"/>
      <c r="BH647" s="1132"/>
      <c r="BI647" s="1132"/>
      <c r="BJ647" s="1132"/>
      <c r="BK647" s="1132"/>
      <c r="BL647" s="1132"/>
      <c r="BM647" s="1132"/>
      <c r="BN647" s="1132"/>
      <c r="BO647" s="1132"/>
      <c r="BP647" s="1132"/>
      <c r="BQ647" s="1132"/>
      <c r="BR647" s="1132"/>
      <c r="BS647" s="1132"/>
      <c r="BT647" s="1132"/>
      <c r="BU647" s="1132"/>
      <c r="BV647" s="1132"/>
      <c r="BW647" s="1132"/>
      <c r="BX647" s="1132"/>
      <c r="BY647" s="1132"/>
      <c r="BZ647" s="1132"/>
      <c r="CA647" s="1132"/>
      <c r="CB647" s="1132"/>
      <c r="CC647" s="1132"/>
      <c r="CD647" s="1132"/>
      <c r="CE647" s="1132"/>
      <c r="CF647" s="1132"/>
      <c r="CG647" s="1132"/>
      <c r="CH647" s="29"/>
      <c r="CI647" s="185"/>
      <c r="CJ647" s="17"/>
    </row>
    <row r="648" spans="1:88" ht="12.75" customHeight="1">
      <c r="A648" s="106"/>
      <c r="B648" s="897"/>
      <c r="C648" s="897"/>
      <c r="D648" s="1132" t="s">
        <v>142</v>
      </c>
      <c r="E648" s="1132"/>
      <c r="F648" s="1132"/>
      <c r="G648" s="1132"/>
      <c r="H648" s="1132"/>
      <c r="I648" s="1132"/>
      <c r="J648" s="1132"/>
      <c r="K648" s="1132"/>
      <c r="L648" s="1132"/>
      <c r="M648" s="1132"/>
      <c r="N648" s="1132"/>
      <c r="O648" s="1132"/>
      <c r="P648" s="1132"/>
      <c r="Q648" s="1132"/>
      <c r="R648" s="1132"/>
      <c r="S648" s="1132"/>
      <c r="T648" s="1132"/>
      <c r="U648" s="1132"/>
      <c r="V648" s="1132"/>
      <c r="W648" s="1132"/>
      <c r="X648" s="1132"/>
      <c r="Y648" s="1132"/>
      <c r="Z648" s="1132"/>
      <c r="AA648" s="1132"/>
      <c r="AB648" s="1132"/>
      <c r="AC648" s="1132"/>
      <c r="AD648" s="1132"/>
      <c r="AE648" s="1132"/>
      <c r="AF648" s="1132"/>
      <c r="AG648" s="1132"/>
      <c r="AH648" s="1132"/>
      <c r="AI648" s="1132"/>
      <c r="AJ648" s="1132"/>
      <c r="AK648" s="1132"/>
      <c r="AL648" s="1132"/>
      <c r="AM648" s="1132"/>
      <c r="AN648" s="1132"/>
      <c r="AO648" s="1132"/>
      <c r="AP648" s="1132"/>
      <c r="AQ648" s="1132"/>
      <c r="AR648" s="1132"/>
      <c r="AS648" s="1132"/>
      <c r="AT648" s="1132"/>
      <c r="AU648" s="1132"/>
      <c r="AV648" s="1132"/>
      <c r="AW648" s="1132"/>
      <c r="AX648" s="1132"/>
      <c r="AY648" s="1132"/>
      <c r="AZ648" s="1132"/>
      <c r="BA648" s="1132"/>
      <c r="BB648" s="1132"/>
      <c r="BC648" s="1132"/>
      <c r="BD648" s="1132"/>
      <c r="BE648" s="1132"/>
      <c r="BF648" s="1132"/>
      <c r="BG648" s="1132"/>
      <c r="BH648" s="1132"/>
      <c r="BI648" s="1132"/>
      <c r="BJ648" s="1132"/>
      <c r="BK648" s="1132"/>
      <c r="BL648" s="1132"/>
      <c r="BM648" s="1132"/>
      <c r="BN648" s="1132"/>
      <c r="BO648" s="1132"/>
      <c r="BP648" s="1132"/>
      <c r="BQ648" s="1132"/>
      <c r="BR648" s="1132"/>
      <c r="BS648" s="1132"/>
      <c r="BT648" s="1132"/>
      <c r="BU648" s="1132"/>
      <c r="BV648" s="1132"/>
      <c r="BW648" s="1132"/>
      <c r="BX648" s="1132"/>
      <c r="BY648" s="1132"/>
      <c r="BZ648" s="1132"/>
      <c r="CA648" s="1132"/>
      <c r="CB648" s="1132"/>
      <c r="CC648" s="1132"/>
      <c r="CD648" s="1132"/>
      <c r="CE648" s="1132"/>
      <c r="CF648" s="1132"/>
      <c r="CG648" s="1132"/>
      <c r="CH648" s="29"/>
      <c r="CI648" s="185"/>
      <c r="CJ648" s="17"/>
    </row>
    <row r="649" spans="1:88" ht="8.25" customHeight="1">
      <c r="A649" s="106"/>
      <c r="B649" s="1124"/>
      <c r="C649" s="1124"/>
      <c r="D649" s="1124"/>
      <c r="E649" s="1124"/>
      <c r="F649" s="1124"/>
      <c r="G649" s="1124"/>
      <c r="H649" s="1124"/>
      <c r="I649" s="1124"/>
      <c r="J649" s="1124"/>
      <c r="K649" s="1124"/>
      <c r="L649" s="1124"/>
      <c r="M649" s="1124"/>
      <c r="N649" s="1124"/>
      <c r="O649" s="1124"/>
      <c r="P649" s="1124"/>
      <c r="Q649" s="1124"/>
      <c r="R649" s="1124"/>
      <c r="S649" s="1124"/>
      <c r="T649" s="1124"/>
      <c r="U649" s="1124"/>
      <c r="V649" s="1124"/>
      <c r="W649" s="1124"/>
      <c r="X649" s="1124"/>
      <c r="Y649" s="1124"/>
      <c r="Z649" s="1124"/>
      <c r="AA649" s="1124"/>
      <c r="AB649" s="1124"/>
      <c r="AC649" s="1124"/>
      <c r="AD649" s="1124"/>
      <c r="AE649" s="1124"/>
      <c r="AF649" s="1124"/>
      <c r="AG649" s="1124"/>
      <c r="AH649" s="1124"/>
      <c r="AI649" s="1124"/>
      <c r="AJ649" s="1124"/>
      <c r="AK649" s="1124"/>
      <c r="AL649" s="1124"/>
      <c r="AM649" s="1124"/>
      <c r="AN649" s="1124"/>
      <c r="AO649" s="1124"/>
      <c r="AP649" s="1124"/>
      <c r="AQ649" s="1124"/>
      <c r="AR649" s="1124"/>
      <c r="AS649" s="1124"/>
      <c r="AT649" s="1124"/>
      <c r="AU649" s="1124"/>
      <c r="AV649" s="1124"/>
      <c r="AW649" s="1124"/>
      <c r="AX649" s="1124"/>
      <c r="AY649" s="1124"/>
      <c r="AZ649" s="1124"/>
      <c r="BA649" s="1124"/>
      <c r="BB649" s="1124"/>
      <c r="BC649" s="1124"/>
      <c r="BD649" s="1124"/>
      <c r="BE649" s="1124"/>
      <c r="BF649" s="1124"/>
      <c r="BG649" s="1124"/>
      <c r="BH649" s="1124"/>
      <c r="BI649" s="1124"/>
      <c r="BJ649" s="1124"/>
      <c r="BK649" s="1124"/>
      <c r="BL649" s="1124"/>
      <c r="BM649" s="1124"/>
      <c r="BN649" s="1124"/>
      <c r="BO649" s="1124"/>
      <c r="BP649" s="1124"/>
      <c r="BQ649" s="1124"/>
      <c r="BR649" s="1124"/>
      <c r="BS649" s="1124"/>
      <c r="BT649" s="1124"/>
      <c r="BU649" s="1124"/>
      <c r="BV649" s="1124"/>
      <c r="BW649" s="1124"/>
      <c r="BX649" s="1124"/>
      <c r="BY649" s="1124"/>
      <c r="BZ649" s="1124"/>
      <c r="CA649" s="1124"/>
      <c r="CB649" s="1124"/>
      <c r="CC649" s="1124"/>
      <c r="CD649" s="1124"/>
      <c r="CE649" s="1124"/>
      <c r="CF649" s="1124"/>
      <c r="CG649" s="1124"/>
      <c r="CH649" s="29"/>
      <c r="CI649" s="185"/>
      <c r="CJ649" s="17"/>
    </row>
    <row r="650" spans="1:88" ht="12.75" customHeight="1">
      <c r="A650" s="106"/>
      <c r="B650" s="1124"/>
      <c r="C650" s="1124"/>
      <c r="D650" s="1124"/>
      <c r="E650" s="1124"/>
      <c r="F650" s="1124"/>
      <c r="G650" s="1124"/>
      <c r="H650" s="1124"/>
      <c r="I650" s="1124"/>
      <c r="J650" s="1124"/>
      <c r="K650" s="1124"/>
      <c r="L650" s="1124"/>
      <c r="M650" s="1124"/>
      <c r="N650" s="1124"/>
      <c r="O650" s="1124"/>
      <c r="P650" s="1124"/>
      <c r="Q650" s="1124"/>
      <c r="R650" s="1124"/>
      <c r="S650" s="1124"/>
      <c r="T650" s="1124"/>
      <c r="U650" s="1124"/>
      <c r="V650" s="1124"/>
      <c r="W650" s="1124"/>
      <c r="X650" s="1124"/>
      <c r="Y650" s="1124"/>
      <c r="Z650" s="1124"/>
      <c r="AA650" s="1124"/>
      <c r="AB650" s="1124"/>
      <c r="AC650" s="1124"/>
      <c r="AD650" s="1124"/>
      <c r="AE650" s="1124"/>
      <c r="AF650" s="1124"/>
      <c r="AG650" s="1124"/>
      <c r="AH650" s="1124"/>
      <c r="AI650" s="1124"/>
      <c r="AJ650" s="1124"/>
      <c r="AK650" s="1124"/>
      <c r="AL650" s="1124"/>
      <c r="AM650" s="1124"/>
      <c r="AN650" s="1124"/>
      <c r="AO650" s="1124"/>
      <c r="AP650" s="1124"/>
      <c r="AQ650" s="1124"/>
      <c r="AR650" s="1124"/>
      <c r="AS650" s="1124"/>
      <c r="AT650" s="1124"/>
      <c r="AU650" s="1124"/>
      <c r="AV650" s="1124"/>
      <c r="AW650" s="1124"/>
      <c r="AX650" s="1124"/>
      <c r="AY650" s="1124"/>
      <c r="AZ650" s="1124"/>
      <c r="BA650" s="1124"/>
      <c r="BB650" s="1124"/>
      <c r="BC650" s="1124"/>
      <c r="BD650" s="1124"/>
      <c r="BE650" s="1124"/>
      <c r="BF650" s="1124"/>
      <c r="BG650" s="1124"/>
      <c r="BH650" s="1124"/>
      <c r="BI650" s="1124"/>
      <c r="BJ650" s="1124"/>
      <c r="BK650" s="1124"/>
      <c r="BL650" s="1124"/>
      <c r="BM650" s="1124"/>
      <c r="BN650" s="1124"/>
      <c r="BO650" s="1124"/>
      <c r="BP650" s="1124"/>
      <c r="BQ650" s="1124"/>
      <c r="BR650" s="1124"/>
      <c r="BS650" s="1124"/>
      <c r="BT650" s="1124"/>
      <c r="BU650" s="1124"/>
      <c r="BV650" s="1124"/>
      <c r="BW650" s="1124"/>
      <c r="BX650" s="1124"/>
      <c r="BY650" s="1124"/>
      <c r="BZ650" s="1124"/>
      <c r="CA650" s="1124"/>
      <c r="CB650" s="1124"/>
      <c r="CC650" s="1124"/>
      <c r="CD650" s="1124"/>
      <c r="CE650" s="1124"/>
      <c r="CF650" s="1124"/>
      <c r="CG650" s="1124"/>
      <c r="CH650" s="29"/>
      <c r="CI650" s="185"/>
      <c r="CJ650" s="17"/>
    </row>
    <row r="651" spans="1:88" ht="2.25" customHeight="1">
      <c r="A651" s="106"/>
      <c r="B651" s="1124"/>
      <c r="C651" s="1124"/>
      <c r="D651" s="1124"/>
      <c r="E651" s="1124"/>
      <c r="F651" s="1124"/>
      <c r="G651" s="1124"/>
      <c r="H651" s="1124"/>
      <c r="I651" s="1124"/>
      <c r="J651" s="1124"/>
      <c r="K651" s="1124"/>
      <c r="L651" s="1124"/>
      <c r="M651" s="1124"/>
      <c r="N651" s="1124"/>
      <c r="O651" s="1124"/>
      <c r="P651" s="1124"/>
      <c r="Q651" s="1124"/>
      <c r="R651" s="1124"/>
      <c r="S651" s="1124"/>
      <c r="T651" s="1124"/>
      <c r="U651" s="1124"/>
      <c r="V651" s="1124"/>
      <c r="W651" s="1124"/>
      <c r="X651" s="1124"/>
      <c r="Y651" s="1124"/>
      <c r="Z651" s="1124"/>
      <c r="AA651" s="1124"/>
      <c r="AB651" s="1124"/>
      <c r="AC651" s="1124"/>
      <c r="AD651" s="1124"/>
      <c r="AE651" s="1124"/>
      <c r="AF651" s="1124"/>
      <c r="AG651" s="1124"/>
      <c r="AH651" s="1124"/>
      <c r="AI651" s="1124"/>
      <c r="AJ651" s="1124"/>
      <c r="AK651" s="1124"/>
      <c r="AL651" s="1124"/>
      <c r="AM651" s="1124"/>
      <c r="AN651" s="1124"/>
      <c r="AO651" s="1124"/>
      <c r="AP651" s="1124"/>
      <c r="AQ651" s="1124"/>
      <c r="AR651" s="1124"/>
      <c r="AS651" s="1124"/>
      <c r="AT651" s="1124"/>
      <c r="AU651" s="1124"/>
      <c r="AV651" s="1124"/>
      <c r="AW651" s="1124"/>
      <c r="AX651" s="1124"/>
      <c r="AY651" s="1124"/>
      <c r="AZ651" s="1124"/>
      <c r="BA651" s="1124"/>
      <c r="BB651" s="1124"/>
      <c r="BC651" s="1124"/>
      <c r="BD651" s="1124"/>
      <c r="BE651" s="1124"/>
      <c r="BF651" s="1124"/>
      <c r="BG651" s="1124"/>
      <c r="BH651" s="1124"/>
      <c r="BI651" s="1124"/>
      <c r="BJ651" s="1124"/>
      <c r="BK651" s="1124"/>
      <c r="BL651" s="1124"/>
      <c r="BM651" s="1124"/>
      <c r="BN651" s="1124"/>
      <c r="BO651" s="1124"/>
      <c r="BP651" s="1124"/>
      <c r="BQ651" s="1124"/>
      <c r="BR651" s="1124"/>
      <c r="BS651" s="1124"/>
      <c r="BT651" s="1124"/>
      <c r="BU651" s="1124"/>
      <c r="BV651" s="1124"/>
      <c r="BW651" s="1124"/>
      <c r="BX651" s="1124"/>
      <c r="BY651" s="1124"/>
      <c r="BZ651" s="1124"/>
      <c r="CA651" s="1124"/>
      <c r="CB651" s="1124"/>
      <c r="CC651" s="1124"/>
      <c r="CD651" s="1124"/>
      <c r="CE651" s="1124"/>
      <c r="CF651" s="1124"/>
      <c r="CG651" s="1124"/>
      <c r="CH651" s="29"/>
      <c r="CI651" s="185"/>
      <c r="CJ651" s="17"/>
    </row>
    <row r="652" spans="1:88" ht="12.75" customHeight="1">
      <c r="A652" s="268">
        <v>5</v>
      </c>
      <c r="B652" s="1125" t="str">
        <f>"São Paulo, "&amp;I2&amp;" de "&amp;O2&amp;" de "&amp;Z2</f>
        <v xml:space="preserve">São Paulo,  de  de </v>
      </c>
      <c r="C652" s="1125"/>
      <c r="D652" s="1125"/>
      <c r="E652" s="1125"/>
      <c r="F652" s="1125"/>
      <c r="G652" s="1125"/>
      <c r="H652" s="1125"/>
      <c r="I652" s="1125"/>
      <c r="J652" s="1125"/>
      <c r="K652" s="1125"/>
      <c r="L652" s="1125"/>
      <c r="M652" s="1125"/>
      <c r="N652" s="1125"/>
      <c r="O652" s="1125"/>
      <c r="P652" s="1125"/>
      <c r="Q652" s="1125"/>
      <c r="R652" s="1125"/>
      <c r="S652" s="1125"/>
      <c r="T652" s="1125"/>
      <c r="U652" s="1125"/>
      <c r="V652" s="1125"/>
      <c r="W652" s="1125"/>
      <c r="X652" s="1125"/>
      <c r="Y652" s="1125"/>
      <c r="Z652" s="1125"/>
      <c r="AA652" s="1125"/>
      <c r="AB652" s="1125"/>
      <c r="AC652" s="1125"/>
      <c r="AD652" s="1125"/>
      <c r="AE652" s="1125"/>
      <c r="AF652" s="1125"/>
      <c r="AG652" s="1125"/>
      <c r="AH652" s="1125"/>
      <c r="AI652" s="1125"/>
      <c r="AJ652" s="1125"/>
      <c r="AK652" s="1125"/>
      <c r="AL652" s="1125"/>
      <c r="AM652" s="1125"/>
      <c r="AN652" s="1125"/>
      <c r="AO652" s="1125"/>
      <c r="AP652" s="1125"/>
      <c r="AQ652" s="1125"/>
      <c r="AR652" s="1125"/>
      <c r="AS652" s="1125"/>
      <c r="AT652" s="1125"/>
      <c r="AU652" s="1125"/>
      <c r="AV652" s="1125"/>
      <c r="AW652" s="1125"/>
      <c r="AX652" s="1125"/>
      <c r="AY652" s="1125"/>
      <c r="AZ652" s="1125"/>
      <c r="BA652" s="1125"/>
      <c r="BB652" s="1125"/>
      <c r="BC652" s="1125"/>
      <c r="BD652" s="1125"/>
      <c r="BE652" s="1125"/>
      <c r="BF652" s="1125"/>
      <c r="BG652" s="1125"/>
      <c r="BH652" s="1125"/>
      <c r="BI652" s="1125"/>
      <c r="BJ652" s="1125"/>
      <c r="BK652" s="1125"/>
      <c r="BL652" s="1125"/>
      <c r="BM652" s="1125"/>
      <c r="BN652" s="1125"/>
      <c r="BO652" s="1125"/>
      <c r="BP652" s="1125"/>
      <c r="BQ652" s="1125"/>
      <c r="BR652" s="1125"/>
      <c r="BS652" s="1125"/>
      <c r="BT652" s="1125"/>
      <c r="BU652" s="1125"/>
      <c r="BV652" s="1125"/>
      <c r="BW652" s="1125"/>
      <c r="BX652" s="1125"/>
      <c r="BY652" s="1125"/>
      <c r="BZ652" s="1125"/>
      <c r="CA652" s="1125"/>
      <c r="CB652" s="1125"/>
      <c r="CC652" s="1125"/>
      <c r="CD652" s="1125"/>
      <c r="CE652" s="1125"/>
      <c r="CF652" s="1125"/>
      <c r="CG652" s="1125"/>
      <c r="CH652" s="29"/>
      <c r="CI652" s="185"/>
      <c r="CJ652" s="17"/>
    </row>
    <row r="653" spans="1:88" ht="12.75" customHeight="1">
      <c r="A653" s="106"/>
      <c r="B653" s="29"/>
      <c r="C653" s="29"/>
      <c r="D653" s="487"/>
      <c r="E653" s="487"/>
      <c r="F653" s="487"/>
      <c r="G653" s="487"/>
      <c r="H653" s="487"/>
      <c r="I653" s="487"/>
      <c r="J653" s="487"/>
      <c r="K653" s="487"/>
      <c r="L653" s="487"/>
      <c r="M653" s="487"/>
      <c r="N653" s="487"/>
      <c r="O653" s="487"/>
      <c r="P653" s="487"/>
      <c r="Q653" s="487"/>
      <c r="R653" s="487"/>
      <c r="S653" s="487"/>
      <c r="T653" s="487"/>
      <c r="U653" s="487"/>
      <c r="V653" s="487"/>
      <c r="W653" s="487"/>
      <c r="X653" s="487"/>
      <c r="Y653" s="487"/>
      <c r="Z653" s="487"/>
      <c r="AA653" s="487"/>
      <c r="AB653" s="487"/>
      <c r="AC653" s="487"/>
      <c r="AD653" s="487"/>
      <c r="AE653" s="487"/>
      <c r="AF653" s="486"/>
      <c r="AG653" s="486"/>
      <c r="AH653" s="486"/>
      <c r="AI653" s="486"/>
      <c r="AJ653" s="486"/>
      <c r="AK653" s="486"/>
      <c r="AL653" s="486"/>
      <c r="AM653" s="486"/>
      <c r="AN653" s="486"/>
      <c r="AO653" s="486"/>
      <c r="AP653" s="486"/>
      <c r="AQ653" s="486"/>
      <c r="AR653" s="486"/>
      <c r="AS653" s="486"/>
      <c r="AT653" s="486"/>
      <c r="AU653" s="486"/>
      <c r="AV653" s="486"/>
      <c r="AW653" s="486"/>
      <c r="AX653" s="486"/>
      <c r="AY653" s="486"/>
      <c r="AZ653" s="486"/>
      <c r="BA653" s="486"/>
      <c r="BB653" s="486"/>
      <c r="BC653" s="486"/>
      <c r="BD653" s="486"/>
      <c r="BE653" s="486"/>
      <c r="BF653" s="486"/>
      <c r="BG653" s="486"/>
      <c r="BH653" s="486"/>
      <c r="BI653" s="486"/>
      <c r="BJ653" s="486"/>
      <c r="BK653" s="486"/>
      <c r="BL653" s="486"/>
      <c r="BM653" s="486"/>
      <c r="BN653" s="486"/>
      <c r="BO653" s="486"/>
      <c r="BP653" s="486"/>
      <c r="BQ653" s="486"/>
      <c r="BR653" s="486"/>
      <c r="BS653" s="486"/>
      <c r="BT653" s="486"/>
      <c r="BU653" s="486"/>
      <c r="BV653" s="486"/>
      <c r="BW653" s="486"/>
      <c r="BX653" s="486"/>
      <c r="BY653" s="486"/>
      <c r="BZ653" s="486"/>
      <c r="CA653" s="486"/>
      <c r="CB653" s="486"/>
      <c r="CC653" s="486"/>
      <c r="CD653" s="486"/>
      <c r="CE653" s="486"/>
      <c r="CF653" s="486"/>
      <c r="CG653" s="486"/>
      <c r="CH653" s="29"/>
      <c r="CI653" s="185"/>
      <c r="CJ653" s="17"/>
    </row>
    <row r="654" spans="1:88" ht="12.75" customHeight="1">
      <c r="A654" s="243" t="str">
        <f>IF($A$652&gt;=1,"","OK")</f>
        <v/>
      </c>
      <c r="B654" s="29"/>
      <c r="C654" s="29"/>
      <c r="D654" s="1119" t="s">
        <v>208</v>
      </c>
      <c r="E654" s="1119"/>
      <c r="F654" s="1119"/>
      <c r="G654" s="1120" t="s">
        <v>355</v>
      </c>
      <c r="H654" s="1120"/>
      <c r="I654" s="1120"/>
      <c r="J654" s="1120"/>
      <c r="K654" s="1120"/>
      <c r="L654" s="1120"/>
      <c r="M654" s="1120"/>
      <c r="N654" s="1120"/>
      <c r="O654" s="1120"/>
      <c r="P654" s="1120"/>
      <c r="Q654" s="1120"/>
      <c r="R654" s="1120"/>
      <c r="S654" s="1120"/>
      <c r="T654" s="1120"/>
      <c r="U654" s="1120"/>
      <c r="V654" s="1120"/>
      <c r="W654" s="1120"/>
      <c r="X654" s="1120"/>
      <c r="Y654" s="1120"/>
      <c r="Z654" s="1120"/>
      <c r="AA654" s="1120"/>
      <c r="AB654" s="1120"/>
      <c r="AC654" s="1120"/>
      <c r="AD654" s="1120"/>
      <c r="AE654" s="1120"/>
      <c r="AF654" s="487"/>
      <c r="AG654" s="488"/>
      <c r="AH654" s="488"/>
      <c r="AI654" s="488"/>
      <c r="AJ654" s="488"/>
      <c r="AK654" s="488"/>
      <c r="AL654" s="488"/>
      <c r="AM654" s="488"/>
      <c r="AN654" s="488"/>
      <c r="AO654" s="488"/>
      <c r="AP654" s="488"/>
      <c r="AQ654" s="488"/>
      <c r="AR654" s="488"/>
      <c r="AS654" s="488"/>
      <c r="AT654" s="488"/>
      <c r="AU654" s="488"/>
      <c r="AV654" s="488"/>
      <c r="AW654" s="488"/>
      <c r="AX654" s="488"/>
      <c r="AY654" s="488"/>
      <c r="AZ654" s="488"/>
      <c r="BA654" s="488"/>
      <c r="BB654" s="488"/>
      <c r="BC654" s="488"/>
      <c r="BD654" s="488"/>
      <c r="BE654" s="488"/>
      <c r="BF654" s="489"/>
      <c r="BG654" s="489"/>
      <c r="BH654" s="489"/>
      <c r="BI654" s="489"/>
      <c r="BJ654" s="1123"/>
      <c r="BK654" s="1123"/>
      <c r="BL654" s="1123"/>
      <c r="BM654" s="1123"/>
      <c r="BN654" s="1123"/>
      <c r="BO654" s="1123"/>
      <c r="BP654" s="1123"/>
      <c r="BQ654" s="1123"/>
      <c r="BR654" s="1123"/>
      <c r="BS654" s="1123"/>
      <c r="BT654" s="1123"/>
      <c r="BU654" s="1123"/>
      <c r="BV654" s="1123"/>
      <c r="BW654" s="1123"/>
      <c r="BX654" s="1123"/>
      <c r="BY654" s="1123"/>
      <c r="BZ654" s="1123"/>
      <c r="CA654" s="1123"/>
      <c r="CB654" s="1123"/>
      <c r="CC654" s="1123"/>
      <c r="CD654" s="1123"/>
      <c r="CE654" s="1123"/>
      <c r="CF654" s="1123"/>
      <c r="CG654" s="1123"/>
      <c r="CH654" s="29"/>
      <c r="CI654" s="185"/>
      <c r="CJ654"/>
    </row>
    <row r="655" spans="1:88" ht="12.75" customHeight="1">
      <c r="A655" s="243" t="str">
        <f>IF($A$652&gt;=1,"","OK")</f>
        <v/>
      </c>
      <c r="B655" s="29"/>
      <c r="C655" s="29"/>
      <c r="D655" s="1119" t="s">
        <v>209</v>
      </c>
      <c r="E655" s="1119"/>
      <c r="F655" s="1119"/>
      <c r="G655" s="1120" t="s">
        <v>357</v>
      </c>
      <c r="H655" s="1120"/>
      <c r="I655" s="1120"/>
      <c r="J655" s="1120"/>
      <c r="K655" s="1120"/>
      <c r="L655" s="1120"/>
      <c r="M655" s="1120"/>
      <c r="N655" s="1120"/>
      <c r="O655" s="1120"/>
      <c r="P655" s="1120"/>
      <c r="Q655" s="1120"/>
      <c r="R655" s="1120"/>
      <c r="S655" s="1120"/>
      <c r="T655" s="1120"/>
      <c r="U655" s="1120"/>
      <c r="V655" s="1120"/>
      <c r="W655" s="1120"/>
      <c r="X655" s="1120"/>
      <c r="Y655" s="1120"/>
      <c r="Z655" s="1120"/>
      <c r="AA655" s="1120"/>
      <c r="AB655" s="1120"/>
      <c r="AC655" s="1120"/>
      <c r="AD655" s="1120"/>
      <c r="AE655" s="1120"/>
      <c r="AF655" s="487"/>
      <c r="AG655" s="1121"/>
      <c r="AH655" s="1121"/>
      <c r="AI655" s="1121"/>
      <c r="AJ655" s="1121"/>
      <c r="AK655" s="1121"/>
      <c r="AL655" s="1121"/>
      <c r="AM655" s="1121"/>
      <c r="AN655" s="1121"/>
      <c r="AO655" s="1121"/>
      <c r="AP655" s="1121"/>
      <c r="AQ655" s="1121"/>
      <c r="AR655" s="1121"/>
      <c r="AS655" s="1121"/>
      <c r="AT655" s="1121"/>
      <c r="AU655" s="1121"/>
      <c r="AV655" s="1121"/>
      <c r="AW655" s="1121"/>
      <c r="AX655" s="1121"/>
      <c r="AY655" s="1121"/>
      <c r="AZ655" s="1121"/>
      <c r="BA655" s="1121"/>
      <c r="BB655" s="1121"/>
      <c r="BC655" s="1121"/>
      <c r="BD655" s="1121"/>
      <c r="BE655" s="1121"/>
      <c r="BF655" s="489"/>
      <c r="BG655" s="489"/>
      <c r="BH655" s="489"/>
      <c r="BI655" s="489"/>
      <c r="BJ655" s="1123"/>
      <c r="BK655" s="1123"/>
      <c r="BL655" s="1123"/>
      <c r="BM655" s="1123"/>
      <c r="BN655" s="1123"/>
      <c r="BO655" s="1123"/>
      <c r="BP655" s="1123"/>
      <c r="BQ655" s="1123"/>
      <c r="BR655" s="1123"/>
      <c r="BS655" s="1123"/>
      <c r="BT655" s="1123"/>
      <c r="BU655" s="1123"/>
      <c r="BV655" s="1123"/>
      <c r="BW655" s="1123"/>
      <c r="BX655" s="1123"/>
      <c r="BY655" s="1123"/>
      <c r="BZ655" s="1123"/>
      <c r="CA655" s="1123"/>
      <c r="CB655" s="1123"/>
      <c r="CC655" s="1123"/>
      <c r="CD655" s="1123"/>
      <c r="CE655" s="1123"/>
      <c r="CF655" s="1123"/>
      <c r="CG655" s="1123"/>
      <c r="CH655" s="29"/>
      <c r="CI655" s="185"/>
      <c r="CJ655"/>
    </row>
    <row r="656" spans="1:88" ht="12.75" customHeight="1">
      <c r="A656" s="243" t="str">
        <f>IF($A$652&gt;=1,"","OK")</f>
        <v/>
      </c>
      <c r="B656" s="29"/>
      <c r="C656" s="29"/>
      <c r="D656" s="1119" t="s">
        <v>210</v>
      </c>
      <c r="E656" s="1119"/>
      <c r="F656" s="1119"/>
      <c r="G656" s="1120" t="s">
        <v>356</v>
      </c>
      <c r="H656" s="1120"/>
      <c r="I656" s="1120"/>
      <c r="J656" s="1120"/>
      <c r="K656" s="1120"/>
      <c r="L656" s="1120"/>
      <c r="M656" s="1120"/>
      <c r="N656" s="1120"/>
      <c r="O656" s="1120"/>
      <c r="P656" s="1120"/>
      <c r="Q656" s="1120"/>
      <c r="R656" s="1120"/>
      <c r="S656" s="1120"/>
      <c r="T656" s="1120"/>
      <c r="U656" s="1120"/>
      <c r="V656" s="1120"/>
      <c r="W656" s="1120"/>
      <c r="X656" s="1120"/>
      <c r="Y656" s="1120"/>
      <c r="Z656" s="1120"/>
      <c r="AA656" s="1120"/>
      <c r="AB656" s="1120"/>
      <c r="AC656" s="1120"/>
      <c r="AD656" s="1120"/>
      <c r="AE656" s="1120"/>
      <c r="AF656" s="487"/>
      <c r="AG656" s="1122" t="s">
        <v>211</v>
      </c>
      <c r="AH656" s="1122"/>
      <c r="AI656" s="1122"/>
      <c r="AJ656" s="1122"/>
      <c r="AK656" s="1122"/>
      <c r="AL656" s="1122"/>
      <c r="AM656" s="1122"/>
      <c r="AN656" s="1122"/>
      <c r="AO656" s="1122"/>
      <c r="AP656" s="1122"/>
      <c r="AQ656" s="1122"/>
      <c r="AR656" s="1122"/>
      <c r="AS656" s="1122"/>
      <c r="AT656" s="1122"/>
      <c r="AU656" s="1122"/>
      <c r="AV656" s="1122"/>
      <c r="AW656" s="1122"/>
      <c r="AX656" s="1122"/>
      <c r="AY656" s="1122"/>
      <c r="AZ656" s="1122"/>
      <c r="BA656" s="1122"/>
      <c r="BB656" s="1122"/>
      <c r="BC656" s="1122"/>
      <c r="BD656" s="1122"/>
      <c r="BE656" s="1122"/>
      <c r="BF656" s="489"/>
      <c r="BG656" s="489"/>
      <c r="BH656" s="489"/>
      <c r="BI656" s="489"/>
      <c r="BJ656" s="1123"/>
      <c r="BK656" s="1123"/>
      <c r="BL656" s="1123"/>
      <c r="BM656" s="1123"/>
      <c r="BN656" s="1123"/>
      <c r="BO656" s="1123"/>
      <c r="BP656" s="1123"/>
      <c r="BQ656" s="1123"/>
      <c r="BR656" s="1123"/>
      <c r="BS656" s="1123"/>
      <c r="BT656" s="1123"/>
      <c r="BU656" s="1123"/>
      <c r="BV656" s="1123"/>
      <c r="BW656" s="1123"/>
      <c r="BX656" s="1123"/>
      <c r="BY656" s="1123"/>
      <c r="BZ656" s="1123"/>
      <c r="CA656" s="1123"/>
      <c r="CB656" s="1123"/>
      <c r="CC656" s="1123"/>
      <c r="CD656" s="1123"/>
      <c r="CE656" s="1123"/>
      <c r="CF656" s="1123"/>
      <c r="CG656" s="1123"/>
      <c r="CH656" s="29"/>
      <c r="CI656" s="185"/>
      <c r="CJ656"/>
    </row>
    <row r="657" spans="1:88" ht="12.75" customHeight="1">
      <c r="A657" s="243"/>
      <c r="B657" s="29"/>
      <c r="C657" s="29"/>
      <c r="D657" s="487"/>
      <c r="E657" s="487"/>
      <c r="F657" s="487"/>
      <c r="G657" s="487"/>
      <c r="H657" s="487"/>
      <c r="I657" s="487"/>
      <c r="J657" s="487"/>
      <c r="K657" s="487"/>
      <c r="L657" s="487"/>
      <c r="M657" s="487"/>
      <c r="N657" s="487"/>
      <c r="O657" s="487"/>
      <c r="P657" s="487"/>
      <c r="Q657" s="487"/>
      <c r="R657" s="487"/>
      <c r="S657" s="487"/>
      <c r="T657" s="487"/>
      <c r="U657" s="487"/>
      <c r="V657" s="487"/>
      <c r="W657" s="487"/>
      <c r="X657" s="487"/>
      <c r="Y657" s="487"/>
      <c r="Z657" s="487"/>
      <c r="AA657" s="487"/>
      <c r="AB657" s="487"/>
      <c r="AC657" s="487"/>
      <c r="AD657" s="487"/>
      <c r="AE657" s="487"/>
      <c r="AF657" s="489"/>
      <c r="AG657" s="486"/>
      <c r="AH657" s="1123"/>
      <c r="AI657" s="1123"/>
      <c r="AJ657" s="1123"/>
      <c r="AK657" s="1123"/>
      <c r="AL657" s="1123"/>
      <c r="AM657" s="1123"/>
      <c r="AN657" s="1123"/>
      <c r="AO657" s="1123"/>
      <c r="AP657" s="1123"/>
      <c r="AQ657" s="1123"/>
      <c r="AR657" s="1123"/>
      <c r="AS657" s="1123"/>
      <c r="AT657" s="1123"/>
      <c r="AU657" s="1123"/>
      <c r="AV657" s="1123"/>
      <c r="AW657" s="1123"/>
      <c r="AX657" s="1123"/>
      <c r="AY657" s="1123"/>
      <c r="AZ657" s="1123"/>
      <c r="BA657" s="1123"/>
      <c r="BB657" s="1123"/>
      <c r="BC657" s="1123"/>
      <c r="BD657" s="1123"/>
      <c r="BE657" s="1123"/>
      <c r="BF657" s="489"/>
      <c r="BG657" s="489"/>
      <c r="BH657" s="489"/>
      <c r="BI657" s="489"/>
      <c r="BJ657" s="1123"/>
      <c r="BK657" s="1123"/>
      <c r="BL657" s="1123"/>
      <c r="BM657" s="1123"/>
      <c r="BN657" s="1123"/>
      <c r="BO657" s="1123"/>
      <c r="BP657" s="1123"/>
      <c r="BQ657" s="1123"/>
      <c r="BR657" s="1123"/>
      <c r="BS657" s="1123"/>
      <c r="BT657" s="1123"/>
      <c r="BU657" s="1123"/>
      <c r="BV657" s="1123"/>
      <c r="BW657" s="1123"/>
      <c r="BX657" s="1123"/>
      <c r="BY657" s="1123"/>
      <c r="BZ657" s="1123"/>
      <c r="CA657" s="1123"/>
      <c r="CB657" s="1123"/>
      <c r="CC657" s="1123"/>
      <c r="CD657" s="1123"/>
      <c r="CE657" s="1123"/>
      <c r="CF657" s="1123"/>
      <c r="CG657" s="1123"/>
      <c r="CH657" s="29"/>
      <c r="CI657" s="185"/>
      <c r="CJ657"/>
    </row>
    <row r="658" spans="1:88" ht="12.75" customHeight="1">
      <c r="A658" s="243" t="str">
        <f>IF($A$652&gt;=2,"","OK")</f>
        <v/>
      </c>
      <c r="B658" s="29"/>
      <c r="C658" s="29"/>
      <c r="D658" s="1119" t="s">
        <v>208</v>
      </c>
      <c r="E658" s="1119"/>
      <c r="F658" s="1119"/>
      <c r="G658" s="1120" t="s">
        <v>364</v>
      </c>
      <c r="H658" s="1120"/>
      <c r="I658" s="1120"/>
      <c r="J658" s="1120"/>
      <c r="K658" s="1120"/>
      <c r="L658" s="1120"/>
      <c r="M658" s="1120"/>
      <c r="N658" s="1120"/>
      <c r="O658" s="1120"/>
      <c r="P658" s="1120"/>
      <c r="Q658" s="1120"/>
      <c r="R658" s="1120"/>
      <c r="S658" s="1120"/>
      <c r="T658" s="1120"/>
      <c r="U658" s="1120"/>
      <c r="V658" s="1120"/>
      <c r="W658" s="1120"/>
      <c r="X658" s="1120"/>
      <c r="Y658" s="1120"/>
      <c r="Z658" s="1120"/>
      <c r="AA658" s="1120"/>
      <c r="AB658" s="1120"/>
      <c r="AC658" s="1120"/>
      <c r="AD658" s="1120"/>
      <c r="AE658" s="1120"/>
      <c r="AF658" s="487"/>
      <c r="AG658" s="488"/>
      <c r="AH658" s="488"/>
      <c r="AI658" s="488"/>
      <c r="AJ658" s="488"/>
      <c r="AK658" s="488"/>
      <c r="AL658" s="488"/>
      <c r="AM658" s="488"/>
      <c r="AN658" s="488"/>
      <c r="AO658" s="488"/>
      <c r="AP658" s="488"/>
      <c r="AQ658" s="488"/>
      <c r="AR658" s="488"/>
      <c r="AS658" s="488"/>
      <c r="AT658" s="488"/>
      <c r="AU658" s="488"/>
      <c r="AV658" s="488"/>
      <c r="AW658" s="488"/>
      <c r="AX658" s="488"/>
      <c r="AY658" s="488"/>
      <c r="AZ658" s="488"/>
      <c r="BA658" s="488"/>
      <c r="BB658" s="488"/>
      <c r="BC658" s="488"/>
      <c r="BD658" s="488"/>
      <c r="BE658" s="488"/>
      <c r="BF658" s="489"/>
      <c r="BG658" s="489"/>
      <c r="BH658" s="489"/>
      <c r="BI658" s="489"/>
      <c r="BJ658" s="1123"/>
      <c r="BK658" s="1123"/>
      <c r="BL658" s="1123"/>
      <c r="BM658" s="1123"/>
      <c r="BN658" s="1123"/>
      <c r="BO658" s="1123"/>
      <c r="BP658" s="1123"/>
      <c r="BQ658" s="1123"/>
      <c r="BR658" s="1123"/>
      <c r="BS658" s="1123"/>
      <c r="BT658" s="1123"/>
      <c r="BU658" s="1123"/>
      <c r="BV658" s="1123"/>
      <c r="BW658" s="1123"/>
      <c r="BX658" s="1123"/>
      <c r="BY658" s="1123"/>
      <c r="BZ658" s="1123"/>
      <c r="CA658" s="1123"/>
      <c r="CB658" s="1123"/>
      <c r="CC658" s="1123"/>
      <c r="CD658" s="1123"/>
      <c r="CE658" s="1123"/>
      <c r="CF658" s="1123"/>
      <c r="CG658" s="1123"/>
      <c r="CH658" s="29"/>
      <c r="CI658" s="185"/>
      <c r="CJ658"/>
    </row>
    <row r="659" spans="1:88" ht="12.75" customHeight="1">
      <c r="A659" s="243" t="str">
        <f>IF($A$652&gt;=2,"","OK")</f>
        <v/>
      </c>
      <c r="B659" s="29"/>
      <c r="C659" s="29"/>
      <c r="D659" s="1119" t="s">
        <v>209</v>
      </c>
      <c r="E659" s="1119"/>
      <c r="F659" s="1119"/>
      <c r="G659" s="1120" t="s">
        <v>366</v>
      </c>
      <c r="H659" s="1120"/>
      <c r="I659" s="1120"/>
      <c r="J659" s="1120"/>
      <c r="K659" s="1120"/>
      <c r="L659" s="1120"/>
      <c r="M659" s="1120"/>
      <c r="N659" s="1120"/>
      <c r="O659" s="1120"/>
      <c r="P659" s="1120"/>
      <c r="Q659" s="1120"/>
      <c r="R659" s="1120"/>
      <c r="S659" s="1120"/>
      <c r="T659" s="1120"/>
      <c r="U659" s="1120"/>
      <c r="V659" s="1120"/>
      <c r="W659" s="1120"/>
      <c r="X659" s="1120"/>
      <c r="Y659" s="1120"/>
      <c r="Z659" s="1120"/>
      <c r="AA659" s="1120"/>
      <c r="AB659" s="1120"/>
      <c r="AC659" s="1120"/>
      <c r="AD659" s="1120"/>
      <c r="AE659" s="1120"/>
      <c r="AF659" s="487"/>
      <c r="AG659" s="1121"/>
      <c r="AH659" s="1121"/>
      <c r="AI659" s="1121"/>
      <c r="AJ659" s="1121"/>
      <c r="AK659" s="1121"/>
      <c r="AL659" s="1121"/>
      <c r="AM659" s="1121"/>
      <c r="AN659" s="1121"/>
      <c r="AO659" s="1121"/>
      <c r="AP659" s="1121"/>
      <c r="AQ659" s="1121"/>
      <c r="AR659" s="1121"/>
      <c r="AS659" s="1121"/>
      <c r="AT659" s="1121"/>
      <c r="AU659" s="1121"/>
      <c r="AV659" s="1121"/>
      <c r="AW659" s="1121"/>
      <c r="AX659" s="1121"/>
      <c r="AY659" s="1121"/>
      <c r="AZ659" s="1121"/>
      <c r="BA659" s="1121"/>
      <c r="BB659" s="1121"/>
      <c r="BC659" s="1121"/>
      <c r="BD659" s="1121"/>
      <c r="BE659" s="1121"/>
      <c r="BF659" s="489"/>
      <c r="BG659" s="489"/>
      <c r="BH659" s="489"/>
      <c r="BI659" s="489"/>
      <c r="BJ659" s="1123"/>
      <c r="BK659" s="1123"/>
      <c r="BL659" s="1123"/>
      <c r="BM659" s="1123"/>
      <c r="BN659" s="1123"/>
      <c r="BO659" s="1123"/>
      <c r="BP659" s="1123"/>
      <c r="BQ659" s="1123"/>
      <c r="BR659" s="1123"/>
      <c r="BS659" s="1123"/>
      <c r="BT659" s="1123"/>
      <c r="BU659" s="1123"/>
      <c r="BV659" s="1123"/>
      <c r="BW659" s="1123"/>
      <c r="BX659" s="1123"/>
      <c r="BY659" s="1123"/>
      <c r="BZ659" s="1123"/>
      <c r="CA659" s="1123"/>
      <c r="CB659" s="1123"/>
      <c r="CC659" s="1123"/>
      <c r="CD659" s="1123"/>
      <c r="CE659" s="1123"/>
      <c r="CF659" s="1123"/>
      <c r="CG659" s="1123"/>
      <c r="CH659" s="29"/>
      <c r="CI659" s="185"/>
      <c r="CJ659"/>
    </row>
    <row r="660" spans="1:88" ht="12.75" customHeight="1">
      <c r="A660" s="243" t="str">
        <f>IF($A$652&gt;=2,"","OK")</f>
        <v/>
      </c>
      <c r="B660" s="29"/>
      <c r="C660" s="29"/>
      <c r="D660" s="1119" t="s">
        <v>210</v>
      </c>
      <c r="E660" s="1119"/>
      <c r="F660" s="1119"/>
      <c r="G660" s="1120" t="s">
        <v>365</v>
      </c>
      <c r="H660" s="1120"/>
      <c r="I660" s="1120"/>
      <c r="J660" s="1120"/>
      <c r="K660" s="1120"/>
      <c r="L660" s="1120"/>
      <c r="M660" s="1120"/>
      <c r="N660" s="1120"/>
      <c r="O660" s="1120"/>
      <c r="P660" s="1120"/>
      <c r="Q660" s="1120"/>
      <c r="R660" s="1120"/>
      <c r="S660" s="1120"/>
      <c r="T660" s="1120"/>
      <c r="U660" s="1120"/>
      <c r="V660" s="1120"/>
      <c r="W660" s="1120"/>
      <c r="X660" s="1120"/>
      <c r="Y660" s="1120"/>
      <c r="Z660" s="1120"/>
      <c r="AA660" s="1120"/>
      <c r="AB660" s="1120"/>
      <c r="AC660" s="1120"/>
      <c r="AD660" s="1120"/>
      <c r="AE660" s="1120"/>
      <c r="AF660" s="487"/>
      <c r="AG660" s="1122" t="s">
        <v>211</v>
      </c>
      <c r="AH660" s="1122"/>
      <c r="AI660" s="1122"/>
      <c r="AJ660" s="1122"/>
      <c r="AK660" s="1122"/>
      <c r="AL660" s="1122"/>
      <c r="AM660" s="1122"/>
      <c r="AN660" s="1122"/>
      <c r="AO660" s="1122"/>
      <c r="AP660" s="1122"/>
      <c r="AQ660" s="1122"/>
      <c r="AR660" s="1122"/>
      <c r="AS660" s="1122"/>
      <c r="AT660" s="1122"/>
      <c r="AU660" s="1122"/>
      <c r="AV660" s="1122"/>
      <c r="AW660" s="1122"/>
      <c r="AX660" s="1122"/>
      <c r="AY660" s="1122"/>
      <c r="AZ660" s="1122"/>
      <c r="BA660" s="1122"/>
      <c r="BB660" s="1122"/>
      <c r="BC660" s="1122"/>
      <c r="BD660" s="1122"/>
      <c r="BE660" s="1122"/>
      <c r="BF660" s="486"/>
      <c r="BG660" s="486"/>
      <c r="BH660" s="486"/>
      <c r="BI660" s="486"/>
      <c r="BJ660" s="486"/>
      <c r="BK660" s="486"/>
      <c r="BL660" s="486"/>
      <c r="BM660" s="486"/>
      <c r="BN660" s="486"/>
      <c r="BO660" s="486"/>
      <c r="BP660" s="486"/>
      <c r="BQ660" s="486"/>
      <c r="BR660" s="486"/>
      <c r="BS660" s="486"/>
      <c r="BT660" s="486"/>
      <c r="BU660" s="486"/>
      <c r="BV660" s="486"/>
      <c r="BW660" s="486"/>
      <c r="BX660" s="486"/>
      <c r="BY660" s="486"/>
      <c r="BZ660" s="486"/>
      <c r="CA660" s="486"/>
      <c r="CB660" s="486"/>
      <c r="CC660" s="486"/>
      <c r="CD660" s="486"/>
      <c r="CE660" s="486"/>
      <c r="CF660" s="486"/>
      <c r="CG660" s="486"/>
      <c r="CH660" s="29"/>
      <c r="CI660" s="185"/>
      <c r="CJ660"/>
    </row>
    <row r="661" spans="1:88" ht="12.75" customHeight="1">
      <c r="A661" s="243" t="str">
        <f>IF($A$652&gt;=2,"","OK")</f>
        <v/>
      </c>
      <c r="B661" s="29"/>
      <c r="C661" s="29"/>
      <c r="D661" s="487"/>
      <c r="E661" s="487"/>
      <c r="F661" s="487"/>
      <c r="G661" s="487"/>
      <c r="H661" s="487"/>
      <c r="I661" s="487"/>
      <c r="J661" s="487"/>
      <c r="K661" s="487"/>
      <c r="L661" s="487"/>
      <c r="M661" s="487"/>
      <c r="N661" s="487"/>
      <c r="O661" s="487"/>
      <c r="P661" s="487"/>
      <c r="Q661" s="487"/>
      <c r="R661" s="487"/>
      <c r="S661" s="487"/>
      <c r="T661" s="487"/>
      <c r="U661" s="487"/>
      <c r="V661" s="487"/>
      <c r="W661" s="487"/>
      <c r="X661" s="487"/>
      <c r="Y661" s="487"/>
      <c r="Z661" s="487"/>
      <c r="AA661" s="487"/>
      <c r="AB661" s="487"/>
      <c r="AC661" s="487"/>
      <c r="AD661" s="487"/>
      <c r="AE661" s="487"/>
      <c r="AF661" s="486"/>
      <c r="AG661" s="486"/>
      <c r="AH661" s="486"/>
      <c r="AI661" s="486"/>
      <c r="AJ661" s="486"/>
      <c r="AK661" s="486"/>
      <c r="AL661" s="486"/>
      <c r="AM661" s="486"/>
      <c r="AN661" s="486"/>
      <c r="AO661" s="486"/>
      <c r="AP661" s="486"/>
      <c r="AQ661" s="486"/>
      <c r="AR661" s="486"/>
      <c r="AS661" s="486"/>
      <c r="AT661" s="486"/>
      <c r="AU661" s="486"/>
      <c r="AV661" s="486"/>
      <c r="AW661" s="486"/>
      <c r="AX661" s="486"/>
      <c r="AY661" s="486"/>
      <c r="AZ661" s="486"/>
      <c r="BA661" s="486"/>
      <c r="BB661" s="486"/>
      <c r="BC661" s="486"/>
      <c r="BD661" s="486"/>
      <c r="BE661" s="486"/>
      <c r="BF661" s="486"/>
      <c r="BG661" s="486"/>
      <c r="BH661" s="486"/>
      <c r="BI661" s="486"/>
      <c r="BJ661" s="486"/>
      <c r="BK661" s="486"/>
      <c r="BL661" s="486"/>
      <c r="BM661" s="486"/>
      <c r="BN661" s="486"/>
      <c r="BO661" s="486"/>
      <c r="BP661" s="486"/>
      <c r="BQ661" s="486"/>
      <c r="BR661" s="486"/>
      <c r="BS661" s="486"/>
      <c r="BT661" s="486"/>
      <c r="BU661" s="486"/>
      <c r="BV661" s="486"/>
      <c r="BW661" s="486"/>
      <c r="BX661" s="486"/>
      <c r="BY661" s="486"/>
      <c r="BZ661" s="486"/>
      <c r="CA661" s="486"/>
      <c r="CB661" s="486"/>
      <c r="CC661" s="486"/>
      <c r="CD661" s="486"/>
      <c r="CE661" s="486"/>
      <c r="CF661" s="486"/>
      <c r="CG661" s="486"/>
      <c r="CH661" s="29"/>
      <c r="CI661" s="185"/>
      <c r="CJ661"/>
    </row>
    <row r="662" spans="1:88" ht="12.75" customHeight="1">
      <c r="A662" s="243" t="str">
        <f>IF($A$652&gt;=3,"","OK")</f>
        <v/>
      </c>
      <c r="B662" s="29"/>
      <c r="C662" s="29"/>
      <c r="D662" s="1119" t="s">
        <v>208</v>
      </c>
      <c r="E662" s="1119"/>
      <c r="F662" s="1119"/>
      <c r="G662" s="1120" t="s">
        <v>361</v>
      </c>
      <c r="H662" s="1120"/>
      <c r="I662" s="1120"/>
      <c r="J662" s="1120"/>
      <c r="K662" s="1120"/>
      <c r="L662" s="1120"/>
      <c r="M662" s="1120"/>
      <c r="N662" s="1120"/>
      <c r="O662" s="1120"/>
      <c r="P662" s="1120"/>
      <c r="Q662" s="1120"/>
      <c r="R662" s="1120"/>
      <c r="S662" s="1120"/>
      <c r="T662" s="1120"/>
      <c r="U662" s="1120"/>
      <c r="V662" s="1120"/>
      <c r="W662" s="1120"/>
      <c r="X662" s="1120"/>
      <c r="Y662" s="1120"/>
      <c r="Z662" s="1120"/>
      <c r="AA662" s="1120"/>
      <c r="AB662" s="1120"/>
      <c r="AC662" s="1120"/>
      <c r="AD662" s="1120"/>
      <c r="AE662" s="1120"/>
      <c r="AF662" s="487"/>
      <c r="AG662" s="488"/>
      <c r="AH662" s="488"/>
      <c r="AI662" s="488"/>
      <c r="AJ662" s="488"/>
      <c r="AK662" s="488"/>
      <c r="AL662" s="488"/>
      <c r="AM662" s="488"/>
      <c r="AN662" s="488"/>
      <c r="AO662" s="488"/>
      <c r="AP662" s="488"/>
      <c r="AQ662" s="488"/>
      <c r="AR662" s="488"/>
      <c r="AS662" s="488"/>
      <c r="AT662" s="488"/>
      <c r="AU662" s="488"/>
      <c r="AV662" s="488"/>
      <c r="AW662" s="488"/>
      <c r="AX662" s="488"/>
      <c r="AY662" s="488"/>
      <c r="AZ662" s="488"/>
      <c r="BA662" s="488"/>
      <c r="BB662" s="488"/>
      <c r="BC662" s="488"/>
      <c r="BD662" s="488"/>
      <c r="BE662" s="488"/>
      <c r="BF662" s="486"/>
      <c r="BG662" s="486"/>
      <c r="BH662" s="486"/>
      <c r="BI662" s="486"/>
      <c r="BJ662" s="486"/>
      <c r="BK662" s="486"/>
      <c r="BL662" s="486"/>
      <c r="BM662" s="486"/>
      <c r="BN662" s="486"/>
      <c r="BO662" s="486"/>
      <c r="BP662" s="486"/>
      <c r="BQ662" s="486"/>
      <c r="BR662" s="486"/>
      <c r="BS662" s="486"/>
      <c r="BT662" s="486"/>
      <c r="BU662" s="486"/>
      <c r="BV662" s="486"/>
      <c r="BW662" s="486"/>
      <c r="BX662" s="486"/>
      <c r="BY662" s="486"/>
      <c r="BZ662" s="486"/>
      <c r="CA662" s="486"/>
      <c r="CB662" s="486"/>
      <c r="CC662" s="486"/>
      <c r="CD662" s="486"/>
      <c r="CE662" s="486"/>
      <c r="CF662" s="486"/>
      <c r="CG662" s="486"/>
      <c r="CH662" s="29"/>
      <c r="CI662" s="17"/>
      <c r="CJ662" s="17"/>
    </row>
    <row r="663" spans="1:88" ht="12.75" customHeight="1">
      <c r="A663" s="243" t="str">
        <f>IF($A$652&gt;=3,"","OK")</f>
        <v/>
      </c>
      <c r="B663" s="29"/>
      <c r="C663" s="29"/>
      <c r="D663" s="1119" t="s">
        <v>209</v>
      </c>
      <c r="E663" s="1119"/>
      <c r="F663" s="1119"/>
      <c r="G663" s="1120" t="s">
        <v>353</v>
      </c>
      <c r="H663" s="1120"/>
      <c r="I663" s="1120"/>
      <c r="J663" s="1120"/>
      <c r="K663" s="1120"/>
      <c r="L663" s="1120"/>
      <c r="M663" s="1120"/>
      <c r="N663" s="1120"/>
      <c r="O663" s="1120"/>
      <c r="P663" s="1120"/>
      <c r="Q663" s="1120"/>
      <c r="R663" s="1120"/>
      <c r="S663" s="1120"/>
      <c r="T663" s="1120"/>
      <c r="U663" s="1120"/>
      <c r="V663" s="1120"/>
      <c r="W663" s="1120"/>
      <c r="X663" s="1120"/>
      <c r="Y663" s="1120"/>
      <c r="Z663" s="1120"/>
      <c r="AA663" s="1120"/>
      <c r="AB663" s="1120"/>
      <c r="AC663" s="1120"/>
      <c r="AD663" s="1120"/>
      <c r="AE663" s="1120"/>
      <c r="AF663" s="487"/>
      <c r="AG663" s="1121"/>
      <c r="AH663" s="1121"/>
      <c r="AI663" s="1121"/>
      <c r="AJ663" s="1121"/>
      <c r="AK663" s="1121"/>
      <c r="AL663" s="1121"/>
      <c r="AM663" s="1121"/>
      <c r="AN663" s="1121"/>
      <c r="AO663" s="1121"/>
      <c r="AP663" s="1121"/>
      <c r="AQ663" s="1121"/>
      <c r="AR663" s="1121"/>
      <c r="AS663" s="1121"/>
      <c r="AT663" s="1121"/>
      <c r="AU663" s="1121"/>
      <c r="AV663" s="1121"/>
      <c r="AW663" s="1121"/>
      <c r="AX663" s="1121"/>
      <c r="AY663" s="1121"/>
      <c r="AZ663" s="1121"/>
      <c r="BA663" s="1121"/>
      <c r="BB663" s="1121"/>
      <c r="BC663" s="1121"/>
      <c r="BD663" s="1121"/>
      <c r="BE663" s="1121"/>
      <c r="BF663" s="486"/>
      <c r="BG663" s="486"/>
      <c r="BH663" s="486"/>
      <c r="BI663" s="486"/>
      <c r="BJ663" s="486"/>
      <c r="BK663" s="486"/>
      <c r="BL663" s="486"/>
      <c r="BM663" s="486"/>
      <c r="BN663" s="486"/>
      <c r="BO663" s="486"/>
      <c r="BP663" s="486"/>
      <c r="BQ663" s="486"/>
      <c r="BR663" s="486"/>
      <c r="BS663" s="486"/>
      <c r="BT663" s="486"/>
      <c r="BU663" s="486"/>
      <c r="BV663" s="486"/>
      <c r="BW663" s="486"/>
      <c r="BX663" s="486"/>
      <c r="BY663" s="486"/>
      <c r="BZ663" s="486"/>
      <c r="CA663" s="486"/>
      <c r="CB663" s="486"/>
      <c r="CC663" s="486"/>
      <c r="CD663" s="486"/>
      <c r="CE663" s="486"/>
      <c r="CF663" s="486"/>
      <c r="CG663" s="486"/>
      <c r="CH663" s="29"/>
      <c r="CI663" s="17"/>
      <c r="CJ663" s="17"/>
    </row>
    <row r="664" spans="1:88" ht="12.75" customHeight="1">
      <c r="A664" s="243" t="str">
        <f>IF($A$652&gt;=3,"","OK")</f>
        <v/>
      </c>
      <c r="B664" s="29"/>
      <c r="C664" s="29"/>
      <c r="D664" s="1119" t="s">
        <v>210</v>
      </c>
      <c r="E664" s="1119"/>
      <c r="F664" s="1119"/>
      <c r="G664" s="1120" t="s">
        <v>354</v>
      </c>
      <c r="H664" s="1120"/>
      <c r="I664" s="1120"/>
      <c r="J664" s="1120"/>
      <c r="K664" s="1120"/>
      <c r="L664" s="1120"/>
      <c r="M664" s="1120"/>
      <c r="N664" s="1120"/>
      <c r="O664" s="1120"/>
      <c r="P664" s="1120"/>
      <c r="Q664" s="1120"/>
      <c r="R664" s="1120"/>
      <c r="S664" s="1120"/>
      <c r="T664" s="1120"/>
      <c r="U664" s="1120"/>
      <c r="V664" s="1120"/>
      <c r="W664" s="1120"/>
      <c r="X664" s="1120"/>
      <c r="Y664" s="1120"/>
      <c r="Z664" s="1120"/>
      <c r="AA664" s="1120"/>
      <c r="AB664" s="1120"/>
      <c r="AC664" s="1120"/>
      <c r="AD664" s="1120"/>
      <c r="AE664" s="1120"/>
      <c r="AF664" s="487"/>
      <c r="AG664" s="1122" t="s">
        <v>211</v>
      </c>
      <c r="AH664" s="1122"/>
      <c r="AI664" s="1122"/>
      <c r="AJ664" s="1122"/>
      <c r="AK664" s="1122"/>
      <c r="AL664" s="1122"/>
      <c r="AM664" s="1122"/>
      <c r="AN664" s="1122"/>
      <c r="AO664" s="1122"/>
      <c r="AP664" s="1122"/>
      <c r="AQ664" s="1122"/>
      <c r="AR664" s="1122"/>
      <c r="AS664" s="1122"/>
      <c r="AT664" s="1122"/>
      <c r="AU664" s="1122"/>
      <c r="AV664" s="1122"/>
      <c r="AW664" s="1122"/>
      <c r="AX664" s="1122"/>
      <c r="AY664" s="1122"/>
      <c r="AZ664" s="1122"/>
      <c r="BA664" s="1122"/>
      <c r="BB664" s="1122"/>
      <c r="BC664" s="1122"/>
      <c r="BD664" s="1122"/>
      <c r="BE664" s="1122"/>
      <c r="BF664" s="486"/>
      <c r="BG664" s="486"/>
      <c r="BH664" s="486"/>
      <c r="BI664" s="486"/>
      <c r="BJ664" s="486"/>
      <c r="BK664" s="486"/>
      <c r="BL664" s="486"/>
      <c r="BM664" s="486"/>
      <c r="BN664" s="486"/>
      <c r="BO664" s="486"/>
      <c r="BP664" s="486"/>
      <c r="BQ664" s="486"/>
      <c r="BR664" s="486"/>
      <c r="BS664" s="486"/>
      <c r="BT664" s="486"/>
      <c r="BU664" s="486"/>
      <c r="BV664" s="486"/>
      <c r="BW664" s="486"/>
      <c r="BX664" s="486"/>
      <c r="BY664" s="486"/>
      <c r="BZ664" s="486"/>
      <c r="CA664" s="486"/>
      <c r="CB664" s="486"/>
      <c r="CC664" s="486"/>
      <c r="CD664" s="486"/>
      <c r="CE664" s="486"/>
      <c r="CF664" s="486"/>
      <c r="CG664" s="486"/>
      <c r="CH664" s="29"/>
      <c r="CI664" s="17"/>
      <c r="CJ664" s="17"/>
    </row>
    <row r="665" spans="1:88" ht="12.75" customHeight="1">
      <c r="A665" s="243" t="str">
        <f>IF($A$652&gt;=3,"","OK")</f>
        <v/>
      </c>
      <c r="B665" s="29"/>
      <c r="C665" s="2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19"/>
      <c r="AA665" s="1119"/>
      <c r="AB665" s="1119"/>
      <c r="AC665" s="1119"/>
      <c r="AD665" s="1119"/>
      <c r="AE665" s="1119"/>
      <c r="AF665" s="486"/>
      <c r="AG665" s="486"/>
      <c r="AH665" s="486"/>
      <c r="AI665" s="486"/>
      <c r="AJ665" s="486"/>
      <c r="AK665" s="486"/>
      <c r="AL665" s="486"/>
      <c r="AM665" s="486"/>
      <c r="AN665" s="486"/>
      <c r="AO665" s="486"/>
      <c r="AP665" s="486"/>
      <c r="AQ665" s="486"/>
      <c r="AR665" s="486"/>
      <c r="AS665" s="486"/>
      <c r="AT665" s="486"/>
      <c r="AU665" s="486"/>
      <c r="AV665" s="486"/>
      <c r="AW665" s="486"/>
      <c r="AX665" s="486"/>
      <c r="AY665" s="486"/>
      <c r="AZ665" s="486"/>
      <c r="BA665" s="486"/>
      <c r="BB665" s="486"/>
      <c r="BC665" s="486"/>
      <c r="BD665" s="486"/>
      <c r="BE665" s="486"/>
      <c r="BF665" s="486"/>
      <c r="BG665" s="486"/>
      <c r="BH665" s="486"/>
      <c r="BI665" s="486"/>
      <c r="BJ665" s="486"/>
      <c r="BK665" s="486"/>
      <c r="BL665" s="486"/>
      <c r="BM665" s="486"/>
      <c r="BN665" s="486"/>
      <c r="BO665" s="486"/>
      <c r="BP665" s="486"/>
      <c r="BQ665" s="486"/>
      <c r="BR665" s="486"/>
      <c r="BS665" s="486"/>
      <c r="BT665" s="486"/>
      <c r="BU665" s="486"/>
      <c r="BV665" s="486"/>
      <c r="BW665" s="486"/>
      <c r="BX665" s="486"/>
      <c r="BY665" s="486"/>
      <c r="BZ665" s="486"/>
      <c r="CA665" s="486"/>
      <c r="CB665" s="486"/>
      <c r="CC665" s="486"/>
      <c r="CD665" s="486"/>
      <c r="CE665" s="486"/>
      <c r="CF665" s="486"/>
      <c r="CG665" s="486"/>
      <c r="CH665" s="29"/>
      <c r="CI665" s="17"/>
      <c r="CJ665" s="17"/>
    </row>
    <row r="666" spans="1:88" ht="12.75" customHeight="1">
      <c r="A666" s="243" t="str">
        <f>IF($A$652&gt;=4,"","OK")</f>
        <v/>
      </c>
      <c r="B666" s="29"/>
      <c r="C666" s="29"/>
      <c r="D666" s="1119" t="s">
        <v>208</v>
      </c>
      <c r="E666" s="1119"/>
      <c r="F666" s="1119"/>
      <c r="G666" s="1120" t="s">
        <v>368</v>
      </c>
      <c r="H666" s="1120"/>
      <c r="I666" s="1120"/>
      <c r="J666" s="1120"/>
      <c r="K666" s="1120"/>
      <c r="L666" s="1120"/>
      <c r="M666" s="1120"/>
      <c r="N666" s="1120"/>
      <c r="O666" s="1120"/>
      <c r="P666" s="1120"/>
      <c r="Q666" s="1120"/>
      <c r="R666" s="1120"/>
      <c r="S666" s="1120"/>
      <c r="T666" s="1120"/>
      <c r="U666" s="1120"/>
      <c r="V666" s="1120"/>
      <c r="W666" s="1120"/>
      <c r="X666" s="1120"/>
      <c r="Y666" s="1120"/>
      <c r="Z666" s="1120"/>
      <c r="AA666" s="1120"/>
      <c r="AB666" s="1120"/>
      <c r="AC666" s="1120"/>
      <c r="AD666" s="1120"/>
      <c r="AE666" s="1120"/>
      <c r="AF666" s="487"/>
      <c r="AG666" s="488"/>
      <c r="AH666" s="488"/>
      <c r="AI666" s="488"/>
      <c r="AJ666" s="488"/>
      <c r="AK666" s="488"/>
      <c r="AL666" s="488"/>
      <c r="AM666" s="488"/>
      <c r="AN666" s="488"/>
      <c r="AO666" s="488"/>
      <c r="AP666" s="488"/>
      <c r="AQ666" s="488"/>
      <c r="AR666" s="488"/>
      <c r="AS666" s="488"/>
      <c r="AT666" s="488"/>
      <c r="AU666" s="488"/>
      <c r="AV666" s="488"/>
      <c r="AW666" s="488"/>
      <c r="AX666" s="488"/>
      <c r="AY666" s="488"/>
      <c r="AZ666" s="488"/>
      <c r="BA666" s="488"/>
      <c r="BB666" s="488"/>
      <c r="BC666" s="488"/>
      <c r="BD666" s="488"/>
      <c r="BE666" s="488"/>
      <c r="BF666" s="486"/>
      <c r="BG666" s="486"/>
      <c r="BH666" s="486"/>
      <c r="BI666" s="486"/>
      <c r="BJ666" s="486"/>
      <c r="BK666" s="486"/>
      <c r="BL666" s="486"/>
      <c r="BM666" s="486"/>
      <c r="BN666" s="486"/>
      <c r="BO666" s="486"/>
      <c r="BP666" s="486"/>
      <c r="BQ666" s="486"/>
      <c r="BR666" s="486"/>
      <c r="BS666" s="486"/>
      <c r="BT666" s="486"/>
      <c r="BU666" s="486"/>
      <c r="BV666" s="486"/>
      <c r="BW666" s="486"/>
      <c r="BX666" s="486"/>
      <c r="BY666" s="486"/>
      <c r="BZ666" s="486"/>
      <c r="CA666" s="486"/>
      <c r="CB666" s="486"/>
      <c r="CC666" s="486"/>
      <c r="CD666" s="486"/>
      <c r="CE666" s="486"/>
      <c r="CF666" s="486"/>
      <c r="CG666" s="486"/>
      <c r="CH666" s="29"/>
      <c r="CI666" s="17"/>
      <c r="CJ666" s="17"/>
    </row>
    <row r="667" spans="1:88" ht="12.75" customHeight="1">
      <c r="A667" s="243" t="str">
        <f>IF($A$652&gt;=4,"","OK")</f>
        <v/>
      </c>
      <c r="B667" s="29"/>
      <c r="C667" s="29"/>
      <c r="D667" s="1119" t="s">
        <v>209</v>
      </c>
      <c r="E667" s="1119"/>
      <c r="F667" s="1119"/>
      <c r="G667" s="1120" t="s">
        <v>353</v>
      </c>
      <c r="H667" s="1120"/>
      <c r="I667" s="1120"/>
      <c r="J667" s="1120"/>
      <c r="K667" s="1120"/>
      <c r="L667" s="1120"/>
      <c r="M667" s="1120"/>
      <c r="N667" s="1120"/>
      <c r="O667" s="1120"/>
      <c r="P667" s="1120"/>
      <c r="Q667" s="1120"/>
      <c r="R667" s="1120"/>
      <c r="S667" s="1120"/>
      <c r="T667" s="1120"/>
      <c r="U667" s="1120"/>
      <c r="V667" s="1120"/>
      <c r="W667" s="1120"/>
      <c r="X667" s="1120"/>
      <c r="Y667" s="1120"/>
      <c r="Z667" s="1120"/>
      <c r="AA667" s="1120"/>
      <c r="AB667" s="1120"/>
      <c r="AC667" s="1120"/>
      <c r="AD667" s="1120"/>
      <c r="AE667" s="1120"/>
      <c r="AF667" s="487"/>
      <c r="AG667" s="1121"/>
      <c r="AH667" s="1121"/>
      <c r="AI667" s="1121"/>
      <c r="AJ667" s="1121"/>
      <c r="AK667" s="1121"/>
      <c r="AL667" s="1121"/>
      <c r="AM667" s="1121"/>
      <c r="AN667" s="1121"/>
      <c r="AO667" s="1121"/>
      <c r="AP667" s="1121"/>
      <c r="AQ667" s="1121"/>
      <c r="AR667" s="1121"/>
      <c r="AS667" s="1121"/>
      <c r="AT667" s="1121"/>
      <c r="AU667" s="1121"/>
      <c r="AV667" s="1121"/>
      <c r="AW667" s="1121"/>
      <c r="AX667" s="1121"/>
      <c r="AY667" s="1121"/>
      <c r="AZ667" s="1121"/>
      <c r="BA667" s="1121"/>
      <c r="BB667" s="1121"/>
      <c r="BC667" s="1121"/>
      <c r="BD667" s="1121"/>
      <c r="BE667" s="1121"/>
      <c r="BF667" s="486"/>
      <c r="BG667" s="486"/>
      <c r="BH667" s="486"/>
      <c r="BI667" s="486"/>
      <c r="BJ667" s="486"/>
      <c r="BK667" s="486"/>
      <c r="BL667" s="486"/>
      <c r="BM667" s="486"/>
      <c r="BN667" s="486"/>
      <c r="BO667" s="486"/>
      <c r="BP667" s="486"/>
      <c r="BQ667" s="486"/>
      <c r="BR667" s="486"/>
      <c r="BS667" s="486"/>
      <c r="BT667" s="486"/>
      <c r="BU667" s="486"/>
      <c r="BV667" s="486"/>
      <c r="BW667" s="486"/>
      <c r="BX667" s="486"/>
      <c r="BY667" s="486"/>
      <c r="BZ667" s="486"/>
      <c r="CA667" s="486"/>
      <c r="CB667" s="486"/>
      <c r="CC667" s="486"/>
      <c r="CD667" s="486"/>
      <c r="CE667" s="486"/>
      <c r="CF667" s="486"/>
      <c r="CG667" s="486"/>
      <c r="CH667" s="29"/>
      <c r="CI667" s="17"/>
      <c r="CJ667" s="17"/>
    </row>
    <row r="668" spans="1:88" ht="12.75" customHeight="1">
      <c r="A668" s="243" t="str">
        <f>IF($A$652&gt;=4,"","OK")</f>
        <v/>
      </c>
      <c r="B668" s="29"/>
      <c r="C668" s="29"/>
      <c r="D668" s="1119" t="s">
        <v>210</v>
      </c>
      <c r="E668" s="1119"/>
      <c r="F668" s="1119"/>
      <c r="G668" s="1120" t="s">
        <v>358</v>
      </c>
      <c r="H668" s="1120"/>
      <c r="I668" s="1120"/>
      <c r="J668" s="1120"/>
      <c r="K668" s="1120"/>
      <c r="L668" s="1120"/>
      <c r="M668" s="1120"/>
      <c r="N668" s="1120"/>
      <c r="O668" s="1120"/>
      <c r="P668" s="1120"/>
      <c r="Q668" s="1120"/>
      <c r="R668" s="1120"/>
      <c r="S668" s="1120"/>
      <c r="T668" s="1120"/>
      <c r="U668" s="1120"/>
      <c r="V668" s="1120"/>
      <c r="W668" s="1120"/>
      <c r="X668" s="1120"/>
      <c r="Y668" s="1120"/>
      <c r="Z668" s="1120"/>
      <c r="AA668" s="1120"/>
      <c r="AB668" s="1120"/>
      <c r="AC668" s="1120"/>
      <c r="AD668" s="1120"/>
      <c r="AE668" s="1120"/>
      <c r="AF668" s="487"/>
      <c r="AG668" s="1122" t="s">
        <v>211</v>
      </c>
      <c r="AH668" s="1122"/>
      <c r="AI668" s="1122"/>
      <c r="AJ668" s="1122"/>
      <c r="AK668" s="1122"/>
      <c r="AL668" s="1122"/>
      <c r="AM668" s="1122"/>
      <c r="AN668" s="1122"/>
      <c r="AO668" s="1122"/>
      <c r="AP668" s="1122"/>
      <c r="AQ668" s="1122"/>
      <c r="AR668" s="1122"/>
      <c r="AS668" s="1122"/>
      <c r="AT668" s="1122"/>
      <c r="AU668" s="1122"/>
      <c r="AV668" s="1122"/>
      <c r="AW668" s="1122"/>
      <c r="AX668" s="1122"/>
      <c r="AY668" s="1122"/>
      <c r="AZ668" s="1122"/>
      <c r="BA668" s="1122"/>
      <c r="BB668" s="1122"/>
      <c r="BC668" s="1122"/>
      <c r="BD668" s="1122"/>
      <c r="BE668" s="1122"/>
      <c r="BF668" s="486"/>
      <c r="BG668" s="486"/>
      <c r="BH668" s="486"/>
      <c r="BI668" s="486"/>
      <c r="BJ668" s="486"/>
      <c r="BK668" s="486"/>
      <c r="BL668" s="486"/>
      <c r="BM668" s="486"/>
      <c r="BN668" s="486"/>
      <c r="BO668" s="486"/>
      <c r="BP668" s="486"/>
      <c r="BQ668" s="486"/>
      <c r="BR668" s="486"/>
      <c r="BS668" s="486"/>
      <c r="BT668" s="486"/>
      <c r="BU668" s="486"/>
      <c r="BV668" s="486"/>
      <c r="BW668" s="486"/>
      <c r="BX668" s="486"/>
      <c r="BY668" s="486"/>
      <c r="BZ668" s="486"/>
      <c r="CA668" s="486"/>
      <c r="CB668" s="486"/>
      <c r="CC668" s="486"/>
      <c r="CD668" s="486"/>
      <c r="CE668" s="486"/>
      <c r="CF668" s="486"/>
      <c r="CG668" s="486"/>
      <c r="CH668" s="29"/>
      <c r="CI668" s="17"/>
      <c r="CJ668" s="17"/>
    </row>
    <row r="669" spans="1:88" ht="12.75" customHeight="1">
      <c r="A669" s="243" t="str">
        <f>IF($A$652&gt;=4,"","OK")</f>
        <v/>
      </c>
      <c r="B669" s="29"/>
      <c r="C669" s="2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19"/>
      <c r="AA669" s="1119"/>
      <c r="AB669" s="1119"/>
      <c r="AC669" s="1119"/>
      <c r="AD669" s="1119"/>
      <c r="AE669" s="1119"/>
      <c r="AF669" s="486"/>
      <c r="AG669" s="486"/>
      <c r="AH669" s="486"/>
      <c r="AI669" s="486"/>
      <c r="AJ669" s="486"/>
      <c r="AK669" s="486"/>
      <c r="AL669" s="486"/>
      <c r="AM669" s="486"/>
      <c r="AN669" s="486"/>
      <c r="AO669" s="486"/>
      <c r="AP669" s="486"/>
      <c r="AQ669" s="486"/>
      <c r="AR669" s="486"/>
      <c r="AS669" s="486"/>
      <c r="AT669" s="486"/>
      <c r="AU669" s="486"/>
      <c r="AV669" s="486"/>
      <c r="AW669" s="486"/>
      <c r="AX669" s="486"/>
      <c r="AY669" s="486"/>
      <c r="AZ669" s="486"/>
      <c r="BA669" s="486"/>
      <c r="BB669" s="486"/>
      <c r="BC669" s="486"/>
      <c r="BD669" s="486"/>
      <c r="BE669" s="486"/>
      <c r="BF669" s="486"/>
      <c r="BG669" s="486"/>
      <c r="BH669" s="486"/>
      <c r="BI669" s="486"/>
      <c r="BJ669" s="486"/>
      <c r="BK669" s="486"/>
      <c r="BL669" s="486"/>
      <c r="BM669" s="486"/>
      <c r="BN669" s="486"/>
      <c r="BO669" s="486"/>
      <c r="BP669" s="486"/>
      <c r="BQ669" s="486"/>
      <c r="BR669" s="486"/>
      <c r="BS669" s="486"/>
      <c r="BT669" s="486"/>
      <c r="BU669" s="486"/>
      <c r="BV669" s="486"/>
      <c r="BW669" s="486"/>
      <c r="BX669" s="486"/>
      <c r="BY669" s="486"/>
      <c r="BZ669" s="486"/>
      <c r="CA669" s="486"/>
      <c r="CB669" s="486"/>
      <c r="CC669" s="486"/>
      <c r="CD669" s="486"/>
      <c r="CE669" s="486"/>
      <c r="CF669" s="486"/>
      <c r="CG669" s="486"/>
      <c r="CH669" s="29"/>
      <c r="CI669" s="17"/>
      <c r="CJ669" s="17"/>
    </row>
    <row r="670" spans="1:88" ht="12.75" customHeight="1">
      <c r="A670" s="243" t="str">
        <f>IF($A$652&gt;=5,"","OK")</f>
        <v/>
      </c>
      <c r="B670" s="29"/>
      <c r="C670" s="29"/>
      <c r="D670" s="1119" t="s">
        <v>208</v>
      </c>
      <c r="E670" s="1119"/>
      <c r="F670" s="1119"/>
      <c r="G670" s="1120" t="s">
        <v>362</v>
      </c>
      <c r="H670" s="1120"/>
      <c r="I670" s="1120"/>
      <c r="J670" s="1120"/>
      <c r="K670" s="1120"/>
      <c r="L670" s="1120"/>
      <c r="M670" s="1120"/>
      <c r="N670" s="1120"/>
      <c r="O670" s="1120"/>
      <c r="P670" s="1120"/>
      <c r="Q670" s="1120"/>
      <c r="R670" s="1120"/>
      <c r="S670" s="1120"/>
      <c r="T670" s="1120"/>
      <c r="U670" s="1120"/>
      <c r="V670" s="1120"/>
      <c r="W670" s="1120"/>
      <c r="X670" s="1120"/>
      <c r="Y670" s="1120"/>
      <c r="Z670" s="1120"/>
      <c r="AA670" s="1120"/>
      <c r="AB670" s="1120"/>
      <c r="AC670" s="1120"/>
      <c r="AD670" s="1120"/>
      <c r="AE670" s="1120"/>
      <c r="AF670" s="487"/>
      <c r="AG670" s="488"/>
      <c r="AH670" s="488"/>
      <c r="AI670" s="488"/>
      <c r="AJ670" s="488"/>
      <c r="AK670" s="488"/>
      <c r="AL670" s="488"/>
      <c r="AM670" s="488"/>
      <c r="AN670" s="488"/>
      <c r="AO670" s="488"/>
      <c r="AP670" s="488"/>
      <c r="AQ670" s="488"/>
      <c r="AR670" s="488"/>
      <c r="AS670" s="488"/>
      <c r="AT670" s="488"/>
      <c r="AU670" s="488"/>
      <c r="AV670" s="488"/>
      <c r="AW670" s="488"/>
      <c r="AX670" s="488"/>
      <c r="AY670" s="488"/>
      <c r="AZ670" s="488"/>
      <c r="BA670" s="488"/>
      <c r="BB670" s="488"/>
      <c r="BC670" s="488"/>
      <c r="BD670" s="488"/>
      <c r="BE670" s="488"/>
      <c r="BF670" s="486"/>
      <c r="BG670" s="486"/>
      <c r="BH670" s="486"/>
      <c r="BI670" s="486"/>
      <c r="BJ670" s="486"/>
      <c r="BK670" s="486"/>
      <c r="BL670" s="486"/>
      <c r="BM670" s="486"/>
      <c r="BN670" s="486"/>
      <c r="BO670" s="486"/>
      <c r="BP670" s="486"/>
      <c r="BQ670" s="486"/>
      <c r="BR670" s="486"/>
      <c r="BS670" s="486"/>
      <c r="BT670" s="486"/>
      <c r="BU670" s="486"/>
      <c r="BV670" s="486"/>
      <c r="BW670" s="486"/>
      <c r="BX670" s="486"/>
      <c r="BY670" s="486"/>
      <c r="BZ670" s="486"/>
      <c r="CA670" s="486"/>
      <c r="CB670" s="486"/>
      <c r="CC670" s="486"/>
      <c r="CD670" s="486"/>
      <c r="CE670" s="486"/>
      <c r="CF670" s="486"/>
      <c r="CG670" s="486"/>
      <c r="CH670" s="29"/>
      <c r="CI670" s="17"/>
      <c r="CJ670" s="17"/>
    </row>
    <row r="671" spans="1:88" ht="12.75" customHeight="1">
      <c r="A671" s="243" t="str">
        <f>IF($A$652&gt;=5,"","OK")</f>
        <v/>
      </c>
      <c r="B671" s="29"/>
      <c r="C671" s="29"/>
      <c r="D671" s="1119" t="s">
        <v>209</v>
      </c>
      <c r="E671" s="1119"/>
      <c r="F671" s="1119"/>
      <c r="G671" s="1120" t="s">
        <v>367</v>
      </c>
      <c r="H671" s="1120"/>
      <c r="I671" s="1120"/>
      <c r="J671" s="1120"/>
      <c r="K671" s="1120"/>
      <c r="L671" s="1120"/>
      <c r="M671" s="1120"/>
      <c r="N671" s="1120"/>
      <c r="O671" s="1120"/>
      <c r="P671" s="1120"/>
      <c r="Q671" s="1120"/>
      <c r="R671" s="1120"/>
      <c r="S671" s="1120"/>
      <c r="T671" s="1120"/>
      <c r="U671" s="1120"/>
      <c r="V671" s="1120"/>
      <c r="W671" s="1120"/>
      <c r="X671" s="1120"/>
      <c r="Y671" s="1120"/>
      <c r="Z671" s="1120"/>
      <c r="AA671" s="1120"/>
      <c r="AB671" s="1120"/>
      <c r="AC671" s="1120"/>
      <c r="AD671" s="1120"/>
      <c r="AE671" s="1120"/>
      <c r="AF671" s="487"/>
      <c r="AG671" s="1121"/>
      <c r="AH671" s="1121"/>
      <c r="AI671" s="1121"/>
      <c r="AJ671" s="1121"/>
      <c r="AK671" s="1121"/>
      <c r="AL671" s="1121"/>
      <c r="AM671" s="1121"/>
      <c r="AN671" s="1121"/>
      <c r="AO671" s="1121"/>
      <c r="AP671" s="1121"/>
      <c r="AQ671" s="1121"/>
      <c r="AR671" s="1121"/>
      <c r="AS671" s="1121"/>
      <c r="AT671" s="1121"/>
      <c r="AU671" s="1121"/>
      <c r="AV671" s="1121"/>
      <c r="AW671" s="1121"/>
      <c r="AX671" s="1121"/>
      <c r="AY671" s="1121"/>
      <c r="AZ671" s="1121"/>
      <c r="BA671" s="1121"/>
      <c r="BB671" s="1121"/>
      <c r="BC671" s="1121"/>
      <c r="BD671" s="1121"/>
      <c r="BE671" s="1121"/>
      <c r="BF671" s="486"/>
      <c r="BG671" s="486"/>
      <c r="BH671" s="486"/>
      <c r="BI671" s="486"/>
      <c r="BJ671" s="486"/>
      <c r="BK671" s="486"/>
      <c r="BL671" s="486"/>
      <c r="BM671" s="486"/>
      <c r="BN671" s="486"/>
      <c r="BO671" s="486"/>
      <c r="BP671" s="486"/>
      <c r="BQ671" s="486"/>
      <c r="BR671" s="486"/>
      <c r="BS671" s="486"/>
      <c r="BT671" s="486"/>
      <c r="BU671" s="486"/>
      <c r="BV671" s="486"/>
      <c r="BW671" s="486"/>
      <c r="BX671" s="486"/>
      <c r="BY671" s="486"/>
      <c r="BZ671" s="486"/>
      <c r="CA671" s="486"/>
      <c r="CB671" s="486"/>
      <c r="CC671" s="486"/>
      <c r="CD671" s="486"/>
      <c r="CE671" s="486"/>
      <c r="CF671" s="486"/>
      <c r="CG671" s="486"/>
      <c r="CH671" s="29"/>
      <c r="CI671" s="17"/>
      <c r="CJ671" s="17"/>
    </row>
    <row r="672" spans="1:88" ht="12.75" customHeight="1">
      <c r="A672" s="243" t="str">
        <f>IF($A$652&gt;=5,"","OK")</f>
        <v/>
      </c>
      <c r="B672" s="29"/>
      <c r="C672" s="29"/>
      <c r="D672" s="1119" t="s">
        <v>210</v>
      </c>
      <c r="E672" s="1119"/>
      <c r="F672" s="1119"/>
      <c r="G672" s="1120" t="s">
        <v>363</v>
      </c>
      <c r="H672" s="1120"/>
      <c r="I672" s="1120"/>
      <c r="J672" s="1120"/>
      <c r="K672" s="1120"/>
      <c r="L672" s="1120"/>
      <c r="M672" s="1120"/>
      <c r="N672" s="1120"/>
      <c r="O672" s="1120"/>
      <c r="P672" s="1120"/>
      <c r="Q672" s="1120"/>
      <c r="R672" s="1120"/>
      <c r="S672" s="1120"/>
      <c r="T672" s="1120"/>
      <c r="U672" s="1120"/>
      <c r="V672" s="1120"/>
      <c r="W672" s="1120"/>
      <c r="X672" s="1120"/>
      <c r="Y672" s="1120"/>
      <c r="Z672" s="1120"/>
      <c r="AA672" s="1120"/>
      <c r="AB672" s="1120"/>
      <c r="AC672" s="1120"/>
      <c r="AD672" s="1120"/>
      <c r="AE672" s="1120"/>
      <c r="AF672" s="487"/>
      <c r="AG672" s="1122" t="s">
        <v>211</v>
      </c>
      <c r="AH672" s="1122"/>
      <c r="AI672" s="1122"/>
      <c r="AJ672" s="1122"/>
      <c r="AK672" s="1122"/>
      <c r="AL672" s="1122"/>
      <c r="AM672" s="1122"/>
      <c r="AN672" s="1122"/>
      <c r="AO672" s="1122"/>
      <c r="AP672" s="1122"/>
      <c r="AQ672" s="1122"/>
      <c r="AR672" s="1122"/>
      <c r="AS672" s="1122"/>
      <c r="AT672" s="1122"/>
      <c r="AU672" s="1122"/>
      <c r="AV672" s="1122"/>
      <c r="AW672" s="1122"/>
      <c r="AX672" s="1122"/>
      <c r="AY672" s="1122"/>
      <c r="AZ672" s="1122"/>
      <c r="BA672" s="1122"/>
      <c r="BB672" s="1122"/>
      <c r="BC672" s="1122"/>
      <c r="BD672" s="1122"/>
      <c r="BE672" s="1122"/>
      <c r="BF672" s="486"/>
      <c r="BG672" s="486"/>
      <c r="BH672" s="486"/>
      <c r="BI672" s="486"/>
      <c r="BJ672" s="486"/>
      <c r="BK672" s="486"/>
      <c r="BL672" s="486"/>
      <c r="BM672" s="486"/>
      <c r="BN672" s="486"/>
      <c r="BO672" s="486"/>
      <c r="BP672" s="486"/>
      <c r="BQ672" s="486"/>
      <c r="BR672" s="486"/>
      <c r="BS672" s="486"/>
      <c r="BT672" s="486"/>
      <c r="BU672" s="486"/>
      <c r="BV672" s="486"/>
      <c r="BW672" s="486"/>
      <c r="BX672" s="486"/>
      <c r="BY672" s="486"/>
      <c r="BZ672" s="486"/>
      <c r="CA672" s="486"/>
      <c r="CB672" s="486"/>
      <c r="CC672" s="486"/>
      <c r="CD672" s="486"/>
      <c r="CE672" s="486"/>
      <c r="CF672" s="486"/>
      <c r="CG672" s="486"/>
      <c r="CH672" s="29"/>
      <c r="CI672" s="17"/>
      <c r="CJ672" s="17"/>
    </row>
    <row r="673" spans="1:88" ht="12.75" customHeight="1">
      <c r="A673" s="243" t="str">
        <f>IF($A$652&gt;=5,"","OK")</f>
        <v/>
      </c>
      <c r="B673" s="29"/>
      <c r="C673" s="2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19"/>
      <c r="AA673" s="1119"/>
      <c r="AB673" s="1119"/>
      <c r="AC673" s="1119"/>
      <c r="AD673" s="1119"/>
      <c r="AE673" s="1119"/>
      <c r="AF673" s="486"/>
      <c r="AG673" s="486"/>
      <c r="AH673" s="486"/>
      <c r="AI673" s="486"/>
      <c r="AJ673" s="486"/>
      <c r="AK673" s="486"/>
      <c r="AL673" s="486"/>
      <c r="AM673" s="486"/>
      <c r="AN673" s="486"/>
      <c r="AO673" s="486"/>
      <c r="AP673" s="486"/>
      <c r="AQ673" s="486"/>
      <c r="AR673" s="486"/>
      <c r="AS673" s="486"/>
      <c r="AT673" s="486"/>
      <c r="AU673" s="486"/>
      <c r="AV673" s="486"/>
      <c r="AW673" s="486"/>
      <c r="AX673" s="486"/>
      <c r="AY673" s="486"/>
      <c r="AZ673" s="486"/>
      <c r="BA673" s="486"/>
      <c r="BB673" s="486"/>
      <c r="BC673" s="486"/>
      <c r="BD673" s="486"/>
      <c r="BE673" s="486"/>
      <c r="BF673" s="486"/>
      <c r="BG673" s="486"/>
      <c r="BH673" s="486"/>
      <c r="BI673" s="486"/>
      <c r="BJ673" s="486"/>
      <c r="BK673" s="486"/>
      <c r="BL673" s="486"/>
      <c r="BM673" s="486"/>
      <c r="BN673" s="486"/>
      <c r="BO673" s="486"/>
      <c r="BP673" s="486"/>
      <c r="BQ673" s="486"/>
      <c r="BR673" s="486"/>
      <c r="BS673" s="486"/>
      <c r="BT673" s="486"/>
      <c r="BU673" s="486"/>
      <c r="BV673" s="486"/>
      <c r="BW673" s="486"/>
      <c r="BX673" s="486"/>
      <c r="BY673" s="486"/>
      <c r="BZ673" s="486"/>
      <c r="CA673" s="486"/>
      <c r="CB673" s="486"/>
      <c r="CC673" s="486"/>
      <c r="CD673" s="486"/>
      <c r="CE673" s="486"/>
      <c r="CF673" s="486"/>
      <c r="CG673" s="486"/>
      <c r="CH673" s="29"/>
      <c r="CI673" s="17"/>
      <c r="CJ673" s="17"/>
    </row>
    <row r="674" spans="1:88" ht="12.75" hidden="1" customHeight="1">
      <c r="A674" s="243" t="str">
        <f>IF($A$652&gt;=6,"","OK")</f>
        <v>OK</v>
      </c>
      <c r="B674" s="29"/>
      <c r="C674" s="29"/>
      <c r="D674" s="1119" t="s">
        <v>208</v>
      </c>
      <c r="E674" s="1119"/>
      <c r="F674" s="1119"/>
      <c r="G674" s="1120"/>
      <c r="H674" s="1120"/>
      <c r="I674" s="1120"/>
      <c r="J674" s="1120"/>
      <c r="K674" s="1120"/>
      <c r="L674" s="1120"/>
      <c r="M674" s="1120"/>
      <c r="N674" s="1120"/>
      <c r="O674" s="1120"/>
      <c r="P674" s="1120"/>
      <c r="Q674" s="1120"/>
      <c r="R674" s="1120"/>
      <c r="S674" s="1120"/>
      <c r="T674" s="1120"/>
      <c r="U674" s="1120"/>
      <c r="V674" s="1120"/>
      <c r="W674" s="1120"/>
      <c r="X674" s="1120"/>
      <c r="Y674" s="1120"/>
      <c r="Z674" s="1120"/>
      <c r="AA674" s="1120"/>
      <c r="AB674" s="1120"/>
      <c r="AC674" s="1120"/>
      <c r="AD674" s="1120"/>
      <c r="AE674" s="1120"/>
      <c r="AF674" s="487"/>
      <c r="AG674" s="488"/>
      <c r="AH674" s="488"/>
      <c r="AI674" s="488"/>
      <c r="AJ674" s="488"/>
      <c r="AK674" s="488"/>
      <c r="AL674" s="488"/>
      <c r="AM674" s="488"/>
      <c r="AN674" s="488"/>
      <c r="AO674" s="488"/>
      <c r="AP674" s="488"/>
      <c r="AQ674" s="488"/>
      <c r="AR674" s="488"/>
      <c r="AS674" s="488"/>
      <c r="AT674" s="488"/>
      <c r="AU674" s="488"/>
      <c r="AV674" s="488"/>
      <c r="AW674" s="488"/>
      <c r="AX674" s="488"/>
      <c r="AY674" s="488"/>
      <c r="AZ674" s="488"/>
      <c r="BA674" s="488"/>
      <c r="BB674" s="488"/>
      <c r="BC674" s="488"/>
      <c r="BD674" s="488"/>
      <c r="BE674" s="488"/>
      <c r="BF674" s="486"/>
      <c r="BG674" s="486"/>
      <c r="BH674" s="486"/>
      <c r="BI674" s="486"/>
      <c r="BJ674" s="486"/>
      <c r="BK674" s="486"/>
      <c r="BL674" s="486"/>
      <c r="BM674" s="486"/>
      <c r="BN674" s="486"/>
      <c r="BO674" s="486"/>
      <c r="BP674" s="486"/>
      <c r="BQ674" s="486"/>
      <c r="BR674" s="486"/>
      <c r="BS674" s="486"/>
      <c r="BT674" s="486"/>
      <c r="BU674" s="486"/>
      <c r="BV674" s="486"/>
      <c r="BW674" s="486"/>
      <c r="BX674" s="486"/>
      <c r="BY674" s="486"/>
      <c r="BZ674" s="486"/>
      <c r="CA674" s="486"/>
      <c r="CB674" s="486"/>
      <c r="CC674" s="486"/>
      <c r="CD674" s="486"/>
      <c r="CE674" s="486"/>
      <c r="CF674" s="486"/>
      <c r="CG674" s="486"/>
      <c r="CH674" s="29"/>
      <c r="CI674" s="17"/>
      <c r="CJ674" s="17"/>
    </row>
    <row r="675" spans="1:88" ht="12.75" hidden="1" customHeight="1">
      <c r="A675" s="243" t="str">
        <f>IF($A$652&gt;=6,"","OK")</f>
        <v>OK</v>
      </c>
      <c r="B675" s="29"/>
      <c r="C675" s="29"/>
      <c r="D675" s="1119" t="s">
        <v>209</v>
      </c>
      <c r="E675" s="1119"/>
      <c r="F675" s="1119"/>
      <c r="G675" s="1120"/>
      <c r="H675" s="1120"/>
      <c r="I675" s="1120"/>
      <c r="J675" s="1120"/>
      <c r="K675" s="1120"/>
      <c r="L675" s="1120"/>
      <c r="M675" s="1120"/>
      <c r="N675" s="1120"/>
      <c r="O675" s="1120"/>
      <c r="P675" s="1120"/>
      <c r="Q675" s="1120"/>
      <c r="R675" s="1120"/>
      <c r="S675" s="1120"/>
      <c r="T675" s="1120"/>
      <c r="U675" s="1120"/>
      <c r="V675" s="1120"/>
      <c r="W675" s="1120"/>
      <c r="X675" s="1120"/>
      <c r="Y675" s="1120"/>
      <c r="Z675" s="1120"/>
      <c r="AA675" s="1120"/>
      <c r="AB675" s="1120"/>
      <c r="AC675" s="1120"/>
      <c r="AD675" s="1120"/>
      <c r="AE675" s="1120"/>
      <c r="AF675" s="487"/>
      <c r="AG675" s="1121"/>
      <c r="AH675" s="1121"/>
      <c r="AI675" s="1121"/>
      <c r="AJ675" s="1121"/>
      <c r="AK675" s="1121"/>
      <c r="AL675" s="1121"/>
      <c r="AM675" s="1121"/>
      <c r="AN675" s="1121"/>
      <c r="AO675" s="1121"/>
      <c r="AP675" s="1121"/>
      <c r="AQ675" s="1121"/>
      <c r="AR675" s="1121"/>
      <c r="AS675" s="1121"/>
      <c r="AT675" s="1121"/>
      <c r="AU675" s="1121"/>
      <c r="AV675" s="1121"/>
      <c r="AW675" s="1121"/>
      <c r="AX675" s="1121"/>
      <c r="AY675" s="1121"/>
      <c r="AZ675" s="1121"/>
      <c r="BA675" s="1121"/>
      <c r="BB675" s="1121"/>
      <c r="BC675" s="1121"/>
      <c r="BD675" s="1121"/>
      <c r="BE675" s="1121"/>
      <c r="BF675" s="486"/>
      <c r="BG675" s="486"/>
      <c r="BH675" s="486"/>
      <c r="BI675" s="486"/>
      <c r="BJ675" s="486"/>
      <c r="BK675" s="486"/>
      <c r="BL675" s="486"/>
      <c r="BM675" s="486"/>
      <c r="BN675" s="486"/>
      <c r="BO675" s="486"/>
      <c r="BP675" s="486"/>
      <c r="BQ675" s="486"/>
      <c r="BR675" s="486"/>
      <c r="BS675" s="486"/>
      <c r="BT675" s="486"/>
      <c r="BU675" s="486"/>
      <c r="BV675" s="486"/>
      <c r="BW675" s="486"/>
      <c r="BX675" s="486"/>
      <c r="BY675" s="486"/>
      <c r="BZ675" s="486"/>
      <c r="CA675" s="486"/>
      <c r="CB675" s="486"/>
      <c r="CC675" s="486"/>
      <c r="CD675" s="486"/>
      <c r="CE675" s="486"/>
      <c r="CF675" s="486"/>
      <c r="CG675" s="486"/>
      <c r="CH675" s="29"/>
      <c r="CI675" s="17"/>
      <c r="CJ675" s="17"/>
    </row>
    <row r="676" spans="1:88" ht="12.75" hidden="1" customHeight="1">
      <c r="A676" s="243" t="str">
        <f>IF($A$652&gt;=6,"","OK")</f>
        <v>OK</v>
      </c>
      <c r="B676" s="29"/>
      <c r="C676" s="29"/>
      <c r="D676" s="1119" t="s">
        <v>210</v>
      </c>
      <c r="E676" s="1119"/>
      <c r="F676" s="1119"/>
      <c r="G676" s="1120"/>
      <c r="H676" s="1120"/>
      <c r="I676" s="1120"/>
      <c r="J676" s="1120"/>
      <c r="K676" s="1120"/>
      <c r="L676" s="1120"/>
      <c r="M676" s="1120"/>
      <c r="N676" s="1120"/>
      <c r="O676" s="1120"/>
      <c r="P676" s="1120"/>
      <c r="Q676" s="1120"/>
      <c r="R676" s="1120"/>
      <c r="S676" s="1120"/>
      <c r="T676" s="1120"/>
      <c r="U676" s="1120"/>
      <c r="V676" s="1120"/>
      <c r="W676" s="1120"/>
      <c r="X676" s="1120"/>
      <c r="Y676" s="1120"/>
      <c r="Z676" s="1120"/>
      <c r="AA676" s="1120"/>
      <c r="AB676" s="1120"/>
      <c r="AC676" s="1120"/>
      <c r="AD676" s="1120"/>
      <c r="AE676" s="1120"/>
      <c r="AF676" s="487"/>
      <c r="AG676" s="1122" t="s">
        <v>211</v>
      </c>
      <c r="AH676" s="1122"/>
      <c r="AI676" s="1122"/>
      <c r="AJ676" s="1122"/>
      <c r="AK676" s="1122"/>
      <c r="AL676" s="1122"/>
      <c r="AM676" s="1122"/>
      <c r="AN676" s="1122"/>
      <c r="AO676" s="1122"/>
      <c r="AP676" s="1122"/>
      <c r="AQ676" s="1122"/>
      <c r="AR676" s="1122"/>
      <c r="AS676" s="1122"/>
      <c r="AT676" s="1122"/>
      <c r="AU676" s="1122"/>
      <c r="AV676" s="1122"/>
      <c r="AW676" s="1122"/>
      <c r="AX676" s="1122"/>
      <c r="AY676" s="1122"/>
      <c r="AZ676" s="1122"/>
      <c r="BA676" s="1122"/>
      <c r="BB676" s="1122"/>
      <c r="BC676" s="1122"/>
      <c r="BD676" s="1122"/>
      <c r="BE676" s="1122"/>
      <c r="BF676" s="486"/>
      <c r="BG676" s="486"/>
      <c r="BH676" s="486"/>
      <c r="BI676" s="486"/>
      <c r="BJ676" s="486"/>
      <c r="BK676" s="486"/>
      <c r="BL676" s="486"/>
      <c r="BM676" s="486"/>
      <c r="BN676" s="486"/>
      <c r="BO676" s="486"/>
      <c r="BP676" s="486"/>
      <c r="BQ676" s="486"/>
      <c r="BR676" s="486"/>
      <c r="BS676" s="486"/>
      <c r="BT676" s="486"/>
      <c r="BU676" s="486"/>
      <c r="BV676" s="486"/>
      <c r="BW676" s="486"/>
      <c r="BX676" s="486"/>
      <c r="BY676" s="486"/>
      <c r="BZ676" s="486"/>
      <c r="CA676" s="486"/>
      <c r="CB676" s="486"/>
      <c r="CC676" s="486"/>
      <c r="CD676" s="486"/>
      <c r="CE676" s="486"/>
      <c r="CF676" s="486"/>
      <c r="CG676" s="486"/>
      <c r="CH676" s="29"/>
      <c r="CI676" s="17"/>
      <c r="CJ676" s="17"/>
    </row>
    <row r="677" spans="1:88" ht="12.75" hidden="1" customHeight="1">
      <c r="A677" s="243" t="str">
        <f>IF($A$652&gt;=6,"","OK")</f>
        <v>OK</v>
      </c>
      <c r="B677" s="29"/>
      <c r="C677" s="2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19"/>
      <c r="AA677" s="1119"/>
      <c r="AB677" s="1119"/>
      <c r="AC677" s="1119"/>
      <c r="AD677" s="1119"/>
      <c r="AE677" s="1119"/>
      <c r="AF677" s="486"/>
      <c r="AG677" s="486"/>
      <c r="AH677" s="486"/>
      <c r="AI677" s="486"/>
      <c r="AJ677" s="486"/>
      <c r="AK677" s="486"/>
      <c r="AL677" s="486"/>
      <c r="AM677" s="486"/>
      <c r="AN677" s="486"/>
      <c r="AO677" s="486"/>
      <c r="AP677" s="486"/>
      <c r="AQ677" s="486"/>
      <c r="AR677" s="486"/>
      <c r="AS677" s="486"/>
      <c r="AT677" s="486"/>
      <c r="AU677" s="486"/>
      <c r="AV677" s="486"/>
      <c r="AW677" s="486"/>
      <c r="AX677" s="486"/>
      <c r="AY677" s="486"/>
      <c r="AZ677" s="486"/>
      <c r="BA677" s="486"/>
      <c r="BB677" s="486"/>
      <c r="BC677" s="486"/>
      <c r="BD677" s="486"/>
      <c r="BE677" s="486"/>
      <c r="BF677" s="486"/>
      <c r="BG677" s="486"/>
      <c r="BH677" s="486"/>
      <c r="BI677" s="486"/>
      <c r="BJ677" s="486"/>
      <c r="BK677" s="486"/>
      <c r="BL677" s="486"/>
      <c r="BM677" s="486"/>
      <c r="BN677" s="486"/>
      <c r="BO677" s="486"/>
      <c r="BP677" s="486"/>
      <c r="BQ677" s="486"/>
      <c r="BR677" s="486"/>
      <c r="BS677" s="486"/>
      <c r="BT677" s="486"/>
      <c r="BU677" s="486"/>
      <c r="BV677" s="486"/>
      <c r="BW677" s="486"/>
      <c r="BX677" s="486"/>
      <c r="BY677" s="486"/>
      <c r="BZ677" s="486"/>
      <c r="CA677" s="486"/>
      <c r="CB677" s="486"/>
      <c r="CC677" s="486"/>
      <c r="CD677" s="486"/>
      <c r="CE677" s="486"/>
      <c r="CF677" s="486"/>
      <c r="CG677" s="486"/>
      <c r="CH677" s="29"/>
      <c r="CI677" s="17"/>
      <c r="CJ677" s="17"/>
    </row>
    <row r="678" spans="1:88" ht="12.75" hidden="1" customHeight="1">
      <c r="A678" s="243" t="str">
        <f>IF($A$652&gt;=7,"","OK")</f>
        <v>OK</v>
      </c>
      <c r="B678" s="29"/>
      <c r="C678" s="29"/>
      <c r="D678" s="1119" t="s">
        <v>208</v>
      </c>
      <c r="E678" s="1119"/>
      <c r="F678" s="1119"/>
      <c r="G678" s="1120"/>
      <c r="H678" s="1120"/>
      <c r="I678" s="1120"/>
      <c r="J678" s="1120"/>
      <c r="K678" s="1120"/>
      <c r="L678" s="1120"/>
      <c r="M678" s="1120"/>
      <c r="N678" s="1120"/>
      <c r="O678" s="1120"/>
      <c r="P678" s="1120"/>
      <c r="Q678" s="1120"/>
      <c r="R678" s="1120"/>
      <c r="S678" s="1120"/>
      <c r="T678" s="1120"/>
      <c r="U678" s="1120"/>
      <c r="V678" s="1120"/>
      <c r="W678" s="1120"/>
      <c r="X678" s="1120"/>
      <c r="Y678" s="1120"/>
      <c r="Z678" s="1120"/>
      <c r="AA678" s="1120"/>
      <c r="AB678" s="1120"/>
      <c r="AC678" s="1120"/>
      <c r="AD678" s="1120"/>
      <c r="AE678" s="1120"/>
      <c r="AF678" s="487"/>
      <c r="AG678" s="488"/>
      <c r="AH678" s="488"/>
      <c r="AI678" s="488"/>
      <c r="AJ678" s="488"/>
      <c r="AK678" s="488"/>
      <c r="AL678" s="488"/>
      <c r="AM678" s="488"/>
      <c r="AN678" s="488"/>
      <c r="AO678" s="488"/>
      <c r="AP678" s="488"/>
      <c r="AQ678" s="488"/>
      <c r="AR678" s="488"/>
      <c r="AS678" s="488"/>
      <c r="AT678" s="488"/>
      <c r="AU678" s="488"/>
      <c r="AV678" s="488"/>
      <c r="AW678" s="488"/>
      <c r="AX678" s="488"/>
      <c r="AY678" s="488"/>
      <c r="AZ678" s="488"/>
      <c r="BA678" s="488"/>
      <c r="BB678" s="488"/>
      <c r="BC678" s="488"/>
      <c r="BD678" s="488"/>
      <c r="BE678" s="488"/>
      <c r="BF678" s="486"/>
      <c r="BG678" s="486"/>
      <c r="BH678" s="486"/>
      <c r="BI678" s="486"/>
      <c r="BJ678" s="486"/>
      <c r="BK678" s="486"/>
      <c r="BL678" s="486"/>
      <c r="BM678" s="486"/>
      <c r="BN678" s="486"/>
      <c r="BO678" s="486"/>
      <c r="BP678" s="486"/>
      <c r="BQ678" s="486"/>
      <c r="BR678" s="486"/>
      <c r="BS678" s="486"/>
      <c r="BT678" s="486"/>
      <c r="BU678" s="486"/>
      <c r="BV678" s="486"/>
      <c r="BW678" s="486"/>
      <c r="BX678" s="486"/>
      <c r="BY678" s="486"/>
      <c r="BZ678" s="486"/>
      <c r="CA678" s="486"/>
      <c r="CB678" s="486"/>
      <c r="CC678" s="486"/>
      <c r="CD678" s="486"/>
      <c r="CE678" s="486"/>
      <c r="CF678" s="486"/>
      <c r="CG678" s="486"/>
      <c r="CH678" s="29"/>
      <c r="CI678" s="17"/>
      <c r="CJ678" s="17"/>
    </row>
    <row r="679" spans="1:88" ht="12.75" hidden="1" customHeight="1">
      <c r="A679" s="243" t="str">
        <f>IF($A$652&gt;=7,"","OK")</f>
        <v>OK</v>
      </c>
      <c r="B679" s="29"/>
      <c r="C679" s="29"/>
      <c r="D679" s="1119" t="s">
        <v>209</v>
      </c>
      <c r="E679" s="1119"/>
      <c r="F679" s="1119"/>
      <c r="G679" s="1120"/>
      <c r="H679" s="1120"/>
      <c r="I679" s="1120"/>
      <c r="J679" s="1120"/>
      <c r="K679" s="1120"/>
      <c r="L679" s="1120"/>
      <c r="M679" s="1120"/>
      <c r="N679" s="1120"/>
      <c r="O679" s="1120"/>
      <c r="P679" s="1120"/>
      <c r="Q679" s="1120"/>
      <c r="R679" s="1120"/>
      <c r="S679" s="1120"/>
      <c r="T679" s="1120"/>
      <c r="U679" s="1120"/>
      <c r="V679" s="1120"/>
      <c r="W679" s="1120"/>
      <c r="X679" s="1120"/>
      <c r="Y679" s="1120"/>
      <c r="Z679" s="1120"/>
      <c r="AA679" s="1120"/>
      <c r="AB679" s="1120"/>
      <c r="AC679" s="1120"/>
      <c r="AD679" s="1120"/>
      <c r="AE679" s="1120"/>
      <c r="AF679" s="487"/>
      <c r="AG679" s="1121"/>
      <c r="AH679" s="1121"/>
      <c r="AI679" s="1121"/>
      <c r="AJ679" s="1121"/>
      <c r="AK679" s="1121"/>
      <c r="AL679" s="1121"/>
      <c r="AM679" s="1121"/>
      <c r="AN679" s="1121"/>
      <c r="AO679" s="1121"/>
      <c r="AP679" s="1121"/>
      <c r="AQ679" s="1121"/>
      <c r="AR679" s="1121"/>
      <c r="AS679" s="1121"/>
      <c r="AT679" s="1121"/>
      <c r="AU679" s="1121"/>
      <c r="AV679" s="1121"/>
      <c r="AW679" s="1121"/>
      <c r="AX679" s="1121"/>
      <c r="AY679" s="1121"/>
      <c r="AZ679" s="1121"/>
      <c r="BA679" s="1121"/>
      <c r="BB679" s="1121"/>
      <c r="BC679" s="1121"/>
      <c r="BD679" s="1121"/>
      <c r="BE679" s="1121"/>
      <c r="BF679" s="486"/>
      <c r="BG679" s="486"/>
      <c r="BH679" s="486"/>
      <c r="BI679" s="486"/>
      <c r="BJ679" s="486"/>
      <c r="BK679" s="486"/>
      <c r="BL679" s="486"/>
      <c r="BM679" s="486"/>
      <c r="BN679" s="486"/>
      <c r="BO679" s="486"/>
      <c r="BP679" s="486"/>
      <c r="BQ679" s="486"/>
      <c r="BR679" s="486"/>
      <c r="BS679" s="486"/>
      <c r="BT679" s="486"/>
      <c r="BU679" s="486"/>
      <c r="BV679" s="486"/>
      <c r="BW679" s="486"/>
      <c r="BX679" s="486"/>
      <c r="BY679" s="486"/>
      <c r="BZ679" s="486"/>
      <c r="CA679" s="486"/>
      <c r="CB679" s="486"/>
      <c r="CC679" s="486"/>
      <c r="CD679" s="486"/>
      <c r="CE679" s="486"/>
      <c r="CF679" s="486"/>
      <c r="CG679" s="486"/>
      <c r="CH679" s="29"/>
      <c r="CI679" s="17"/>
      <c r="CJ679" s="17"/>
    </row>
    <row r="680" spans="1:88" ht="12.75" hidden="1" customHeight="1">
      <c r="A680" s="243" t="str">
        <f>IF($A$652&gt;=7,"","OK")</f>
        <v>OK</v>
      </c>
      <c r="B680" s="29"/>
      <c r="C680" s="29"/>
      <c r="D680" s="1119" t="s">
        <v>210</v>
      </c>
      <c r="E680" s="1119"/>
      <c r="F680" s="1119"/>
      <c r="G680" s="1120"/>
      <c r="H680" s="1120"/>
      <c r="I680" s="1120"/>
      <c r="J680" s="1120"/>
      <c r="K680" s="1120"/>
      <c r="L680" s="1120"/>
      <c r="M680" s="1120"/>
      <c r="N680" s="1120"/>
      <c r="O680" s="1120"/>
      <c r="P680" s="1120"/>
      <c r="Q680" s="1120"/>
      <c r="R680" s="1120"/>
      <c r="S680" s="1120"/>
      <c r="T680" s="1120"/>
      <c r="U680" s="1120"/>
      <c r="V680" s="1120"/>
      <c r="W680" s="1120"/>
      <c r="X680" s="1120"/>
      <c r="Y680" s="1120"/>
      <c r="Z680" s="1120"/>
      <c r="AA680" s="1120"/>
      <c r="AB680" s="1120"/>
      <c r="AC680" s="1120"/>
      <c r="AD680" s="1120"/>
      <c r="AE680" s="1120"/>
      <c r="AF680" s="487"/>
      <c r="AG680" s="1122" t="s">
        <v>211</v>
      </c>
      <c r="AH680" s="1122"/>
      <c r="AI680" s="1122"/>
      <c r="AJ680" s="1122"/>
      <c r="AK680" s="1122"/>
      <c r="AL680" s="1122"/>
      <c r="AM680" s="1122"/>
      <c r="AN680" s="1122"/>
      <c r="AO680" s="1122"/>
      <c r="AP680" s="1122"/>
      <c r="AQ680" s="1122"/>
      <c r="AR680" s="1122"/>
      <c r="AS680" s="1122"/>
      <c r="AT680" s="1122"/>
      <c r="AU680" s="1122"/>
      <c r="AV680" s="1122"/>
      <c r="AW680" s="1122"/>
      <c r="AX680" s="1122"/>
      <c r="AY680" s="1122"/>
      <c r="AZ680" s="1122"/>
      <c r="BA680" s="1122"/>
      <c r="BB680" s="1122"/>
      <c r="BC680" s="1122"/>
      <c r="BD680" s="1122"/>
      <c r="BE680" s="1122"/>
      <c r="BF680" s="486"/>
      <c r="BG680" s="486"/>
      <c r="BH680" s="486"/>
      <c r="BI680" s="486"/>
      <c r="BJ680" s="486"/>
      <c r="BK680" s="486"/>
      <c r="BL680" s="486"/>
      <c r="BM680" s="486"/>
      <c r="BN680" s="486"/>
      <c r="BO680" s="486"/>
      <c r="BP680" s="486"/>
      <c r="BQ680" s="486"/>
      <c r="BR680" s="486"/>
      <c r="BS680" s="486"/>
      <c r="BT680" s="486"/>
      <c r="BU680" s="486"/>
      <c r="BV680" s="486"/>
      <c r="BW680" s="486"/>
      <c r="BX680" s="486"/>
      <c r="BY680" s="486"/>
      <c r="BZ680" s="486"/>
      <c r="CA680" s="486"/>
      <c r="CB680" s="486"/>
      <c r="CC680" s="486"/>
      <c r="CD680" s="486"/>
      <c r="CE680" s="486"/>
      <c r="CF680" s="486"/>
      <c r="CG680" s="486"/>
      <c r="CH680" s="29"/>
      <c r="CI680" s="17"/>
      <c r="CJ680" s="17"/>
    </row>
    <row r="681" spans="1:88" ht="12.75" hidden="1" customHeight="1">
      <c r="A681" s="243" t="str">
        <f>IF($A$652&gt;=7,"","OK")</f>
        <v>OK</v>
      </c>
      <c r="B681" s="29"/>
      <c r="C681" s="2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19"/>
      <c r="AA681" s="1119"/>
      <c r="AB681" s="1119"/>
      <c r="AC681" s="1119"/>
      <c r="AD681" s="1119"/>
      <c r="AE681" s="1119"/>
      <c r="AF681" s="486"/>
      <c r="AG681" s="486"/>
      <c r="AH681" s="486"/>
      <c r="AI681" s="486"/>
      <c r="AJ681" s="486"/>
      <c r="AK681" s="486"/>
      <c r="AL681" s="486"/>
      <c r="AM681" s="486"/>
      <c r="AN681" s="486"/>
      <c r="AO681" s="486"/>
      <c r="AP681" s="486"/>
      <c r="AQ681" s="486"/>
      <c r="AR681" s="486"/>
      <c r="AS681" s="486"/>
      <c r="AT681" s="486"/>
      <c r="AU681" s="486"/>
      <c r="AV681" s="486"/>
      <c r="AW681" s="486"/>
      <c r="AX681" s="486"/>
      <c r="AY681" s="486"/>
      <c r="AZ681" s="486"/>
      <c r="BA681" s="486"/>
      <c r="BB681" s="486"/>
      <c r="BC681" s="486"/>
      <c r="BD681" s="486"/>
      <c r="BE681" s="486"/>
      <c r="BF681" s="486"/>
      <c r="BG681" s="486"/>
      <c r="BH681" s="486"/>
      <c r="BI681" s="486"/>
      <c r="BJ681" s="486"/>
      <c r="BK681" s="486"/>
      <c r="BL681" s="486"/>
      <c r="BM681" s="486"/>
      <c r="BN681" s="486"/>
      <c r="BO681" s="486"/>
      <c r="BP681" s="486"/>
      <c r="BQ681" s="486"/>
      <c r="BR681" s="486"/>
      <c r="BS681" s="486"/>
      <c r="BT681" s="486"/>
      <c r="BU681" s="486"/>
      <c r="BV681" s="486"/>
      <c r="BW681" s="486"/>
      <c r="BX681" s="486"/>
      <c r="BY681" s="486"/>
      <c r="BZ681" s="486"/>
      <c r="CA681" s="486"/>
      <c r="CB681" s="486"/>
      <c r="CC681" s="486"/>
      <c r="CD681" s="486"/>
      <c r="CE681" s="486"/>
      <c r="CF681" s="486"/>
      <c r="CG681" s="486"/>
      <c r="CH681" s="29"/>
      <c r="CI681" s="17"/>
      <c r="CJ681" s="17"/>
    </row>
    <row r="682" spans="1:88" ht="12.75" hidden="1" customHeight="1">
      <c r="A682" s="243" t="str">
        <f>IF($A$652&gt;=8,"","OK")</f>
        <v>OK</v>
      </c>
      <c r="B682" s="29"/>
      <c r="C682" s="29"/>
      <c r="D682" s="1119" t="s">
        <v>208</v>
      </c>
      <c r="E682" s="1119"/>
      <c r="F682" s="1119"/>
      <c r="G682" s="1120"/>
      <c r="H682" s="1120"/>
      <c r="I682" s="1120"/>
      <c r="J682" s="1120"/>
      <c r="K682" s="1120"/>
      <c r="L682" s="1120"/>
      <c r="M682" s="1120"/>
      <c r="N682" s="1120"/>
      <c r="O682" s="1120"/>
      <c r="P682" s="1120"/>
      <c r="Q682" s="1120"/>
      <c r="R682" s="1120"/>
      <c r="S682" s="1120"/>
      <c r="T682" s="1120"/>
      <c r="U682" s="1120"/>
      <c r="V682" s="1120"/>
      <c r="W682" s="1120"/>
      <c r="X682" s="1120"/>
      <c r="Y682" s="1120"/>
      <c r="Z682" s="1120"/>
      <c r="AA682" s="1120"/>
      <c r="AB682" s="1120"/>
      <c r="AC682" s="1120"/>
      <c r="AD682" s="1120"/>
      <c r="AE682" s="1120"/>
      <c r="AF682" s="487"/>
      <c r="AG682" s="488"/>
      <c r="AH682" s="488"/>
      <c r="AI682" s="488"/>
      <c r="AJ682" s="488"/>
      <c r="AK682" s="488"/>
      <c r="AL682" s="488"/>
      <c r="AM682" s="488"/>
      <c r="AN682" s="488"/>
      <c r="AO682" s="488"/>
      <c r="AP682" s="488"/>
      <c r="AQ682" s="488"/>
      <c r="AR682" s="488"/>
      <c r="AS682" s="488"/>
      <c r="AT682" s="488"/>
      <c r="AU682" s="488"/>
      <c r="AV682" s="488"/>
      <c r="AW682" s="488"/>
      <c r="AX682" s="488"/>
      <c r="AY682" s="488"/>
      <c r="AZ682" s="488"/>
      <c r="BA682" s="488"/>
      <c r="BB682" s="488"/>
      <c r="BC682" s="488"/>
      <c r="BD682" s="488"/>
      <c r="BE682" s="488"/>
      <c r="BF682" s="486"/>
      <c r="BG682" s="486"/>
      <c r="BH682" s="486"/>
      <c r="BI682" s="486"/>
      <c r="BJ682" s="486"/>
      <c r="BK682" s="486"/>
      <c r="BL682" s="486"/>
      <c r="BM682" s="486"/>
      <c r="BN682" s="486"/>
      <c r="BO682" s="486"/>
      <c r="BP682" s="486"/>
      <c r="BQ682" s="486"/>
      <c r="BR682" s="486"/>
      <c r="BS682" s="486"/>
      <c r="BT682" s="486"/>
      <c r="BU682" s="486"/>
      <c r="BV682" s="486"/>
      <c r="BW682" s="486"/>
      <c r="BX682" s="486"/>
      <c r="BY682" s="486"/>
      <c r="BZ682" s="486"/>
      <c r="CA682" s="486"/>
      <c r="CB682" s="486"/>
      <c r="CC682" s="486"/>
      <c r="CD682" s="486"/>
      <c r="CE682" s="486"/>
      <c r="CF682" s="486"/>
      <c r="CG682" s="486"/>
      <c r="CH682" s="29"/>
      <c r="CI682" s="17"/>
      <c r="CJ682" s="17"/>
    </row>
    <row r="683" spans="1:88" ht="12.75" hidden="1" customHeight="1">
      <c r="A683" s="243" t="str">
        <f>IF($A$652&gt;=8,"","OK")</f>
        <v>OK</v>
      </c>
      <c r="B683" s="29"/>
      <c r="C683" s="29"/>
      <c r="D683" s="1119" t="s">
        <v>209</v>
      </c>
      <c r="E683" s="1119"/>
      <c r="F683" s="1119"/>
      <c r="G683" s="1120"/>
      <c r="H683" s="1120"/>
      <c r="I683" s="1120"/>
      <c r="J683" s="1120"/>
      <c r="K683" s="1120"/>
      <c r="L683" s="1120"/>
      <c r="M683" s="1120"/>
      <c r="N683" s="1120"/>
      <c r="O683" s="1120"/>
      <c r="P683" s="1120"/>
      <c r="Q683" s="1120"/>
      <c r="R683" s="1120"/>
      <c r="S683" s="1120"/>
      <c r="T683" s="1120"/>
      <c r="U683" s="1120"/>
      <c r="V683" s="1120"/>
      <c r="W683" s="1120"/>
      <c r="X683" s="1120"/>
      <c r="Y683" s="1120"/>
      <c r="Z683" s="1120"/>
      <c r="AA683" s="1120"/>
      <c r="AB683" s="1120"/>
      <c r="AC683" s="1120"/>
      <c r="AD683" s="1120"/>
      <c r="AE683" s="1120"/>
      <c r="AF683" s="487"/>
      <c r="AG683" s="1121"/>
      <c r="AH683" s="1121"/>
      <c r="AI683" s="1121"/>
      <c r="AJ683" s="1121"/>
      <c r="AK683" s="1121"/>
      <c r="AL683" s="1121"/>
      <c r="AM683" s="1121"/>
      <c r="AN683" s="1121"/>
      <c r="AO683" s="1121"/>
      <c r="AP683" s="1121"/>
      <c r="AQ683" s="1121"/>
      <c r="AR683" s="1121"/>
      <c r="AS683" s="1121"/>
      <c r="AT683" s="1121"/>
      <c r="AU683" s="1121"/>
      <c r="AV683" s="1121"/>
      <c r="AW683" s="1121"/>
      <c r="AX683" s="1121"/>
      <c r="AY683" s="1121"/>
      <c r="AZ683" s="1121"/>
      <c r="BA683" s="1121"/>
      <c r="BB683" s="1121"/>
      <c r="BC683" s="1121"/>
      <c r="BD683" s="1121"/>
      <c r="BE683" s="1121"/>
      <c r="BF683" s="486"/>
      <c r="BG683" s="486"/>
      <c r="BH683" s="486"/>
      <c r="BI683" s="486"/>
      <c r="BJ683" s="486"/>
      <c r="BK683" s="486"/>
      <c r="BL683" s="486"/>
      <c r="BM683" s="486"/>
      <c r="BN683" s="486"/>
      <c r="BO683" s="486"/>
      <c r="BP683" s="486"/>
      <c r="BQ683" s="486"/>
      <c r="BR683" s="486"/>
      <c r="BS683" s="486"/>
      <c r="BT683" s="486"/>
      <c r="BU683" s="486"/>
      <c r="BV683" s="486"/>
      <c r="BW683" s="486"/>
      <c r="BX683" s="486"/>
      <c r="BY683" s="486"/>
      <c r="BZ683" s="486"/>
      <c r="CA683" s="486"/>
      <c r="CB683" s="486"/>
      <c r="CC683" s="486"/>
      <c r="CD683" s="486"/>
      <c r="CE683" s="486"/>
      <c r="CF683" s="486"/>
      <c r="CG683" s="486"/>
      <c r="CH683" s="29"/>
      <c r="CI683" s="17"/>
      <c r="CJ683" s="17"/>
    </row>
    <row r="684" spans="1:88" ht="12.75" hidden="1" customHeight="1">
      <c r="A684" s="243" t="str">
        <f>IF($A$652&gt;=8,"","OK")</f>
        <v>OK</v>
      </c>
      <c r="B684" s="29"/>
      <c r="C684" s="29"/>
      <c r="D684" s="1119" t="s">
        <v>210</v>
      </c>
      <c r="E684" s="1119"/>
      <c r="F684" s="1119"/>
      <c r="G684" s="1120"/>
      <c r="H684" s="1120"/>
      <c r="I684" s="1120"/>
      <c r="J684" s="1120"/>
      <c r="K684" s="1120"/>
      <c r="L684" s="1120"/>
      <c r="M684" s="1120"/>
      <c r="N684" s="1120"/>
      <c r="O684" s="1120"/>
      <c r="P684" s="1120"/>
      <c r="Q684" s="1120"/>
      <c r="R684" s="1120"/>
      <c r="S684" s="1120"/>
      <c r="T684" s="1120"/>
      <c r="U684" s="1120"/>
      <c r="V684" s="1120"/>
      <c r="W684" s="1120"/>
      <c r="X684" s="1120"/>
      <c r="Y684" s="1120"/>
      <c r="Z684" s="1120"/>
      <c r="AA684" s="1120"/>
      <c r="AB684" s="1120"/>
      <c r="AC684" s="1120"/>
      <c r="AD684" s="1120"/>
      <c r="AE684" s="1120"/>
      <c r="AF684" s="487"/>
      <c r="AG684" s="1122" t="s">
        <v>211</v>
      </c>
      <c r="AH684" s="1122"/>
      <c r="AI684" s="1122"/>
      <c r="AJ684" s="1122"/>
      <c r="AK684" s="1122"/>
      <c r="AL684" s="1122"/>
      <c r="AM684" s="1122"/>
      <c r="AN684" s="1122"/>
      <c r="AO684" s="1122"/>
      <c r="AP684" s="1122"/>
      <c r="AQ684" s="1122"/>
      <c r="AR684" s="1122"/>
      <c r="AS684" s="1122"/>
      <c r="AT684" s="1122"/>
      <c r="AU684" s="1122"/>
      <c r="AV684" s="1122"/>
      <c r="AW684" s="1122"/>
      <c r="AX684" s="1122"/>
      <c r="AY684" s="1122"/>
      <c r="AZ684" s="1122"/>
      <c r="BA684" s="1122"/>
      <c r="BB684" s="1122"/>
      <c r="BC684" s="1122"/>
      <c r="BD684" s="1122"/>
      <c r="BE684" s="1122"/>
      <c r="BF684" s="486"/>
      <c r="BG684" s="486"/>
      <c r="BH684" s="486"/>
      <c r="BI684" s="486"/>
      <c r="BJ684" s="486"/>
      <c r="BK684" s="486"/>
      <c r="BL684" s="486"/>
      <c r="BM684" s="486"/>
      <c r="BN684" s="486"/>
      <c r="BO684" s="486"/>
      <c r="BP684" s="486"/>
      <c r="BQ684" s="486"/>
      <c r="BR684" s="486"/>
      <c r="BS684" s="486"/>
      <c r="BT684" s="486"/>
      <c r="BU684" s="486"/>
      <c r="BV684" s="486"/>
      <c r="BW684" s="486"/>
      <c r="BX684" s="486"/>
      <c r="BY684" s="486"/>
      <c r="BZ684" s="486"/>
      <c r="CA684" s="486"/>
      <c r="CB684" s="486"/>
      <c r="CC684" s="486"/>
      <c r="CD684" s="486"/>
      <c r="CE684" s="486"/>
      <c r="CF684" s="486"/>
      <c r="CG684" s="486"/>
      <c r="CH684" s="29"/>
      <c r="CI684" s="17"/>
      <c r="CJ684" s="17"/>
    </row>
    <row r="685" spans="1:88" ht="12.75" hidden="1" customHeight="1">
      <c r="A685" s="243" t="str">
        <f>IF($A$652&gt;=8,"","OK")</f>
        <v>OK</v>
      </c>
      <c r="B685" s="29"/>
      <c r="C685" s="29"/>
      <c r="D685" s="1119"/>
      <c r="E685" s="1119"/>
      <c r="F685" s="1119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19"/>
      <c r="AA685" s="1119"/>
      <c r="AB685" s="1119"/>
      <c r="AC685" s="1119"/>
      <c r="AD685" s="1119"/>
      <c r="AE685" s="1119"/>
      <c r="AF685" s="486"/>
      <c r="AG685" s="486"/>
      <c r="AH685" s="486"/>
      <c r="AI685" s="486"/>
      <c r="AJ685" s="486"/>
      <c r="AK685" s="486"/>
      <c r="AL685" s="486"/>
      <c r="AM685" s="486"/>
      <c r="AN685" s="486"/>
      <c r="AO685" s="486"/>
      <c r="AP685" s="486"/>
      <c r="AQ685" s="486"/>
      <c r="AR685" s="486"/>
      <c r="AS685" s="486"/>
      <c r="AT685" s="486"/>
      <c r="AU685" s="486"/>
      <c r="AV685" s="486"/>
      <c r="AW685" s="486"/>
      <c r="AX685" s="486"/>
      <c r="AY685" s="486"/>
      <c r="AZ685" s="486"/>
      <c r="BA685" s="486"/>
      <c r="BB685" s="486"/>
      <c r="BC685" s="486"/>
      <c r="BD685" s="486"/>
      <c r="BE685" s="486"/>
      <c r="BF685" s="486"/>
      <c r="BG685" s="486"/>
      <c r="BH685" s="486"/>
      <c r="BI685" s="486"/>
      <c r="BJ685" s="486"/>
      <c r="BK685" s="486"/>
      <c r="BL685" s="486"/>
      <c r="BM685" s="486"/>
      <c r="BN685" s="486"/>
      <c r="BO685" s="486"/>
      <c r="BP685" s="486"/>
      <c r="BQ685" s="486"/>
      <c r="BR685" s="486"/>
      <c r="BS685" s="486"/>
      <c r="BT685" s="486"/>
      <c r="BU685" s="486"/>
      <c r="BV685" s="486"/>
      <c r="BW685" s="486"/>
      <c r="BX685" s="486"/>
      <c r="BY685" s="486"/>
      <c r="BZ685" s="486"/>
      <c r="CA685" s="486"/>
      <c r="CB685" s="486"/>
      <c r="CC685" s="486"/>
      <c r="CD685" s="486"/>
      <c r="CE685" s="486"/>
      <c r="CF685" s="486"/>
      <c r="CG685" s="486"/>
      <c r="CH685" s="29"/>
      <c r="CI685" s="17"/>
      <c r="CJ685" s="17"/>
    </row>
    <row r="686" spans="1:88" ht="12.75" hidden="1" customHeight="1">
      <c r="A686" s="243" t="str">
        <f>IF($A$652&gt;=9,"","OK")</f>
        <v>OK</v>
      </c>
      <c r="B686" s="29"/>
      <c r="C686" s="29"/>
      <c r="D686" s="1119" t="s">
        <v>208</v>
      </c>
      <c r="E686" s="1119"/>
      <c r="F686" s="1119"/>
      <c r="G686" s="1120"/>
      <c r="H686" s="1120"/>
      <c r="I686" s="1120"/>
      <c r="J686" s="1120"/>
      <c r="K686" s="1120"/>
      <c r="L686" s="1120"/>
      <c r="M686" s="1120"/>
      <c r="N686" s="1120"/>
      <c r="O686" s="1120"/>
      <c r="P686" s="1120"/>
      <c r="Q686" s="1120"/>
      <c r="R686" s="1120"/>
      <c r="S686" s="1120"/>
      <c r="T686" s="1120"/>
      <c r="U686" s="1120"/>
      <c r="V686" s="1120"/>
      <c r="W686" s="1120"/>
      <c r="X686" s="1120"/>
      <c r="Y686" s="1120"/>
      <c r="Z686" s="1120"/>
      <c r="AA686" s="1120"/>
      <c r="AB686" s="1120"/>
      <c r="AC686" s="1120"/>
      <c r="AD686" s="1120"/>
      <c r="AE686" s="1120"/>
      <c r="AF686" s="487"/>
      <c r="AG686" s="488"/>
      <c r="AH686" s="488"/>
      <c r="AI686" s="488"/>
      <c r="AJ686" s="488"/>
      <c r="AK686" s="488"/>
      <c r="AL686" s="488"/>
      <c r="AM686" s="488"/>
      <c r="AN686" s="488"/>
      <c r="AO686" s="488"/>
      <c r="AP686" s="488"/>
      <c r="AQ686" s="488"/>
      <c r="AR686" s="488"/>
      <c r="AS686" s="488"/>
      <c r="AT686" s="488"/>
      <c r="AU686" s="488"/>
      <c r="AV686" s="488"/>
      <c r="AW686" s="488"/>
      <c r="AX686" s="488"/>
      <c r="AY686" s="488"/>
      <c r="AZ686" s="488"/>
      <c r="BA686" s="488"/>
      <c r="BB686" s="488"/>
      <c r="BC686" s="488"/>
      <c r="BD686" s="488"/>
      <c r="BE686" s="488"/>
      <c r="BF686" s="486"/>
      <c r="BG686" s="486"/>
      <c r="BH686" s="486"/>
      <c r="BI686" s="486"/>
      <c r="BJ686" s="486"/>
      <c r="BK686" s="486"/>
      <c r="BL686" s="486"/>
      <c r="BM686" s="486"/>
      <c r="BN686" s="486"/>
      <c r="BO686" s="486"/>
      <c r="BP686" s="486"/>
      <c r="BQ686" s="486"/>
      <c r="BR686" s="486"/>
      <c r="BS686" s="486"/>
      <c r="BT686" s="486"/>
      <c r="BU686" s="486"/>
      <c r="BV686" s="486"/>
      <c r="BW686" s="486"/>
      <c r="BX686" s="486"/>
      <c r="BY686" s="486"/>
      <c r="BZ686" s="486"/>
      <c r="CA686" s="486"/>
      <c r="CB686" s="486"/>
      <c r="CC686" s="486"/>
      <c r="CD686" s="486"/>
      <c r="CE686" s="486"/>
      <c r="CF686" s="486"/>
      <c r="CG686" s="486"/>
      <c r="CH686" s="29"/>
      <c r="CI686" s="17"/>
      <c r="CJ686" s="17"/>
    </row>
    <row r="687" spans="1:88" ht="12.75" hidden="1" customHeight="1">
      <c r="A687" s="243" t="str">
        <f>IF($A$652&gt;=9,"","OK")</f>
        <v>OK</v>
      </c>
      <c r="B687" s="29"/>
      <c r="C687" s="29"/>
      <c r="D687" s="1119" t="s">
        <v>209</v>
      </c>
      <c r="E687" s="1119"/>
      <c r="F687" s="1119"/>
      <c r="G687" s="1120"/>
      <c r="H687" s="1120"/>
      <c r="I687" s="1120"/>
      <c r="J687" s="1120"/>
      <c r="K687" s="1120"/>
      <c r="L687" s="1120"/>
      <c r="M687" s="1120"/>
      <c r="N687" s="1120"/>
      <c r="O687" s="1120"/>
      <c r="P687" s="1120"/>
      <c r="Q687" s="1120"/>
      <c r="R687" s="1120"/>
      <c r="S687" s="1120"/>
      <c r="T687" s="1120"/>
      <c r="U687" s="1120"/>
      <c r="V687" s="1120"/>
      <c r="W687" s="1120"/>
      <c r="X687" s="1120"/>
      <c r="Y687" s="1120"/>
      <c r="Z687" s="1120"/>
      <c r="AA687" s="1120"/>
      <c r="AB687" s="1120"/>
      <c r="AC687" s="1120"/>
      <c r="AD687" s="1120"/>
      <c r="AE687" s="1120"/>
      <c r="AF687" s="487"/>
      <c r="AG687" s="1121"/>
      <c r="AH687" s="1121"/>
      <c r="AI687" s="1121"/>
      <c r="AJ687" s="1121"/>
      <c r="AK687" s="1121"/>
      <c r="AL687" s="1121"/>
      <c r="AM687" s="1121"/>
      <c r="AN687" s="1121"/>
      <c r="AO687" s="1121"/>
      <c r="AP687" s="1121"/>
      <c r="AQ687" s="1121"/>
      <c r="AR687" s="1121"/>
      <c r="AS687" s="1121"/>
      <c r="AT687" s="1121"/>
      <c r="AU687" s="1121"/>
      <c r="AV687" s="1121"/>
      <c r="AW687" s="1121"/>
      <c r="AX687" s="1121"/>
      <c r="AY687" s="1121"/>
      <c r="AZ687" s="1121"/>
      <c r="BA687" s="1121"/>
      <c r="BB687" s="1121"/>
      <c r="BC687" s="1121"/>
      <c r="BD687" s="1121"/>
      <c r="BE687" s="1121"/>
      <c r="BF687" s="486"/>
      <c r="BG687" s="486"/>
      <c r="BH687" s="486"/>
      <c r="BI687" s="486"/>
      <c r="BJ687" s="486"/>
      <c r="BK687" s="486"/>
      <c r="BL687" s="486"/>
      <c r="BM687" s="486"/>
      <c r="BN687" s="486"/>
      <c r="BO687" s="486"/>
      <c r="BP687" s="486"/>
      <c r="BQ687" s="486"/>
      <c r="BR687" s="486"/>
      <c r="BS687" s="486"/>
      <c r="BT687" s="486"/>
      <c r="BU687" s="486"/>
      <c r="BV687" s="486"/>
      <c r="BW687" s="486"/>
      <c r="BX687" s="486"/>
      <c r="BY687" s="486"/>
      <c r="BZ687" s="486"/>
      <c r="CA687" s="486"/>
      <c r="CB687" s="486"/>
      <c r="CC687" s="486"/>
      <c r="CD687" s="486"/>
      <c r="CE687" s="486"/>
      <c r="CF687" s="486"/>
      <c r="CG687" s="486"/>
      <c r="CH687" s="29"/>
      <c r="CI687" s="17"/>
      <c r="CJ687" s="17"/>
    </row>
    <row r="688" spans="1:88" ht="12.75" hidden="1" customHeight="1">
      <c r="A688" s="243" t="str">
        <f>IF($A$652&gt;=9,"","OK")</f>
        <v>OK</v>
      </c>
      <c r="B688" s="29"/>
      <c r="C688" s="29"/>
      <c r="D688" s="1119" t="s">
        <v>210</v>
      </c>
      <c r="E688" s="1119"/>
      <c r="F688" s="1119"/>
      <c r="G688" s="1120"/>
      <c r="H688" s="1120"/>
      <c r="I688" s="1120"/>
      <c r="J688" s="1120"/>
      <c r="K688" s="1120"/>
      <c r="L688" s="1120"/>
      <c r="M688" s="1120"/>
      <c r="N688" s="1120"/>
      <c r="O688" s="1120"/>
      <c r="P688" s="1120"/>
      <c r="Q688" s="1120"/>
      <c r="R688" s="1120"/>
      <c r="S688" s="1120"/>
      <c r="T688" s="1120"/>
      <c r="U688" s="1120"/>
      <c r="V688" s="1120"/>
      <c r="W688" s="1120"/>
      <c r="X688" s="1120"/>
      <c r="Y688" s="1120"/>
      <c r="Z688" s="1120"/>
      <c r="AA688" s="1120"/>
      <c r="AB688" s="1120"/>
      <c r="AC688" s="1120"/>
      <c r="AD688" s="1120"/>
      <c r="AE688" s="1120"/>
      <c r="AF688" s="487"/>
      <c r="AG688" s="1122" t="s">
        <v>211</v>
      </c>
      <c r="AH688" s="1122"/>
      <c r="AI688" s="1122"/>
      <c r="AJ688" s="1122"/>
      <c r="AK688" s="1122"/>
      <c r="AL688" s="1122"/>
      <c r="AM688" s="1122"/>
      <c r="AN688" s="1122"/>
      <c r="AO688" s="1122"/>
      <c r="AP688" s="1122"/>
      <c r="AQ688" s="1122"/>
      <c r="AR688" s="1122"/>
      <c r="AS688" s="1122"/>
      <c r="AT688" s="1122"/>
      <c r="AU688" s="1122"/>
      <c r="AV688" s="1122"/>
      <c r="AW688" s="1122"/>
      <c r="AX688" s="1122"/>
      <c r="AY688" s="1122"/>
      <c r="AZ688" s="1122"/>
      <c r="BA688" s="1122"/>
      <c r="BB688" s="1122"/>
      <c r="BC688" s="1122"/>
      <c r="BD688" s="1122"/>
      <c r="BE688" s="1122"/>
      <c r="BF688" s="486"/>
      <c r="BG688" s="486"/>
      <c r="BH688" s="486"/>
      <c r="BI688" s="486"/>
      <c r="BJ688" s="486"/>
      <c r="BK688" s="486"/>
      <c r="BL688" s="486"/>
      <c r="BM688" s="486"/>
      <c r="BN688" s="486"/>
      <c r="BO688" s="486"/>
      <c r="BP688" s="486"/>
      <c r="BQ688" s="486"/>
      <c r="BR688" s="486"/>
      <c r="BS688" s="486"/>
      <c r="BT688" s="486"/>
      <c r="BU688" s="486"/>
      <c r="BV688" s="486"/>
      <c r="BW688" s="486"/>
      <c r="BX688" s="486"/>
      <c r="BY688" s="486"/>
      <c r="BZ688" s="486"/>
      <c r="CA688" s="486"/>
      <c r="CB688" s="486"/>
      <c r="CC688" s="486"/>
      <c r="CD688" s="486"/>
      <c r="CE688" s="486"/>
      <c r="CF688" s="486"/>
      <c r="CG688" s="486"/>
      <c r="CH688" s="29"/>
      <c r="CI688" s="17"/>
      <c r="CJ688" s="17"/>
    </row>
    <row r="689" spans="1:88" ht="12.75" hidden="1" customHeight="1">
      <c r="A689" s="243" t="str">
        <f>IF($A$652&gt;=9,"","OK")</f>
        <v>OK</v>
      </c>
      <c r="B689" s="29"/>
      <c r="C689" s="29"/>
      <c r="D689" s="1119"/>
      <c r="E689" s="1119"/>
      <c r="F689" s="1119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19"/>
      <c r="AA689" s="1119"/>
      <c r="AB689" s="1119"/>
      <c r="AC689" s="1119"/>
      <c r="AD689" s="1119"/>
      <c r="AE689" s="1119"/>
      <c r="AF689" s="486"/>
      <c r="AG689" s="486"/>
      <c r="AH689" s="486"/>
      <c r="AI689" s="486"/>
      <c r="AJ689" s="486"/>
      <c r="AK689" s="486"/>
      <c r="AL689" s="486"/>
      <c r="AM689" s="486"/>
      <c r="AN689" s="486"/>
      <c r="AO689" s="486"/>
      <c r="AP689" s="486"/>
      <c r="AQ689" s="486"/>
      <c r="AR689" s="486"/>
      <c r="AS689" s="486"/>
      <c r="AT689" s="486"/>
      <c r="AU689" s="486"/>
      <c r="AV689" s="486"/>
      <c r="AW689" s="486"/>
      <c r="AX689" s="486"/>
      <c r="AY689" s="486"/>
      <c r="AZ689" s="486"/>
      <c r="BA689" s="486"/>
      <c r="BB689" s="486"/>
      <c r="BC689" s="486"/>
      <c r="BD689" s="486"/>
      <c r="BE689" s="486"/>
      <c r="BF689" s="486"/>
      <c r="BG689" s="486"/>
      <c r="BH689" s="486"/>
      <c r="BI689" s="486"/>
      <c r="BJ689" s="486"/>
      <c r="BK689" s="486"/>
      <c r="BL689" s="486"/>
      <c r="BM689" s="486"/>
      <c r="BN689" s="486"/>
      <c r="BO689" s="486"/>
      <c r="BP689" s="486"/>
      <c r="BQ689" s="486"/>
      <c r="BR689" s="486"/>
      <c r="BS689" s="486"/>
      <c r="BT689" s="486"/>
      <c r="BU689" s="486"/>
      <c r="BV689" s="486"/>
      <c r="BW689" s="486"/>
      <c r="BX689" s="486"/>
      <c r="BY689" s="486"/>
      <c r="BZ689" s="486"/>
      <c r="CA689" s="486"/>
      <c r="CB689" s="486"/>
      <c r="CC689" s="486"/>
      <c r="CD689" s="486"/>
      <c r="CE689" s="486"/>
      <c r="CF689" s="486"/>
      <c r="CG689" s="486"/>
      <c r="CH689" s="29"/>
      <c r="CI689" s="17"/>
      <c r="CJ689" s="17"/>
    </row>
    <row r="690" spans="1:88" ht="12.75" hidden="1" customHeight="1">
      <c r="A690" s="243" t="str">
        <f>IF($A$652&gt;=10,"","OK")</f>
        <v>OK</v>
      </c>
      <c r="B690" s="29"/>
      <c r="C690" s="29"/>
      <c r="D690" s="1119" t="s">
        <v>208</v>
      </c>
      <c r="E690" s="1119"/>
      <c r="F690" s="1119"/>
      <c r="G690" s="1120"/>
      <c r="H690" s="1120"/>
      <c r="I690" s="1120"/>
      <c r="J690" s="1120"/>
      <c r="K690" s="1120"/>
      <c r="L690" s="1120"/>
      <c r="M690" s="1120"/>
      <c r="N690" s="1120"/>
      <c r="O690" s="1120"/>
      <c r="P690" s="1120"/>
      <c r="Q690" s="1120"/>
      <c r="R690" s="1120"/>
      <c r="S690" s="1120"/>
      <c r="T690" s="1120"/>
      <c r="U690" s="1120"/>
      <c r="V690" s="1120"/>
      <c r="W690" s="1120"/>
      <c r="X690" s="1120"/>
      <c r="Y690" s="1120"/>
      <c r="Z690" s="1120"/>
      <c r="AA690" s="1120"/>
      <c r="AB690" s="1120"/>
      <c r="AC690" s="1120"/>
      <c r="AD690" s="1120"/>
      <c r="AE690" s="1120"/>
      <c r="AF690" s="487"/>
      <c r="AG690" s="488"/>
      <c r="AH690" s="488"/>
      <c r="AI690" s="488"/>
      <c r="AJ690" s="488"/>
      <c r="AK690" s="488"/>
      <c r="AL690" s="488"/>
      <c r="AM690" s="488"/>
      <c r="AN690" s="488"/>
      <c r="AO690" s="488"/>
      <c r="AP690" s="488"/>
      <c r="AQ690" s="488"/>
      <c r="AR690" s="488"/>
      <c r="AS690" s="488"/>
      <c r="AT690" s="488"/>
      <c r="AU690" s="488"/>
      <c r="AV690" s="488"/>
      <c r="AW690" s="488"/>
      <c r="AX690" s="488"/>
      <c r="AY690" s="488"/>
      <c r="AZ690" s="488"/>
      <c r="BA690" s="488"/>
      <c r="BB690" s="488"/>
      <c r="BC690" s="488"/>
      <c r="BD690" s="488"/>
      <c r="BE690" s="488"/>
      <c r="BF690" s="486"/>
      <c r="BG690" s="486"/>
      <c r="BH690" s="486"/>
      <c r="BI690" s="486"/>
      <c r="BJ690" s="486"/>
      <c r="BK690" s="486"/>
      <c r="BL690" s="486"/>
      <c r="BM690" s="486"/>
      <c r="BN690" s="486"/>
      <c r="BO690" s="486"/>
      <c r="BP690" s="486"/>
      <c r="BQ690" s="486"/>
      <c r="BR690" s="486"/>
      <c r="BS690" s="486"/>
      <c r="BT690" s="486"/>
      <c r="BU690" s="486"/>
      <c r="BV690" s="486"/>
      <c r="BW690" s="486"/>
      <c r="BX690" s="486"/>
      <c r="BY690" s="486"/>
      <c r="BZ690" s="486"/>
      <c r="CA690" s="486"/>
      <c r="CB690" s="486"/>
      <c r="CC690" s="486"/>
      <c r="CD690" s="486"/>
      <c r="CE690" s="486"/>
      <c r="CF690" s="486"/>
      <c r="CG690" s="486"/>
      <c r="CH690" s="29"/>
      <c r="CI690" s="17"/>
      <c r="CJ690" s="17"/>
    </row>
    <row r="691" spans="1:88" ht="12.75" hidden="1" customHeight="1">
      <c r="A691" s="243" t="str">
        <f>IF($A$652&gt;=10,"","OK")</f>
        <v>OK</v>
      </c>
      <c r="B691" s="29"/>
      <c r="C691" s="29"/>
      <c r="D691" s="1119" t="s">
        <v>209</v>
      </c>
      <c r="E691" s="1119"/>
      <c r="F691" s="1119"/>
      <c r="G691" s="1120"/>
      <c r="H691" s="1120"/>
      <c r="I691" s="1120"/>
      <c r="J691" s="1120"/>
      <c r="K691" s="1120"/>
      <c r="L691" s="1120"/>
      <c r="M691" s="1120"/>
      <c r="N691" s="1120"/>
      <c r="O691" s="1120"/>
      <c r="P691" s="1120"/>
      <c r="Q691" s="1120"/>
      <c r="R691" s="1120"/>
      <c r="S691" s="1120"/>
      <c r="T691" s="1120"/>
      <c r="U691" s="1120"/>
      <c r="V691" s="1120"/>
      <c r="W691" s="1120"/>
      <c r="X691" s="1120"/>
      <c r="Y691" s="1120"/>
      <c r="Z691" s="1120"/>
      <c r="AA691" s="1120"/>
      <c r="AB691" s="1120"/>
      <c r="AC691" s="1120"/>
      <c r="AD691" s="1120"/>
      <c r="AE691" s="1120"/>
      <c r="AF691" s="487"/>
      <c r="AG691" s="1121"/>
      <c r="AH691" s="1121"/>
      <c r="AI691" s="1121"/>
      <c r="AJ691" s="1121"/>
      <c r="AK691" s="1121"/>
      <c r="AL691" s="1121"/>
      <c r="AM691" s="1121"/>
      <c r="AN691" s="1121"/>
      <c r="AO691" s="1121"/>
      <c r="AP691" s="1121"/>
      <c r="AQ691" s="1121"/>
      <c r="AR691" s="1121"/>
      <c r="AS691" s="1121"/>
      <c r="AT691" s="1121"/>
      <c r="AU691" s="1121"/>
      <c r="AV691" s="1121"/>
      <c r="AW691" s="1121"/>
      <c r="AX691" s="1121"/>
      <c r="AY691" s="1121"/>
      <c r="AZ691" s="1121"/>
      <c r="BA691" s="1121"/>
      <c r="BB691" s="1121"/>
      <c r="BC691" s="1121"/>
      <c r="BD691" s="1121"/>
      <c r="BE691" s="1121"/>
      <c r="BF691" s="486"/>
      <c r="BG691" s="486"/>
      <c r="BH691" s="486"/>
      <c r="BI691" s="486"/>
      <c r="BJ691" s="486"/>
      <c r="BK691" s="486"/>
      <c r="BL691" s="486"/>
      <c r="BM691" s="486"/>
      <c r="BN691" s="486"/>
      <c r="BO691" s="486"/>
      <c r="BP691" s="486"/>
      <c r="BQ691" s="486"/>
      <c r="BR691" s="486"/>
      <c r="BS691" s="486"/>
      <c r="BT691" s="486"/>
      <c r="BU691" s="486"/>
      <c r="BV691" s="486"/>
      <c r="BW691" s="486"/>
      <c r="BX691" s="486"/>
      <c r="BY691" s="486"/>
      <c r="BZ691" s="486"/>
      <c r="CA691" s="486"/>
      <c r="CB691" s="486"/>
      <c r="CC691" s="486"/>
      <c r="CD691" s="486"/>
      <c r="CE691" s="486"/>
      <c r="CF691" s="486"/>
      <c r="CG691" s="486"/>
      <c r="CH691" s="29"/>
      <c r="CI691" s="17"/>
      <c r="CJ691" s="17"/>
    </row>
    <row r="692" spans="1:88" ht="12.75" hidden="1" customHeight="1">
      <c r="A692" s="243" t="str">
        <f>IF($A$652&gt;=10,"","OK")</f>
        <v>OK</v>
      </c>
      <c r="B692" s="29"/>
      <c r="C692" s="29"/>
      <c r="D692" s="1119" t="s">
        <v>210</v>
      </c>
      <c r="E692" s="1119"/>
      <c r="F692" s="1119"/>
      <c r="G692" s="1120"/>
      <c r="H692" s="1120"/>
      <c r="I692" s="1120"/>
      <c r="J692" s="1120"/>
      <c r="K692" s="1120"/>
      <c r="L692" s="1120"/>
      <c r="M692" s="1120"/>
      <c r="N692" s="1120"/>
      <c r="O692" s="1120"/>
      <c r="P692" s="1120"/>
      <c r="Q692" s="1120"/>
      <c r="R692" s="1120"/>
      <c r="S692" s="1120"/>
      <c r="T692" s="1120"/>
      <c r="U692" s="1120"/>
      <c r="V692" s="1120"/>
      <c r="W692" s="1120"/>
      <c r="X692" s="1120"/>
      <c r="Y692" s="1120"/>
      <c r="Z692" s="1120"/>
      <c r="AA692" s="1120"/>
      <c r="AB692" s="1120"/>
      <c r="AC692" s="1120"/>
      <c r="AD692" s="1120"/>
      <c r="AE692" s="1120"/>
      <c r="AF692" s="487"/>
      <c r="AG692" s="1122" t="s">
        <v>211</v>
      </c>
      <c r="AH692" s="1122"/>
      <c r="AI692" s="1122"/>
      <c r="AJ692" s="1122"/>
      <c r="AK692" s="1122"/>
      <c r="AL692" s="1122"/>
      <c r="AM692" s="1122"/>
      <c r="AN692" s="1122"/>
      <c r="AO692" s="1122"/>
      <c r="AP692" s="1122"/>
      <c r="AQ692" s="1122"/>
      <c r="AR692" s="1122"/>
      <c r="AS692" s="1122"/>
      <c r="AT692" s="1122"/>
      <c r="AU692" s="1122"/>
      <c r="AV692" s="1122"/>
      <c r="AW692" s="1122"/>
      <c r="AX692" s="1122"/>
      <c r="AY692" s="1122"/>
      <c r="AZ692" s="1122"/>
      <c r="BA692" s="1122"/>
      <c r="BB692" s="1122"/>
      <c r="BC692" s="1122"/>
      <c r="BD692" s="1122"/>
      <c r="BE692" s="1122"/>
      <c r="BF692" s="486"/>
      <c r="BG692" s="486"/>
      <c r="BH692" s="486"/>
      <c r="BI692" s="486"/>
      <c r="BJ692" s="486"/>
      <c r="BK692" s="486"/>
      <c r="BL692" s="486"/>
      <c r="BM692" s="486"/>
      <c r="BN692" s="486"/>
      <c r="BO692" s="486"/>
      <c r="BP692" s="486"/>
      <c r="BQ692" s="486"/>
      <c r="BR692" s="486"/>
      <c r="BS692" s="486"/>
      <c r="BT692" s="486"/>
      <c r="BU692" s="486"/>
      <c r="BV692" s="486"/>
      <c r="BW692" s="486"/>
      <c r="BX692" s="486"/>
      <c r="BY692" s="486"/>
      <c r="BZ692" s="486"/>
      <c r="CA692" s="486"/>
      <c r="CB692" s="486"/>
      <c r="CC692" s="486"/>
      <c r="CD692" s="486"/>
      <c r="CE692" s="486"/>
      <c r="CF692" s="486"/>
      <c r="CG692" s="486"/>
      <c r="CH692" s="29"/>
      <c r="CI692" s="17"/>
      <c r="CJ692" s="17"/>
    </row>
    <row r="693" spans="1:88" ht="12.75" hidden="1" customHeight="1">
      <c r="A693" s="243" t="str">
        <f>IF($A$652&gt;=10,"","OK")</f>
        <v>OK</v>
      </c>
      <c r="B693" s="29"/>
      <c r="C693" s="2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19"/>
      <c r="AA693" s="1119"/>
      <c r="AB693" s="1119"/>
      <c r="AC693" s="1119"/>
      <c r="AD693" s="1119"/>
      <c r="AE693" s="1119"/>
      <c r="AF693" s="486"/>
      <c r="AG693" s="486"/>
      <c r="AH693" s="486"/>
      <c r="AI693" s="486"/>
      <c r="AJ693" s="486"/>
      <c r="AK693" s="486"/>
      <c r="AL693" s="486"/>
      <c r="AM693" s="486"/>
      <c r="AN693" s="486"/>
      <c r="AO693" s="486"/>
      <c r="AP693" s="486"/>
      <c r="AQ693" s="486"/>
      <c r="AR693" s="486"/>
      <c r="AS693" s="486"/>
      <c r="AT693" s="486"/>
      <c r="AU693" s="486"/>
      <c r="AV693" s="486"/>
      <c r="AW693" s="486"/>
      <c r="AX693" s="486"/>
      <c r="AY693" s="486"/>
      <c r="AZ693" s="486"/>
      <c r="BA693" s="486"/>
      <c r="BB693" s="486"/>
      <c r="BC693" s="486"/>
      <c r="BD693" s="486"/>
      <c r="BE693" s="486"/>
      <c r="BF693" s="486"/>
      <c r="BG693" s="486"/>
      <c r="BH693" s="486"/>
      <c r="BI693" s="486"/>
      <c r="BJ693" s="486"/>
      <c r="BK693" s="486"/>
      <c r="BL693" s="486"/>
      <c r="BM693" s="486"/>
      <c r="BN693" s="486"/>
      <c r="BO693" s="486"/>
      <c r="BP693" s="486"/>
      <c r="BQ693" s="486"/>
      <c r="BR693" s="486"/>
      <c r="BS693" s="486"/>
      <c r="BT693" s="486"/>
      <c r="BU693" s="486"/>
      <c r="BV693" s="486"/>
      <c r="BW693" s="486"/>
      <c r="BX693" s="486"/>
      <c r="BY693" s="486"/>
      <c r="BZ693" s="486"/>
      <c r="CA693" s="486"/>
      <c r="CB693" s="486"/>
      <c r="CC693" s="486"/>
      <c r="CD693" s="486"/>
      <c r="CE693" s="486"/>
      <c r="CF693" s="486"/>
      <c r="CG693" s="486"/>
      <c r="CH693" s="29"/>
      <c r="CI693" s="17"/>
      <c r="CJ693" s="17"/>
    </row>
    <row r="694" spans="1:88">
      <c r="A694" s="452"/>
      <c r="B694" s="392"/>
      <c r="C694" s="392"/>
      <c r="D694" s="392"/>
      <c r="E694" s="392"/>
      <c r="F694" s="392"/>
      <c r="G694" s="392"/>
      <c r="H694" s="392"/>
      <c r="I694" s="392"/>
      <c r="J694" s="392"/>
      <c r="K694" s="392"/>
      <c r="L694" s="392"/>
      <c r="M694" s="392"/>
      <c r="N694" s="392"/>
      <c r="O694" s="392"/>
      <c r="P694" s="392"/>
      <c r="Q694" s="392"/>
      <c r="R694" s="392"/>
      <c r="S694" s="392"/>
      <c r="T694" s="392"/>
      <c r="U694" s="392"/>
      <c r="V694" s="392"/>
      <c r="W694" s="392"/>
      <c r="X694" s="392"/>
      <c r="Y694" s="392"/>
      <c r="Z694" s="392"/>
      <c r="AA694" s="392"/>
      <c r="AB694" s="392"/>
      <c r="AC694" s="392"/>
      <c r="AD694" s="392"/>
      <c r="AE694" s="392"/>
      <c r="AF694" s="392"/>
      <c r="AG694" s="392"/>
      <c r="AH694" s="392"/>
      <c r="AI694" s="392"/>
      <c r="AJ694" s="392"/>
      <c r="AK694" s="392"/>
      <c r="AL694" s="392"/>
      <c r="AM694" s="392"/>
      <c r="AN694" s="392"/>
      <c r="AO694" s="392"/>
      <c r="AP694" s="392"/>
      <c r="AQ694" s="392"/>
      <c r="AR694" s="392"/>
      <c r="AS694" s="392"/>
      <c r="AT694" s="392"/>
      <c r="AU694" s="392"/>
      <c r="AV694" s="392"/>
      <c r="AW694" s="392"/>
      <c r="AX694" s="392"/>
      <c r="AY694" s="392"/>
      <c r="AZ694" s="392"/>
      <c r="BA694" s="392"/>
      <c r="BB694" s="392"/>
      <c r="BC694" s="392"/>
      <c r="BD694" s="392"/>
      <c r="BE694" s="392"/>
      <c r="BF694" s="392"/>
      <c r="BG694" s="392"/>
      <c r="BH694" s="392"/>
      <c r="BI694" s="392"/>
      <c r="BJ694" s="392"/>
      <c r="BK694" s="392"/>
      <c r="BL694" s="392"/>
      <c r="BM694" s="392"/>
      <c r="BN694" s="392"/>
      <c r="BO694" s="392"/>
      <c r="BP694" s="392"/>
      <c r="BQ694" s="392"/>
      <c r="BR694" s="392"/>
      <c r="BS694" s="392"/>
      <c r="BT694" s="392"/>
      <c r="BU694" s="392"/>
      <c r="BV694" s="392"/>
      <c r="BW694" s="392"/>
      <c r="BX694" s="392"/>
      <c r="BY694" s="392"/>
      <c r="BZ694" s="392"/>
      <c r="CA694" s="392"/>
      <c r="CB694" s="392"/>
      <c r="CC694" s="392"/>
      <c r="CD694" s="392"/>
      <c r="CE694" s="392"/>
      <c r="CF694" s="392"/>
      <c r="CG694" s="392"/>
      <c r="CH694" s="392"/>
    </row>
    <row r="695" spans="1:88" hidden="1">
      <c r="A695" s="452"/>
      <c r="B695" s="392"/>
      <c r="C695" s="392"/>
      <c r="D695" s="392"/>
      <c r="E695" s="392"/>
      <c r="F695" s="392"/>
      <c r="G695" s="392"/>
      <c r="H695" s="392"/>
      <c r="I695" s="392"/>
      <c r="J695" s="392"/>
      <c r="K695" s="392"/>
      <c r="L695" s="392"/>
      <c r="M695" s="392"/>
      <c r="N695" s="392"/>
      <c r="O695" s="392"/>
      <c r="P695" s="392"/>
      <c r="Q695" s="392"/>
      <c r="R695" s="392"/>
      <c r="S695" s="392"/>
      <c r="T695" s="392"/>
      <c r="U695" s="392"/>
      <c r="V695" s="392"/>
      <c r="W695" s="392"/>
      <c r="X695" s="392"/>
      <c r="Y695" s="392"/>
      <c r="Z695" s="392"/>
      <c r="AA695" s="392"/>
      <c r="AB695" s="392"/>
      <c r="AC695" s="392"/>
      <c r="AD695" s="392"/>
      <c r="AE695" s="392"/>
      <c r="AF695" s="392"/>
      <c r="AG695" s="392"/>
      <c r="AH695" s="392"/>
      <c r="AI695" s="392"/>
      <c r="AJ695" s="392"/>
      <c r="AK695" s="392"/>
      <c r="AL695" s="392"/>
      <c r="AM695" s="392"/>
      <c r="AN695" s="392"/>
      <c r="AO695" s="392"/>
      <c r="AP695" s="392"/>
      <c r="AQ695" s="392"/>
      <c r="AR695" s="392"/>
      <c r="AS695" s="392"/>
      <c r="AT695" s="392"/>
      <c r="AU695" s="392"/>
      <c r="AV695" s="392"/>
      <c r="AW695" s="392"/>
      <c r="AX695" s="392"/>
      <c r="AY695" s="392"/>
      <c r="AZ695" s="392"/>
      <c r="BA695" s="392"/>
      <c r="BB695" s="392"/>
      <c r="BC695" s="392"/>
      <c r="BD695" s="392"/>
      <c r="BE695" s="392"/>
      <c r="BF695" s="392"/>
      <c r="BG695" s="392"/>
      <c r="BH695" s="392"/>
      <c r="BI695" s="392"/>
      <c r="BJ695" s="392"/>
      <c r="BK695" s="392"/>
      <c r="BL695" s="392"/>
      <c r="BM695" s="392"/>
      <c r="BN695" s="392"/>
      <c r="BO695" s="392"/>
      <c r="BP695" s="392"/>
      <c r="BQ695" s="392"/>
      <c r="BR695" s="392"/>
      <c r="BS695" s="392"/>
      <c r="BT695" s="392"/>
      <c r="BU695" s="392"/>
      <c r="BV695" s="392"/>
      <c r="BW695" s="392"/>
      <c r="BX695" s="392"/>
      <c r="BY695" s="392"/>
      <c r="BZ695" s="392"/>
      <c r="CA695" s="392"/>
      <c r="CB695" s="392"/>
      <c r="CC695" s="392"/>
      <c r="CD695" s="392"/>
      <c r="CE695" s="392"/>
      <c r="CF695" s="392"/>
      <c r="CG695" s="392"/>
      <c r="CH695" s="392"/>
    </row>
  </sheetData>
  <sheetProtection password="F326" sheet="1" objects="1" scenarios="1" formatRows="0"/>
  <mergeCells count="4471">
    <mergeCell ref="C6:J6"/>
    <mergeCell ref="G537:AE537"/>
    <mergeCell ref="G542:AE542"/>
    <mergeCell ref="G543:AE543"/>
    <mergeCell ref="G550:AE550"/>
    <mergeCell ref="G541:AE541"/>
    <mergeCell ref="G538:AE538"/>
    <mergeCell ref="G539:AE539"/>
    <mergeCell ref="G540:AE540"/>
    <mergeCell ref="G544:AE544"/>
    <mergeCell ref="G545:AE545"/>
    <mergeCell ref="G520:AE520"/>
    <mergeCell ref="G521:AE521"/>
    <mergeCell ref="G518:AE518"/>
    <mergeCell ref="G519:AE519"/>
    <mergeCell ref="G509:AE509"/>
    <mergeCell ref="G514:AE514"/>
    <mergeCell ref="G515:AE515"/>
    <mergeCell ref="G516:AE516"/>
    <mergeCell ref="G510:AE510"/>
    <mergeCell ref="G511:AE511"/>
    <mergeCell ref="G546:AE546"/>
    <mergeCell ref="G547:AE547"/>
    <mergeCell ref="G548:AE548"/>
    <mergeCell ref="G549:AE549"/>
    <mergeCell ref="G495:AE495"/>
    <mergeCell ref="G496:AE496"/>
    <mergeCell ref="G497:AE497"/>
    <mergeCell ref="G490:AE490"/>
    <mergeCell ref="G491:AE491"/>
    <mergeCell ref="G492:AE492"/>
    <mergeCell ref="G488:AE488"/>
    <mergeCell ref="D481:F481"/>
    <mergeCell ref="D482:F482"/>
    <mergeCell ref="D483:F483"/>
    <mergeCell ref="G489:AE489"/>
    <mergeCell ref="CB198:CG198"/>
    <mergeCell ref="Z198:AE198"/>
    <mergeCell ref="AF198:AK198"/>
    <mergeCell ref="AL198:AQ198"/>
    <mergeCell ref="AR198:AW198"/>
    <mergeCell ref="AX198:BC198"/>
    <mergeCell ref="G512:AE512"/>
    <mergeCell ref="G513:AE513"/>
    <mergeCell ref="G517:AE517"/>
    <mergeCell ref="G501:AE501"/>
    <mergeCell ref="G506:AE506"/>
    <mergeCell ref="G507:AE507"/>
    <mergeCell ref="G508:AE508"/>
    <mergeCell ref="G504:AE504"/>
    <mergeCell ref="G505:AE505"/>
    <mergeCell ref="G502:AE502"/>
    <mergeCell ref="G503:AE503"/>
    <mergeCell ref="G498:AE498"/>
    <mergeCell ref="G499:AE499"/>
    <mergeCell ref="G500:AE500"/>
    <mergeCell ref="G494:AE494"/>
    <mergeCell ref="G466:AE466"/>
    <mergeCell ref="G467:AE467"/>
    <mergeCell ref="G468:AE468"/>
    <mergeCell ref="G462:AE462"/>
    <mergeCell ref="G463:AE463"/>
    <mergeCell ref="G469:AE469"/>
    <mergeCell ref="G458:AE458"/>
    <mergeCell ref="D504:F504"/>
    <mergeCell ref="D505:F505"/>
    <mergeCell ref="D500:F500"/>
    <mergeCell ref="D496:F496"/>
    <mergeCell ref="G552:AE552"/>
    <mergeCell ref="G555:AE555"/>
    <mergeCell ref="G522:AE522"/>
    <mergeCell ref="G523:AE523"/>
    <mergeCell ref="G524:AE524"/>
    <mergeCell ref="G526:AE526"/>
    <mergeCell ref="G396:AE396"/>
    <mergeCell ref="G392:AE392"/>
    <mergeCell ref="G393:AE393"/>
    <mergeCell ref="G398:AE398"/>
    <mergeCell ref="G394:AE394"/>
    <mergeCell ref="G397:AE397"/>
    <mergeCell ref="G395:AE395"/>
    <mergeCell ref="G399:AE399"/>
    <mergeCell ref="G400:AE400"/>
    <mergeCell ref="D498:F498"/>
    <mergeCell ref="G424:AE424"/>
    <mergeCell ref="G425:AE425"/>
    <mergeCell ref="D487:F487"/>
    <mergeCell ref="D488:F488"/>
    <mergeCell ref="D489:F489"/>
    <mergeCell ref="D490:F490"/>
    <mergeCell ref="D491:F491"/>
    <mergeCell ref="D478:F478"/>
    <mergeCell ref="D479:F479"/>
    <mergeCell ref="G486:AE486"/>
    <mergeCell ref="G487:AE487"/>
    <mergeCell ref="D480:F480"/>
    <mergeCell ref="G476:AE476"/>
    <mergeCell ref="G472:AE472"/>
    <mergeCell ref="G473:AE473"/>
    <mergeCell ref="G477:AE477"/>
    <mergeCell ref="D499:F499"/>
    <mergeCell ref="D508:F508"/>
    <mergeCell ref="D509:F509"/>
    <mergeCell ref="D506:F506"/>
    <mergeCell ref="D507:F507"/>
    <mergeCell ref="D501:F501"/>
    <mergeCell ref="D502:F502"/>
    <mergeCell ref="D503:F503"/>
    <mergeCell ref="G442:AE442"/>
    <mergeCell ref="G443:AE443"/>
    <mergeCell ref="G444:AE444"/>
    <mergeCell ref="D471:F471"/>
    <mergeCell ref="D472:F472"/>
    <mergeCell ref="D473:F473"/>
    <mergeCell ref="D474:F474"/>
    <mergeCell ref="D475:F475"/>
    <mergeCell ref="D462:F462"/>
    <mergeCell ref="D463:F463"/>
    <mergeCell ref="G470:AE470"/>
    <mergeCell ref="G471:AE471"/>
    <mergeCell ref="D464:F464"/>
    <mergeCell ref="D465:F465"/>
    <mergeCell ref="D466:F466"/>
    <mergeCell ref="D467:F467"/>
    <mergeCell ref="G464:AE464"/>
    <mergeCell ref="G465:AE465"/>
    <mergeCell ref="D494:F494"/>
    <mergeCell ref="D495:F495"/>
    <mergeCell ref="G401:AE401"/>
    <mergeCell ref="G402:AE402"/>
    <mergeCell ref="G403:AE403"/>
    <mergeCell ref="D423:F423"/>
    <mergeCell ref="D497:F497"/>
    <mergeCell ref="D492:F492"/>
    <mergeCell ref="D493:F493"/>
    <mergeCell ref="D484:F484"/>
    <mergeCell ref="D485:F485"/>
    <mergeCell ref="D486:F486"/>
    <mergeCell ref="G485:AE485"/>
    <mergeCell ref="G480:AE480"/>
    <mergeCell ref="G481:AE481"/>
    <mergeCell ref="G449:AE449"/>
    <mergeCell ref="G453:AE453"/>
    <mergeCell ref="G461:AE461"/>
    <mergeCell ref="G450:AE450"/>
    <mergeCell ref="G451:AE451"/>
    <mergeCell ref="G452:AE452"/>
    <mergeCell ref="D476:F476"/>
    <mergeCell ref="D477:F477"/>
    <mergeCell ref="D468:F468"/>
    <mergeCell ref="D469:F469"/>
    <mergeCell ref="D470:F470"/>
    <mergeCell ref="G493:AE493"/>
    <mergeCell ref="G482:AE482"/>
    <mergeCell ref="G483:AE483"/>
    <mergeCell ref="G484:AE484"/>
    <mergeCell ref="G478:AE478"/>
    <mergeCell ref="G479:AE479"/>
    <mergeCell ref="G474:AE474"/>
    <mergeCell ref="G475:AE475"/>
    <mergeCell ref="G324:AE324"/>
    <mergeCell ref="G319:AE319"/>
    <mergeCell ref="G320:AE320"/>
    <mergeCell ref="G321:AE321"/>
    <mergeCell ref="G322:AE322"/>
    <mergeCell ref="G389:AE389"/>
    <mergeCell ref="G390:AE390"/>
    <mergeCell ref="G349:AE349"/>
    <mergeCell ref="G350:AE350"/>
    <mergeCell ref="G363:AE363"/>
    <mergeCell ref="G440:AE440"/>
    <mergeCell ref="G427:AE427"/>
    <mergeCell ref="G428:AE428"/>
    <mergeCell ref="G429:AE429"/>
    <mergeCell ref="G434:AE434"/>
    <mergeCell ref="D440:F440"/>
    <mergeCell ref="D424:F424"/>
    <mergeCell ref="D425:F425"/>
    <mergeCell ref="D426:F426"/>
    <mergeCell ref="D427:F427"/>
    <mergeCell ref="D430:F430"/>
    <mergeCell ref="D431:F431"/>
    <mergeCell ref="D433:F433"/>
    <mergeCell ref="D434:F434"/>
    <mergeCell ref="D428:F428"/>
    <mergeCell ref="D429:F429"/>
    <mergeCell ref="G351:AE351"/>
    <mergeCell ref="G352:AE352"/>
    <mergeCell ref="G353:AE353"/>
    <mergeCell ref="D411:F411"/>
    <mergeCell ref="D414:F414"/>
    <mergeCell ref="D415:F415"/>
    <mergeCell ref="G308:AE308"/>
    <mergeCell ref="G303:AE303"/>
    <mergeCell ref="G304:AE304"/>
    <mergeCell ref="G305:AE305"/>
    <mergeCell ref="G306:AE306"/>
    <mergeCell ref="G293:AE293"/>
    <mergeCell ref="G294:AE294"/>
    <mergeCell ref="G299:AE299"/>
    <mergeCell ref="G300:AE300"/>
    <mergeCell ref="G295:AE295"/>
    <mergeCell ref="G296:AE296"/>
    <mergeCell ref="G297:AE297"/>
    <mergeCell ref="G298:AE298"/>
    <mergeCell ref="G333:AE333"/>
    <mergeCell ref="G334:AE334"/>
    <mergeCell ref="G339:AE339"/>
    <mergeCell ref="G340:AE340"/>
    <mergeCell ref="G335:AE335"/>
    <mergeCell ref="G336:AE336"/>
    <mergeCell ref="G337:AE337"/>
    <mergeCell ref="G338:AE338"/>
    <mergeCell ref="G325:AE325"/>
    <mergeCell ref="G326:AE326"/>
    <mergeCell ref="G331:AE331"/>
    <mergeCell ref="G332:AE332"/>
    <mergeCell ref="G327:AE327"/>
    <mergeCell ref="G328:AE328"/>
    <mergeCell ref="G329:AE329"/>
    <mergeCell ref="G330:AE330"/>
    <mergeCell ref="G317:AE317"/>
    <mergeCell ref="G318:AE318"/>
    <mergeCell ref="G323:AE323"/>
    <mergeCell ref="G285:AE285"/>
    <mergeCell ref="G286:AE286"/>
    <mergeCell ref="G291:AE291"/>
    <mergeCell ref="G292:AE292"/>
    <mergeCell ref="G287:AE287"/>
    <mergeCell ref="G288:AE288"/>
    <mergeCell ref="G289:AE289"/>
    <mergeCell ref="G290:AE290"/>
    <mergeCell ref="G277:AE277"/>
    <mergeCell ref="G278:AE278"/>
    <mergeCell ref="G283:AE283"/>
    <mergeCell ref="G284:AE284"/>
    <mergeCell ref="G279:AE279"/>
    <mergeCell ref="G280:AE280"/>
    <mergeCell ref="G281:AE281"/>
    <mergeCell ref="G282:AE282"/>
    <mergeCell ref="G269:AE269"/>
    <mergeCell ref="G270:AE270"/>
    <mergeCell ref="G275:AE275"/>
    <mergeCell ref="G276:AE276"/>
    <mergeCell ref="G271:AE271"/>
    <mergeCell ref="G272:AE272"/>
    <mergeCell ref="G273:AE273"/>
    <mergeCell ref="G274:AE274"/>
    <mergeCell ref="G261:AE261"/>
    <mergeCell ref="G262:AE262"/>
    <mergeCell ref="G267:AE267"/>
    <mergeCell ref="G268:AE268"/>
    <mergeCell ref="G263:AE263"/>
    <mergeCell ref="G264:AE264"/>
    <mergeCell ref="G265:AE265"/>
    <mergeCell ref="G266:AE266"/>
    <mergeCell ref="G253:AE253"/>
    <mergeCell ref="G254:AE254"/>
    <mergeCell ref="G259:AE259"/>
    <mergeCell ref="G260:AE260"/>
    <mergeCell ref="G255:AE255"/>
    <mergeCell ref="G256:AE256"/>
    <mergeCell ref="G257:AE257"/>
    <mergeCell ref="G258:AE258"/>
    <mergeCell ref="G245:AE245"/>
    <mergeCell ref="G246:AE246"/>
    <mergeCell ref="G251:AE251"/>
    <mergeCell ref="G252:AE252"/>
    <mergeCell ref="G247:AE247"/>
    <mergeCell ref="G248:AE248"/>
    <mergeCell ref="G249:AE249"/>
    <mergeCell ref="G250:AE250"/>
    <mergeCell ref="G232:AE232"/>
    <mergeCell ref="G233:AE233"/>
    <mergeCell ref="G234:AE234"/>
    <mergeCell ref="G214:Y214"/>
    <mergeCell ref="Z214:AE214"/>
    <mergeCell ref="G219:Y219"/>
    <mergeCell ref="Z219:AE219"/>
    <mergeCell ref="G221:Y221"/>
    <mergeCell ref="Z221:AE221"/>
    <mergeCell ref="G223:Y223"/>
    <mergeCell ref="Z223:AE223"/>
    <mergeCell ref="G225:Y225"/>
    <mergeCell ref="Z225:AE225"/>
    <mergeCell ref="B227:Y227"/>
    <mergeCell ref="Z227:AE227"/>
    <mergeCell ref="D219:F219"/>
    <mergeCell ref="D220:F220"/>
    <mergeCell ref="D224:F224"/>
    <mergeCell ref="D215:F215"/>
    <mergeCell ref="D216:F216"/>
    <mergeCell ref="D217:F217"/>
    <mergeCell ref="D218:F218"/>
    <mergeCell ref="D221:F221"/>
    <mergeCell ref="D222:F222"/>
    <mergeCell ref="D223:F223"/>
    <mergeCell ref="G216:Y216"/>
    <mergeCell ref="Z216:AE216"/>
    <mergeCell ref="G215:Y215"/>
    <mergeCell ref="Z215:AE215"/>
    <mergeCell ref="D232:F232"/>
    <mergeCell ref="G218:Y218"/>
    <mergeCell ref="Z218:AE218"/>
    <mergeCell ref="G28:Y28"/>
    <mergeCell ref="G172:Y172"/>
    <mergeCell ref="G173:Y173"/>
    <mergeCell ref="G29:Y29"/>
    <mergeCell ref="G30:Y30"/>
    <mergeCell ref="G167:Y167"/>
    <mergeCell ref="G168:Y168"/>
    <mergeCell ref="G171:Y171"/>
    <mergeCell ref="G169:Y169"/>
    <mergeCell ref="G170:Y170"/>
    <mergeCell ref="G197:Y197"/>
    <mergeCell ref="G190:Y190"/>
    <mergeCell ref="G191:Y191"/>
    <mergeCell ref="G186:Y186"/>
    <mergeCell ref="G237:AE237"/>
    <mergeCell ref="G178:Y178"/>
    <mergeCell ref="G179:Y179"/>
    <mergeCell ref="G195:Y195"/>
    <mergeCell ref="G149:Y149"/>
    <mergeCell ref="G156:Y156"/>
    <mergeCell ref="G157:Y157"/>
    <mergeCell ref="G152:Y152"/>
    <mergeCell ref="G153:Y153"/>
    <mergeCell ref="G155:Y155"/>
    <mergeCell ref="G136:Y136"/>
    <mergeCell ref="G137:Y137"/>
    <mergeCell ref="G150:Y150"/>
    <mergeCell ref="G151:Y151"/>
    <mergeCell ref="G140:Y140"/>
    <mergeCell ref="G141:Y141"/>
    <mergeCell ref="G145:Y145"/>
    <mergeCell ref="G138:Y138"/>
    <mergeCell ref="BV197:CA197"/>
    <mergeCell ref="G175:Y175"/>
    <mergeCell ref="G187:Y187"/>
    <mergeCell ref="G188:Y188"/>
    <mergeCell ref="G189:Y189"/>
    <mergeCell ref="G184:Y184"/>
    <mergeCell ref="G185:Y185"/>
    <mergeCell ref="G31:Y31"/>
    <mergeCell ref="G192:Y192"/>
    <mergeCell ref="G180:Y180"/>
    <mergeCell ref="G181:Y181"/>
    <mergeCell ref="G182:Y182"/>
    <mergeCell ref="G183:Y183"/>
    <mergeCell ref="G176:Y176"/>
    <mergeCell ref="G177:Y177"/>
    <mergeCell ref="G154:Y154"/>
    <mergeCell ref="G174:Y174"/>
    <mergeCell ref="G164:Y164"/>
    <mergeCell ref="G165:Y165"/>
    <mergeCell ref="G166:Y166"/>
    <mergeCell ref="G158:Y158"/>
    <mergeCell ref="G159:Y159"/>
    <mergeCell ref="G162:Y162"/>
    <mergeCell ref="G163:Y163"/>
    <mergeCell ref="G160:Y160"/>
    <mergeCell ref="G161:Y161"/>
    <mergeCell ref="G146:Y146"/>
    <mergeCell ref="G147:Y147"/>
    <mergeCell ref="G148:Y148"/>
    <mergeCell ref="G142:Y142"/>
    <mergeCell ref="G143:Y143"/>
    <mergeCell ref="G144:Y144"/>
    <mergeCell ref="G139:Y139"/>
    <mergeCell ref="G128:Y128"/>
    <mergeCell ref="G129:Y129"/>
    <mergeCell ref="G130:Y130"/>
    <mergeCell ref="G131:Y131"/>
    <mergeCell ref="G132:Y132"/>
    <mergeCell ref="G133:Y133"/>
    <mergeCell ref="G134:Y134"/>
    <mergeCell ref="G135:Y135"/>
    <mergeCell ref="G120:Y120"/>
    <mergeCell ref="G121:Y121"/>
    <mergeCell ref="G126:Y126"/>
    <mergeCell ref="G127:Y127"/>
    <mergeCell ref="G124:Y124"/>
    <mergeCell ref="G125:Y125"/>
    <mergeCell ref="G122:Y122"/>
    <mergeCell ref="G123:Y123"/>
    <mergeCell ref="G110:Y110"/>
    <mergeCell ref="G111:Y111"/>
    <mergeCell ref="G118:Y118"/>
    <mergeCell ref="G119:Y119"/>
    <mergeCell ref="G115:Y115"/>
    <mergeCell ref="G116:Y116"/>
    <mergeCell ref="G117:Y117"/>
    <mergeCell ref="G112:Y112"/>
    <mergeCell ref="G114:Y114"/>
    <mergeCell ref="G113:Y113"/>
    <mergeCell ref="G89:Y89"/>
    <mergeCell ref="G84:Y84"/>
    <mergeCell ref="G78:Y78"/>
    <mergeCell ref="G72:Y72"/>
    <mergeCell ref="G73:Y73"/>
    <mergeCell ref="G74:Y74"/>
    <mergeCell ref="G75:Y75"/>
    <mergeCell ref="G76:Y76"/>
    <mergeCell ref="G77:Y77"/>
    <mergeCell ref="G92:Y92"/>
    <mergeCell ref="G93:Y93"/>
    <mergeCell ref="G94:Y94"/>
    <mergeCell ref="G95:Y95"/>
    <mergeCell ref="G108:Y108"/>
    <mergeCell ref="G109:Y109"/>
    <mergeCell ref="G104:Y104"/>
    <mergeCell ref="G105:Y105"/>
    <mergeCell ref="G106:Y106"/>
    <mergeCell ref="G107:Y107"/>
    <mergeCell ref="G102:Y102"/>
    <mergeCell ref="G103:Y103"/>
    <mergeCell ref="G96:Y96"/>
    <mergeCell ref="G99:Y99"/>
    <mergeCell ref="G100:Y100"/>
    <mergeCell ref="G101:Y101"/>
    <mergeCell ref="G97:Y97"/>
    <mergeCell ref="G98:Y98"/>
    <mergeCell ref="G87:Y87"/>
    <mergeCell ref="G71:Y71"/>
    <mergeCell ref="D162:F162"/>
    <mergeCell ref="G69:Y69"/>
    <mergeCell ref="G70:Y70"/>
    <mergeCell ref="G53:Y53"/>
    <mergeCell ref="G63:Y63"/>
    <mergeCell ref="G61:Y61"/>
    <mergeCell ref="G62:Y62"/>
    <mergeCell ref="G54:Y54"/>
    <mergeCell ref="G55:Y55"/>
    <mergeCell ref="G68:Y68"/>
    <mergeCell ref="D129:F129"/>
    <mergeCell ref="D130:F130"/>
    <mergeCell ref="D146:F146"/>
    <mergeCell ref="D137:F137"/>
    <mergeCell ref="D138:F138"/>
    <mergeCell ref="D143:F143"/>
    <mergeCell ref="D144:F144"/>
    <mergeCell ref="D141:F141"/>
    <mergeCell ref="D142:F142"/>
    <mergeCell ref="D145:F145"/>
    <mergeCell ref="D139:F139"/>
    <mergeCell ref="D140:F140"/>
    <mergeCell ref="G91:Y91"/>
    <mergeCell ref="G65:Y65"/>
    <mergeCell ref="G66:Y66"/>
    <mergeCell ref="G82:Y82"/>
    <mergeCell ref="G83:Y83"/>
    <mergeCell ref="G79:Y79"/>
    <mergeCell ref="G80:Y80"/>
    <mergeCell ref="G81:Y81"/>
    <mergeCell ref="G64:Y64"/>
    <mergeCell ref="G52:Y52"/>
    <mergeCell ref="D168:F168"/>
    <mergeCell ref="D157:F157"/>
    <mergeCell ref="G88:Y88"/>
    <mergeCell ref="D163:F163"/>
    <mergeCell ref="D164:F164"/>
    <mergeCell ref="D148:F148"/>
    <mergeCell ref="G32:Y32"/>
    <mergeCell ref="G33:Y33"/>
    <mergeCell ref="G34:Y34"/>
    <mergeCell ref="G35:Y35"/>
    <mergeCell ref="G36:Y36"/>
    <mergeCell ref="G46:Y46"/>
    <mergeCell ref="G41:Y41"/>
    <mergeCell ref="G37:Y37"/>
    <mergeCell ref="G38:Y38"/>
    <mergeCell ref="G39:Y39"/>
    <mergeCell ref="G42:Y42"/>
    <mergeCell ref="G43:Y43"/>
    <mergeCell ref="G44:Y44"/>
    <mergeCell ref="D155:F155"/>
    <mergeCell ref="D156:F156"/>
    <mergeCell ref="D158:F158"/>
    <mergeCell ref="G58:Y58"/>
    <mergeCell ref="G48:Y48"/>
    <mergeCell ref="G49:Y49"/>
    <mergeCell ref="G50:Y50"/>
    <mergeCell ref="G51:Y51"/>
    <mergeCell ref="G90:Y90"/>
    <mergeCell ref="G85:Y85"/>
    <mergeCell ref="G86:Y86"/>
    <mergeCell ref="D181:F181"/>
    <mergeCell ref="D182:F182"/>
    <mergeCell ref="D180:F180"/>
    <mergeCell ref="D177:F177"/>
    <mergeCell ref="D178:F178"/>
    <mergeCell ref="D151:F151"/>
    <mergeCell ref="D152:F152"/>
    <mergeCell ref="D147:F147"/>
    <mergeCell ref="D187:F187"/>
    <mergeCell ref="D183:F183"/>
    <mergeCell ref="D184:F184"/>
    <mergeCell ref="D185:F185"/>
    <mergeCell ref="D186:F186"/>
    <mergeCell ref="D175:F175"/>
    <mergeCell ref="D179:F179"/>
    <mergeCell ref="D176:F176"/>
    <mergeCell ref="D149:F149"/>
    <mergeCell ref="D150:F150"/>
    <mergeCell ref="D174:F174"/>
    <mergeCell ref="D153:F153"/>
    <mergeCell ref="D154:F154"/>
    <mergeCell ref="D159:F159"/>
    <mergeCell ref="D165:F165"/>
    <mergeCell ref="D166:F166"/>
    <mergeCell ref="D160:F160"/>
    <mergeCell ref="D161:F161"/>
    <mergeCell ref="D167:F167"/>
    <mergeCell ref="D173:F173"/>
    <mergeCell ref="D169:F169"/>
    <mergeCell ref="D170:F170"/>
    <mergeCell ref="D171:F171"/>
    <mergeCell ref="D172:F172"/>
    <mergeCell ref="D125:F125"/>
    <mergeCell ref="D126:F126"/>
    <mergeCell ref="D127:F127"/>
    <mergeCell ref="D128:F128"/>
    <mergeCell ref="D104:F104"/>
    <mergeCell ref="D120:F120"/>
    <mergeCell ref="D109:F109"/>
    <mergeCell ref="D110:F110"/>
    <mergeCell ref="D111:F111"/>
    <mergeCell ref="D112:F112"/>
    <mergeCell ref="D113:F113"/>
    <mergeCell ref="D114:F114"/>
    <mergeCell ref="D115:F115"/>
    <mergeCell ref="D116:F116"/>
    <mergeCell ref="D119:F119"/>
    <mergeCell ref="D118:F118"/>
    <mergeCell ref="D107:F107"/>
    <mergeCell ref="D108:F108"/>
    <mergeCell ref="D105:F105"/>
    <mergeCell ref="D106:F106"/>
    <mergeCell ref="D117:F117"/>
    <mergeCell ref="D82:F82"/>
    <mergeCell ref="D103:F103"/>
    <mergeCell ref="D102:F102"/>
    <mergeCell ref="D97:F97"/>
    <mergeCell ref="D98:F98"/>
    <mergeCell ref="D99:F99"/>
    <mergeCell ref="D95:F95"/>
    <mergeCell ref="D96:F96"/>
    <mergeCell ref="D85:F85"/>
    <mergeCell ref="D74:F74"/>
    <mergeCell ref="D75:F75"/>
    <mergeCell ref="D76:F76"/>
    <mergeCell ref="D89:F89"/>
    <mergeCell ref="D77:F77"/>
    <mergeCell ref="D78:F78"/>
    <mergeCell ref="D79:F79"/>
    <mergeCell ref="D80:F80"/>
    <mergeCell ref="D83:F83"/>
    <mergeCell ref="D84:F84"/>
    <mergeCell ref="G556:AE556"/>
    <mergeCell ref="AF506:CG506"/>
    <mergeCell ref="AF507:CG507"/>
    <mergeCell ref="AF500:CG500"/>
    <mergeCell ref="AF501:CG501"/>
    <mergeCell ref="AF502:CG502"/>
    <mergeCell ref="AF503:CG503"/>
    <mergeCell ref="AF522:CG522"/>
    <mergeCell ref="AF523:CG523"/>
    <mergeCell ref="AF512:CG512"/>
    <mergeCell ref="AF513:CG513"/>
    <mergeCell ref="AF514:CG514"/>
    <mergeCell ref="AF515:CG515"/>
    <mergeCell ref="AF498:CG498"/>
    <mergeCell ref="AF499:CG499"/>
    <mergeCell ref="AF488:CG488"/>
    <mergeCell ref="D87:F87"/>
    <mergeCell ref="D88:F88"/>
    <mergeCell ref="D92:F92"/>
    <mergeCell ref="D93:F93"/>
    <mergeCell ref="D94:F94"/>
    <mergeCell ref="D90:F90"/>
    <mergeCell ref="D133:F133"/>
    <mergeCell ref="D134:F134"/>
    <mergeCell ref="D135:F135"/>
    <mergeCell ref="D136:F136"/>
    <mergeCell ref="D131:F131"/>
    <mergeCell ref="D132:F132"/>
    <mergeCell ref="D121:F121"/>
    <mergeCell ref="D122:F122"/>
    <mergeCell ref="D123:F123"/>
    <mergeCell ref="D124:F124"/>
    <mergeCell ref="AF526:CG526"/>
    <mergeCell ref="AF527:CG527"/>
    <mergeCell ref="AF520:CG520"/>
    <mergeCell ref="AF521:CG521"/>
    <mergeCell ref="D552:F552"/>
    <mergeCell ref="D542:F542"/>
    <mergeCell ref="D523:F523"/>
    <mergeCell ref="G525:AE525"/>
    <mergeCell ref="G532:AE532"/>
    <mergeCell ref="G534:AE534"/>
    <mergeCell ref="G535:AE535"/>
    <mergeCell ref="G553:AE553"/>
    <mergeCell ref="G551:AE551"/>
    <mergeCell ref="G554:AE554"/>
    <mergeCell ref="G527:AE527"/>
    <mergeCell ref="G529:AE529"/>
    <mergeCell ref="G533:AE533"/>
    <mergeCell ref="G536:AE536"/>
    <mergeCell ref="AF539:CG539"/>
    <mergeCell ref="AF546:CG546"/>
    <mergeCell ref="AF547:CG547"/>
    <mergeCell ref="AF548:CG548"/>
    <mergeCell ref="AF549:CG549"/>
    <mergeCell ref="AF540:CG540"/>
    <mergeCell ref="AF541:CG541"/>
    <mergeCell ref="AF543:CG543"/>
    <mergeCell ref="AF544:CG544"/>
    <mergeCell ref="AF542:CG542"/>
    <mergeCell ref="AF528:CG528"/>
    <mergeCell ref="AF529:CG529"/>
    <mergeCell ref="AF551:CG551"/>
    <mergeCell ref="AF530:CG530"/>
    <mergeCell ref="AF556:CG556"/>
    <mergeCell ref="AF552:CG552"/>
    <mergeCell ref="D549:F549"/>
    <mergeCell ref="D556:F556"/>
    <mergeCell ref="D553:F553"/>
    <mergeCell ref="D554:F554"/>
    <mergeCell ref="D555:F555"/>
    <mergeCell ref="D550:F550"/>
    <mergeCell ref="D551:F551"/>
    <mergeCell ref="AF553:CG553"/>
    <mergeCell ref="AF554:CG554"/>
    <mergeCell ref="AF555:CG555"/>
    <mergeCell ref="AF550:CG550"/>
    <mergeCell ref="D29:F29"/>
    <mergeCell ref="D30:F30"/>
    <mergeCell ref="D47:F47"/>
    <mergeCell ref="D48:F48"/>
    <mergeCell ref="D37:F37"/>
    <mergeCell ref="D38:F38"/>
    <mergeCell ref="D45:F45"/>
    <mergeCell ref="D46:F46"/>
    <mergeCell ref="D59:F59"/>
    <mergeCell ref="D60:F60"/>
    <mergeCell ref="D49:F49"/>
    <mergeCell ref="D50:F50"/>
    <mergeCell ref="D51:F51"/>
    <mergeCell ref="D52:F52"/>
    <mergeCell ref="D53:F53"/>
    <mergeCell ref="AF516:CG516"/>
    <mergeCell ref="AF517:CG517"/>
    <mergeCell ref="AF504:CG504"/>
    <mergeCell ref="AF505:CG505"/>
    <mergeCell ref="AF508:CG508"/>
    <mergeCell ref="AF509:CG509"/>
    <mergeCell ref="AF518:CG518"/>
    <mergeCell ref="AF519:CG519"/>
    <mergeCell ref="AF534:CG534"/>
    <mergeCell ref="AF535:CG535"/>
    <mergeCell ref="AF524:CG524"/>
    <mergeCell ref="AF525:CG525"/>
    <mergeCell ref="D43:F43"/>
    <mergeCell ref="D44:F44"/>
    <mergeCell ref="D39:F39"/>
    <mergeCell ref="D25:F25"/>
    <mergeCell ref="D26:F26"/>
    <mergeCell ref="D27:F27"/>
    <mergeCell ref="D28:F28"/>
    <mergeCell ref="D36:F36"/>
    <mergeCell ref="D31:F31"/>
    <mergeCell ref="D32:F32"/>
    <mergeCell ref="D33:F33"/>
    <mergeCell ref="D34:F34"/>
    <mergeCell ref="AF510:CG510"/>
    <mergeCell ref="AF511:CG511"/>
    <mergeCell ref="D64:F64"/>
    <mergeCell ref="D65:F65"/>
    <mergeCell ref="D66:F66"/>
    <mergeCell ref="D71:F71"/>
    <mergeCell ref="D69:F69"/>
    <mergeCell ref="D70:F70"/>
    <mergeCell ref="D67:F67"/>
    <mergeCell ref="D68:F68"/>
    <mergeCell ref="D54:F54"/>
    <mergeCell ref="D61:F61"/>
    <mergeCell ref="AF531:CG531"/>
    <mergeCell ref="AF532:CG532"/>
    <mergeCell ref="AF533:CG533"/>
    <mergeCell ref="AF536:CG536"/>
    <mergeCell ref="AF537:CG537"/>
    <mergeCell ref="AF538:CG538"/>
    <mergeCell ref="AF545:CG545"/>
    <mergeCell ref="AF489:CG489"/>
    <mergeCell ref="AF490:CG490"/>
    <mergeCell ref="AF491:CG491"/>
    <mergeCell ref="AF494:CG494"/>
    <mergeCell ref="AF495:CG495"/>
    <mergeCell ref="AF496:CG496"/>
    <mergeCell ref="AF497:CG497"/>
    <mergeCell ref="AF474:CG474"/>
    <mergeCell ref="AF475:CG475"/>
    <mergeCell ref="AF470:CG470"/>
    <mergeCell ref="AF471:CG471"/>
    <mergeCell ref="AF472:CG472"/>
    <mergeCell ref="AF473:CG473"/>
    <mergeCell ref="AF480:CG480"/>
    <mergeCell ref="AF481:CG481"/>
    <mergeCell ref="AF492:CG492"/>
    <mergeCell ref="AF493:CG493"/>
    <mergeCell ref="AF486:CG486"/>
    <mergeCell ref="AF487:CG487"/>
    <mergeCell ref="AF482:CG482"/>
    <mergeCell ref="AF483:CG483"/>
    <mergeCell ref="AF484:CG484"/>
    <mergeCell ref="AF485:CG485"/>
    <mergeCell ref="AF476:CG476"/>
    <mergeCell ref="AF477:CG477"/>
    <mergeCell ref="AF478:CG478"/>
    <mergeCell ref="AF479:CG479"/>
    <mergeCell ref="AF460:CG460"/>
    <mergeCell ref="AF461:CG461"/>
    <mergeCell ref="AF464:CG464"/>
    <mergeCell ref="AF465:CG465"/>
    <mergeCell ref="AF468:CG468"/>
    <mergeCell ref="AF469:CG469"/>
    <mergeCell ref="AF466:CG466"/>
    <mergeCell ref="AF467:CG467"/>
    <mergeCell ref="AF446:CG446"/>
    <mergeCell ref="AF447:CG447"/>
    <mergeCell ref="AF462:CG462"/>
    <mergeCell ref="AF463:CG463"/>
    <mergeCell ref="AF452:CG452"/>
    <mergeCell ref="AF453:CG453"/>
    <mergeCell ref="AF458:CG458"/>
    <mergeCell ref="AF459:CG459"/>
    <mergeCell ref="AF456:CG456"/>
    <mergeCell ref="AF457:CG457"/>
    <mergeCell ref="AF407:CG407"/>
    <mergeCell ref="AF412:CG412"/>
    <mergeCell ref="AF413:CG413"/>
    <mergeCell ref="AF410:CG410"/>
    <mergeCell ref="AF411:CG411"/>
    <mergeCell ref="AF444:CG444"/>
    <mergeCell ref="AF445:CG445"/>
    <mergeCell ref="AF454:CG454"/>
    <mergeCell ref="AF455:CG455"/>
    <mergeCell ref="AF448:CG448"/>
    <mergeCell ref="AF449:CG449"/>
    <mergeCell ref="AF450:CG450"/>
    <mergeCell ref="AF451:CG451"/>
    <mergeCell ref="AF440:CG440"/>
    <mergeCell ref="AF441:CG441"/>
    <mergeCell ref="AF442:CG442"/>
    <mergeCell ref="AF443:CG443"/>
    <mergeCell ref="AF439:CG439"/>
    <mergeCell ref="AF424:CG424"/>
    <mergeCell ref="AF425:CG425"/>
    <mergeCell ref="AF432:CG432"/>
    <mergeCell ref="AF433:CG433"/>
    <mergeCell ref="AF434:CG434"/>
    <mergeCell ref="AF435:CG435"/>
    <mergeCell ref="AF426:CG426"/>
    <mergeCell ref="AF427:CG427"/>
    <mergeCell ref="AF428:CG428"/>
    <mergeCell ref="AF429:CG429"/>
    <mergeCell ref="AF430:CG430"/>
    <mergeCell ref="AF431:CG431"/>
    <mergeCell ref="B436:CG436"/>
    <mergeCell ref="D437:CG437"/>
    <mergeCell ref="B556:C556"/>
    <mergeCell ref="AF385:CG385"/>
    <mergeCell ref="AF386:CG386"/>
    <mergeCell ref="AF387:CG387"/>
    <mergeCell ref="AF388:CG388"/>
    <mergeCell ref="AF389:CG389"/>
    <mergeCell ref="AF390:CG390"/>
    <mergeCell ref="AF391:CG391"/>
    <mergeCell ref="B538:C538"/>
    <mergeCell ref="B539:C539"/>
    <mergeCell ref="B544:C544"/>
    <mergeCell ref="B545:C545"/>
    <mergeCell ref="B548:C548"/>
    <mergeCell ref="B549:C549"/>
    <mergeCell ref="B546:C546"/>
    <mergeCell ref="B547:C547"/>
    <mergeCell ref="B540:C540"/>
    <mergeCell ref="B541:C541"/>
    <mergeCell ref="B554:C554"/>
    <mergeCell ref="B555:C555"/>
    <mergeCell ref="B550:C550"/>
    <mergeCell ref="B551:C551"/>
    <mergeCell ref="B552:C552"/>
    <mergeCell ref="B553:C553"/>
    <mergeCell ref="B542:C542"/>
    <mergeCell ref="B543:C543"/>
    <mergeCell ref="AF408:CG408"/>
    <mergeCell ref="AF409:CG409"/>
    <mergeCell ref="AF420:CG420"/>
    <mergeCell ref="AF421:CG421"/>
    <mergeCell ref="AF422:CG422"/>
    <mergeCell ref="AF423:CG423"/>
    <mergeCell ref="B536:C536"/>
    <mergeCell ref="B537:C537"/>
    <mergeCell ref="B530:C530"/>
    <mergeCell ref="B531:C531"/>
    <mergeCell ref="B532:C532"/>
    <mergeCell ref="B533:C533"/>
    <mergeCell ref="B534:C534"/>
    <mergeCell ref="B535:C535"/>
    <mergeCell ref="B528:C528"/>
    <mergeCell ref="B529:C529"/>
    <mergeCell ref="B526:C526"/>
    <mergeCell ref="B527:C527"/>
    <mergeCell ref="B512:C512"/>
    <mergeCell ref="B513:C513"/>
    <mergeCell ref="B520:C520"/>
    <mergeCell ref="B521:C521"/>
    <mergeCell ref="B518:C518"/>
    <mergeCell ref="B519:C519"/>
    <mergeCell ref="B483:C483"/>
    <mergeCell ref="B484:C484"/>
    <mergeCell ref="B485:C485"/>
    <mergeCell ref="B510:C510"/>
    <mergeCell ref="B511:C511"/>
    <mergeCell ref="B524:C524"/>
    <mergeCell ref="B525:C525"/>
    <mergeCell ref="B514:C514"/>
    <mergeCell ref="B515:C515"/>
    <mergeCell ref="B522:C522"/>
    <mergeCell ref="B523:C523"/>
    <mergeCell ref="B500:C500"/>
    <mergeCell ref="B501:C501"/>
    <mergeCell ref="B502:C502"/>
    <mergeCell ref="B503:C503"/>
    <mergeCell ref="B516:C516"/>
    <mergeCell ref="B517:C517"/>
    <mergeCell ref="B506:C506"/>
    <mergeCell ref="B507:C507"/>
    <mergeCell ref="B508:C508"/>
    <mergeCell ref="B509:C509"/>
    <mergeCell ref="B504:C504"/>
    <mergeCell ref="B505:C505"/>
    <mergeCell ref="B450:C450"/>
    <mergeCell ref="B451:C451"/>
    <mergeCell ref="B478:C478"/>
    <mergeCell ref="B494:C494"/>
    <mergeCell ref="B495:C495"/>
    <mergeCell ref="B496:C496"/>
    <mergeCell ref="B497:C497"/>
    <mergeCell ref="B498:C498"/>
    <mergeCell ref="B499:C499"/>
    <mergeCell ref="B492:C492"/>
    <mergeCell ref="B493:C493"/>
    <mergeCell ref="B490:C490"/>
    <mergeCell ref="B491:C491"/>
    <mergeCell ref="B486:C486"/>
    <mergeCell ref="B487:C487"/>
    <mergeCell ref="B466:C466"/>
    <mergeCell ref="B467:C467"/>
    <mergeCell ref="B480:C480"/>
    <mergeCell ref="B481:C481"/>
    <mergeCell ref="B470:C470"/>
    <mergeCell ref="B471:C471"/>
    <mergeCell ref="B472:C472"/>
    <mergeCell ref="B473:C473"/>
    <mergeCell ref="B476:C476"/>
    <mergeCell ref="B477:C477"/>
    <mergeCell ref="B474:C474"/>
    <mergeCell ref="B475:C475"/>
    <mergeCell ref="B468:C468"/>
    <mergeCell ref="B469:C469"/>
    <mergeCell ref="B488:C488"/>
    <mergeCell ref="B489:C489"/>
    <mergeCell ref="B482:C482"/>
    <mergeCell ref="B479:C479"/>
    <mergeCell ref="B430:C430"/>
    <mergeCell ref="B431:C431"/>
    <mergeCell ref="B444:C444"/>
    <mergeCell ref="B445:C445"/>
    <mergeCell ref="B434:C434"/>
    <mergeCell ref="B435:C435"/>
    <mergeCell ref="B440:C440"/>
    <mergeCell ref="B441:C441"/>
    <mergeCell ref="B439:C439"/>
    <mergeCell ref="B432:C432"/>
    <mergeCell ref="B433:C433"/>
    <mergeCell ref="B452:C452"/>
    <mergeCell ref="B453:C453"/>
    <mergeCell ref="B446:C446"/>
    <mergeCell ref="B447:C447"/>
    <mergeCell ref="B448:C448"/>
    <mergeCell ref="B449:C449"/>
    <mergeCell ref="B442:C442"/>
    <mergeCell ref="B443:C443"/>
    <mergeCell ref="B462:C462"/>
    <mergeCell ref="B463:C463"/>
    <mergeCell ref="B464:C464"/>
    <mergeCell ref="B465:C465"/>
    <mergeCell ref="B458:C458"/>
    <mergeCell ref="B459:C459"/>
    <mergeCell ref="B460:C460"/>
    <mergeCell ref="B461:C461"/>
    <mergeCell ref="B456:C456"/>
    <mergeCell ref="B457:C457"/>
    <mergeCell ref="B454:C454"/>
    <mergeCell ref="B455:C455"/>
    <mergeCell ref="B420:C420"/>
    <mergeCell ref="B421:C421"/>
    <mergeCell ref="B418:C418"/>
    <mergeCell ref="B419:C419"/>
    <mergeCell ref="B400:C400"/>
    <mergeCell ref="B401:C401"/>
    <mergeCell ref="B402:C402"/>
    <mergeCell ref="B403:C403"/>
    <mergeCell ref="B412:C412"/>
    <mergeCell ref="B413:C413"/>
    <mergeCell ref="B416:C416"/>
    <mergeCell ref="B417:C417"/>
    <mergeCell ref="B404:C404"/>
    <mergeCell ref="B405:C405"/>
    <mergeCell ref="B406:C406"/>
    <mergeCell ref="B407:C407"/>
    <mergeCell ref="B414:C414"/>
    <mergeCell ref="B415:C415"/>
    <mergeCell ref="B410:C410"/>
    <mergeCell ref="B411:C411"/>
    <mergeCell ref="D394:F394"/>
    <mergeCell ref="D395:F395"/>
    <mergeCell ref="D398:F398"/>
    <mergeCell ref="D399:F399"/>
    <mergeCell ref="D388:F388"/>
    <mergeCell ref="D389:F389"/>
    <mergeCell ref="AF396:CG396"/>
    <mergeCell ref="AF397:CG397"/>
    <mergeCell ref="AF392:CG392"/>
    <mergeCell ref="AF393:CG393"/>
    <mergeCell ref="AF394:CG394"/>
    <mergeCell ref="AF395:CG395"/>
    <mergeCell ref="D386:F386"/>
    <mergeCell ref="D387:F387"/>
    <mergeCell ref="B408:C408"/>
    <mergeCell ref="B409:C409"/>
    <mergeCell ref="B426:C426"/>
    <mergeCell ref="AF416:CG416"/>
    <mergeCell ref="AF417:CG417"/>
    <mergeCell ref="AF418:CG418"/>
    <mergeCell ref="AF419:CG419"/>
    <mergeCell ref="AF398:CG398"/>
    <mergeCell ref="AF399:CG399"/>
    <mergeCell ref="AF400:CG400"/>
    <mergeCell ref="AF401:CG401"/>
    <mergeCell ref="AF402:CG402"/>
    <mergeCell ref="AF403:CG403"/>
    <mergeCell ref="AF414:CG414"/>
    <mergeCell ref="AF415:CG415"/>
    <mergeCell ref="AF404:CG404"/>
    <mergeCell ref="AF405:CG405"/>
    <mergeCell ref="AF406:CG406"/>
    <mergeCell ref="G358:AE358"/>
    <mergeCell ref="D360:F360"/>
    <mergeCell ref="D368:F368"/>
    <mergeCell ref="D365:F365"/>
    <mergeCell ref="AF352:CG352"/>
    <mergeCell ref="AF356:CG356"/>
    <mergeCell ref="AF357:CG357"/>
    <mergeCell ref="AF353:CG353"/>
    <mergeCell ref="AF355:CG355"/>
    <mergeCell ref="AF354:CG354"/>
    <mergeCell ref="G359:AE359"/>
    <mergeCell ref="G360:AE360"/>
    <mergeCell ref="B364:C364"/>
    <mergeCell ref="D362:F362"/>
    <mergeCell ref="B395:C395"/>
    <mergeCell ref="B398:C398"/>
    <mergeCell ref="B399:C399"/>
    <mergeCell ref="B396:C396"/>
    <mergeCell ref="B397:C397"/>
    <mergeCell ref="B390:C390"/>
    <mergeCell ref="B391:C391"/>
    <mergeCell ref="B392:C392"/>
    <mergeCell ref="B393:C393"/>
    <mergeCell ref="B388:C388"/>
    <mergeCell ref="B389:C389"/>
    <mergeCell ref="B384:C384"/>
    <mergeCell ref="AF384:CG384"/>
    <mergeCell ref="D384:F384"/>
    <mergeCell ref="B394:C394"/>
    <mergeCell ref="G387:AE387"/>
    <mergeCell ref="G388:AE388"/>
    <mergeCell ref="G391:AE391"/>
    <mergeCell ref="D385:F385"/>
    <mergeCell ref="G356:AE356"/>
    <mergeCell ref="G354:AE354"/>
    <mergeCell ref="D361:F361"/>
    <mergeCell ref="G375:AE375"/>
    <mergeCell ref="D357:F357"/>
    <mergeCell ref="G376:AE376"/>
    <mergeCell ref="B381:C381"/>
    <mergeCell ref="AF381:CG381"/>
    <mergeCell ref="D375:F375"/>
    <mergeCell ref="D382:F382"/>
    <mergeCell ref="G382:AE382"/>
    <mergeCell ref="G383:AE383"/>
    <mergeCell ref="G384:AE384"/>
    <mergeCell ref="D355:F355"/>
    <mergeCell ref="AF366:CG366"/>
    <mergeCell ref="B354:C354"/>
    <mergeCell ref="D364:F364"/>
    <mergeCell ref="G364:AE364"/>
    <mergeCell ref="G365:AE365"/>
    <mergeCell ref="D358:F358"/>
    <mergeCell ref="D373:F373"/>
    <mergeCell ref="B373:C373"/>
    <mergeCell ref="B368:C368"/>
    <mergeCell ref="G374:AE374"/>
    <mergeCell ref="G370:AE370"/>
    <mergeCell ref="G371:AE371"/>
    <mergeCell ref="G372:AE372"/>
    <mergeCell ref="B369:C369"/>
    <mergeCell ref="B371:C371"/>
    <mergeCell ref="AF367:CG367"/>
    <mergeCell ref="D356:F356"/>
    <mergeCell ref="B387:C387"/>
    <mergeCell ref="D383:F383"/>
    <mergeCell ref="AF382:CG382"/>
    <mergeCell ref="B383:C383"/>
    <mergeCell ref="AF383:CG383"/>
    <mergeCell ref="AF370:CG370"/>
    <mergeCell ref="B375:C375"/>
    <mergeCell ref="D374:F374"/>
    <mergeCell ref="G369:AE369"/>
    <mergeCell ref="D372:F372"/>
    <mergeCell ref="D370:F370"/>
    <mergeCell ref="G373:AE373"/>
    <mergeCell ref="D371:F371"/>
    <mergeCell ref="G362:AE362"/>
    <mergeCell ref="AF359:CG359"/>
    <mergeCell ref="G385:AE385"/>
    <mergeCell ref="G386:AE386"/>
    <mergeCell ref="B376:C376"/>
    <mergeCell ref="B377:C377"/>
    <mergeCell ref="AF377:CG377"/>
    <mergeCell ref="AF376:CG376"/>
    <mergeCell ref="D369:F369"/>
    <mergeCell ref="B380:C380"/>
    <mergeCell ref="AF380:CG380"/>
    <mergeCell ref="B363:C363"/>
    <mergeCell ref="D363:F363"/>
    <mergeCell ref="B362:C362"/>
    <mergeCell ref="B370:C370"/>
    <mergeCell ref="B374:C374"/>
    <mergeCell ref="B372:C372"/>
    <mergeCell ref="B385:C385"/>
    <mergeCell ref="B382:C382"/>
    <mergeCell ref="AF365:CG365"/>
    <mergeCell ref="AF371:CG371"/>
    <mergeCell ref="AF364:CG364"/>
    <mergeCell ref="AF368:CG368"/>
    <mergeCell ref="AF372:CG372"/>
    <mergeCell ref="AF369:CG369"/>
    <mergeCell ref="AF363:CG363"/>
    <mergeCell ref="AF358:CG358"/>
    <mergeCell ref="AF360:CG360"/>
    <mergeCell ref="AF361:CG361"/>
    <mergeCell ref="D341:F341"/>
    <mergeCell ref="D342:F342"/>
    <mergeCell ref="D343:F343"/>
    <mergeCell ref="D344:F344"/>
    <mergeCell ref="B352:C352"/>
    <mergeCell ref="B353:C353"/>
    <mergeCell ref="B346:C346"/>
    <mergeCell ref="G355:AE355"/>
    <mergeCell ref="G366:AE366"/>
    <mergeCell ref="D366:F366"/>
    <mergeCell ref="G357:AE357"/>
    <mergeCell ref="G361:AE361"/>
    <mergeCell ref="D359:F359"/>
    <mergeCell ref="G341:AE341"/>
    <mergeCell ref="G342:AE342"/>
    <mergeCell ref="G347:AE347"/>
    <mergeCell ref="G348:AE348"/>
    <mergeCell ref="G343:AE343"/>
    <mergeCell ref="G344:AE344"/>
    <mergeCell ref="G345:AE345"/>
    <mergeCell ref="G346:AE346"/>
    <mergeCell ref="AF351:CG351"/>
    <mergeCell ref="AF334:CG334"/>
    <mergeCell ref="AF339:CG339"/>
    <mergeCell ref="AF340:CG340"/>
    <mergeCell ref="AF341:CG341"/>
    <mergeCell ref="AF342:CG342"/>
    <mergeCell ref="AF323:CG323"/>
    <mergeCell ref="AF324:CG324"/>
    <mergeCell ref="AF335:CG335"/>
    <mergeCell ref="AF336:CG336"/>
    <mergeCell ref="AF329:CG329"/>
    <mergeCell ref="AF330:CG330"/>
    <mergeCell ref="AF331:CG331"/>
    <mergeCell ref="AF332:CG332"/>
    <mergeCell ref="AF325:CG325"/>
    <mergeCell ref="AF326:CG326"/>
    <mergeCell ref="AF337:CG337"/>
    <mergeCell ref="AF338:CG338"/>
    <mergeCell ref="AF293:CG293"/>
    <mergeCell ref="AF294:CG294"/>
    <mergeCell ref="AF307:CG307"/>
    <mergeCell ref="AF308:CG308"/>
    <mergeCell ref="AF297:CG297"/>
    <mergeCell ref="AF298:CG298"/>
    <mergeCell ref="AF299:CG299"/>
    <mergeCell ref="AF300:CG300"/>
    <mergeCell ref="AF301:CG301"/>
    <mergeCell ref="AF302:CG302"/>
    <mergeCell ref="AF295:CG295"/>
    <mergeCell ref="AF296:CG296"/>
    <mergeCell ref="AF285:CG285"/>
    <mergeCell ref="AF286:CG286"/>
    <mergeCell ref="AF287:CG287"/>
    <mergeCell ref="AF288:CG288"/>
    <mergeCell ref="AF289:CG289"/>
    <mergeCell ref="AF290:CG290"/>
    <mergeCell ref="AF291:CG291"/>
    <mergeCell ref="AF292:CG292"/>
    <mergeCell ref="AF303:CG303"/>
    <mergeCell ref="AF304:CG304"/>
    <mergeCell ref="AF305:CG305"/>
    <mergeCell ref="AF306:CG306"/>
    <mergeCell ref="AF283:CG283"/>
    <mergeCell ref="AF284:CG284"/>
    <mergeCell ref="AF281:CG281"/>
    <mergeCell ref="AF282:CG282"/>
    <mergeCell ref="AF266:CG266"/>
    <mergeCell ref="AF267:CG267"/>
    <mergeCell ref="AF268:CG268"/>
    <mergeCell ref="AF269:CG269"/>
    <mergeCell ref="AF277:CG277"/>
    <mergeCell ref="AF278:CG278"/>
    <mergeCell ref="AF257:CG257"/>
    <mergeCell ref="AF258:CG258"/>
    <mergeCell ref="AF271:CG271"/>
    <mergeCell ref="AF270:CG270"/>
    <mergeCell ref="AF272:CG272"/>
    <mergeCell ref="AF261:CG261"/>
    <mergeCell ref="AF262:CG262"/>
    <mergeCell ref="AF263:CG263"/>
    <mergeCell ref="AF264:CG264"/>
    <mergeCell ref="AF265:CG265"/>
    <mergeCell ref="AF259:CG259"/>
    <mergeCell ref="AF260:CG260"/>
    <mergeCell ref="AF279:CG279"/>
    <mergeCell ref="AF280:CG280"/>
    <mergeCell ref="AF273:CG273"/>
    <mergeCell ref="AF274:CG274"/>
    <mergeCell ref="AF275:CG275"/>
    <mergeCell ref="AF276:CG276"/>
    <mergeCell ref="AF254:CG254"/>
    <mergeCell ref="AF255:CG255"/>
    <mergeCell ref="AF256:CG256"/>
    <mergeCell ref="AF249:CG249"/>
    <mergeCell ref="AF250:CG250"/>
    <mergeCell ref="AF251:CG251"/>
    <mergeCell ref="AF252:CG252"/>
    <mergeCell ref="AF235:CG235"/>
    <mergeCell ref="AF231:CG231"/>
    <mergeCell ref="AF232:CG232"/>
    <mergeCell ref="AF233:CG233"/>
    <mergeCell ref="AF234:CG234"/>
    <mergeCell ref="AF236:CG236"/>
    <mergeCell ref="AF245:CG245"/>
    <mergeCell ref="AF243:CG243"/>
    <mergeCell ref="AF244:CG244"/>
    <mergeCell ref="AF241:CG241"/>
    <mergeCell ref="AF242:CG242"/>
    <mergeCell ref="AF247:CG247"/>
    <mergeCell ref="AF248:CG248"/>
    <mergeCell ref="AF237:CG237"/>
    <mergeCell ref="AF238:CG238"/>
    <mergeCell ref="AF239:CG239"/>
    <mergeCell ref="AF240:CG240"/>
    <mergeCell ref="AF246:CG246"/>
    <mergeCell ref="B328:C328"/>
    <mergeCell ref="B329:C329"/>
    <mergeCell ref="B330:C330"/>
    <mergeCell ref="B331:C331"/>
    <mergeCell ref="B290:C290"/>
    <mergeCell ref="B291:C291"/>
    <mergeCell ref="B308:C308"/>
    <mergeCell ref="B309:C309"/>
    <mergeCell ref="B310:C310"/>
    <mergeCell ref="B311:C311"/>
    <mergeCell ref="B304:C304"/>
    <mergeCell ref="B347:C347"/>
    <mergeCell ref="B360:C360"/>
    <mergeCell ref="B361:C361"/>
    <mergeCell ref="B355:C355"/>
    <mergeCell ref="B358:C358"/>
    <mergeCell ref="B359:C359"/>
    <mergeCell ref="B356:C356"/>
    <mergeCell ref="B357:C357"/>
    <mergeCell ref="B350:C350"/>
    <mergeCell ref="B324:C324"/>
    <mergeCell ref="B325:C325"/>
    <mergeCell ref="B348:C348"/>
    <mergeCell ref="B349:C349"/>
    <mergeCell ref="B340:C340"/>
    <mergeCell ref="B341:C341"/>
    <mergeCell ref="B342:C342"/>
    <mergeCell ref="B343:C343"/>
    <mergeCell ref="B344:C344"/>
    <mergeCell ref="B345:C345"/>
    <mergeCell ref="B338:C338"/>
    <mergeCell ref="B339:C339"/>
    <mergeCell ref="B300:C300"/>
    <mergeCell ref="B301:C301"/>
    <mergeCell ref="B288:C288"/>
    <mergeCell ref="B289:C289"/>
    <mergeCell ref="B287:C287"/>
    <mergeCell ref="B280:C280"/>
    <mergeCell ref="B281:C281"/>
    <mergeCell ref="B282:C282"/>
    <mergeCell ref="B283:C283"/>
    <mergeCell ref="B284:C284"/>
    <mergeCell ref="B286:C286"/>
    <mergeCell ref="AF253:CG253"/>
    <mergeCell ref="B336:C336"/>
    <mergeCell ref="B337:C337"/>
    <mergeCell ref="B332:C332"/>
    <mergeCell ref="B333:C333"/>
    <mergeCell ref="B312:C312"/>
    <mergeCell ref="B313:C313"/>
    <mergeCell ref="B326:C326"/>
    <mergeCell ref="B327:C327"/>
    <mergeCell ref="B316:C316"/>
    <mergeCell ref="B317:C317"/>
    <mergeCell ref="B318:C318"/>
    <mergeCell ref="B319:C319"/>
    <mergeCell ref="B322:C322"/>
    <mergeCell ref="B323:C323"/>
    <mergeCell ref="B320:C320"/>
    <mergeCell ref="B321:C321"/>
    <mergeCell ref="B314:C314"/>
    <mergeCell ref="B315:C315"/>
    <mergeCell ref="B334:C334"/>
    <mergeCell ref="B335:C335"/>
    <mergeCell ref="B253:C253"/>
    <mergeCell ref="B252:C252"/>
    <mergeCell ref="B266:C266"/>
    <mergeCell ref="B265:C265"/>
    <mergeCell ref="B255:C255"/>
    <mergeCell ref="G596:AE596"/>
    <mergeCell ref="G597:AE597"/>
    <mergeCell ref="D579:F579"/>
    <mergeCell ref="G579:AE579"/>
    <mergeCell ref="D573:F573"/>
    <mergeCell ref="D547:F547"/>
    <mergeCell ref="D543:F543"/>
    <mergeCell ref="D516:F516"/>
    <mergeCell ref="D548:F548"/>
    <mergeCell ref="D575:F575"/>
    <mergeCell ref="D576:F576"/>
    <mergeCell ref="G576:AE576"/>
    <mergeCell ref="B305:C305"/>
    <mergeCell ref="B306:C306"/>
    <mergeCell ref="B307:C307"/>
    <mergeCell ref="B296:C296"/>
    <mergeCell ref="B297:C297"/>
    <mergeCell ref="B292:C292"/>
    <mergeCell ref="B293:C293"/>
    <mergeCell ref="B294:C294"/>
    <mergeCell ref="B295:C295"/>
    <mergeCell ref="B274:C274"/>
    <mergeCell ref="B275:C275"/>
    <mergeCell ref="B298:C298"/>
    <mergeCell ref="B299:C299"/>
    <mergeCell ref="B302:C302"/>
    <mergeCell ref="B303:C303"/>
    <mergeCell ref="B243:C243"/>
    <mergeCell ref="B240:C240"/>
    <mergeCell ref="G605:AE605"/>
    <mergeCell ref="G595:AE595"/>
    <mergeCell ref="D597:F597"/>
    <mergeCell ref="D596:F596"/>
    <mergeCell ref="D604:F604"/>
    <mergeCell ref="G604:AE604"/>
    <mergeCell ref="D603:F603"/>
    <mergeCell ref="D605:F605"/>
    <mergeCell ref="D584:F584"/>
    <mergeCell ref="G584:AE584"/>
    <mergeCell ref="G589:AE589"/>
    <mergeCell ref="D588:F588"/>
    <mergeCell ref="D595:F595"/>
    <mergeCell ref="D593:F593"/>
    <mergeCell ref="G593:AE593"/>
    <mergeCell ref="G588:AE588"/>
    <mergeCell ref="D585:F585"/>
    <mergeCell ref="G591:AE591"/>
    <mergeCell ref="B264:C264"/>
    <mergeCell ref="B267:C267"/>
    <mergeCell ref="B272:C272"/>
    <mergeCell ref="B285:C285"/>
    <mergeCell ref="B278:C278"/>
    <mergeCell ref="B279:C279"/>
    <mergeCell ref="B268:C268"/>
    <mergeCell ref="B269:C269"/>
    <mergeCell ref="B270:C270"/>
    <mergeCell ref="B271:C271"/>
    <mergeCell ref="B251:C251"/>
    <mergeCell ref="B260:C260"/>
    <mergeCell ref="D518:F518"/>
    <mergeCell ref="D519:F519"/>
    <mergeCell ref="B247:C247"/>
    <mergeCell ref="B248:C248"/>
    <mergeCell ref="B249:C249"/>
    <mergeCell ref="B250:C250"/>
    <mergeCell ref="B256:C256"/>
    <mergeCell ref="B276:C276"/>
    <mergeCell ref="B277:C277"/>
    <mergeCell ref="B273:C273"/>
    <mergeCell ref="B262:C262"/>
    <mergeCell ref="B261:C261"/>
    <mergeCell ref="B263:C263"/>
    <mergeCell ref="B218:C218"/>
    <mergeCell ref="B216:C216"/>
    <mergeCell ref="B223:C223"/>
    <mergeCell ref="B219:C219"/>
    <mergeCell ref="B235:C235"/>
    <mergeCell ref="B237:C237"/>
    <mergeCell ref="B254:C254"/>
    <mergeCell ref="B244:C244"/>
    <mergeCell ref="B245:C245"/>
    <mergeCell ref="B246:C246"/>
    <mergeCell ref="B257:C257"/>
    <mergeCell ref="B258:C258"/>
    <mergeCell ref="B259:C259"/>
    <mergeCell ref="B233:C233"/>
    <mergeCell ref="B234:C234"/>
    <mergeCell ref="B238:C238"/>
    <mergeCell ref="B239:C239"/>
    <mergeCell ref="B236:C236"/>
    <mergeCell ref="B242:C242"/>
    <mergeCell ref="G528:AE528"/>
    <mergeCell ref="G530:AE530"/>
    <mergeCell ref="G531:AE531"/>
    <mergeCell ref="D528:F528"/>
    <mergeCell ref="D529:F529"/>
    <mergeCell ref="D531:F531"/>
    <mergeCell ref="B241:C241"/>
    <mergeCell ref="B210:C210"/>
    <mergeCell ref="B211:C211"/>
    <mergeCell ref="B212:C212"/>
    <mergeCell ref="B208:C208"/>
    <mergeCell ref="B215:C215"/>
    <mergeCell ref="D544:F544"/>
    <mergeCell ref="B224:C224"/>
    <mergeCell ref="B225:C225"/>
    <mergeCell ref="B217:C217"/>
    <mergeCell ref="B232:C232"/>
    <mergeCell ref="B226:C226"/>
    <mergeCell ref="B213:C213"/>
    <mergeCell ref="B214:C214"/>
    <mergeCell ref="D517:F517"/>
    <mergeCell ref="D515:F515"/>
    <mergeCell ref="D513:F513"/>
    <mergeCell ref="D514:F514"/>
    <mergeCell ref="B209:C209"/>
    <mergeCell ref="B231:C231"/>
    <mergeCell ref="B220:C220"/>
    <mergeCell ref="B221:C221"/>
    <mergeCell ref="B222:C222"/>
    <mergeCell ref="D511:F511"/>
    <mergeCell ref="D512:F512"/>
    <mergeCell ref="D510:F510"/>
    <mergeCell ref="D546:F546"/>
    <mergeCell ref="D532:F532"/>
    <mergeCell ref="D533:F533"/>
    <mergeCell ref="D535:F535"/>
    <mergeCell ref="D540:F540"/>
    <mergeCell ref="D541:F541"/>
    <mergeCell ref="D539:F539"/>
    <mergeCell ref="D538:F538"/>
    <mergeCell ref="D534:F534"/>
    <mergeCell ref="D536:F536"/>
    <mergeCell ref="D520:F520"/>
    <mergeCell ref="D545:F545"/>
    <mergeCell ref="D524:F524"/>
    <mergeCell ref="D525:F525"/>
    <mergeCell ref="D537:F537"/>
    <mergeCell ref="D530:F530"/>
    <mergeCell ref="D526:F526"/>
    <mergeCell ref="D527:F527"/>
    <mergeCell ref="D521:F521"/>
    <mergeCell ref="D522:F522"/>
    <mergeCell ref="D460:F460"/>
    <mergeCell ref="D461:F461"/>
    <mergeCell ref="D452:F452"/>
    <mergeCell ref="D453:F453"/>
    <mergeCell ref="D454:F454"/>
    <mergeCell ref="D455:F455"/>
    <mergeCell ref="D456:F456"/>
    <mergeCell ref="D457:F457"/>
    <mergeCell ref="D458:F458"/>
    <mergeCell ref="D459:F459"/>
    <mergeCell ref="G454:AE454"/>
    <mergeCell ref="G455:AE455"/>
    <mergeCell ref="D448:F448"/>
    <mergeCell ref="D449:F449"/>
    <mergeCell ref="D450:F450"/>
    <mergeCell ref="D451:F451"/>
    <mergeCell ref="G448:AE448"/>
    <mergeCell ref="G459:AE459"/>
    <mergeCell ref="G460:AE460"/>
    <mergeCell ref="G456:AE456"/>
    <mergeCell ref="G457:AE457"/>
    <mergeCell ref="G445:AE445"/>
    <mergeCell ref="G446:AE446"/>
    <mergeCell ref="G447:AE447"/>
    <mergeCell ref="D432:F432"/>
    <mergeCell ref="G441:AE441"/>
    <mergeCell ref="D441:F441"/>
    <mergeCell ref="D404:F404"/>
    <mergeCell ref="D405:F405"/>
    <mergeCell ref="D406:F406"/>
    <mergeCell ref="D407:F407"/>
    <mergeCell ref="D408:F408"/>
    <mergeCell ref="G404:AE404"/>
    <mergeCell ref="G405:AE405"/>
    <mergeCell ref="G410:AE410"/>
    <mergeCell ref="G411:AE411"/>
    <mergeCell ref="G406:AE406"/>
    <mergeCell ref="G407:AE407"/>
    <mergeCell ref="G408:AE408"/>
    <mergeCell ref="G409:AE409"/>
    <mergeCell ref="D420:F420"/>
    <mergeCell ref="D421:F421"/>
    <mergeCell ref="D422:F422"/>
    <mergeCell ref="B438:CG438"/>
    <mergeCell ref="D439:AE439"/>
    <mergeCell ref="D413:F413"/>
    <mergeCell ref="B427:C427"/>
    <mergeCell ref="B428:C428"/>
    <mergeCell ref="B429:C429"/>
    <mergeCell ref="B422:C422"/>
    <mergeCell ref="B423:C423"/>
    <mergeCell ref="B424:C424"/>
    <mergeCell ref="B425:C425"/>
    <mergeCell ref="B351:C351"/>
    <mergeCell ref="G367:AE367"/>
    <mergeCell ref="G368:AE368"/>
    <mergeCell ref="B365:C365"/>
    <mergeCell ref="B366:C366"/>
    <mergeCell ref="B367:C367"/>
    <mergeCell ref="D367:F367"/>
    <mergeCell ref="G418:AE418"/>
    <mergeCell ref="G419:AE419"/>
    <mergeCell ref="G430:AE430"/>
    <mergeCell ref="G431:AE431"/>
    <mergeCell ref="G421:AE421"/>
    <mergeCell ref="G426:AE426"/>
    <mergeCell ref="G423:AE423"/>
    <mergeCell ref="G422:AE422"/>
    <mergeCell ref="G420:AE420"/>
    <mergeCell ref="D409:F409"/>
    <mergeCell ref="D410:F410"/>
    <mergeCell ref="D376:F376"/>
    <mergeCell ref="D377:F377"/>
    <mergeCell ref="G377:AE377"/>
    <mergeCell ref="D396:F396"/>
    <mergeCell ref="D397:F397"/>
    <mergeCell ref="D391:F391"/>
    <mergeCell ref="D392:F392"/>
    <mergeCell ref="D393:F393"/>
    <mergeCell ref="D390:F390"/>
    <mergeCell ref="D380:F380"/>
    <mergeCell ref="G380:AE380"/>
    <mergeCell ref="D381:F381"/>
    <mergeCell ref="G381:AE381"/>
    <mergeCell ref="B386:C386"/>
    <mergeCell ref="AF375:CG375"/>
    <mergeCell ref="AF362:CG362"/>
    <mergeCell ref="AF373:CG373"/>
    <mergeCell ref="AF374:CG374"/>
    <mergeCell ref="D317:F317"/>
    <mergeCell ref="D318:F318"/>
    <mergeCell ref="D311:F311"/>
    <mergeCell ref="D312:F312"/>
    <mergeCell ref="D313:F313"/>
    <mergeCell ref="D314:F314"/>
    <mergeCell ref="D339:F339"/>
    <mergeCell ref="D340:F340"/>
    <mergeCell ref="D329:F329"/>
    <mergeCell ref="D330:F330"/>
    <mergeCell ref="D331:F331"/>
    <mergeCell ref="D332:F332"/>
    <mergeCell ref="D335:F335"/>
    <mergeCell ref="D336:F336"/>
    <mergeCell ref="D337:F337"/>
    <mergeCell ref="D338:F338"/>
    <mergeCell ref="AF321:CG321"/>
    <mergeCell ref="AF322:CG322"/>
    <mergeCell ref="AF313:CG313"/>
    <mergeCell ref="AF314:CG314"/>
    <mergeCell ref="AF319:CG319"/>
    <mergeCell ref="AF320:CG320"/>
    <mergeCell ref="D345:F345"/>
    <mergeCell ref="D346:F346"/>
    <mergeCell ref="D353:F353"/>
    <mergeCell ref="D354:F354"/>
    <mergeCell ref="D351:F351"/>
    <mergeCell ref="D352:F352"/>
    <mergeCell ref="D333:F333"/>
    <mergeCell ref="D334:F334"/>
    <mergeCell ref="D323:F323"/>
    <mergeCell ref="D324:F324"/>
    <mergeCell ref="D325:F325"/>
    <mergeCell ref="D326:F326"/>
    <mergeCell ref="D327:F327"/>
    <mergeCell ref="D328:F328"/>
    <mergeCell ref="D321:F321"/>
    <mergeCell ref="D322:F322"/>
    <mergeCell ref="D319:F319"/>
    <mergeCell ref="D320:F320"/>
    <mergeCell ref="D315:F315"/>
    <mergeCell ref="D316:F316"/>
    <mergeCell ref="AF349:CG349"/>
    <mergeCell ref="AF350:CG350"/>
    <mergeCell ref="AF345:CG345"/>
    <mergeCell ref="AF346:CG346"/>
    <mergeCell ref="AF347:CG347"/>
    <mergeCell ref="AF348:CG348"/>
    <mergeCell ref="D347:F347"/>
    <mergeCell ref="D348:F348"/>
    <mergeCell ref="D349:F349"/>
    <mergeCell ref="D350:F350"/>
    <mergeCell ref="AF318:CG318"/>
    <mergeCell ref="AF315:CG315"/>
    <mergeCell ref="AF316:CG316"/>
    <mergeCell ref="AF327:CG327"/>
    <mergeCell ref="AF328:CG328"/>
    <mergeCell ref="AF343:CG343"/>
    <mergeCell ref="AF344:CG344"/>
    <mergeCell ref="AF333:CG333"/>
    <mergeCell ref="D295:F295"/>
    <mergeCell ref="D296:F296"/>
    <mergeCell ref="D309:F309"/>
    <mergeCell ref="D310:F310"/>
    <mergeCell ref="D299:F299"/>
    <mergeCell ref="D300:F300"/>
    <mergeCell ref="D301:F301"/>
    <mergeCell ref="D302:F302"/>
    <mergeCell ref="D305:F305"/>
    <mergeCell ref="D306:F306"/>
    <mergeCell ref="D303:F303"/>
    <mergeCell ref="D304:F304"/>
    <mergeCell ref="D297:F297"/>
    <mergeCell ref="D298:F298"/>
    <mergeCell ref="AF317:CG317"/>
    <mergeCell ref="D307:F307"/>
    <mergeCell ref="D308:F308"/>
    <mergeCell ref="AF309:CG309"/>
    <mergeCell ref="AF310:CG310"/>
    <mergeCell ref="AF311:CG311"/>
    <mergeCell ref="AF312:CG312"/>
    <mergeCell ref="G309:AE309"/>
    <mergeCell ref="G310:AE310"/>
    <mergeCell ref="G315:AE315"/>
    <mergeCell ref="G316:AE316"/>
    <mergeCell ref="G311:AE311"/>
    <mergeCell ref="G312:AE312"/>
    <mergeCell ref="G313:AE313"/>
    <mergeCell ref="G314:AE314"/>
    <mergeCell ref="G301:AE301"/>
    <mergeCell ref="G302:AE302"/>
    <mergeCell ref="G307:AE307"/>
    <mergeCell ref="D289:F289"/>
    <mergeCell ref="D290:F290"/>
    <mergeCell ref="D285:F285"/>
    <mergeCell ref="D286:F286"/>
    <mergeCell ref="D283:F283"/>
    <mergeCell ref="D284:F284"/>
    <mergeCell ref="D279:F279"/>
    <mergeCell ref="D280:F280"/>
    <mergeCell ref="D259:F259"/>
    <mergeCell ref="D260:F260"/>
    <mergeCell ref="D273:F273"/>
    <mergeCell ref="D274:F274"/>
    <mergeCell ref="D263:F263"/>
    <mergeCell ref="D264:F264"/>
    <mergeCell ref="D265:F265"/>
    <mergeCell ref="D266:F266"/>
    <mergeCell ref="D269:F269"/>
    <mergeCell ref="D270:F270"/>
    <mergeCell ref="D267:F267"/>
    <mergeCell ref="D268:F268"/>
    <mergeCell ref="D261:F261"/>
    <mergeCell ref="D262:F262"/>
    <mergeCell ref="D281:F281"/>
    <mergeCell ref="D282:F282"/>
    <mergeCell ref="D275:F275"/>
    <mergeCell ref="D276:F276"/>
    <mergeCell ref="CB216:CG216"/>
    <mergeCell ref="G217:Y217"/>
    <mergeCell ref="Z217:AE217"/>
    <mergeCell ref="AF217:AK217"/>
    <mergeCell ref="AL217:AQ217"/>
    <mergeCell ref="D225:F225"/>
    <mergeCell ref="D226:F226"/>
    <mergeCell ref="D247:F247"/>
    <mergeCell ref="D248:F248"/>
    <mergeCell ref="D233:F233"/>
    <mergeCell ref="D234:F234"/>
    <mergeCell ref="D235:F235"/>
    <mergeCell ref="D236:F236"/>
    <mergeCell ref="D241:F241"/>
    <mergeCell ref="D242:F242"/>
    <mergeCell ref="D237:F237"/>
    <mergeCell ref="G238:AE238"/>
    <mergeCell ref="G243:AE243"/>
    <mergeCell ref="G244:AE244"/>
    <mergeCell ref="G239:AE239"/>
    <mergeCell ref="G240:AE240"/>
    <mergeCell ref="G241:AE241"/>
    <mergeCell ref="D238:F238"/>
    <mergeCell ref="D245:F245"/>
    <mergeCell ref="D246:F246"/>
    <mergeCell ref="D243:F243"/>
    <mergeCell ref="D244:F244"/>
    <mergeCell ref="D239:F239"/>
    <mergeCell ref="G242:AE242"/>
    <mergeCell ref="G235:AE235"/>
    <mergeCell ref="G236:AE236"/>
    <mergeCell ref="AR218:AW218"/>
    <mergeCell ref="AX197:BC197"/>
    <mergeCell ref="BD197:BI197"/>
    <mergeCell ref="D209:F209"/>
    <mergeCell ref="D197:F197"/>
    <mergeCell ref="D204:F204"/>
    <mergeCell ref="AF197:AK197"/>
    <mergeCell ref="AL197:AQ197"/>
    <mergeCell ref="D203:F203"/>
    <mergeCell ref="Z197:AE197"/>
    <mergeCell ref="D211:F211"/>
    <mergeCell ref="D210:F210"/>
    <mergeCell ref="G203:Y203"/>
    <mergeCell ref="Z203:AE203"/>
    <mergeCell ref="AF203:AK203"/>
    <mergeCell ref="AL203:AQ203"/>
    <mergeCell ref="AR203:AW203"/>
    <mergeCell ref="AX203:BC203"/>
    <mergeCell ref="BD198:BI198"/>
    <mergeCell ref="BD203:BI203"/>
    <mergeCell ref="G206:Y206"/>
    <mergeCell ref="Z206:AE206"/>
    <mergeCell ref="AF206:AK206"/>
    <mergeCell ref="AL206:AQ206"/>
    <mergeCell ref="AR206:AW206"/>
    <mergeCell ref="AX206:BC206"/>
    <mergeCell ref="BD206:BI206"/>
    <mergeCell ref="G209:Y209"/>
    <mergeCell ref="Z209:AE209"/>
    <mergeCell ref="AF209:AK209"/>
    <mergeCell ref="AL209:AQ209"/>
    <mergeCell ref="AR209:AW209"/>
    <mergeCell ref="AX209:BC209"/>
    <mergeCell ref="CB191:CG191"/>
    <mergeCell ref="CB192:CG192"/>
    <mergeCell ref="CB193:CG193"/>
    <mergeCell ref="G196:Y196"/>
    <mergeCell ref="AR196:AW196"/>
    <mergeCell ref="BV195:CA195"/>
    <mergeCell ref="BJ196:BO196"/>
    <mergeCell ref="BP196:BU196"/>
    <mergeCell ref="BV196:CA196"/>
    <mergeCell ref="BJ195:BO195"/>
    <mergeCell ref="AX196:BC196"/>
    <mergeCell ref="Z196:AE196"/>
    <mergeCell ref="BJ194:BO194"/>
    <mergeCell ref="Z195:AE195"/>
    <mergeCell ref="AF195:AK195"/>
    <mergeCell ref="AL195:AQ195"/>
    <mergeCell ref="AR195:AW195"/>
    <mergeCell ref="AR194:AW194"/>
    <mergeCell ref="AL194:AQ194"/>
    <mergeCell ref="Z192:AE192"/>
    <mergeCell ref="AF192:AK192"/>
    <mergeCell ref="AL192:AQ192"/>
    <mergeCell ref="BD192:BI192"/>
    <mergeCell ref="AX192:BC192"/>
    <mergeCell ref="BJ191:BO191"/>
    <mergeCell ref="BV190:CA190"/>
    <mergeCell ref="BP193:BU193"/>
    <mergeCell ref="AR197:AW197"/>
    <mergeCell ref="CB194:CG194"/>
    <mergeCell ref="CB195:CG195"/>
    <mergeCell ref="CB196:CG196"/>
    <mergeCell ref="CB197:CG197"/>
    <mergeCell ref="CB160:CG160"/>
    <mergeCell ref="CB161:CG161"/>
    <mergeCell ref="CB162:CG162"/>
    <mergeCell ref="CB163:CG163"/>
    <mergeCell ref="BV192:CA192"/>
    <mergeCell ref="BP195:BU195"/>
    <mergeCell ref="BV193:CA193"/>
    <mergeCell ref="CB186:CG186"/>
    <mergeCell ref="CB187:CG187"/>
    <mergeCell ref="CB190:CG190"/>
    <mergeCell ref="CB166:CG166"/>
    <mergeCell ref="BV191:CA191"/>
    <mergeCell ref="CB188:CG188"/>
    <mergeCell ref="CB189:CG189"/>
    <mergeCell ref="CB178:CG178"/>
    <mergeCell ref="CB179:CG179"/>
    <mergeCell ref="CB175:CG175"/>
    <mergeCell ref="CB172:CG172"/>
    <mergeCell ref="CB173:CG173"/>
    <mergeCell ref="CB185:CG185"/>
    <mergeCell ref="CB176:CG176"/>
    <mergeCell ref="CB177:CG177"/>
    <mergeCell ref="CB184:CG184"/>
    <mergeCell ref="CB180:CG180"/>
    <mergeCell ref="CB181:CG181"/>
    <mergeCell ref="CB182:CG182"/>
    <mergeCell ref="CB183:CG183"/>
    <mergeCell ref="CB167:CG167"/>
    <mergeCell ref="CB168:CG168"/>
    <mergeCell ref="CB169:CG169"/>
    <mergeCell ref="CB174:CG174"/>
    <mergeCell ref="CB170:CG170"/>
    <mergeCell ref="CB171:CG171"/>
    <mergeCell ref="CB150:CG150"/>
    <mergeCell ref="CB151:CG151"/>
    <mergeCell ref="CB164:CG164"/>
    <mergeCell ref="CB165:CG165"/>
    <mergeCell ref="CB154:CG154"/>
    <mergeCell ref="CB155:CG155"/>
    <mergeCell ref="CB156:CG156"/>
    <mergeCell ref="CB157:CG157"/>
    <mergeCell ref="CB158:CG158"/>
    <mergeCell ref="CB159:CG159"/>
    <mergeCell ref="CB152:CG152"/>
    <mergeCell ref="CB153:CG153"/>
    <mergeCell ref="CB142:CG142"/>
    <mergeCell ref="CB143:CG143"/>
    <mergeCell ref="CB144:CG144"/>
    <mergeCell ref="CB145:CG145"/>
    <mergeCell ref="CB146:CG146"/>
    <mergeCell ref="CB147:CG147"/>
    <mergeCell ref="CB148:CG148"/>
    <mergeCell ref="CB149:CG149"/>
    <mergeCell ref="CB136:CG136"/>
    <mergeCell ref="CB137:CG137"/>
    <mergeCell ref="CB140:CG140"/>
    <mergeCell ref="CB141:CG141"/>
    <mergeCell ref="CB138:CG138"/>
    <mergeCell ref="CB139:CG139"/>
    <mergeCell ref="CB126:CG126"/>
    <mergeCell ref="CB127:CG127"/>
    <mergeCell ref="CB134:CG134"/>
    <mergeCell ref="CB135:CG135"/>
    <mergeCell ref="CB130:CG130"/>
    <mergeCell ref="CB131:CG131"/>
    <mergeCell ref="CB128:CG128"/>
    <mergeCell ref="CB129:CG129"/>
    <mergeCell ref="CB132:CG132"/>
    <mergeCell ref="CB133:CG133"/>
    <mergeCell ref="CB124:CG124"/>
    <mergeCell ref="CB125:CG125"/>
    <mergeCell ref="CB118:CG118"/>
    <mergeCell ref="CB119:CG119"/>
    <mergeCell ref="CB120:CG120"/>
    <mergeCell ref="CB121:CG121"/>
    <mergeCell ref="CB114:CG114"/>
    <mergeCell ref="CB115:CG115"/>
    <mergeCell ref="CB112:CG112"/>
    <mergeCell ref="CB113:CG113"/>
    <mergeCell ref="CB104:CG104"/>
    <mergeCell ref="CB105:CG105"/>
    <mergeCell ref="CB110:CG110"/>
    <mergeCell ref="CB111:CG111"/>
    <mergeCell ref="CB98:CG98"/>
    <mergeCell ref="CB99:CG99"/>
    <mergeCell ref="CB100:CG100"/>
    <mergeCell ref="CB101:CG101"/>
    <mergeCell ref="CB116:CG116"/>
    <mergeCell ref="CB117:CG117"/>
    <mergeCell ref="CB106:CG106"/>
    <mergeCell ref="CB107:CG107"/>
    <mergeCell ref="CB108:CG108"/>
    <mergeCell ref="CB109:CG109"/>
    <mergeCell ref="CB91:CG91"/>
    <mergeCell ref="CB84:CG84"/>
    <mergeCell ref="CB85:CG85"/>
    <mergeCell ref="CB86:CG86"/>
    <mergeCell ref="CB87:CG87"/>
    <mergeCell ref="CB96:CG96"/>
    <mergeCell ref="CB79:CG79"/>
    <mergeCell ref="CB80:CG80"/>
    <mergeCell ref="CB81:CG81"/>
    <mergeCell ref="CB82:CG82"/>
    <mergeCell ref="CB92:CG92"/>
    <mergeCell ref="CB93:CG93"/>
    <mergeCell ref="CB83:CG83"/>
    <mergeCell ref="CB88:CG88"/>
    <mergeCell ref="CB89:CG89"/>
    <mergeCell ref="CB90:CG90"/>
    <mergeCell ref="BJ192:BO192"/>
    <mergeCell ref="BP192:BU192"/>
    <mergeCell ref="BV184:CA184"/>
    <mergeCell ref="BP185:BU185"/>
    <mergeCell ref="BV185:CA185"/>
    <mergeCell ref="BP186:BU186"/>
    <mergeCell ref="BJ186:BO186"/>
    <mergeCell ref="BJ188:BO188"/>
    <mergeCell ref="BP188:BU188"/>
    <mergeCell ref="BV188:CA188"/>
    <mergeCell ref="BV178:CA178"/>
    <mergeCell ref="BV180:CA180"/>
    <mergeCell ref="BJ177:BO177"/>
    <mergeCell ref="BV171:CA171"/>
    <mergeCell ref="BP169:BU169"/>
    <mergeCell ref="BV169:CA169"/>
    <mergeCell ref="BP189:BU189"/>
    <mergeCell ref="BD189:BI189"/>
    <mergeCell ref="BP190:BU190"/>
    <mergeCell ref="CB94:CG94"/>
    <mergeCell ref="CB95:CG95"/>
    <mergeCell ref="CB97:CG97"/>
    <mergeCell ref="CB102:CG102"/>
    <mergeCell ref="CB103:CG103"/>
    <mergeCell ref="BP191:BU191"/>
    <mergeCell ref="BJ197:BO197"/>
    <mergeCell ref="BP197:BU197"/>
    <mergeCell ref="BV186:CA186"/>
    <mergeCell ref="BP194:BU194"/>
    <mergeCell ref="BV194:CA194"/>
    <mergeCell ref="BP187:BU187"/>
    <mergeCell ref="BJ189:BO189"/>
    <mergeCell ref="BJ187:BO187"/>
    <mergeCell ref="BV187:CA187"/>
    <mergeCell ref="BV189:CA189"/>
    <mergeCell ref="BD191:BI191"/>
    <mergeCell ref="BJ184:BO184"/>
    <mergeCell ref="BP184:BU184"/>
    <mergeCell ref="BJ185:BO185"/>
    <mergeCell ref="BP182:BU182"/>
    <mergeCell ref="BJ181:BO181"/>
    <mergeCell ref="BP181:BU181"/>
    <mergeCell ref="BV181:CA181"/>
    <mergeCell ref="BV179:CA179"/>
    <mergeCell ref="BP177:BU177"/>
    <mergeCell ref="BV177:CA177"/>
    <mergeCell ref="CB122:CG122"/>
    <mergeCell ref="CB123:CG123"/>
    <mergeCell ref="D193:F193"/>
    <mergeCell ref="AF196:AK196"/>
    <mergeCell ref="AL196:AQ196"/>
    <mergeCell ref="BD196:BI196"/>
    <mergeCell ref="BD194:BI194"/>
    <mergeCell ref="AX195:BC195"/>
    <mergeCell ref="BD195:BI195"/>
    <mergeCell ref="AX194:BC194"/>
    <mergeCell ref="D196:F196"/>
    <mergeCell ref="AX193:BC193"/>
    <mergeCell ref="BJ193:BO193"/>
    <mergeCell ref="AR193:AW193"/>
    <mergeCell ref="D195:F195"/>
    <mergeCell ref="Z193:AE193"/>
    <mergeCell ref="AF193:AK193"/>
    <mergeCell ref="AL193:AQ193"/>
    <mergeCell ref="D194:F194"/>
    <mergeCell ref="Z194:AE194"/>
    <mergeCell ref="AF194:AK194"/>
    <mergeCell ref="BD193:BI193"/>
    <mergeCell ref="G193:Y193"/>
    <mergeCell ref="G194:Y194"/>
    <mergeCell ref="Z190:AE190"/>
    <mergeCell ref="AF190:AK190"/>
    <mergeCell ref="AL190:AQ190"/>
    <mergeCell ref="AR190:AW190"/>
    <mergeCell ref="AX190:BC190"/>
    <mergeCell ref="AX191:BC191"/>
    <mergeCell ref="Z191:AE191"/>
    <mergeCell ref="AF191:AK191"/>
    <mergeCell ref="AL191:AQ191"/>
    <mergeCell ref="D191:F191"/>
    <mergeCell ref="D192:F192"/>
    <mergeCell ref="AR192:AW192"/>
    <mergeCell ref="BD190:BI190"/>
    <mergeCell ref="BJ190:BO190"/>
    <mergeCell ref="AL188:AQ188"/>
    <mergeCell ref="AR188:AW188"/>
    <mergeCell ref="AR191:AW191"/>
    <mergeCell ref="D190:F190"/>
    <mergeCell ref="D188:F188"/>
    <mergeCell ref="D189:F189"/>
    <mergeCell ref="BD187:BI187"/>
    <mergeCell ref="Z187:AE187"/>
    <mergeCell ref="Z188:AE188"/>
    <mergeCell ref="AF188:AK188"/>
    <mergeCell ref="AX188:BC188"/>
    <mergeCell ref="AF189:AK189"/>
    <mergeCell ref="AL189:AQ189"/>
    <mergeCell ref="AR189:AW189"/>
    <mergeCell ref="AX189:BC189"/>
    <mergeCell ref="Z186:AE186"/>
    <mergeCell ref="AF186:AK186"/>
    <mergeCell ref="AL186:AQ186"/>
    <mergeCell ref="AR186:AW186"/>
    <mergeCell ref="BD188:BI188"/>
    <mergeCell ref="Z189:AE189"/>
    <mergeCell ref="AF187:AK187"/>
    <mergeCell ref="AL187:AQ187"/>
    <mergeCell ref="AR187:AW187"/>
    <mergeCell ref="AX187:BC187"/>
    <mergeCell ref="Z185:AE185"/>
    <mergeCell ref="AF185:AK185"/>
    <mergeCell ref="AL185:AQ185"/>
    <mergeCell ref="AR185:AW185"/>
    <mergeCell ref="Z184:AE184"/>
    <mergeCell ref="AF184:AK184"/>
    <mergeCell ref="AX186:BC186"/>
    <mergeCell ref="BD186:BI186"/>
    <mergeCell ref="AX184:BC184"/>
    <mergeCell ref="BD184:BI184"/>
    <mergeCell ref="AX185:BC185"/>
    <mergeCell ref="BD185:BI185"/>
    <mergeCell ref="BV182:CA182"/>
    <mergeCell ref="AX183:BC183"/>
    <mergeCell ref="BD183:BI183"/>
    <mergeCell ref="BJ183:BO183"/>
    <mergeCell ref="BP183:BU183"/>
    <mergeCell ref="BV183:CA183"/>
    <mergeCell ref="AL184:AQ184"/>
    <mergeCell ref="AR184:AW184"/>
    <mergeCell ref="Z183:AE183"/>
    <mergeCell ref="AF183:AK183"/>
    <mergeCell ref="AL183:AQ183"/>
    <mergeCell ref="AR183:AW183"/>
    <mergeCell ref="Z182:AE182"/>
    <mergeCell ref="AF182:AK182"/>
    <mergeCell ref="AL182:AQ182"/>
    <mergeCell ref="AR182:AW182"/>
    <mergeCell ref="AX182:BC182"/>
    <mergeCell ref="BD182:BI182"/>
    <mergeCell ref="BJ182:BO182"/>
    <mergeCell ref="AL177:AQ177"/>
    <mergeCell ref="AR177:AW177"/>
    <mergeCell ref="BJ176:BO176"/>
    <mergeCell ref="BP176:BU176"/>
    <mergeCell ref="AX176:BC176"/>
    <mergeCell ref="BD176:BI176"/>
    <mergeCell ref="AX181:BC181"/>
    <mergeCell ref="BD181:BI181"/>
    <mergeCell ref="Z180:AE180"/>
    <mergeCell ref="AF180:AK180"/>
    <mergeCell ref="AL180:AQ180"/>
    <mergeCell ref="AR180:AW180"/>
    <mergeCell ref="Z181:AE181"/>
    <mergeCell ref="AF181:AK181"/>
    <mergeCell ref="AL181:AQ181"/>
    <mergeCell ref="AR181:AW181"/>
    <mergeCell ref="BJ180:BO180"/>
    <mergeCell ref="BP180:BU180"/>
    <mergeCell ref="Z179:AE179"/>
    <mergeCell ref="AF179:AK179"/>
    <mergeCell ref="AL179:AQ179"/>
    <mergeCell ref="AR179:AW179"/>
    <mergeCell ref="AX179:BC179"/>
    <mergeCell ref="BD179:BI179"/>
    <mergeCell ref="BP179:BU179"/>
    <mergeCell ref="AX180:BC180"/>
    <mergeCell ref="BD180:BI180"/>
    <mergeCell ref="BJ179:BO179"/>
    <mergeCell ref="BV176:CA176"/>
    <mergeCell ref="BJ173:BO173"/>
    <mergeCell ref="AX174:BC174"/>
    <mergeCell ref="BD174:BI174"/>
    <mergeCell ref="BJ174:BO174"/>
    <mergeCell ref="BP174:BU174"/>
    <mergeCell ref="Z174:AE174"/>
    <mergeCell ref="AF174:AK174"/>
    <mergeCell ref="AL174:AQ174"/>
    <mergeCell ref="AR174:AW174"/>
    <mergeCell ref="AX173:BC173"/>
    <mergeCell ref="BD173:BI173"/>
    <mergeCell ref="Z173:AE173"/>
    <mergeCell ref="AF173:AK173"/>
    <mergeCell ref="AL173:AQ173"/>
    <mergeCell ref="AR173:AW173"/>
    <mergeCell ref="AX178:BC178"/>
    <mergeCell ref="BD178:BI178"/>
    <mergeCell ref="BJ178:BO178"/>
    <mergeCell ref="BP178:BU178"/>
    <mergeCell ref="Z178:AE178"/>
    <mergeCell ref="AF178:AK178"/>
    <mergeCell ref="AL178:AQ178"/>
    <mergeCell ref="AR178:AW178"/>
    <mergeCell ref="AX177:BC177"/>
    <mergeCell ref="BD177:BI177"/>
    <mergeCell ref="Z176:AE176"/>
    <mergeCell ref="AF176:AK176"/>
    <mergeCell ref="AL176:AQ176"/>
    <mergeCell ref="AR176:AW176"/>
    <mergeCell ref="Z177:AE177"/>
    <mergeCell ref="AF177:AK177"/>
    <mergeCell ref="AL171:AQ171"/>
    <mergeCell ref="AR171:AW171"/>
    <mergeCell ref="AX171:BC171"/>
    <mergeCell ref="BD171:BI171"/>
    <mergeCell ref="BP171:BU171"/>
    <mergeCell ref="AX172:BC172"/>
    <mergeCell ref="BD172:BI172"/>
    <mergeCell ref="Z175:AE175"/>
    <mergeCell ref="AF175:AK175"/>
    <mergeCell ref="AL175:AQ175"/>
    <mergeCell ref="AR175:AW175"/>
    <mergeCell ref="AX175:BC175"/>
    <mergeCell ref="BD175:BI175"/>
    <mergeCell ref="BP175:BU175"/>
    <mergeCell ref="BV175:CA175"/>
    <mergeCell ref="BP173:BU173"/>
    <mergeCell ref="BV173:CA173"/>
    <mergeCell ref="BV174:CA174"/>
    <mergeCell ref="BJ175:BO175"/>
    <mergeCell ref="BV170:CA170"/>
    <mergeCell ref="BJ171:BO171"/>
    <mergeCell ref="BV172:CA172"/>
    <mergeCell ref="BJ169:BO169"/>
    <mergeCell ref="AX170:BC170"/>
    <mergeCell ref="BD170:BI170"/>
    <mergeCell ref="BJ170:BO170"/>
    <mergeCell ref="BP170:BU170"/>
    <mergeCell ref="Z170:AE170"/>
    <mergeCell ref="AF170:AK170"/>
    <mergeCell ref="AL170:AQ170"/>
    <mergeCell ref="AR170:AW170"/>
    <mergeCell ref="AX169:BC169"/>
    <mergeCell ref="BD169:BI169"/>
    <mergeCell ref="Z168:AE168"/>
    <mergeCell ref="AF168:AK168"/>
    <mergeCell ref="AL168:AQ168"/>
    <mergeCell ref="AR168:AW168"/>
    <mergeCell ref="Z169:AE169"/>
    <mergeCell ref="AF169:AK169"/>
    <mergeCell ref="AL169:AQ169"/>
    <mergeCell ref="AR169:AW169"/>
    <mergeCell ref="BJ168:BO168"/>
    <mergeCell ref="BP168:BU168"/>
    <mergeCell ref="Z172:AE172"/>
    <mergeCell ref="AF172:AK172"/>
    <mergeCell ref="AL172:AQ172"/>
    <mergeCell ref="AR172:AW172"/>
    <mergeCell ref="BJ172:BO172"/>
    <mergeCell ref="BP172:BU172"/>
    <mergeCell ref="Z171:AE171"/>
    <mergeCell ref="AF171:AK171"/>
    <mergeCell ref="Z167:AE167"/>
    <mergeCell ref="AF167:AK167"/>
    <mergeCell ref="AL167:AQ167"/>
    <mergeCell ref="AR167:AW167"/>
    <mergeCell ref="AX167:BC167"/>
    <mergeCell ref="BD167:BI167"/>
    <mergeCell ref="BP167:BU167"/>
    <mergeCell ref="BV167:CA167"/>
    <mergeCell ref="BP165:BU165"/>
    <mergeCell ref="BV165:CA165"/>
    <mergeCell ref="AX168:BC168"/>
    <mergeCell ref="BD168:BI168"/>
    <mergeCell ref="BV166:CA166"/>
    <mergeCell ref="BJ167:BO167"/>
    <mergeCell ref="BV168:CA168"/>
    <mergeCell ref="BJ165:BO165"/>
    <mergeCell ref="AX166:BC166"/>
    <mergeCell ref="BD166:BI166"/>
    <mergeCell ref="BJ166:BO166"/>
    <mergeCell ref="BP166:BU166"/>
    <mergeCell ref="Z166:AE166"/>
    <mergeCell ref="AF166:AK166"/>
    <mergeCell ref="AL166:AQ166"/>
    <mergeCell ref="AR166:AW166"/>
    <mergeCell ref="AX165:BC165"/>
    <mergeCell ref="BD165:BI165"/>
    <mergeCell ref="Z164:AE164"/>
    <mergeCell ref="AF164:AK164"/>
    <mergeCell ref="AL164:AQ164"/>
    <mergeCell ref="AR164:AW164"/>
    <mergeCell ref="Z165:AE165"/>
    <mergeCell ref="AF165:AK165"/>
    <mergeCell ref="AL165:AQ165"/>
    <mergeCell ref="AR165:AW165"/>
    <mergeCell ref="BJ164:BO164"/>
    <mergeCell ref="BP164:BU164"/>
    <mergeCell ref="Z163:AE163"/>
    <mergeCell ref="AF163:AK163"/>
    <mergeCell ref="AL163:AQ163"/>
    <mergeCell ref="AR163:AW163"/>
    <mergeCell ref="AX163:BC163"/>
    <mergeCell ref="BD163:BI163"/>
    <mergeCell ref="BP163:BU163"/>
    <mergeCell ref="Z161:AE161"/>
    <mergeCell ref="AF161:AK161"/>
    <mergeCell ref="AL161:AQ161"/>
    <mergeCell ref="AR161:AW161"/>
    <mergeCell ref="BJ160:BO160"/>
    <mergeCell ref="BP160:BU160"/>
    <mergeCell ref="Z159:AE159"/>
    <mergeCell ref="AF159:AK159"/>
    <mergeCell ref="AL159:AQ159"/>
    <mergeCell ref="AR159:AW159"/>
    <mergeCell ref="AX159:BC159"/>
    <mergeCell ref="BD159:BI159"/>
    <mergeCell ref="BP159:BU159"/>
    <mergeCell ref="BV163:CA163"/>
    <mergeCell ref="BP161:BU161"/>
    <mergeCell ref="BV161:CA161"/>
    <mergeCell ref="AX164:BC164"/>
    <mergeCell ref="BD164:BI164"/>
    <mergeCell ref="BV162:CA162"/>
    <mergeCell ref="BJ163:BO163"/>
    <mergeCell ref="BV164:CA164"/>
    <mergeCell ref="BJ161:BO161"/>
    <mergeCell ref="AX162:BC162"/>
    <mergeCell ref="BD162:BI162"/>
    <mergeCell ref="BJ162:BO162"/>
    <mergeCell ref="BP162:BU162"/>
    <mergeCell ref="Z162:AE162"/>
    <mergeCell ref="AF162:AK162"/>
    <mergeCell ref="AL162:AQ162"/>
    <mergeCell ref="AR162:AW162"/>
    <mergeCell ref="AX161:BC161"/>
    <mergeCell ref="BD161:BI161"/>
    <mergeCell ref="BV159:CA159"/>
    <mergeCell ref="BP157:BU157"/>
    <mergeCell ref="BV157:CA157"/>
    <mergeCell ref="AX160:BC160"/>
    <mergeCell ref="BD160:BI160"/>
    <mergeCell ref="BV158:CA158"/>
    <mergeCell ref="BJ159:BO159"/>
    <mergeCell ref="BV160:CA160"/>
    <mergeCell ref="BJ157:BO157"/>
    <mergeCell ref="AX158:BC158"/>
    <mergeCell ref="BD158:BI158"/>
    <mergeCell ref="BJ158:BO158"/>
    <mergeCell ref="BP158:BU158"/>
    <mergeCell ref="Z158:AE158"/>
    <mergeCell ref="AF158:AK158"/>
    <mergeCell ref="AL158:AQ158"/>
    <mergeCell ref="AR158:AW158"/>
    <mergeCell ref="AX157:BC157"/>
    <mergeCell ref="BD157:BI157"/>
    <mergeCell ref="Z160:AE160"/>
    <mergeCell ref="AF160:AK160"/>
    <mergeCell ref="AL160:AQ160"/>
    <mergeCell ref="AR160:AW160"/>
    <mergeCell ref="Z156:AE156"/>
    <mergeCell ref="AF156:AK156"/>
    <mergeCell ref="AL156:AQ156"/>
    <mergeCell ref="AR156:AW156"/>
    <mergeCell ref="Z157:AE157"/>
    <mergeCell ref="AF157:AK157"/>
    <mergeCell ref="AL157:AQ157"/>
    <mergeCell ref="AR157:AW157"/>
    <mergeCell ref="BJ156:BO156"/>
    <mergeCell ref="BP156:BU156"/>
    <mergeCell ref="Z155:AE155"/>
    <mergeCell ref="AF155:AK155"/>
    <mergeCell ref="AL155:AQ155"/>
    <mergeCell ref="AR155:AW155"/>
    <mergeCell ref="AX155:BC155"/>
    <mergeCell ref="BD155:BI155"/>
    <mergeCell ref="BP155:BU155"/>
    <mergeCell ref="Z153:AE153"/>
    <mergeCell ref="AF153:AK153"/>
    <mergeCell ref="AL153:AQ153"/>
    <mergeCell ref="AR153:AW153"/>
    <mergeCell ref="BJ152:BO152"/>
    <mergeCell ref="BP152:BU152"/>
    <mergeCell ref="Z151:AE151"/>
    <mergeCell ref="AF151:AK151"/>
    <mergeCell ref="AL151:AQ151"/>
    <mergeCell ref="AR151:AW151"/>
    <mergeCell ref="AX151:BC151"/>
    <mergeCell ref="BD151:BI151"/>
    <mergeCell ref="BP151:BU151"/>
    <mergeCell ref="BV155:CA155"/>
    <mergeCell ref="BP153:BU153"/>
    <mergeCell ref="BV153:CA153"/>
    <mergeCell ref="AX156:BC156"/>
    <mergeCell ref="BD156:BI156"/>
    <mergeCell ref="BV154:CA154"/>
    <mergeCell ref="BJ155:BO155"/>
    <mergeCell ref="BV156:CA156"/>
    <mergeCell ref="BJ153:BO153"/>
    <mergeCell ref="AX154:BC154"/>
    <mergeCell ref="BD154:BI154"/>
    <mergeCell ref="BJ154:BO154"/>
    <mergeCell ref="BP154:BU154"/>
    <mergeCell ref="Z154:AE154"/>
    <mergeCell ref="AF154:AK154"/>
    <mergeCell ref="AL154:AQ154"/>
    <mergeCell ref="AR154:AW154"/>
    <mergeCell ref="AX153:BC153"/>
    <mergeCell ref="BD153:BI153"/>
    <mergeCell ref="BV151:CA151"/>
    <mergeCell ref="BP149:BU149"/>
    <mergeCell ref="BV149:CA149"/>
    <mergeCell ref="AX152:BC152"/>
    <mergeCell ref="BD152:BI152"/>
    <mergeCell ref="BV150:CA150"/>
    <mergeCell ref="BJ151:BO151"/>
    <mergeCell ref="BV152:CA152"/>
    <mergeCell ref="BJ149:BO149"/>
    <mergeCell ref="AX150:BC150"/>
    <mergeCell ref="BD150:BI150"/>
    <mergeCell ref="BJ150:BO150"/>
    <mergeCell ref="BP150:BU150"/>
    <mergeCell ref="Z150:AE150"/>
    <mergeCell ref="AF150:AK150"/>
    <mergeCell ref="AL150:AQ150"/>
    <mergeCell ref="AR150:AW150"/>
    <mergeCell ref="AX149:BC149"/>
    <mergeCell ref="BD149:BI149"/>
    <mergeCell ref="Z152:AE152"/>
    <mergeCell ref="AF152:AK152"/>
    <mergeCell ref="AL152:AQ152"/>
    <mergeCell ref="AR152:AW152"/>
    <mergeCell ref="Z148:AE148"/>
    <mergeCell ref="AF148:AK148"/>
    <mergeCell ref="AL148:AQ148"/>
    <mergeCell ref="AR148:AW148"/>
    <mergeCell ref="Z149:AE149"/>
    <mergeCell ref="AF149:AK149"/>
    <mergeCell ref="AL149:AQ149"/>
    <mergeCell ref="AR149:AW149"/>
    <mergeCell ref="BJ148:BO148"/>
    <mergeCell ref="BP148:BU148"/>
    <mergeCell ref="Z147:AE147"/>
    <mergeCell ref="AF147:AK147"/>
    <mergeCell ref="AL147:AQ147"/>
    <mergeCell ref="AR147:AW147"/>
    <mergeCell ref="AX147:BC147"/>
    <mergeCell ref="BD147:BI147"/>
    <mergeCell ref="BP147:BU147"/>
    <mergeCell ref="Z145:AE145"/>
    <mergeCell ref="AF145:AK145"/>
    <mergeCell ref="AL145:AQ145"/>
    <mergeCell ref="AR145:AW145"/>
    <mergeCell ref="BJ144:BO144"/>
    <mergeCell ref="BP144:BU144"/>
    <mergeCell ref="Z143:AE143"/>
    <mergeCell ref="AF143:AK143"/>
    <mergeCell ref="AL143:AQ143"/>
    <mergeCell ref="AR143:AW143"/>
    <mergeCell ref="AX143:BC143"/>
    <mergeCell ref="BD143:BI143"/>
    <mergeCell ref="BP143:BU143"/>
    <mergeCell ref="BV147:CA147"/>
    <mergeCell ref="BP145:BU145"/>
    <mergeCell ref="BV145:CA145"/>
    <mergeCell ref="AX148:BC148"/>
    <mergeCell ref="BD148:BI148"/>
    <mergeCell ref="BV146:CA146"/>
    <mergeCell ref="BJ147:BO147"/>
    <mergeCell ref="BV148:CA148"/>
    <mergeCell ref="BJ145:BO145"/>
    <mergeCell ref="AX146:BC146"/>
    <mergeCell ref="BD146:BI146"/>
    <mergeCell ref="BJ146:BO146"/>
    <mergeCell ref="BP146:BU146"/>
    <mergeCell ref="Z146:AE146"/>
    <mergeCell ref="AF146:AK146"/>
    <mergeCell ref="AL146:AQ146"/>
    <mergeCell ref="AR146:AW146"/>
    <mergeCell ref="AX145:BC145"/>
    <mergeCell ref="BD145:BI145"/>
    <mergeCell ref="BV143:CA143"/>
    <mergeCell ref="BP141:BU141"/>
    <mergeCell ref="BV141:CA141"/>
    <mergeCell ref="AX144:BC144"/>
    <mergeCell ref="BD144:BI144"/>
    <mergeCell ref="BV142:CA142"/>
    <mergeCell ref="BJ143:BO143"/>
    <mergeCell ref="BV144:CA144"/>
    <mergeCell ref="BJ141:BO141"/>
    <mergeCell ref="AX142:BC142"/>
    <mergeCell ref="BD142:BI142"/>
    <mergeCell ref="BJ142:BO142"/>
    <mergeCell ref="BP142:BU142"/>
    <mergeCell ref="Z142:AE142"/>
    <mergeCell ref="AF142:AK142"/>
    <mergeCell ref="AL142:AQ142"/>
    <mergeCell ref="AR142:AW142"/>
    <mergeCell ref="AX141:BC141"/>
    <mergeCell ref="BD141:BI141"/>
    <mergeCell ref="Z144:AE144"/>
    <mergeCell ref="AF144:AK144"/>
    <mergeCell ref="AL144:AQ144"/>
    <mergeCell ref="AR144:AW144"/>
    <mergeCell ref="Z140:AE140"/>
    <mergeCell ref="AF140:AK140"/>
    <mergeCell ref="AL140:AQ140"/>
    <mergeCell ref="AR140:AW140"/>
    <mergeCell ref="Z141:AE141"/>
    <mergeCell ref="AF141:AK141"/>
    <mergeCell ref="AL141:AQ141"/>
    <mergeCell ref="AR141:AW141"/>
    <mergeCell ref="BJ140:BO140"/>
    <mergeCell ref="BP140:BU140"/>
    <mergeCell ref="Z139:AE139"/>
    <mergeCell ref="AF139:AK139"/>
    <mergeCell ref="AL139:AQ139"/>
    <mergeCell ref="AR139:AW139"/>
    <mergeCell ref="AX139:BC139"/>
    <mergeCell ref="BD139:BI139"/>
    <mergeCell ref="BP139:BU139"/>
    <mergeCell ref="Z137:AE137"/>
    <mergeCell ref="AF137:AK137"/>
    <mergeCell ref="AL137:AQ137"/>
    <mergeCell ref="AR137:AW137"/>
    <mergeCell ref="BJ136:BO136"/>
    <mergeCell ref="BP136:BU136"/>
    <mergeCell ref="Z135:AE135"/>
    <mergeCell ref="AF135:AK135"/>
    <mergeCell ref="AL135:AQ135"/>
    <mergeCell ref="AR135:AW135"/>
    <mergeCell ref="AX135:BC135"/>
    <mergeCell ref="BD135:BI135"/>
    <mergeCell ref="BP135:BU135"/>
    <mergeCell ref="BV139:CA139"/>
    <mergeCell ref="BP137:BU137"/>
    <mergeCell ref="BV137:CA137"/>
    <mergeCell ref="AX140:BC140"/>
    <mergeCell ref="BD140:BI140"/>
    <mergeCell ref="BV138:CA138"/>
    <mergeCell ref="BJ139:BO139"/>
    <mergeCell ref="BV140:CA140"/>
    <mergeCell ref="BJ137:BO137"/>
    <mergeCell ref="AX138:BC138"/>
    <mergeCell ref="BD138:BI138"/>
    <mergeCell ref="BJ138:BO138"/>
    <mergeCell ref="BP138:BU138"/>
    <mergeCell ref="Z138:AE138"/>
    <mergeCell ref="AF138:AK138"/>
    <mergeCell ref="AL138:AQ138"/>
    <mergeCell ref="AR138:AW138"/>
    <mergeCell ref="AX137:BC137"/>
    <mergeCell ref="BD137:BI137"/>
    <mergeCell ref="BV135:CA135"/>
    <mergeCell ref="BP133:BU133"/>
    <mergeCell ref="BV133:CA133"/>
    <mergeCell ref="AX136:BC136"/>
    <mergeCell ref="BD136:BI136"/>
    <mergeCell ref="BV134:CA134"/>
    <mergeCell ref="BJ135:BO135"/>
    <mergeCell ref="BV136:CA136"/>
    <mergeCell ref="BJ133:BO133"/>
    <mergeCell ref="AX134:BC134"/>
    <mergeCell ref="BD134:BI134"/>
    <mergeCell ref="BJ134:BO134"/>
    <mergeCell ref="BP134:BU134"/>
    <mergeCell ref="Z134:AE134"/>
    <mergeCell ref="AF134:AK134"/>
    <mergeCell ref="AL134:AQ134"/>
    <mergeCell ref="AR134:AW134"/>
    <mergeCell ref="AX133:BC133"/>
    <mergeCell ref="BD133:BI133"/>
    <mergeCell ref="Z136:AE136"/>
    <mergeCell ref="AF136:AK136"/>
    <mergeCell ref="AL136:AQ136"/>
    <mergeCell ref="AR136:AW136"/>
    <mergeCell ref="Z132:AE132"/>
    <mergeCell ref="AF132:AK132"/>
    <mergeCell ref="AL132:AQ132"/>
    <mergeCell ref="AR132:AW132"/>
    <mergeCell ref="Z133:AE133"/>
    <mergeCell ref="AF133:AK133"/>
    <mergeCell ref="AL133:AQ133"/>
    <mergeCell ref="AR133:AW133"/>
    <mergeCell ref="BJ132:BO132"/>
    <mergeCell ref="BP132:BU132"/>
    <mergeCell ref="Z131:AE131"/>
    <mergeCell ref="AF131:AK131"/>
    <mergeCell ref="AL131:AQ131"/>
    <mergeCell ref="AR131:AW131"/>
    <mergeCell ref="AX131:BC131"/>
    <mergeCell ref="BD131:BI131"/>
    <mergeCell ref="BP131:BU131"/>
    <mergeCell ref="Z129:AE129"/>
    <mergeCell ref="AF129:AK129"/>
    <mergeCell ref="AL129:AQ129"/>
    <mergeCell ref="AR129:AW129"/>
    <mergeCell ref="BJ128:BO128"/>
    <mergeCell ref="BP128:BU128"/>
    <mergeCell ref="Z127:AE127"/>
    <mergeCell ref="AF127:AK127"/>
    <mergeCell ref="AL127:AQ127"/>
    <mergeCell ref="AR127:AW127"/>
    <mergeCell ref="AX127:BC127"/>
    <mergeCell ref="BD127:BI127"/>
    <mergeCell ref="BP127:BU127"/>
    <mergeCell ref="BV131:CA131"/>
    <mergeCell ref="BP129:BU129"/>
    <mergeCell ref="BV129:CA129"/>
    <mergeCell ref="AX132:BC132"/>
    <mergeCell ref="BD132:BI132"/>
    <mergeCell ref="BV130:CA130"/>
    <mergeCell ref="BJ131:BO131"/>
    <mergeCell ref="BV132:CA132"/>
    <mergeCell ref="BJ129:BO129"/>
    <mergeCell ref="AX130:BC130"/>
    <mergeCell ref="BD130:BI130"/>
    <mergeCell ref="BJ130:BO130"/>
    <mergeCell ref="BP130:BU130"/>
    <mergeCell ref="Z130:AE130"/>
    <mergeCell ref="AF130:AK130"/>
    <mergeCell ref="AL130:AQ130"/>
    <mergeCell ref="AR130:AW130"/>
    <mergeCell ref="AX129:BC129"/>
    <mergeCell ref="BD129:BI129"/>
    <mergeCell ref="BV127:CA127"/>
    <mergeCell ref="BP125:BU125"/>
    <mergeCell ref="BV125:CA125"/>
    <mergeCell ref="AX128:BC128"/>
    <mergeCell ref="BD128:BI128"/>
    <mergeCell ref="BV126:CA126"/>
    <mergeCell ref="BJ127:BO127"/>
    <mergeCell ref="BV128:CA128"/>
    <mergeCell ref="BJ125:BO125"/>
    <mergeCell ref="AX126:BC126"/>
    <mergeCell ref="BD126:BI126"/>
    <mergeCell ref="BJ126:BO126"/>
    <mergeCell ref="BP126:BU126"/>
    <mergeCell ref="Z126:AE126"/>
    <mergeCell ref="AF126:AK126"/>
    <mergeCell ref="AL126:AQ126"/>
    <mergeCell ref="AR126:AW126"/>
    <mergeCell ref="AX125:BC125"/>
    <mergeCell ref="BD125:BI125"/>
    <mergeCell ref="Z128:AE128"/>
    <mergeCell ref="AF128:AK128"/>
    <mergeCell ref="AL128:AQ128"/>
    <mergeCell ref="AR128:AW128"/>
    <mergeCell ref="Z124:AE124"/>
    <mergeCell ref="AF124:AK124"/>
    <mergeCell ref="AL124:AQ124"/>
    <mergeCell ref="AR124:AW124"/>
    <mergeCell ref="Z125:AE125"/>
    <mergeCell ref="AF125:AK125"/>
    <mergeCell ref="AL125:AQ125"/>
    <mergeCell ref="AR125:AW125"/>
    <mergeCell ref="BJ124:BO124"/>
    <mergeCell ref="BP124:BU124"/>
    <mergeCell ref="Z123:AE123"/>
    <mergeCell ref="AF123:AK123"/>
    <mergeCell ref="AL123:AQ123"/>
    <mergeCell ref="AR123:AW123"/>
    <mergeCell ref="AX123:BC123"/>
    <mergeCell ref="BD123:BI123"/>
    <mergeCell ref="BP123:BU123"/>
    <mergeCell ref="Z121:AE121"/>
    <mergeCell ref="AF121:AK121"/>
    <mergeCell ref="AL121:AQ121"/>
    <mergeCell ref="AR121:AW121"/>
    <mergeCell ref="BJ120:BO120"/>
    <mergeCell ref="BP120:BU120"/>
    <mergeCell ref="Z119:AE119"/>
    <mergeCell ref="AF119:AK119"/>
    <mergeCell ref="AL119:AQ119"/>
    <mergeCell ref="AR119:AW119"/>
    <mergeCell ref="AX119:BC119"/>
    <mergeCell ref="BD119:BI119"/>
    <mergeCell ref="BP119:BU119"/>
    <mergeCell ref="BV123:CA123"/>
    <mergeCell ref="BP121:BU121"/>
    <mergeCell ref="BV121:CA121"/>
    <mergeCell ref="AX124:BC124"/>
    <mergeCell ref="BD124:BI124"/>
    <mergeCell ref="BV122:CA122"/>
    <mergeCell ref="BJ123:BO123"/>
    <mergeCell ref="BV124:CA124"/>
    <mergeCell ref="BJ121:BO121"/>
    <mergeCell ref="AX122:BC122"/>
    <mergeCell ref="BD122:BI122"/>
    <mergeCell ref="BJ122:BO122"/>
    <mergeCell ref="BP122:BU122"/>
    <mergeCell ref="Z122:AE122"/>
    <mergeCell ref="AF122:AK122"/>
    <mergeCell ref="AL122:AQ122"/>
    <mergeCell ref="AR122:AW122"/>
    <mergeCell ref="AX121:BC121"/>
    <mergeCell ref="BD121:BI121"/>
    <mergeCell ref="BV119:CA119"/>
    <mergeCell ref="BP117:BU117"/>
    <mergeCell ref="BV117:CA117"/>
    <mergeCell ref="AX120:BC120"/>
    <mergeCell ref="BD120:BI120"/>
    <mergeCell ref="BV118:CA118"/>
    <mergeCell ref="BJ119:BO119"/>
    <mergeCell ref="BV120:CA120"/>
    <mergeCell ref="BJ117:BO117"/>
    <mergeCell ref="AX118:BC118"/>
    <mergeCell ref="BD118:BI118"/>
    <mergeCell ref="BJ118:BO118"/>
    <mergeCell ref="BP118:BU118"/>
    <mergeCell ref="Z118:AE118"/>
    <mergeCell ref="AF118:AK118"/>
    <mergeCell ref="AL118:AQ118"/>
    <mergeCell ref="AR118:AW118"/>
    <mergeCell ref="AX117:BC117"/>
    <mergeCell ref="BD117:BI117"/>
    <mergeCell ref="Z120:AE120"/>
    <mergeCell ref="AF120:AK120"/>
    <mergeCell ref="AL120:AQ120"/>
    <mergeCell ref="AR120:AW120"/>
    <mergeCell ref="Z116:AE116"/>
    <mergeCell ref="AF116:AK116"/>
    <mergeCell ref="AL116:AQ116"/>
    <mergeCell ref="AR116:AW116"/>
    <mergeCell ref="Z117:AE117"/>
    <mergeCell ref="AF117:AK117"/>
    <mergeCell ref="AL117:AQ117"/>
    <mergeCell ref="AR117:AW117"/>
    <mergeCell ref="BJ116:BO116"/>
    <mergeCell ref="BP116:BU116"/>
    <mergeCell ref="Z115:AE115"/>
    <mergeCell ref="AF115:AK115"/>
    <mergeCell ref="AL115:AQ115"/>
    <mergeCell ref="AR115:AW115"/>
    <mergeCell ref="AX115:BC115"/>
    <mergeCell ref="BD115:BI115"/>
    <mergeCell ref="BP115:BU115"/>
    <mergeCell ref="Z113:AE113"/>
    <mergeCell ref="AF113:AK113"/>
    <mergeCell ref="AL113:AQ113"/>
    <mergeCell ref="AR113:AW113"/>
    <mergeCell ref="BJ112:BO112"/>
    <mergeCell ref="BP112:BU112"/>
    <mergeCell ref="Z111:AE111"/>
    <mergeCell ref="AF111:AK111"/>
    <mergeCell ref="AL111:AQ111"/>
    <mergeCell ref="AR111:AW111"/>
    <mergeCell ref="AX111:BC111"/>
    <mergeCell ref="BD111:BI111"/>
    <mergeCell ref="BP111:BU111"/>
    <mergeCell ref="BV115:CA115"/>
    <mergeCell ref="BP113:BU113"/>
    <mergeCell ref="BV113:CA113"/>
    <mergeCell ref="AX116:BC116"/>
    <mergeCell ref="BD116:BI116"/>
    <mergeCell ref="BV114:CA114"/>
    <mergeCell ref="BJ115:BO115"/>
    <mergeCell ref="BV116:CA116"/>
    <mergeCell ref="BJ113:BO113"/>
    <mergeCell ref="AX114:BC114"/>
    <mergeCell ref="BD114:BI114"/>
    <mergeCell ref="BJ114:BO114"/>
    <mergeCell ref="BP114:BU114"/>
    <mergeCell ref="Z114:AE114"/>
    <mergeCell ref="AF114:AK114"/>
    <mergeCell ref="AL114:AQ114"/>
    <mergeCell ref="AR114:AW114"/>
    <mergeCell ref="AX113:BC113"/>
    <mergeCell ref="BD113:BI113"/>
    <mergeCell ref="BV111:CA111"/>
    <mergeCell ref="BP109:BU109"/>
    <mergeCell ref="BV109:CA109"/>
    <mergeCell ref="AX112:BC112"/>
    <mergeCell ref="BD112:BI112"/>
    <mergeCell ref="BV110:CA110"/>
    <mergeCell ref="BJ111:BO111"/>
    <mergeCell ref="BV112:CA112"/>
    <mergeCell ref="BJ109:BO109"/>
    <mergeCell ref="AX110:BC110"/>
    <mergeCell ref="BD110:BI110"/>
    <mergeCell ref="BJ110:BO110"/>
    <mergeCell ref="BP110:BU110"/>
    <mergeCell ref="Z110:AE110"/>
    <mergeCell ref="AF110:AK110"/>
    <mergeCell ref="AL110:AQ110"/>
    <mergeCell ref="AR110:AW110"/>
    <mergeCell ref="AX109:BC109"/>
    <mergeCell ref="BD109:BI109"/>
    <mergeCell ref="Z112:AE112"/>
    <mergeCell ref="AF112:AK112"/>
    <mergeCell ref="AL112:AQ112"/>
    <mergeCell ref="AR112:AW112"/>
    <mergeCell ref="Z108:AE108"/>
    <mergeCell ref="AF108:AK108"/>
    <mergeCell ref="AL108:AQ108"/>
    <mergeCell ref="AR108:AW108"/>
    <mergeCell ref="Z109:AE109"/>
    <mergeCell ref="AF109:AK109"/>
    <mergeCell ref="AL109:AQ109"/>
    <mergeCell ref="AR109:AW109"/>
    <mergeCell ref="BJ108:BO108"/>
    <mergeCell ref="BP108:BU108"/>
    <mergeCell ref="Z107:AE107"/>
    <mergeCell ref="AF107:AK107"/>
    <mergeCell ref="AL107:AQ107"/>
    <mergeCell ref="AR107:AW107"/>
    <mergeCell ref="AX107:BC107"/>
    <mergeCell ref="BD107:BI107"/>
    <mergeCell ref="BP107:BU107"/>
    <mergeCell ref="Z105:AE105"/>
    <mergeCell ref="AF105:AK105"/>
    <mergeCell ref="AL105:AQ105"/>
    <mergeCell ref="AR105:AW105"/>
    <mergeCell ref="BJ104:BO104"/>
    <mergeCell ref="BP104:BU104"/>
    <mergeCell ref="Z103:AE103"/>
    <mergeCell ref="AF103:AK103"/>
    <mergeCell ref="AL103:AQ103"/>
    <mergeCell ref="AR103:AW103"/>
    <mergeCell ref="AX103:BC103"/>
    <mergeCell ref="BD103:BI103"/>
    <mergeCell ref="BP103:BU103"/>
    <mergeCell ref="BV107:CA107"/>
    <mergeCell ref="BP105:BU105"/>
    <mergeCell ref="BV105:CA105"/>
    <mergeCell ref="AX108:BC108"/>
    <mergeCell ref="BD108:BI108"/>
    <mergeCell ref="BV106:CA106"/>
    <mergeCell ref="BJ107:BO107"/>
    <mergeCell ref="BV108:CA108"/>
    <mergeCell ref="BJ105:BO105"/>
    <mergeCell ref="AX106:BC106"/>
    <mergeCell ref="BD106:BI106"/>
    <mergeCell ref="BJ106:BO106"/>
    <mergeCell ref="BP106:BU106"/>
    <mergeCell ref="Z106:AE106"/>
    <mergeCell ref="AF106:AK106"/>
    <mergeCell ref="AL106:AQ106"/>
    <mergeCell ref="AR106:AW106"/>
    <mergeCell ref="AX105:BC105"/>
    <mergeCell ref="BD105:BI105"/>
    <mergeCell ref="BV103:CA103"/>
    <mergeCell ref="BP101:BU101"/>
    <mergeCell ref="BV101:CA101"/>
    <mergeCell ref="AX104:BC104"/>
    <mergeCell ref="BD104:BI104"/>
    <mergeCell ref="BV102:CA102"/>
    <mergeCell ref="BJ103:BO103"/>
    <mergeCell ref="BV104:CA104"/>
    <mergeCell ref="BJ101:BO101"/>
    <mergeCell ref="AX102:BC102"/>
    <mergeCell ref="BD102:BI102"/>
    <mergeCell ref="BJ102:BO102"/>
    <mergeCell ref="BP102:BU102"/>
    <mergeCell ref="Z102:AE102"/>
    <mergeCell ref="AF102:AK102"/>
    <mergeCell ref="AL102:AQ102"/>
    <mergeCell ref="AR102:AW102"/>
    <mergeCell ref="AX101:BC101"/>
    <mergeCell ref="BD101:BI101"/>
    <mergeCell ref="Z104:AE104"/>
    <mergeCell ref="AF104:AK104"/>
    <mergeCell ref="AL104:AQ104"/>
    <mergeCell ref="AR104:AW104"/>
    <mergeCell ref="Z100:AE100"/>
    <mergeCell ref="AF100:AK100"/>
    <mergeCell ref="AL100:AQ100"/>
    <mergeCell ref="AR100:AW100"/>
    <mergeCell ref="Z101:AE101"/>
    <mergeCell ref="AF101:AK101"/>
    <mergeCell ref="AL101:AQ101"/>
    <mergeCell ref="AR101:AW101"/>
    <mergeCell ref="BJ100:BO100"/>
    <mergeCell ref="BP100:BU100"/>
    <mergeCell ref="Z99:AE99"/>
    <mergeCell ref="AF99:AK99"/>
    <mergeCell ref="AL99:AQ99"/>
    <mergeCell ref="AR99:AW99"/>
    <mergeCell ref="AX99:BC99"/>
    <mergeCell ref="BD99:BI99"/>
    <mergeCell ref="BP99:BU99"/>
    <mergeCell ref="Z97:AE97"/>
    <mergeCell ref="AF97:AK97"/>
    <mergeCell ref="AL97:AQ97"/>
    <mergeCell ref="AR97:AW97"/>
    <mergeCell ref="BJ96:BO96"/>
    <mergeCell ref="BP96:BU96"/>
    <mergeCell ref="Z95:AE95"/>
    <mergeCell ref="AF95:AK95"/>
    <mergeCell ref="AL95:AQ95"/>
    <mergeCell ref="AR95:AW95"/>
    <mergeCell ref="AX95:BC95"/>
    <mergeCell ref="BD95:BI95"/>
    <mergeCell ref="BP95:BU95"/>
    <mergeCell ref="BV99:CA99"/>
    <mergeCell ref="BP97:BU97"/>
    <mergeCell ref="BV97:CA97"/>
    <mergeCell ref="AX100:BC100"/>
    <mergeCell ref="BD100:BI100"/>
    <mergeCell ref="BV98:CA98"/>
    <mergeCell ref="BJ99:BO99"/>
    <mergeCell ref="BV100:CA100"/>
    <mergeCell ref="BJ97:BO97"/>
    <mergeCell ref="AX98:BC98"/>
    <mergeCell ref="BD98:BI98"/>
    <mergeCell ref="BJ98:BO98"/>
    <mergeCell ref="BP98:BU98"/>
    <mergeCell ref="Z98:AE98"/>
    <mergeCell ref="AF98:AK98"/>
    <mergeCell ref="AL98:AQ98"/>
    <mergeCell ref="AR98:AW98"/>
    <mergeCell ref="AX97:BC97"/>
    <mergeCell ref="BD97:BI97"/>
    <mergeCell ref="BV95:CA95"/>
    <mergeCell ref="BP93:BU93"/>
    <mergeCell ref="BV93:CA93"/>
    <mergeCell ref="AX96:BC96"/>
    <mergeCell ref="BD96:BI96"/>
    <mergeCell ref="BV94:CA94"/>
    <mergeCell ref="BJ95:BO95"/>
    <mergeCell ref="BV96:CA96"/>
    <mergeCell ref="BJ93:BO93"/>
    <mergeCell ref="AX94:BC94"/>
    <mergeCell ref="BD94:BI94"/>
    <mergeCell ref="BJ94:BO94"/>
    <mergeCell ref="BP94:BU94"/>
    <mergeCell ref="Z94:AE94"/>
    <mergeCell ref="AF94:AK94"/>
    <mergeCell ref="AL94:AQ94"/>
    <mergeCell ref="AR94:AW94"/>
    <mergeCell ref="AX93:BC93"/>
    <mergeCell ref="BD93:BI93"/>
    <mergeCell ref="Z96:AE96"/>
    <mergeCell ref="AF96:AK96"/>
    <mergeCell ref="AL96:AQ96"/>
    <mergeCell ref="AR96:AW96"/>
    <mergeCell ref="Z92:AE92"/>
    <mergeCell ref="AF92:AK92"/>
    <mergeCell ref="AL92:AQ92"/>
    <mergeCell ref="AR92:AW92"/>
    <mergeCell ref="Z93:AE93"/>
    <mergeCell ref="AF93:AK93"/>
    <mergeCell ref="AL93:AQ93"/>
    <mergeCell ref="AR93:AW93"/>
    <mergeCell ref="BJ92:BO92"/>
    <mergeCell ref="BP92:BU92"/>
    <mergeCell ref="Z91:AE91"/>
    <mergeCell ref="AF91:AK91"/>
    <mergeCell ref="AL91:AQ91"/>
    <mergeCell ref="AR91:AW91"/>
    <mergeCell ref="AX91:BC91"/>
    <mergeCell ref="BD91:BI91"/>
    <mergeCell ref="BP91:BU91"/>
    <mergeCell ref="Z89:AE89"/>
    <mergeCell ref="AF89:AK89"/>
    <mergeCell ref="AL89:AQ89"/>
    <mergeCell ref="AR89:AW89"/>
    <mergeCell ref="BJ88:BO88"/>
    <mergeCell ref="BP88:BU88"/>
    <mergeCell ref="Z87:AE87"/>
    <mergeCell ref="AF87:AK87"/>
    <mergeCell ref="AL87:AQ87"/>
    <mergeCell ref="AR87:AW87"/>
    <mergeCell ref="AX87:BC87"/>
    <mergeCell ref="BD87:BI87"/>
    <mergeCell ref="BP87:BU87"/>
    <mergeCell ref="BV91:CA91"/>
    <mergeCell ref="BP89:BU89"/>
    <mergeCell ref="BV89:CA89"/>
    <mergeCell ref="AX92:BC92"/>
    <mergeCell ref="BD92:BI92"/>
    <mergeCell ref="BV90:CA90"/>
    <mergeCell ref="BJ91:BO91"/>
    <mergeCell ref="BV92:CA92"/>
    <mergeCell ref="BJ89:BO89"/>
    <mergeCell ref="AX90:BC90"/>
    <mergeCell ref="BD90:BI90"/>
    <mergeCell ref="BJ90:BO90"/>
    <mergeCell ref="BP90:BU90"/>
    <mergeCell ref="Z90:AE90"/>
    <mergeCell ref="AF90:AK90"/>
    <mergeCell ref="AL90:AQ90"/>
    <mergeCell ref="AR90:AW90"/>
    <mergeCell ref="AX89:BC89"/>
    <mergeCell ref="BD89:BI89"/>
    <mergeCell ref="BV87:CA87"/>
    <mergeCell ref="BP85:BU85"/>
    <mergeCell ref="BV85:CA85"/>
    <mergeCell ref="AX88:BC88"/>
    <mergeCell ref="BD88:BI88"/>
    <mergeCell ref="BV86:CA86"/>
    <mergeCell ref="BV88:CA88"/>
    <mergeCell ref="AX86:BC86"/>
    <mergeCell ref="BD86:BI86"/>
    <mergeCell ref="Z84:AE84"/>
    <mergeCell ref="AF84:AK84"/>
    <mergeCell ref="BJ86:BO86"/>
    <mergeCell ref="Z85:AE85"/>
    <mergeCell ref="AF85:AK85"/>
    <mergeCell ref="AL85:AQ85"/>
    <mergeCell ref="AR85:AW85"/>
    <mergeCell ref="AX85:BC85"/>
    <mergeCell ref="BD85:BI85"/>
    <mergeCell ref="Z86:AE86"/>
    <mergeCell ref="BP86:BU86"/>
    <mergeCell ref="BJ85:BO85"/>
    <mergeCell ref="BP84:BU84"/>
    <mergeCell ref="Z88:AE88"/>
    <mergeCell ref="AF88:AK88"/>
    <mergeCell ref="AL88:AQ88"/>
    <mergeCell ref="AR88:AW88"/>
    <mergeCell ref="BV84:CA84"/>
    <mergeCell ref="BJ87:BO87"/>
    <mergeCell ref="AR86:AW86"/>
    <mergeCell ref="BV83:CA83"/>
    <mergeCell ref="AL84:AQ84"/>
    <mergeCell ref="AR84:AW84"/>
    <mergeCell ref="BJ84:BO84"/>
    <mergeCell ref="AX84:BC84"/>
    <mergeCell ref="BD84:BI84"/>
    <mergeCell ref="BV81:CA81"/>
    <mergeCell ref="BV82:CA82"/>
    <mergeCell ref="BJ81:BO81"/>
    <mergeCell ref="BJ82:BO82"/>
    <mergeCell ref="BD82:BI82"/>
    <mergeCell ref="AL82:AQ82"/>
    <mergeCell ref="BD81:BI81"/>
    <mergeCell ref="AR82:AW82"/>
    <mergeCell ref="AX83:BC83"/>
    <mergeCell ref="BJ83:BO83"/>
    <mergeCell ref="AL83:AQ83"/>
    <mergeCell ref="AR83:AW83"/>
    <mergeCell ref="BD83:BI83"/>
    <mergeCell ref="AL81:AQ81"/>
    <mergeCell ref="AX81:BC81"/>
    <mergeCell ref="B165:C165"/>
    <mergeCell ref="B166:C166"/>
    <mergeCell ref="B167:C167"/>
    <mergeCell ref="AF86:AK86"/>
    <mergeCell ref="AL86:AQ86"/>
    <mergeCell ref="B154:C154"/>
    <mergeCell ref="B155:C155"/>
    <mergeCell ref="B152:C152"/>
    <mergeCell ref="B153:C153"/>
    <mergeCell ref="D100:F100"/>
    <mergeCell ref="D101:F101"/>
    <mergeCell ref="D91:F91"/>
    <mergeCell ref="D86:F86"/>
    <mergeCell ref="B143:C143"/>
    <mergeCell ref="B118:C118"/>
    <mergeCell ref="B119:C119"/>
    <mergeCell ref="B124:C124"/>
    <mergeCell ref="B158:C158"/>
    <mergeCell ref="B159:C159"/>
    <mergeCell ref="B156:C156"/>
    <mergeCell ref="B157:C157"/>
    <mergeCell ref="B142:C142"/>
    <mergeCell ref="B125:C125"/>
    <mergeCell ref="B122:C122"/>
    <mergeCell ref="B123:C123"/>
    <mergeCell ref="B96:C96"/>
    <mergeCell ref="B97:C97"/>
    <mergeCell ref="B110:C110"/>
    <mergeCell ref="B111:C111"/>
    <mergeCell ref="B100:C100"/>
    <mergeCell ref="B101:C101"/>
    <mergeCell ref="B102:C102"/>
    <mergeCell ref="B182:C182"/>
    <mergeCell ref="B146:C146"/>
    <mergeCell ref="B147:C147"/>
    <mergeCell ref="B148:C148"/>
    <mergeCell ref="B149:C149"/>
    <mergeCell ref="B150:C150"/>
    <mergeCell ref="B151:C151"/>
    <mergeCell ref="B160:C160"/>
    <mergeCell ref="B161:C161"/>
    <mergeCell ref="B183:C183"/>
    <mergeCell ref="B176:C176"/>
    <mergeCell ref="B177:C177"/>
    <mergeCell ref="B180:C180"/>
    <mergeCell ref="B181:C181"/>
    <mergeCell ref="B178:C178"/>
    <mergeCell ref="B179:C179"/>
    <mergeCell ref="B196:C196"/>
    <mergeCell ref="B184:C184"/>
    <mergeCell ref="B185:C185"/>
    <mergeCell ref="B186:C186"/>
    <mergeCell ref="B187:C187"/>
    <mergeCell ref="B190:C190"/>
    <mergeCell ref="B191:C191"/>
    <mergeCell ref="B172:C172"/>
    <mergeCell ref="B173:C173"/>
    <mergeCell ref="B175:C175"/>
    <mergeCell ref="B174:C174"/>
    <mergeCell ref="B162:C162"/>
    <mergeCell ref="B163:C163"/>
    <mergeCell ref="B170:C170"/>
    <mergeCell ref="B171:C171"/>
    <mergeCell ref="B164:C164"/>
    <mergeCell ref="B197:C197"/>
    <mergeCell ref="Z79:AE79"/>
    <mergeCell ref="B192:C192"/>
    <mergeCell ref="B193:C193"/>
    <mergeCell ref="B194:C194"/>
    <mergeCell ref="B195:C195"/>
    <mergeCell ref="B188:C188"/>
    <mergeCell ref="B189:C189"/>
    <mergeCell ref="B168:C168"/>
    <mergeCell ref="B169:C169"/>
    <mergeCell ref="B130:C130"/>
    <mergeCell ref="B131:C131"/>
    <mergeCell ref="B136:C136"/>
    <mergeCell ref="B137:C137"/>
    <mergeCell ref="B144:C144"/>
    <mergeCell ref="B145:C145"/>
    <mergeCell ref="B140:C140"/>
    <mergeCell ref="B141:C141"/>
    <mergeCell ref="B138:C138"/>
    <mergeCell ref="B139:C139"/>
    <mergeCell ref="B108:C108"/>
    <mergeCell ref="B109:C109"/>
    <mergeCell ref="B126:C126"/>
    <mergeCell ref="B127:C127"/>
    <mergeCell ref="B134:C134"/>
    <mergeCell ref="B135:C135"/>
    <mergeCell ref="B128:C128"/>
    <mergeCell ref="B129:C129"/>
    <mergeCell ref="B132:C132"/>
    <mergeCell ref="B133:C133"/>
    <mergeCell ref="B120:C120"/>
    <mergeCell ref="B121:C121"/>
    <mergeCell ref="BP79:BU79"/>
    <mergeCell ref="BD80:BI80"/>
    <mergeCell ref="AL79:AQ79"/>
    <mergeCell ref="BJ80:BO80"/>
    <mergeCell ref="BD79:BI79"/>
    <mergeCell ref="BJ79:BO79"/>
    <mergeCell ref="AR81:AW81"/>
    <mergeCell ref="AX82:BC82"/>
    <mergeCell ref="B98:C98"/>
    <mergeCell ref="B99:C99"/>
    <mergeCell ref="B116:C116"/>
    <mergeCell ref="B117:C117"/>
    <mergeCell ref="B112:C112"/>
    <mergeCell ref="B113:C113"/>
    <mergeCell ref="B114:C114"/>
    <mergeCell ref="B115:C115"/>
    <mergeCell ref="B92:C92"/>
    <mergeCell ref="B93:C93"/>
    <mergeCell ref="B94:C94"/>
    <mergeCell ref="B95:C95"/>
    <mergeCell ref="B88:C88"/>
    <mergeCell ref="B89:C89"/>
    <mergeCell ref="B90:C90"/>
    <mergeCell ref="B91:C91"/>
    <mergeCell ref="B84:C84"/>
    <mergeCell ref="B85:C85"/>
    <mergeCell ref="B103:C103"/>
    <mergeCell ref="B106:C106"/>
    <mergeCell ref="B107:C107"/>
    <mergeCell ref="B104:C104"/>
    <mergeCell ref="B105:C105"/>
    <mergeCell ref="BP83:BU83"/>
    <mergeCell ref="D40:F40"/>
    <mergeCell ref="D41:F41"/>
    <mergeCell ref="D42:F42"/>
    <mergeCell ref="D35:F35"/>
    <mergeCell ref="D62:F62"/>
    <mergeCell ref="D63:F63"/>
    <mergeCell ref="D55:F55"/>
    <mergeCell ref="D56:F56"/>
    <mergeCell ref="AJ2:AO2"/>
    <mergeCell ref="B80:C80"/>
    <mergeCell ref="B81:C81"/>
    <mergeCell ref="B82:C82"/>
    <mergeCell ref="B14:CG14"/>
    <mergeCell ref="B15:CG15"/>
    <mergeCell ref="B17:CG17"/>
    <mergeCell ref="D18:CG18"/>
    <mergeCell ref="B18:C18"/>
    <mergeCell ref="W2:Y2"/>
    <mergeCell ref="Z2:AB2"/>
    <mergeCell ref="AE2:AI2"/>
    <mergeCell ref="B79:C79"/>
    <mergeCell ref="AF79:AK79"/>
    <mergeCell ref="F2:H2"/>
    <mergeCell ref="I2:J2"/>
    <mergeCell ref="BP82:BU82"/>
    <mergeCell ref="BP81:BU81"/>
    <mergeCell ref="Z82:AE82"/>
    <mergeCell ref="AF82:AK82"/>
    <mergeCell ref="Z81:AE81"/>
    <mergeCell ref="AF81:AK81"/>
    <mergeCell ref="BP80:BU80"/>
    <mergeCell ref="AR22:AW22"/>
    <mergeCell ref="B24:C24"/>
    <mergeCell ref="B25:C25"/>
    <mergeCell ref="B26:C26"/>
    <mergeCell ref="B27:C27"/>
    <mergeCell ref="B28:C28"/>
    <mergeCell ref="B87:C87"/>
    <mergeCell ref="B64:C64"/>
    <mergeCell ref="B35:C35"/>
    <mergeCell ref="B36:C36"/>
    <mergeCell ref="B37:C37"/>
    <mergeCell ref="B43:C43"/>
    <mergeCell ref="B40:C40"/>
    <mergeCell ref="B41:C41"/>
    <mergeCell ref="B42:C42"/>
    <mergeCell ref="B83:C83"/>
    <mergeCell ref="Z83:AE83"/>
    <mergeCell ref="AF83:AK83"/>
    <mergeCell ref="B30:C30"/>
    <mergeCell ref="B38:C38"/>
    <mergeCell ref="B31:C31"/>
    <mergeCell ref="B32:C32"/>
    <mergeCell ref="B33:C33"/>
    <mergeCell ref="B68:C68"/>
    <mergeCell ref="B74:C74"/>
    <mergeCell ref="B69:C69"/>
    <mergeCell ref="B77:C77"/>
    <mergeCell ref="B75:C75"/>
    <mergeCell ref="B76:C76"/>
    <mergeCell ref="B67:C67"/>
    <mergeCell ref="D81:F81"/>
    <mergeCell ref="G25:Y25"/>
    <mergeCell ref="G26:Y26"/>
    <mergeCell ref="BD24:BI24"/>
    <mergeCell ref="AX22:BC22"/>
    <mergeCell ref="G23:Y23"/>
    <mergeCell ref="L2:N2"/>
    <mergeCell ref="O2:U2"/>
    <mergeCell ref="B62:C62"/>
    <mergeCell ref="F4:I4"/>
    <mergeCell ref="J4:K4"/>
    <mergeCell ref="M4:N4"/>
    <mergeCell ref="O4:P4"/>
    <mergeCell ref="F8:P8"/>
    <mergeCell ref="BE4:BK4"/>
    <mergeCell ref="Q8:AM8"/>
    <mergeCell ref="AV4:BA4"/>
    <mergeCell ref="K6:AC6"/>
    <mergeCell ref="AH6:AM6"/>
    <mergeCell ref="B13:CG13"/>
    <mergeCell ref="BD22:BI22"/>
    <mergeCell ref="BJ22:BO22"/>
    <mergeCell ref="BP22:BU22"/>
    <mergeCell ref="AL23:AQ23"/>
    <mergeCell ref="AX23:BC23"/>
    <mergeCell ref="Z23:AE23"/>
    <mergeCell ref="AF22:AK22"/>
    <mergeCell ref="AL22:AQ22"/>
    <mergeCell ref="Z21:BC21"/>
    <mergeCell ref="CB24:CG24"/>
    <mergeCell ref="D21:Y22"/>
    <mergeCell ref="B16:CG16"/>
    <mergeCell ref="B19:C19"/>
    <mergeCell ref="Z22:AE22"/>
    <mergeCell ref="BD21:CG21"/>
    <mergeCell ref="AE6:AG6"/>
    <mergeCell ref="F20:CG20"/>
    <mergeCell ref="AP8:AV8"/>
    <mergeCell ref="AW8:BD8"/>
    <mergeCell ref="B12:CG12"/>
    <mergeCell ref="D19:E19"/>
    <mergeCell ref="B10:CG10"/>
    <mergeCell ref="B11:CG11"/>
    <mergeCell ref="AR25:AW25"/>
    <mergeCell ref="AX25:BC25"/>
    <mergeCell ref="D23:F23"/>
    <mergeCell ref="D24:F24"/>
    <mergeCell ref="G24:Y24"/>
    <mergeCell ref="AR23:AW23"/>
    <mergeCell ref="Z24:AE24"/>
    <mergeCell ref="AF24:AK24"/>
    <mergeCell ref="AL24:AQ24"/>
    <mergeCell ref="AR24:AW24"/>
    <mergeCell ref="CB25:CG25"/>
    <mergeCell ref="B23:C23"/>
    <mergeCell ref="CB22:CG22"/>
    <mergeCell ref="BD23:BI23"/>
    <mergeCell ref="BJ23:BO23"/>
    <mergeCell ref="BP23:BU23"/>
    <mergeCell ref="BV23:CA23"/>
    <mergeCell ref="CB23:CG23"/>
    <mergeCell ref="BP24:BU24"/>
    <mergeCell ref="BV24:CA24"/>
    <mergeCell ref="BV22:CA22"/>
    <mergeCell ref="BJ24:BO24"/>
    <mergeCell ref="AF23:AK23"/>
    <mergeCell ref="AX24:BC24"/>
    <mergeCell ref="BD25:BI25"/>
    <mergeCell ref="BD26:BI26"/>
    <mergeCell ref="AX26:BC26"/>
    <mergeCell ref="Z25:AE25"/>
    <mergeCell ref="AF25:AK25"/>
    <mergeCell ref="AL25:AQ25"/>
    <mergeCell ref="AF27:AK27"/>
    <mergeCell ref="AL27:AQ27"/>
    <mergeCell ref="AR27:AW27"/>
    <mergeCell ref="BP25:BU25"/>
    <mergeCell ref="BV25:CA25"/>
    <mergeCell ref="AX27:BC27"/>
    <mergeCell ref="BJ26:BO26"/>
    <mergeCell ref="BJ25:BO25"/>
    <mergeCell ref="BV26:CA26"/>
    <mergeCell ref="BP26:BU26"/>
    <mergeCell ref="G27:Y27"/>
    <mergeCell ref="AX28:BC28"/>
    <mergeCell ref="BD28:BI28"/>
    <mergeCell ref="BJ28:BO28"/>
    <mergeCell ref="Z26:AE26"/>
    <mergeCell ref="AF26:AK26"/>
    <mergeCell ref="AL26:AQ26"/>
    <mergeCell ref="AR26:AW26"/>
    <mergeCell ref="Z27:AE27"/>
    <mergeCell ref="BP28:BU28"/>
    <mergeCell ref="BD27:BI27"/>
    <mergeCell ref="BJ27:BO27"/>
    <mergeCell ref="BV28:CA28"/>
    <mergeCell ref="AR29:AW29"/>
    <mergeCell ref="Z28:AE28"/>
    <mergeCell ref="AF28:AK28"/>
    <mergeCell ref="AL28:AQ28"/>
    <mergeCell ref="AR28:AW28"/>
    <mergeCell ref="AX29:BC29"/>
    <mergeCell ref="BV27:CA27"/>
    <mergeCell ref="BP27:BU27"/>
    <mergeCell ref="Z31:AE31"/>
    <mergeCell ref="AF31:AK31"/>
    <mergeCell ref="AL31:AQ31"/>
    <mergeCell ref="BV30:CA30"/>
    <mergeCell ref="BD30:BI30"/>
    <mergeCell ref="BJ30:BO30"/>
    <mergeCell ref="BP30:BU30"/>
    <mergeCell ref="AX31:BC31"/>
    <mergeCell ref="BD31:BI31"/>
    <mergeCell ref="BJ31:BO31"/>
    <mergeCell ref="BV29:CA29"/>
    <mergeCell ref="Z30:AE30"/>
    <mergeCell ref="AF30:AK30"/>
    <mergeCell ref="AL30:AQ30"/>
    <mergeCell ref="AR30:AW30"/>
    <mergeCell ref="AX30:BC30"/>
    <mergeCell ref="BP29:BU29"/>
    <mergeCell ref="Z29:AE29"/>
    <mergeCell ref="AF29:AK29"/>
    <mergeCell ref="AL29:AQ29"/>
    <mergeCell ref="AR31:AW31"/>
    <mergeCell ref="BD29:BI29"/>
    <mergeCell ref="BJ29:BO29"/>
    <mergeCell ref="BD33:BI33"/>
    <mergeCell ref="BJ33:BO33"/>
    <mergeCell ref="Z32:AE32"/>
    <mergeCell ref="AF32:AK32"/>
    <mergeCell ref="AL32:AQ32"/>
    <mergeCell ref="AR32:AW32"/>
    <mergeCell ref="AX32:BC32"/>
    <mergeCell ref="Z33:AE33"/>
    <mergeCell ref="AF33:AK33"/>
    <mergeCell ref="BV31:CA31"/>
    <mergeCell ref="BP31:BU31"/>
    <mergeCell ref="BD32:BI32"/>
    <mergeCell ref="BJ32:BO32"/>
    <mergeCell ref="BP32:BU32"/>
    <mergeCell ref="BV32:CA32"/>
    <mergeCell ref="Z35:AE35"/>
    <mergeCell ref="AF35:AK35"/>
    <mergeCell ref="AL35:AQ35"/>
    <mergeCell ref="BV34:CA34"/>
    <mergeCell ref="BD34:BI34"/>
    <mergeCell ref="BJ34:BO34"/>
    <mergeCell ref="BP34:BU34"/>
    <mergeCell ref="AX35:BC35"/>
    <mergeCell ref="BD35:BI35"/>
    <mergeCell ref="BJ35:BO35"/>
    <mergeCell ref="AL34:AQ34"/>
    <mergeCell ref="AR34:AW34"/>
    <mergeCell ref="AX34:BC34"/>
    <mergeCell ref="AL33:AQ33"/>
    <mergeCell ref="AR33:AW33"/>
    <mergeCell ref="BP33:BU33"/>
    <mergeCell ref="AX33:BC33"/>
    <mergeCell ref="Z37:AE37"/>
    <mergeCell ref="AF37:AK37"/>
    <mergeCell ref="BD36:BI36"/>
    <mergeCell ref="BD37:BI37"/>
    <mergeCell ref="AL37:AQ37"/>
    <mergeCell ref="AR37:AW37"/>
    <mergeCell ref="AX37:BC37"/>
    <mergeCell ref="Z36:AE36"/>
    <mergeCell ref="AF36:AK36"/>
    <mergeCell ref="AL36:AQ36"/>
    <mergeCell ref="BJ36:BO36"/>
    <mergeCell ref="BP36:BU36"/>
    <mergeCell ref="BV36:CA36"/>
    <mergeCell ref="AR35:AW35"/>
    <mergeCell ref="AX36:BC36"/>
    <mergeCell ref="AR36:AW36"/>
    <mergeCell ref="BJ37:BO37"/>
    <mergeCell ref="BV37:CA37"/>
    <mergeCell ref="BP37:BU37"/>
    <mergeCell ref="AL39:AQ39"/>
    <mergeCell ref="BV38:CA38"/>
    <mergeCell ref="BD38:BI38"/>
    <mergeCell ref="BJ38:BO38"/>
    <mergeCell ref="BP38:BU38"/>
    <mergeCell ref="AX39:BC39"/>
    <mergeCell ref="BD39:BI39"/>
    <mergeCell ref="BJ39:BO39"/>
    <mergeCell ref="Z38:AE38"/>
    <mergeCell ref="AF38:AK38"/>
    <mergeCell ref="AL38:AQ38"/>
    <mergeCell ref="AR38:AW38"/>
    <mergeCell ref="AX38:BC38"/>
    <mergeCell ref="AR39:AW39"/>
    <mergeCell ref="BD41:BI41"/>
    <mergeCell ref="BJ41:BO41"/>
    <mergeCell ref="Z40:AE40"/>
    <mergeCell ref="AF40:AK40"/>
    <mergeCell ref="AL40:AQ40"/>
    <mergeCell ref="AR40:AW40"/>
    <mergeCell ref="AX40:BC40"/>
    <mergeCell ref="Z41:AE41"/>
    <mergeCell ref="AF41:AK41"/>
    <mergeCell ref="BV39:CA39"/>
    <mergeCell ref="BP39:BU39"/>
    <mergeCell ref="BD40:BI40"/>
    <mergeCell ref="BJ40:BO40"/>
    <mergeCell ref="BP40:BU40"/>
    <mergeCell ref="BV40:CA40"/>
    <mergeCell ref="AL43:AQ43"/>
    <mergeCell ref="BV42:CA42"/>
    <mergeCell ref="BD42:BI42"/>
    <mergeCell ref="BJ42:BO42"/>
    <mergeCell ref="BP42:BU42"/>
    <mergeCell ref="AX43:BC43"/>
    <mergeCell ref="BD43:BI43"/>
    <mergeCell ref="BJ43:BO43"/>
    <mergeCell ref="BV41:CA41"/>
    <mergeCell ref="Z42:AE42"/>
    <mergeCell ref="AF42:AK42"/>
    <mergeCell ref="AL42:AQ42"/>
    <mergeCell ref="AR42:AW42"/>
    <mergeCell ref="AX42:BC42"/>
    <mergeCell ref="AL41:AQ41"/>
    <mergeCell ref="AR41:AW41"/>
    <mergeCell ref="BP41:BU41"/>
    <mergeCell ref="AX41:BC41"/>
    <mergeCell ref="AR43:AW43"/>
    <mergeCell ref="Z44:AE44"/>
    <mergeCell ref="AF44:AK44"/>
    <mergeCell ref="AL44:AQ44"/>
    <mergeCell ref="AR44:AW44"/>
    <mergeCell ref="AX44:BC44"/>
    <mergeCell ref="Z45:AE45"/>
    <mergeCell ref="AF45:AK45"/>
    <mergeCell ref="BV43:CA43"/>
    <mergeCell ref="BP43:BU43"/>
    <mergeCell ref="BD44:BI44"/>
    <mergeCell ref="BJ44:BO44"/>
    <mergeCell ref="BP44:BU44"/>
    <mergeCell ref="BV44:CA44"/>
    <mergeCell ref="Z47:AE47"/>
    <mergeCell ref="AF47:AK47"/>
    <mergeCell ref="AL47:AQ47"/>
    <mergeCell ref="BV46:CA46"/>
    <mergeCell ref="BD46:BI46"/>
    <mergeCell ref="BJ46:BO46"/>
    <mergeCell ref="BP46:BU46"/>
    <mergeCell ref="AX47:BC47"/>
    <mergeCell ref="BD47:BI47"/>
    <mergeCell ref="BJ47:BO47"/>
    <mergeCell ref="BV45:CA45"/>
    <mergeCell ref="Z46:AE46"/>
    <mergeCell ref="AF46:AK46"/>
    <mergeCell ref="AL46:AQ46"/>
    <mergeCell ref="AR46:AW46"/>
    <mergeCell ref="AX46:BC46"/>
    <mergeCell ref="AL45:AQ45"/>
    <mergeCell ref="Z43:AE43"/>
    <mergeCell ref="AF43:AK43"/>
    <mergeCell ref="AR45:AW45"/>
    <mergeCell ref="BP45:BU45"/>
    <mergeCell ref="AX45:BC45"/>
    <mergeCell ref="Z48:AE48"/>
    <mergeCell ref="AF48:AK48"/>
    <mergeCell ref="AL48:AQ48"/>
    <mergeCell ref="AR48:AW48"/>
    <mergeCell ref="AX48:BC48"/>
    <mergeCell ref="Z49:AE49"/>
    <mergeCell ref="AF49:AK49"/>
    <mergeCell ref="BV50:CA50"/>
    <mergeCell ref="BD50:BI50"/>
    <mergeCell ref="BJ50:BO50"/>
    <mergeCell ref="BP50:BU50"/>
    <mergeCell ref="AR47:AW47"/>
    <mergeCell ref="BD49:BI49"/>
    <mergeCell ref="BJ49:BO49"/>
    <mergeCell ref="BV47:CA47"/>
    <mergeCell ref="BP47:BU47"/>
    <mergeCell ref="BD48:BI48"/>
    <mergeCell ref="BJ48:BO48"/>
    <mergeCell ref="BP48:BU48"/>
    <mergeCell ref="BV48:CA48"/>
    <mergeCell ref="BD45:BI45"/>
    <mergeCell ref="BJ45:BO45"/>
    <mergeCell ref="Z52:AE52"/>
    <mergeCell ref="AF52:AK52"/>
    <mergeCell ref="AL52:AQ52"/>
    <mergeCell ref="AR52:AW52"/>
    <mergeCell ref="Z51:AE51"/>
    <mergeCell ref="AF51:AK51"/>
    <mergeCell ref="AL51:AQ51"/>
    <mergeCell ref="AX51:BC51"/>
    <mergeCell ref="BV49:CA49"/>
    <mergeCell ref="Z50:AE50"/>
    <mergeCell ref="AF50:AK50"/>
    <mergeCell ref="AL50:AQ50"/>
    <mergeCell ref="AR50:AW50"/>
    <mergeCell ref="AX50:BC50"/>
    <mergeCell ref="AL49:AQ49"/>
    <mergeCell ref="AR49:AW49"/>
    <mergeCell ref="BP49:BU49"/>
    <mergeCell ref="AX49:BC49"/>
    <mergeCell ref="BV52:CA52"/>
    <mergeCell ref="AR51:AW51"/>
    <mergeCell ref="BD54:BI54"/>
    <mergeCell ref="BJ55:BO55"/>
    <mergeCell ref="Z58:AE58"/>
    <mergeCell ref="AF58:AK58"/>
    <mergeCell ref="AL58:AQ58"/>
    <mergeCell ref="Z56:AE56"/>
    <mergeCell ref="AF56:AK56"/>
    <mergeCell ref="BD57:BI57"/>
    <mergeCell ref="BJ57:BO57"/>
    <mergeCell ref="Z55:AE55"/>
    <mergeCell ref="BD53:BI53"/>
    <mergeCell ref="BJ53:BO53"/>
    <mergeCell ref="AX52:BC52"/>
    <mergeCell ref="BP51:BU51"/>
    <mergeCell ref="BD52:BI52"/>
    <mergeCell ref="BJ52:BO52"/>
    <mergeCell ref="BP52:BU52"/>
    <mergeCell ref="BD51:BI51"/>
    <mergeCell ref="AF54:AK54"/>
    <mergeCell ref="Z54:AE54"/>
    <mergeCell ref="BJ54:BO54"/>
    <mergeCell ref="BP54:BU54"/>
    <mergeCell ref="AX54:BC54"/>
    <mergeCell ref="AL53:AQ53"/>
    <mergeCell ref="AR53:AW53"/>
    <mergeCell ref="BP53:BU53"/>
    <mergeCell ref="AX53:BC53"/>
    <mergeCell ref="AR54:AW54"/>
    <mergeCell ref="Z53:AE53"/>
    <mergeCell ref="AF53:AK53"/>
    <mergeCell ref="AL54:AQ54"/>
    <mergeCell ref="BJ51:BO51"/>
    <mergeCell ref="AX55:BC55"/>
    <mergeCell ref="AF55:AK55"/>
    <mergeCell ref="AL55:AQ55"/>
    <mergeCell ref="Z57:AE57"/>
    <mergeCell ref="AF57:AK57"/>
    <mergeCell ref="AL57:AQ57"/>
    <mergeCell ref="AR57:AW57"/>
    <mergeCell ref="BP57:BU57"/>
    <mergeCell ref="AL56:AQ56"/>
    <mergeCell ref="AR56:AW56"/>
    <mergeCell ref="BP56:BU56"/>
    <mergeCell ref="AX56:BC56"/>
    <mergeCell ref="AX57:BC57"/>
    <mergeCell ref="BD58:BI58"/>
    <mergeCell ref="AX58:BC58"/>
    <mergeCell ref="AR58:AW58"/>
    <mergeCell ref="BV56:CA56"/>
    <mergeCell ref="AR55:AW55"/>
    <mergeCell ref="BP55:BU55"/>
    <mergeCell ref="BV55:CA55"/>
    <mergeCell ref="BD56:BI56"/>
    <mergeCell ref="BJ56:BO56"/>
    <mergeCell ref="BD55:BI55"/>
    <mergeCell ref="BD61:BI61"/>
    <mergeCell ref="BD60:BI60"/>
    <mergeCell ref="BJ60:BO60"/>
    <mergeCell ref="BP60:BU60"/>
    <mergeCell ref="BD59:BI59"/>
    <mergeCell ref="Z60:AE60"/>
    <mergeCell ref="AF60:AK60"/>
    <mergeCell ref="AL60:AQ60"/>
    <mergeCell ref="AR60:AW60"/>
    <mergeCell ref="Z61:AE61"/>
    <mergeCell ref="AF61:AK61"/>
    <mergeCell ref="AL61:AQ61"/>
    <mergeCell ref="Z63:AE63"/>
    <mergeCell ref="AF63:AK63"/>
    <mergeCell ref="BP63:BU63"/>
    <mergeCell ref="AR62:AW62"/>
    <mergeCell ref="AX62:BC62"/>
    <mergeCell ref="BP62:BU62"/>
    <mergeCell ref="AL63:AQ63"/>
    <mergeCell ref="BD62:BI62"/>
    <mergeCell ref="AL62:AQ62"/>
    <mergeCell ref="Z62:AE62"/>
    <mergeCell ref="AR61:AW61"/>
    <mergeCell ref="BJ62:BO62"/>
    <mergeCell ref="Z59:AE59"/>
    <mergeCell ref="AF59:AK59"/>
    <mergeCell ref="AL59:AQ59"/>
    <mergeCell ref="AX59:BC59"/>
    <mergeCell ref="AR59:AW59"/>
    <mergeCell ref="BD65:BI65"/>
    <mergeCell ref="AR65:AW65"/>
    <mergeCell ref="BJ63:BO63"/>
    <mergeCell ref="AF62:AK62"/>
    <mergeCell ref="AX61:BC61"/>
    <mergeCell ref="BJ64:BO64"/>
    <mergeCell ref="BP64:BU64"/>
    <mergeCell ref="BJ65:BO65"/>
    <mergeCell ref="BP65:BU65"/>
    <mergeCell ref="BV65:CA65"/>
    <mergeCell ref="AR63:AW63"/>
    <mergeCell ref="AX63:BC63"/>
    <mergeCell ref="BD63:BI63"/>
    <mergeCell ref="Z67:AE67"/>
    <mergeCell ref="Z64:AE64"/>
    <mergeCell ref="AF64:AK64"/>
    <mergeCell ref="BD66:BI66"/>
    <mergeCell ref="AX64:BC64"/>
    <mergeCell ref="BJ66:BO66"/>
    <mergeCell ref="AL64:AQ64"/>
    <mergeCell ref="AR64:AW64"/>
    <mergeCell ref="AF65:AK65"/>
    <mergeCell ref="BD64:BI64"/>
    <mergeCell ref="Z66:AE66"/>
    <mergeCell ref="AF66:AK66"/>
    <mergeCell ref="AL65:AQ65"/>
    <mergeCell ref="Z65:AE65"/>
    <mergeCell ref="AX66:BC66"/>
    <mergeCell ref="AL66:AQ66"/>
    <mergeCell ref="AR66:AW66"/>
    <mergeCell ref="AX65:BC65"/>
    <mergeCell ref="AX67:BC67"/>
    <mergeCell ref="AR67:AW67"/>
    <mergeCell ref="AX68:BC68"/>
    <mergeCell ref="BD67:BI67"/>
    <mergeCell ref="AL70:AQ70"/>
    <mergeCell ref="AF68:AK68"/>
    <mergeCell ref="Z69:AE69"/>
    <mergeCell ref="AF69:AK69"/>
    <mergeCell ref="AL69:AQ69"/>
    <mergeCell ref="AR69:AW69"/>
    <mergeCell ref="BJ68:BO68"/>
    <mergeCell ref="AF67:AK67"/>
    <mergeCell ref="AL67:AQ67"/>
    <mergeCell ref="Z68:AE68"/>
    <mergeCell ref="BJ70:BO70"/>
    <mergeCell ref="BD70:BI70"/>
    <mergeCell ref="AX70:BC70"/>
    <mergeCell ref="AR70:AW70"/>
    <mergeCell ref="Z70:AE70"/>
    <mergeCell ref="AF70:AK70"/>
    <mergeCell ref="BD69:BI69"/>
    <mergeCell ref="BJ69:BO69"/>
    <mergeCell ref="BJ67:BO67"/>
    <mergeCell ref="AF71:AK71"/>
    <mergeCell ref="AL71:AQ71"/>
    <mergeCell ref="BD68:BI68"/>
    <mergeCell ref="BJ73:BO73"/>
    <mergeCell ref="BJ72:BO72"/>
    <mergeCell ref="BJ71:BO71"/>
    <mergeCell ref="AX71:BC71"/>
    <mergeCell ref="BD71:BI71"/>
    <mergeCell ref="AR71:AW71"/>
    <mergeCell ref="BD75:BI75"/>
    <mergeCell ref="BP72:BU72"/>
    <mergeCell ref="Z72:AE72"/>
    <mergeCell ref="AF72:AK72"/>
    <mergeCell ref="AL72:AQ72"/>
    <mergeCell ref="AR72:AW72"/>
    <mergeCell ref="AX72:BC72"/>
    <mergeCell ref="BD72:BI72"/>
    <mergeCell ref="AX73:BC73"/>
    <mergeCell ref="BD73:BI73"/>
    <mergeCell ref="BP74:BU74"/>
    <mergeCell ref="Z74:AE74"/>
    <mergeCell ref="AF74:AK74"/>
    <mergeCell ref="AL74:AQ74"/>
    <mergeCell ref="AR74:AW74"/>
    <mergeCell ref="AX74:BC74"/>
    <mergeCell ref="BD74:BI74"/>
    <mergeCell ref="BJ74:BO74"/>
    <mergeCell ref="BJ75:BO75"/>
    <mergeCell ref="BP75:BU75"/>
    <mergeCell ref="AL68:AQ68"/>
    <mergeCell ref="BP68:BU68"/>
    <mergeCell ref="BP69:BU69"/>
    <mergeCell ref="BP77:BU77"/>
    <mergeCell ref="BP76:BU76"/>
    <mergeCell ref="AL75:AQ75"/>
    <mergeCell ref="AR75:AW75"/>
    <mergeCell ref="AX75:BC75"/>
    <mergeCell ref="CB28:CG28"/>
    <mergeCell ref="CB29:CG29"/>
    <mergeCell ref="BP66:BU66"/>
    <mergeCell ref="CB53:CG53"/>
    <mergeCell ref="CB54:CG54"/>
    <mergeCell ref="CB55:CG55"/>
    <mergeCell ref="CB62:CG62"/>
    <mergeCell ref="BV51:CA51"/>
    <mergeCell ref="BV64:CA64"/>
    <mergeCell ref="BP58:BU58"/>
    <mergeCell ref="BV67:CA67"/>
    <mergeCell ref="BV68:CA68"/>
    <mergeCell ref="BV71:CA71"/>
    <mergeCell ref="BV63:CA63"/>
    <mergeCell ref="BV54:CA54"/>
    <mergeCell ref="BP71:BU71"/>
    <mergeCell ref="BV69:CA69"/>
    <mergeCell ref="BP70:BU70"/>
    <mergeCell ref="BP61:BU61"/>
    <mergeCell ref="BP59:BU59"/>
    <mergeCell ref="BV75:CA75"/>
    <mergeCell ref="BV76:CA76"/>
    <mergeCell ref="BP73:BU73"/>
    <mergeCell ref="CB75:CG75"/>
    <mergeCell ref="AL73:AQ73"/>
    <mergeCell ref="AR73:AW73"/>
    <mergeCell ref="BP67:BU67"/>
    <mergeCell ref="CB26:CG26"/>
    <mergeCell ref="CB27:CG27"/>
    <mergeCell ref="BV62:CA62"/>
    <mergeCell ref="BV59:CA59"/>
    <mergeCell ref="BV60:CA60"/>
    <mergeCell ref="BV57:CA57"/>
    <mergeCell ref="BV58:CA58"/>
    <mergeCell ref="BV74:CA74"/>
    <mergeCell ref="CB42:CG42"/>
    <mergeCell ref="CB43:CG43"/>
    <mergeCell ref="CB50:CG50"/>
    <mergeCell ref="CB51:CG51"/>
    <mergeCell ref="CB57:CG57"/>
    <mergeCell ref="CB60:CG60"/>
    <mergeCell ref="CB61:CG61"/>
    <mergeCell ref="BV53:CA53"/>
    <mergeCell ref="BV61:CA61"/>
    <mergeCell ref="CB56:CG56"/>
    <mergeCell ref="CB36:CG36"/>
    <mergeCell ref="CB37:CG37"/>
    <mergeCell ref="CB38:CG38"/>
    <mergeCell ref="CB39:CG39"/>
    <mergeCell ref="CB52:CG52"/>
    <mergeCell ref="BV72:CA72"/>
    <mergeCell ref="BV73:CA73"/>
    <mergeCell ref="BV70:CA70"/>
    <mergeCell ref="CB65:CG65"/>
    <mergeCell ref="CB66:CG66"/>
    <mergeCell ref="CB67:CG67"/>
    <mergeCell ref="CB72:CG72"/>
    <mergeCell ref="CB73:CG73"/>
    <mergeCell ref="CB71:CG71"/>
    <mergeCell ref="CB40:CG40"/>
    <mergeCell ref="CB41:CG41"/>
    <mergeCell ref="CB47:CG47"/>
    <mergeCell ref="CB48:CG48"/>
    <mergeCell ref="CB49:CG49"/>
    <mergeCell ref="CB63:CG63"/>
    <mergeCell ref="CB45:CG45"/>
    <mergeCell ref="CB46:CG46"/>
    <mergeCell ref="CB58:CG58"/>
    <mergeCell ref="B29:C29"/>
    <mergeCell ref="B34:C34"/>
    <mergeCell ref="CB32:CG32"/>
    <mergeCell ref="CB30:CG30"/>
    <mergeCell ref="CB31:CG31"/>
    <mergeCell ref="BV35:CA35"/>
    <mergeCell ref="BP35:BU35"/>
    <mergeCell ref="BV33:CA33"/>
    <mergeCell ref="Z34:AE34"/>
    <mergeCell ref="AF34:AK34"/>
    <mergeCell ref="B61:C61"/>
    <mergeCell ref="B51:C51"/>
    <mergeCell ref="B55:C55"/>
    <mergeCell ref="B56:C56"/>
    <mergeCell ref="B52:C52"/>
    <mergeCell ref="CB33:CG33"/>
    <mergeCell ref="CB34:CG34"/>
    <mergeCell ref="CB35:CG35"/>
    <mergeCell ref="CB59:CG59"/>
    <mergeCell ref="BJ61:BO61"/>
    <mergeCell ref="AX60:BC60"/>
    <mergeCell ref="BJ58:BO58"/>
    <mergeCell ref="BJ59:BO59"/>
    <mergeCell ref="B39:C39"/>
    <mergeCell ref="B44:C44"/>
    <mergeCell ref="B45:C45"/>
    <mergeCell ref="B46:C46"/>
    <mergeCell ref="B47:C47"/>
    <mergeCell ref="B53:C53"/>
    <mergeCell ref="Z75:AE75"/>
    <mergeCell ref="AF75:AK75"/>
    <mergeCell ref="B48:C48"/>
    <mergeCell ref="B49:C49"/>
    <mergeCell ref="B54:C54"/>
    <mergeCell ref="B65:C65"/>
    <mergeCell ref="B57:C57"/>
    <mergeCell ref="B50:C50"/>
    <mergeCell ref="B58:C58"/>
    <mergeCell ref="B63:C63"/>
    <mergeCell ref="B59:C59"/>
    <mergeCell ref="B60:C60"/>
    <mergeCell ref="B66:C66"/>
    <mergeCell ref="AF73:AK73"/>
    <mergeCell ref="Z39:AE39"/>
    <mergeCell ref="AF39:AK39"/>
    <mergeCell ref="D57:F57"/>
    <mergeCell ref="D58:F58"/>
    <mergeCell ref="G47:Y47"/>
    <mergeCell ref="G67:Y67"/>
    <mergeCell ref="G56:Y56"/>
    <mergeCell ref="G57:Y57"/>
    <mergeCell ref="G40:Y40"/>
    <mergeCell ref="G45:Y45"/>
    <mergeCell ref="G60:Y60"/>
    <mergeCell ref="G59:Y59"/>
    <mergeCell ref="CB78:CG78"/>
    <mergeCell ref="BJ78:BO78"/>
    <mergeCell ref="B206:C206"/>
    <mergeCell ref="B207:C207"/>
    <mergeCell ref="D207:F207"/>
    <mergeCell ref="D213:F213"/>
    <mergeCell ref="D214:F214"/>
    <mergeCell ref="D208:F208"/>
    <mergeCell ref="D212:F212"/>
    <mergeCell ref="D206:F206"/>
    <mergeCell ref="CB44:CG44"/>
    <mergeCell ref="Z76:AE76"/>
    <mergeCell ref="AF76:AK76"/>
    <mergeCell ref="B70:C70"/>
    <mergeCell ref="B71:C71"/>
    <mergeCell ref="B72:C72"/>
    <mergeCell ref="B73:C73"/>
    <mergeCell ref="Z73:AE73"/>
    <mergeCell ref="Z71:AE71"/>
    <mergeCell ref="D72:F72"/>
    <mergeCell ref="D73:F73"/>
    <mergeCell ref="Z77:AE77"/>
    <mergeCell ref="CB64:CG64"/>
    <mergeCell ref="CB74:CG74"/>
    <mergeCell ref="CB68:CG68"/>
    <mergeCell ref="CB69:CG69"/>
    <mergeCell ref="CB70:CG70"/>
    <mergeCell ref="AR68:AW68"/>
    <mergeCell ref="AX69:BC69"/>
    <mergeCell ref="BV66:CA66"/>
    <mergeCell ref="AL77:AQ77"/>
    <mergeCell ref="AR77:AW77"/>
    <mergeCell ref="B204:C204"/>
    <mergeCell ref="D572:F572"/>
    <mergeCell ref="G572:AE572"/>
    <mergeCell ref="G568:AE568"/>
    <mergeCell ref="G569:AE569"/>
    <mergeCell ref="D568:F568"/>
    <mergeCell ref="D571:F571"/>
    <mergeCell ref="G573:AE573"/>
    <mergeCell ref="B558:C558"/>
    <mergeCell ref="CB76:CG76"/>
    <mergeCell ref="CB77:CG77"/>
    <mergeCell ref="BV77:CA77"/>
    <mergeCell ref="BJ76:BO76"/>
    <mergeCell ref="BP78:BU78"/>
    <mergeCell ref="BV78:CA78"/>
    <mergeCell ref="AF77:AK77"/>
    <mergeCell ref="AL76:AQ76"/>
    <mergeCell ref="AR76:AW76"/>
    <mergeCell ref="BJ77:BO77"/>
    <mergeCell ref="AX77:BC77"/>
    <mergeCell ref="BD77:BI77"/>
    <mergeCell ref="BD76:BI76"/>
    <mergeCell ref="B203:C203"/>
    <mergeCell ref="B205:C205"/>
    <mergeCell ref="D205:F205"/>
    <mergeCell ref="AX78:BC78"/>
    <mergeCell ref="BV80:CA80"/>
    <mergeCell ref="AR79:AW79"/>
    <mergeCell ref="AX79:BC79"/>
    <mergeCell ref="BV79:CA79"/>
    <mergeCell ref="B86:C86"/>
    <mergeCell ref="B78:C78"/>
    <mergeCell ref="AQ2:AX2"/>
    <mergeCell ref="AQ4:AU4"/>
    <mergeCell ref="AQ6:AU6"/>
    <mergeCell ref="AV6:BD6"/>
    <mergeCell ref="AY2:BK2"/>
    <mergeCell ref="D589:F589"/>
    <mergeCell ref="G577:AE577"/>
    <mergeCell ref="D592:F592"/>
    <mergeCell ref="G592:AE592"/>
    <mergeCell ref="G580:AE580"/>
    <mergeCell ref="D580:F580"/>
    <mergeCell ref="D583:F583"/>
    <mergeCell ref="G581:AE581"/>
    <mergeCell ref="D577:F577"/>
    <mergeCell ref="G585:AE585"/>
    <mergeCell ref="D587:F587"/>
    <mergeCell ref="G587:AE587"/>
    <mergeCell ref="G583:AE583"/>
    <mergeCell ref="D581:F581"/>
    <mergeCell ref="G575:AE575"/>
    <mergeCell ref="D591:F591"/>
    <mergeCell ref="Z80:AE80"/>
    <mergeCell ref="AL78:AQ78"/>
    <mergeCell ref="BD78:BI78"/>
    <mergeCell ref="AR80:AW80"/>
    <mergeCell ref="AX80:BC80"/>
    <mergeCell ref="AR78:AW78"/>
    <mergeCell ref="Z78:AE78"/>
    <mergeCell ref="AF78:AK78"/>
    <mergeCell ref="AF80:AK80"/>
    <mergeCell ref="AL80:AQ80"/>
    <mergeCell ref="AX76:BC76"/>
    <mergeCell ref="B198:C198"/>
    <mergeCell ref="D198:F198"/>
    <mergeCell ref="G198:Y198"/>
    <mergeCell ref="B199:C199"/>
    <mergeCell ref="D199:F199"/>
    <mergeCell ref="G199:Y199"/>
    <mergeCell ref="Z199:AE199"/>
    <mergeCell ref="AF199:AK199"/>
    <mergeCell ref="AL199:AQ199"/>
    <mergeCell ref="AR199:AW199"/>
    <mergeCell ref="AX199:BC199"/>
    <mergeCell ref="BD199:BI199"/>
    <mergeCell ref="BJ199:BO199"/>
    <mergeCell ref="BP199:BU199"/>
    <mergeCell ref="BV199:CA199"/>
    <mergeCell ref="CB199:CG199"/>
    <mergeCell ref="B200:C200"/>
    <mergeCell ref="D200:F200"/>
    <mergeCell ref="G200:Y200"/>
    <mergeCell ref="Z200:AE200"/>
    <mergeCell ref="AF200:AK200"/>
    <mergeCell ref="AL200:AQ200"/>
    <mergeCell ref="AR200:AW200"/>
    <mergeCell ref="AX200:BC200"/>
    <mergeCell ref="BD200:BI200"/>
    <mergeCell ref="BJ200:BO200"/>
    <mergeCell ref="BP200:BU200"/>
    <mergeCell ref="BV200:CA200"/>
    <mergeCell ref="CB200:CG200"/>
    <mergeCell ref="BJ198:BO198"/>
    <mergeCell ref="BP198:BU198"/>
    <mergeCell ref="BV198:CA198"/>
    <mergeCell ref="B201:C201"/>
    <mergeCell ref="D201:F201"/>
    <mergeCell ref="G201:Y201"/>
    <mergeCell ref="Z201:AE201"/>
    <mergeCell ref="AF201:AK201"/>
    <mergeCell ref="AL201:AQ201"/>
    <mergeCell ref="AR201:AW201"/>
    <mergeCell ref="AX201:BC201"/>
    <mergeCell ref="BD201:BI201"/>
    <mergeCell ref="BJ201:BO201"/>
    <mergeCell ref="BP201:BU201"/>
    <mergeCell ref="BV201:CA201"/>
    <mergeCell ref="CB201:CG201"/>
    <mergeCell ref="D202:F202"/>
    <mergeCell ref="G202:Y202"/>
    <mergeCell ref="Z202:AE202"/>
    <mergeCell ref="AF202:AK202"/>
    <mergeCell ref="AL202:AQ202"/>
    <mergeCell ref="AR202:AW202"/>
    <mergeCell ref="AX202:BC202"/>
    <mergeCell ref="BD202:BI202"/>
    <mergeCell ref="BJ202:BO202"/>
    <mergeCell ref="BP202:BU202"/>
    <mergeCell ref="BV202:CA202"/>
    <mergeCell ref="CB202:CG202"/>
    <mergeCell ref="B202:C202"/>
    <mergeCell ref="CB208:CG208"/>
    <mergeCell ref="BJ203:BO203"/>
    <mergeCell ref="BP203:BU203"/>
    <mergeCell ref="BV203:CA203"/>
    <mergeCell ref="CB203:CG203"/>
    <mergeCell ref="G204:Y204"/>
    <mergeCell ref="Z204:AE204"/>
    <mergeCell ref="AF204:AK204"/>
    <mergeCell ref="AL204:AQ204"/>
    <mergeCell ref="AR204:AW204"/>
    <mergeCell ref="AX204:BC204"/>
    <mergeCell ref="BD204:BI204"/>
    <mergeCell ref="BJ204:BO204"/>
    <mergeCell ref="BP204:BU204"/>
    <mergeCell ref="BV204:CA204"/>
    <mergeCell ref="CB204:CG204"/>
    <mergeCell ref="G205:Y205"/>
    <mergeCell ref="Z205:AE205"/>
    <mergeCell ref="AF205:AK205"/>
    <mergeCell ref="AL205:AQ205"/>
    <mergeCell ref="AR205:AW205"/>
    <mergeCell ref="AX205:BC205"/>
    <mergeCell ref="BD205:BI205"/>
    <mergeCell ref="BJ205:BO205"/>
    <mergeCell ref="BP205:BU205"/>
    <mergeCell ref="BV205:CA205"/>
    <mergeCell ref="CB205:CG205"/>
    <mergeCell ref="AR211:AW211"/>
    <mergeCell ref="AX211:BC211"/>
    <mergeCell ref="BD211:BI211"/>
    <mergeCell ref="BJ211:BO211"/>
    <mergeCell ref="BP211:BU211"/>
    <mergeCell ref="BV211:CA211"/>
    <mergeCell ref="CB211:CG211"/>
    <mergeCell ref="BJ206:BO206"/>
    <mergeCell ref="BP206:BU206"/>
    <mergeCell ref="BV206:CA206"/>
    <mergeCell ref="CB206:CG206"/>
    <mergeCell ref="G207:Y207"/>
    <mergeCell ref="Z207:AE207"/>
    <mergeCell ref="AF207:AK207"/>
    <mergeCell ref="AL207:AQ207"/>
    <mergeCell ref="AR207:AW207"/>
    <mergeCell ref="AX207:BC207"/>
    <mergeCell ref="BD207:BI207"/>
    <mergeCell ref="BJ207:BO207"/>
    <mergeCell ref="BP207:BU207"/>
    <mergeCell ref="BV207:CA207"/>
    <mergeCell ref="CB207:CG207"/>
    <mergeCell ref="G208:Y208"/>
    <mergeCell ref="Z208:AE208"/>
    <mergeCell ref="AF208:AK208"/>
    <mergeCell ref="AL208:AQ208"/>
    <mergeCell ref="AR208:AW208"/>
    <mergeCell ref="AX208:BC208"/>
    <mergeCell ref="BD208:BI208"/>
    <mergeCell ref="BJ208:BO208"/>
    <mergeCell ref="BP208:BU208"/>
    <mergeCell ref="BV208:CA208"/>
    <mergeCell ref="CB212:CG212"/>
    <mergeCell ref="G213:Y213"/>
    <mergeCell ref="Z213:AE213"/>
    <mergeCell ref="AF213:AK213"/>
    <mergeCell ref="AL213:AQ213"/>
    <mergeCell ref="AR213:AW213"/>
    <mergeCell ref="AX213:BC213"/>
    <mergeCell ref="BD213:BI213"/>
    <mergeCell ref="BJ213:BO213"/>
    <mergeCell ref="BP213:BU213"/>
    <mergeCell ref="BV213:CA213"/>
    <mergeCell ref="CB213:CG213"/>
    <mergeCell ref="BD209:BI209"/>
    <mergeCell ref="BJ209:BO209"/>
    <mergeCell ref="BP209:BU209"/>
    <mergeCell ref="BV209:CA209"/>
    <mergeCell ref="CB209:CG209"/>
    <mergeCell ref="G210:Y210"/>
    <mergeCell ref="Z210:AE210"/>
    <mergeCell ref="AF210:AK210"/>
    <mergeCell ref="AL210:AQ210"/>
    <mergeCell ref="AR210:AW210"/>
    <mergeCell ref="AX210:BC210"/>
    <mergeCell ref="BD210:BI210"/>
    <mergeCell ref="BJ210:BO210"/>
    <mergeCell ref="BP210:BU210"/>
    <mergeCell ref="BV210:CA210"/>
    <mergeCell ref="CB210:CG210"/>
    <mergeCell ref="G211:Y211"/>
    <mergeCell ref="Z211:AE211"/>
    <mergeCell ref="AF211:AK211"/>
    <mergeCell ref="AL211:AQ211"/>
    <mergeCell ref="BJ216:BO216"/>
    <mergeCell ref="BP216:BU216"/>
    <mergeCell ref="BV216:CA216"/>
    <mergeCell ref="AF216:AK216"/>
    <mergeCell ref="AL216:AQ216"/>
    <mergeCell ref="AR216:AW216"/>
    <mergeCell ref="AX216:BC216"/>
    <mergeCell ref="BD216:BI216"/>
    <mergeCell ref="G212:Y212"/>
    <mergeCell ref="Z212:AE212"/>
    <mergeCell ref="AF212:AK212"/>
    <mergeCell ref="AL212:AQ212"/>
    <mergeCell ref="AR212:AW212"/>
    <mergeCell ref="AX212:BC212"/>
    <mergeCell ref="BD212:BI212"/>
    <mergeCell ref="BJ212:BO212"/>
    <mergeCell ref="BP212:BU212"/>
    <mergeCell ref="BV212:CA212"/>
    <mergeCell ref="AF214:AK214"/>
    <mergeCell ref="AL214:AQ214"/>
    <mergeCell ref="AR214:AW214"/>
    <mergeCell ref="AX214:BC214"/>
    <mergeCell ref="BD214:BI214"/>
    <mergeCell ref="BJ214:BO214"/>
    <mergeCell ref="BP214:BU214"/>
    <mergeCell ref="BV214:CA214"/>
    <mergeCell ref="CB214:CG214"/>
    <mergeCell ref="AF215:AK215"/>
    <mergeCell ref="AL215:AQ215"/>
    <mergeCell ref="AR215:AW215"/>
    <mergeCell ref="AX215:BC215"/>
    <mergeCell ref="BD215:BI215"/>
    <mergeCell ref="BJ215:BO215"/>
    <mergeCell ref="BP215:BU215"/>
    <mergeCell ref="BV215:CA215"/>
    <mergeCell ref="CB215:CG215"/>
    <mergeCell ref="G220:Y220"/>
    <mergeCell ref="Z220:AE220"/>
    <mergeCell ref="AF220:AK220"/>
    <mergeCell ref="AL220:AQ220"/>
    <mergeCell ref="AR220:AW220"/>
    <mergeCell ref="AX220:BC220"/>
    <mergeCell ref="BD220:BI220"/>
    <mergeCell ref="BJ220:BO220"/>
    <mergeCell ref="BP220:BU220"/>
    <mergeCell ref="BV220:CA220"/>
    <mergeCell ref="CB220:CG220"/>
    <mergeCell ref="AX218:BC218"/>
    <mergeCell ref="BD218:BI218"/>
    <mergeCell ref="BJ218:BO218"/>
    <mergeCell ref="BP218:BU218"/>
    <mergeCell ref="BV218:CA218"/>
    <mergeCell ref="CB218:CG218"/>
    <mergeCell ref="AR217:AW217"/>
    <mergeCell ref="AX217:BC217"/>
    <mergeCell ref="BD217:BI217"/>
    <mergeCell ref="BJ217:BO217"/>
    <mergeCell ref="BP217:BU217"/>
    <mergeCell ref="BV217:CA217"/>
    <mergeCell ref="CB217:CG217"/>
    <mergeCell ref="AF218:AK218"/>
    <mergeCell ref="AL218:AQ218"/>
    <mergeCell ref="AF221:AK221"/>
    <mergeCell ref="AL221:AQ221"/>
    <mergeCell ref="AR221:AW221"/>
    <mergeCell ref="AX221:BC221"/>
    <mergeCell ref="BD221:BI221"/>
    <mergeCell ref="BJ221:BO221"/>
    <mergeCell ref="BP221:BU221"/>
    <mergeCell ref="BV221:CA221"/>
    <mergeCell ref="CB221:CG221"/>
    <mergeCell ref="AF219:AK219"/>
    <mergeCell ref="AL219:AQ219"/>
    <mergeCell ref="AR219:AW219"/>
    <mergeCell ref="AX219:BC219"/>
    <mergeCell ref="BD219:BI219"/>
    <mergeCell ref="BJ219:BO219"/>
    <mergeCell ref="BP219:BU219"/>
    <mergeCell ref="BV219:CA219"/>
    <mergeCell ref="CB219:CG219"/>
    <mergeCell ref="G222:Y222"/>
    <mergeCell ref="Z222:AE222"/>
    <mergeCell ref="AF222:AK222"/>
    <mergeCell ref="AL222:AQ222"/>
    <mergeCell ref="AR222:AW222"/>
    <mergeCell ref="AX222:BC222"/>
    <mergeCell ref="BD222:BI222"/>
    <mergeCell ref="BJ222:BO222"/>
    <mergeCell ref="BP222:BU222"/>
    <mergeCell ref="BV222:CA222"/>
    <mergeCell ref="CB222:CG222"/>
    <mergeCell ref="AF223:AK223"/>
    <mergeCell ref="AL223:AQ223"/>
    <mergeCell ref="AR223:AW223"/>
    <mergeCell ref="AX223:BC223"/>
    <mergeCell ref="BD223:BI223"/>
    <mergeCell ref="BJ223:BO223"/>
    <mergeCell ref="BP223:BU223"/>
    <mergeCell ref="BV223:CA223"/>
    <mergeCell ref="CB223:CG223"/>
    <mergeCell ref="G224:Y224"/>
    <mergeCell ref="Z224:AE224"/>
    <mergeCell ref="AF224:AK224"/>
    <mergeCell ref="AL224:AQ224"/>
    <mergeCell ref="AR224:AW224"/>
    <mergeCell ref="AX224:BC224"/>
    <mergeCell ref="BD224:BI224"/>
    <mergeCell ref="BJ224:BO224"/>
    <mergeCell ref="BP224:BU224"/>
    <mergeCell ref="BV224:CA224"/>
    <mergeCell ref="CB224:CG224"/>
    <mergeCell ref="AF225:AK225"/>
    <mergeCell ref="AL225:AQ225"/>
    <mergeCell ref="AR225:AW225"/>
    <mergeCell ref="AX225:BC225"/>
    <mergeCell ref="BD225:BI225"/>
    <mergeCell ref="BJ225:BO225"/>
    <mergeCell ref="BP225:BU225"/>
    <mergeCell ref="BV225:CA225"/>
    <mergeCell ref="CB225:CG225"/>
    <mergeCell ref="G226:Y226"/>
    <mergeCell ref="Z226:AE226"/>
    <mergeCell ref="AF226:AK226"/>
    <mergeCell ref="AL226:AQ226"/>
    <mergeCell ref="AR226:AW226"/>
    <mergeCell ref="AX226:BC226"/>
    <mergeCell ref="BD226:BI226"/>
    <mergeCell ref="BJ226:BO226"/>
    <mergeCell ref="BP226:BU226"/>
    <mergeCell ref="BV226:CA226"/>
    <mergeCell ref="CB226:CG226"/>
    <mergeCell ref="AF227:AK227"/>
    <mergeCell ref="AL227:AQ227"/>
    <mergeCell ref="AR227:AW227"/>
    <mergeCell ref="AX227:BC227"/>
    <mergeCell ref="BD227:BI227"/>
    <mergeCell ref="BJ227:BO227"/>
    <mergeCell ref="BP227:BU227"/>
    <mergeCell ref="BV227:CA227"/>
    <mergeCell ref="CB227:CG227"/>
    <mergeCell ref="D229:CG229"/>
    <mergeCell ref="B230:CG230"/>
    <mergeCell ref="D231:AE231"/>
    <mergeCell ref="B378:C378"/>
    <mergeCell ref="D378:F378"/>
    <mergeCell ref="G378:AE378"/>
    <mergeCell ref="AF378:CG378"/>
    <mergeCell ref="B379:C379"/>
    <mergeCell ref="D379:F379"/>
    <mergeCell ref="G379:AE379"/>
    <mergeCell ref="AF379:CG379"/>
    <mergeCell ref="D277:F277"/>
    <mergeCell ref="D278:F278"/>
    <mergeCell ref="D256:F256"/>
    <mergeCell ref="D257:F257"/>
    <mergeCell ref="D258:F258"/>
    <mergeCell ref="D251:F251"/>
    <mergeCell ref="D252:F252"/>
    <mergeCell ref="D253:F253"/>
    <mergeCell ref="D254:F254"/>
    <mergeCell ref="D255:F255"/>
    <mergeCell ref="D240:F240"/>
    <mergeCell ref="D249:F249"/>
    <mergeCell ref="D250:F250"/>
    <mergeCell ref="D271:F271"/>
    <mergeCell ref="D272:F272"/>
    <mergeCell ref="D291:F291"/>
    <mergeCell ref="D292:F292"/>
    <mergeCell ref="D293:F293"/>
    <mergeCell ref="D294:F294"/>
    <mergeCell ref="D287:F287"/>
    <mergeCell ref="D288:F288"/>
    <mergeCell ref="B557:C557"/>
    <mergeCell ref="D557:F557"/>
    <mergeCell ref="G557:AE557"/>
    <mergeCell ref="AF557:CG557"/>
    <mergeCell ref="D558:F558"/>
    <mergeCell ref="G558:AE558"/>
    <mergeCell ref="AF558:CG558"/>
    <mergeCell ref="D400:F400"/>
    <mergeCell ref="D416:F416"/>
    <mergeCell ref="D417:F417"/>
    <mergeCell ref="D418:F418"/>
    <mergeCell ref="D419:F419"/>
    <mergeCell ref="G412:AE412"/>
    <mergeCell ref="G413:AE413"/>
    <mergeCell ref="G414:AE414"/>
    <mergeCell ref="G415:AE415"/>
    <mergeCell ref="G416:AE416"/>
    <mergeCell ref="G417:AE417"/>
    <mergeCell ref="D401:F401"/>
    <mergeCell ref="D402:F402"/>
    <mergeCell ref="D403:F403"/>
    <mergeCell ref="D412:F412"/>
    <mergeCell ref="D442:F442"/>
    <mergeCell ref="D443:F443"/>
    <mergeCell ref="D446:F446"/>
    <mergeCell ref="D447:F447"/>
    <mergeCell ref="D435:F435"/>
    <mergeCell ref="G432:AE432"/>
    <mergeCell ref="G433:AE433"/>
    <mergeCell ref="G435:AE435"/>
    <mergeCell ref="D444:F444"/>
    <mergeCell ref="D445:F445"/>
    <mergeCell ref="D559:F559"/>
    <mergeCell ref="G559:AE559"/>
    <mergeCell ref="AF559:CG559"/>
    <mergeCell ref="B560:C560"/>
    <mergeCell ref="D560:F560"/>
    <mergeCell ref="G560:AE560"/>
    <mergeCell ref="AF560:CG560"/>
    <mergeCell ref="D561:F561"/>
    <mergeCell ref="G561:AE561"/>
    <mergeCell ref="AF561:CG561"/>
    <mergeCell ref="B562:C562"/>
    <mergeCell ref="D562:F562"/>
    <mergeCell ref="G562:AE562"/>
    <mergeCell ref="AF562:CG562"/>
    <mergeCell ref="B563:C563"/>
    <mergeCell ref="D563:F563"/>
    <mergeCell ref="G563:AE563"/>
    <mergeCell ref="AF563:CG563"/>
    <mergeCell ref="B559:C559"/>
    <mergeCell ref="B561:C561"/>
    <mergeCell ref="B564:C564"/>
    <mergeCell ref="D564:F564"/>
    <mergeCell ref="G564:AE564"/>
    <mergeCell ref="AF564:CG564"/>
    <mergeCell ref="B565:C565"/>
    <mergeCell ref="D565:F565"/>
    <mergeCell ref="G565:AE565"/>
    <mergeCell ref="AF565:CG565"/>
    <mergeCell ref="B566:C566"/>
    <mergeCell ref="D566:F566"/>
    <mergeCell ref="G566:AE566"/>
    <mergeCell ref="AF566:CG566"/>
    <mergeCell ref="B567:C567"/>
    <mergeCell ref="AF567:CG567"/>
    <mergeCell ref="B568:C568"/>
    <mergeCell ref="AF568:CG568"/>
    <mergeCell ref="B569:C569"/>
    <mergeCell ref="AF569:CG569"/>
    <mergeCell ref="D569:F569"/>
    <mergeCell ref="G567:AE567"/>
    <mergeCell ref="D567:F567"/>
    <mergeCell ref="B570:C570"/>
    <mergeCell ref="D570:F570"/>
    <mergeCell ref="G570:AE570"/>
    <mergeCell ref="AF570:CG570"/>
    <mergeCell ref="B571:C571"/>
    <mergeCell ref="AF571:CG571"/>
    <mergeCell ref="B572:C572"/>
    <mergeCell ref="AF572:CG572"/>
    <mergeCell ref="B573:C573"/>
    <mergeCell ref="AF573:CG573"/>
    <mergeCell ref="B574:C574"/>
    <mergeCell ref="D574:F574"/>
    <mergeCell ref="G574:AE574"/>
    <mergeCell ref="AF574:CG574"/>
    <mergeCell ref="B575:C575"/>
    <mergeCell ref="AF575:CG575"/>
    <mergeCell ref="B576:C576"/>
    <mergeCell ref="AF576:CG576"/>
    <mergeCell ref="G571:AE571"/>
    <mergeCell ref="B577:C577"/>
    <mergeCell ref="AF577:CG577"/>
    <mergeCell ref="B578:C578"/>
    <mergeCell ref="D578:F578"/>
    <mergeCell ref="G578:AE578"/>
    <mergeCell ref="AF578:CG578"/>
    <mergeCell ref="B579:C579"/>
    <mergeCell ref="AF579:CG579"/>
    <mergeCell ref="B580:C580"/>
    <mergeCell ref="AF580:CG580"/>
    <mergeCell ref="B581:C581"/>
    <mergeCell ref="AF581:CG581"/>
    <mergeCell ref="B582:C582"/>
    <mergeCell ref="D582:F582"/>
    <mergeCell ref="G582:AE582"/>
    <mergeCell ref="AF582:CG582"/>
    <mergeCell ref="B583:C583"/>
    <mergeCell ref="AF583:CG583"/>
    <mergeCell ref="B584:C584"/>
    <mergeCell ref="AF584:CG584"/>
    <mergeCell ref="B585:C585"/>
    <mergeCell ref="AF585:CG585"/>
    <mergeCell ref="B586:C586"/>
    <mergeCell ref="D586:F586"/>
    <mergeCell ref="G586:AE586"/>
    <mergeCell ref="AF586:CG586"/>
    <mergeCell ref="B587:C587"/>
    <mergeCell ref="AF587:CG587"/>
    <mergeCell ref="B588:C588"/>
    <mergeCell ref="AF588:CG588"/>
    <mergeCell ref="B589:C589"/>
    <mergeCell ref="AF589:CG589"/>
    <mergeCell ref="B590:C590"/>
    <mergeCell ref="D590:F590"/>
    <mergeCell ref="G590:AE590"/>
    <mergeCell ref="AF590:CG590"/>
    <mergeCell ref="B591:C591"/>
    <mergeCell ref="AF591:CG591"/>
    <mergeCell ref="B592:C592"/>
    <mergeCell ref="AF592:CG592"/>
    <mergeCell ref="B593:C593"/>
    <mergeCell ref="AF593:CG593"/>
    <mergeCell ref="B594:C594"/>
    <mergeCell ref="D594:F594"/>
    <mergeCell ref="G594:AE594"/>
    <mergeCell ref="AF594:CG594"/>
    <mergeCell ref="B595:C595"/>
    <mergeCell ref="AF595:CG595"/>
    <mergeCell ref="B596:C596"/>
    <mergeCell ref="AF596:CG596"/>
    <mergeCell ref="B597:C597"/>
    <mergeCell ref="AF597:CG597"/>
    <mergeCell ref="B598:C598"/>
    <mergeCell ref="D598:F598"/>
    <mergeCell ref="G598:AE598"/>
    <mergeCell ref="AF598:CG598"/>
    <mergeCell ref="B599:C599"/>
    <mergeCell ref="AF599:CG599"/>
    <mergeCell ref="B600:C600"/>
    <mergeCell ref="AF600:CG600"/>
    <mergeCell ref="B601:C601"/>
    <mergeCell ref="AF601:CG601"/>
    <mergeCell ref="B602:C602"/>
    <mergeCell ref="D602:F602"/>
    <mergeCell ref="G602:AE602"/>
    <mergeCell ref="AF602:CG602"/>
    <mergeCell ref="B603:C603"/>
    <mergeCell ref="AF603:CG603"/>
    <mergeCell ref="B604:C604"/>
    <mergeCell ref="AF604:CG604"/>
    <mergeCell ref="B605:C605"/>
    <mergeCell ref="AF605:CG605"/>
    <mergeCell ref="B606:C606"/>
    <mergeCell ref="D606:F606"/>
    <mergeCell ref="G606:AE606"/>
    <mergeCell ref="AF606:CG606"/>
    <mergeCell ref="G603:AE603"/>
    <mergeCell ref="D599:F599"/>
    <mergeCell ref="G599:AE599"/>
    <mergeCell ref="D600:F600"/>
    <mergeCell ref="G600:AE600"/>
    <mergeCell ref="D601:F601"/>
    <mergeCell ref="G601:AE601"/>
    <mergeCell ref="B607:C607"/>
    <mergeCell ref="D607:F607"/>
    <mergeCell ref="G607:AE607"/>
    <mergeCell ref="AF607:CG607"/>
    <mergeCell ref="B608:C608"/>
    <mergeCell ref="D608:F608"/>
    <mergeCell ref="G608:AE608"/>
    <mergeCell ref="AF608:CG608"/>
    <mergeCell ref="B609:C609"/>
    <mergeCell ref="D609:F609"/>
    <mergeCell ref="G609:AE609"/>
    <mergeCell ref="AF609:CG609"/>
    <mergeCell ref="B610:C610"/>
    <mergeCell ref="D610:F610"/>
    <mergeCell ref="G610:AE610"/>
    <mergeCell ref="AF610:CG610"/>
    <mergeCell ref="B611:C611"/>
    <mergeCell ref="D611:F611"/>
    <mergeCell ref="G611:AE611"/>
    <mergeCell ref="AF611:CG611"/>
    <mergeCell ref="B612:C612"/>
    <mergeCell ref="D612:F612"/>
    <mergeCell ref="G612:AE612"/>
    <mergeCell ref="AF612:CG612"/>
    <mergeCell ref="B613:C613"/>
    <mergeCell ref="D613:F613"/>
    <mergeCell ref="G613:AE613"/>
    <mergeCell ref="AF613:CG613"/>
    <mergeCell ref="B614:C614"/>
    <mergeCell ref="D614:F614"/>
    <mergeCell ref="G614:AE614"/>
    <mergeCell ref="AF614:CG614"/>
    <mergeCell ref="B615:C615"/>
    <mergeCell ref="D615:F615"/>
    <mergeCell ref="G615:AE615"/>
    <mergeCell ref="AF615:CG615"/>
    <mergeCell ref="B616:C616"/>
    <mergeCell ref="D616:F616"/>
    <mergeCell ref="G616:AE616"/>
    <mergeCell ref="AF616:CG616"/>
    <mergeCell ref="B617:C617"/>
    <mergeCell ref="D617:F617"/>
    <mergeCell ref="G617:AE617"/>
    <mergeCell ref="AF617:CG617"/>
    <mergeCell ref="B618:C618"/>
    <mergeCell ref="D618:F618"/>
    <mergeCell ref="G618:AE618"/>
    <mergeCell ref="AF618:CG618"/>
    <mergeCell ref="B619:C619"/>
    <mergeCell ref="D619:F619"/>
    <mergeCell ref="G619:AE619"/>
    <mergeCell ref="AF619:CG619"/>
    <mergeCell ref="B620:C620"/>
    <mergeCell ref="D620:F620"/>
    <mergeCell ref="G620:AE620"/>
    <mergeCell ref="AF620:CG620"/>
    <mergeCell ref="B621:C621"/>
    <mergeCell ref="D621:F621"/>
    <mergeCell ref="G621:AE621"/>
    <mergeCell ref="AF621:CG621"/>
    <mergeCell ref="B622:C622"/>
    <mergeCell ref="D622:F622"/>
    <mergeCell ref="G622:AE622"/>
    <mergeCell ref="AF622:CG622"/>
    <mergeCell ref="B623:C623"/>
    <mergeCell ref="D623:F623"/>
    <mergeCell ref="G623:AE623"/>
    <mergeCell ref="AF623:CG623"/>
    <mergeCell ref="B624:C624"/>
    <mergeCell ref="D624:F624"/>
    <mergeCell ref="G624:AE624"/>
    <mergeCell ref="AF624:CG624"/>
    <mergeCell ref="B625:C625"/>
    <mergeCell ref="D625:F625"/>
    <mergeCell ref="G625:AE625"/>
    <mergeCell ref="AF625:CG625"/>
    <mergeCell ref="B626:C626"/>
    <mergeCell ref="D626:F626"/>
    <mergeCell ref="G626:AE626"/>
    <mergeCell ref="AF626:CG626"/>
    <mergeCell ref="B627:C627"/>
    <mergeCell ref="D627:F627"/>
    <mergeCell ref="G627:AE627"/>
    <mergeCell ref="AF627:CG627"/>
    <mergeCell ref="B628:C628"/>
    <mergeCell ref="D628:F628"/>
    <mergeCell ref="G628:AE628"/>
    <mergeCell ref="AF628:CG628"/>
    <mergeCell ref="B629:C629"/>
    <mergeCell ref="D629:F629"/>
    <mergeCell ref="G629:AE629"/>
    <mergeCell ref="AF629:CG629"/>
    <mergeCell ref="B630:C630"/>
    <mergeCell ref="D630:F630"/>
    <mergeCell ref="G630:AE630"/>
    <mergeCell ref="AF630:CG630"/>
    <mergeCell ref="B631:C631"/>
    <mergeCell ref="D631:F631"/>
    <mergeCell ref="G631:AE631"/>
    <mergeCell ref="AF631:CG631"/>
    <mergeCell ref="B632:C632"/>
    <mergeCell ref="D632:F632"/>
    <mergeCell ref="G632:AE632"/>
    <mergeCell ref="AF632:CG632"/>
    <mergeCell ref="B633:C633"/>
    <mergeCell ref="D633:F633"/>
    <mergeCell ref="G633:AE633"/>
    <mergeCell ref="AF633:CG633"/>
    <mergeCell ref="B634:C634"/>
    <mergeCell ref="D634:F634"/>
    <mergeCell ref="G634:AE634"/>
    <mergeCell ref="AF634:CG634"/>
    <mergeCell ref="B635:C635"/>
    <mergeCell ref="D635:F635"/>
    <mergeCell ref="G635:AE635"/>
    <mergeCell ref="AF635:CG635"/>
    <mergeCell ref="B636:C636"/>
    <mergeCell ref="D636:F636"/>
    <mergeCell ref="G636:AE636"/>
    <mergeCell ref="AF636:CG636"/>
    <mergeCell ref="B637:C637"/>
    <mergeCell ref="D637:F637"/>
    <mergeCell ref="G637:AE637"/>
    <mergeCell ref="AF637:CG637"/>
    <mergeCell ref="B638:C638"/>
    <mergeCell ref="D638:F638"/>
    <mergeCell ref="G638:AE638"/>
    <mergeCell ref="AF638:CG638"/>
    <mergeCell ref="B639:C639"/>
    <mergeCell ref="D639:F639"/>
    <mergeCell ref="G639:AE639"/>
    <mergeCell ref="AF639:CG639"/>
    <mergeCell ref="B640:C640"/>
    <mergeCell ref="D640:F640"/>
    <mergeCell ref="G640:AE640"/>
    <mergeCell ref="AF640:CG640"/>
    <mergeCell ref="B641:C641"/>
    <mergeCell ref="D641:F641"/>
    <mergeCell ref="G641:AE641"/>
    <mergeCell ref="AF641:CG641"/>
    <mergeCell ref="B642:C642"/>
    <mergeCell ref="D642:F642"/>
    <mergeCell ref="G642:AE642"/>
    <mergeCell ref="AF642:CG642"/>
    <mergeCell ref="B643:C643"/>
    <mergeCell ref="D643:F643"/>
    <mergeCell ref="G643:AE643"/>
    <mergeCell ref="AF643:CG643"/>
    <mergeCell ref="B644:CG644"/>
    <mergeCell ref="B645:C645"/>
    <mergeCell ref="D645:CG645"/>
    <mergeCell ref="B646:C646"/>
    <mergeCell ref="D646:CG646"/>
    <mergeCell ref="B647:CG647"/>
    <mergeCell ref="B648:C648"/>
    <mergeCell ref="D648:CG648"/>
    <mergeCell ref="B649:CG649"/>
    <mergeCell ref="B650:CG650"/>
    <mergeCell ref="B651:CG651"/>
    <mergeCell ref="B652:CG652"/>
    <mergeCell ref="D654:F654"/>
    <mergeCell ref="G654:AE654"/>
    <mergeCell ref="BJ654:CG654"/>
    <mergeCell ref="D655:F655"/>
    <mergeCell ref="G655:AE655"/>
    <mergeCell ref="AG655:BE655"/>
    <mergeCell ref="BJ655:CG655"/>
    <mergeCell ref="D656:F656"/>
    <mergeCell ref="G656:AE656"/>
    <mergeCell ref="AG656:BE656"/>
    <mergeCell ref="BJ656:CG656"/>
    <mergeCell ref="AH657:BE657"/>
    <mergeCell ref="BJ657:CG657"/>
    <mergeCell ref="D658:F658"/>
    <mergeCell ref="G658:AE658"/>
    <mergeCell ref="BJ658:CG658"/>
    <mergeCell ref="D674:F674"/>
    <mergeCell ref="G674:AE674"/>
    <mergeCell ref="D659:F659"/>
    <mergeCell ref="G659:AE659"/>
    <mergeCell ref="AG659:BE659"/>
    <mergeCell ref="BJ659:CG659"/>
    <mergeCell ref="D660:F660"/>
    <mergeCell ref="G660:AE660"/>
    <mergeCell ref="AG660:BE660"/>
    <mergeCell ref="D662:F662"/>
    <mergeCell ref="G662:AE662"/>
    <mergeCell ref="D663:F663"/>
    <mergeCell ref="G663:AE663"/>
    <mergeCell ref="AG663:BE663"/>
    <mergeCell ref="D664:F664"/>
    <mergeCell ref="G664:AE664"/>
    <mergeCell ref="AG664:BE664"/>
    <mergeCell ref="D665:AE665"/>
    <mergeCell ref="D666:F666"/>
    <mergeCell ref="G666:AE666"/>
    <mergeCell ref="AG675:BE675"/>
    <mergeCell ref="D676:F676"/>
    <mergeCell ref="G676:AE676"/>
    <mergeCell ref="AG676:BE676"/>
    <mergeCell ref="D677:AE677"/>
    <mergeCell ref="D678:F678"/>
    <mergeCell ref="G678:AE678"/>
    <mergeCell ref="D679:F679"/>
    <mergeCell ref="G679:AE679"/>
    <mergeCell ref="AG679:BE679"/>
    <mergeCell ref="D680:F680"/>
    <mergeCell ref="G680:AE680"/>
    <mergeCell ref="AG680:BE680"/>
    <mergeCell ref="D681:AE681"/>
    <mergeCell ref="D682:F682"/>
    <mergeCell ref="G682:AE682"/>
    <mergeCell ref="D667:F667"/>
    <mergeCell ref="G667:AE667"/>
    <mergeCell ref="AG667:BE667"/>
    <mergeCell ref="D668:F668"/>
    <mergeCell ref="G668:AE668"/>
    <mergeCell ref="AG668:BE668"/>
    <mergeCell ref="D669:AE669"/>
    <mergeCell ref="D670:F670"/>
    <mergeCell ref="G670:AE670"/>
    <mergeCell ref="D671:F671"/>
    <mergeCell ref="G671:AE671"/>
    <mergeCell ref="AG671:BE671"/>
    <mergeCell ref="D672:F672"/>
    <mergeCell ref="G672:AE672"/>
    <mergeCell ref="AG672:BE672"/>
    <mergeCell ref="D673:AE673"/>
    <mergeCell ref="F19:K19"/>
    <mergeCell ref="L19:AG19"/>
    <mergeCell ref="AH19:AM19"/>
    <mergeCell ref="AO19:AT19"/>
    <mergeCell ref="AU19:CG19"/>
    <mergeCell ref="D691:F691"/>
    <mergeCell ref="G691:AE691"/>
    <mergeCell ref="AG691:BE691"/>
    <mergeCell ref="D692:F692"/>
    <mergeCell ref="G692:AE692"/>
    <mergeCell ref="AG692:BE692"/>
    <mergeCell ref="D693:AE693"/>
    <mergeCell ref="D683:F683"/>
    <mergeCell ref="G683:AE683"/>
    <mergeCell ref="AG683:BE683"/>
    <mergeCell ref="D684:F684"/>
    <mergeCell ref="G684:AE684"/>
    <mergeCell ref="AG684:BE684"/>
    <mergeCell ref="D685:AE685"/>
    <mergeCell ref="D686:F686"/>
    <mergeCell ref="G686:AE686"/>
    <mergeCell ref="D687:F687"/>
    <mergeCell ref="G687:AE687"/>
    <mergeCell ref="AG687:BE687"/>
    <mergeCell ref="D688:F688"/>
    <mergeCell ref="G688:AE688"/>
    <mergeCell ref="AG688:BE688"/>
    <mergeCell ref="D689:AE689"/>
    <mergeCell ref="D690:F690"/>
    <mergeCell ref="G690:AE690"/>
    <mergeCell ref="D675:F675"/>
    <mergeCell ref="G675:AE675"/>
  </mergeCells>
  <phoneticPr fontId="7" type="noConversion"/>
  <conditionalFormatting sqref="I2:J2 O2:U2 J4:K4 Q8:AM8 K6:AC6 AH6:AM6">
    <cfRule type="cellIs" dxfId="18" priority="3" stopIfTrue="1" operator="equal">
      <formula>0</formula>
    </cfRule>
    <cfRule type="cellIs" dxfId="17" priority="4" stopIfTrue="1" operator="greaterThan">
      <formula>0</formula>
    </cfRule>
  </conditionalFormatting>
  <conditionalFormatting sqref="Z2:AB2">
    <cfRule type="cellIs" dxfId="16" priority="5" stopIfTrue="1" operator="equal">
      <formula>0</formula>
    </cfRule>
  </conditionalFormatting>
  <conditionalFormatting sqref="B16:CG16">
    <cfRule type="cellIs" dxfId="15" priority="6" stopIfTrue="1" operator="equal">
      <formula>0</formula>
    </cfRule>
  </conditionalFormatting>
  <conditionalFormatting sqref="M4:N4">
    <cfRule type="cellIs" dxfId="14" priority="1" stopIfTrue="1" operator="equal">
      <formula>0</formula>
    </cfRule>
    <cfRule type="cellIs" dxfId="13" priority="2" stopIfTrue="1" operator="greaterThan">
      <formula>0</formula>
    </cfRule>
  </conditionalFormatting>
  <dataValidations count="3">
    <dataValidation type="list" allowBlank="1" showInputMessage="1" showErrorMessage="1" sqref="O2:U2">
      <formula1>"janeiro,fevereiro,março,abril,maio,junho,julho,agosto,setembro,outubro,novembro,dezembro"</formula1>
    </dataValidation>
    <dataValidation type="whole" allowBlank="1" showInputMessage="1" showErrorMessage="1" errorTitle="ATENÇÃO" error="Números de 1 a 10" promptTitle="ATENÇÃO" prompt="Digite o número referente aos Membros que deverão assinar a ATA." sqref="A652">
      <formula1>1</formula1>
      <formula2>10</formula2>
    </dataValidation>
    <dataValidation type="list" allowBlank="1" showInputMessage="1" showErrorMessage="1" sqref="AW8:BD8">
      <formula1>"APROVAR,RETIFICAR"</formula1>
    </dataValidation>
  </dataValidations>
  <printOptions horizontalCentered="1"/>
  <pageMargins left="0.19685039370078741" right="0.19685039370078741" top="0.19685039370078741" bottom="0.31496062992125984" header="0.19685039370078741" footer="0.11811023622047245"/>
  <pageSetup paperSize="9" scale="95" orientation="landscape" r:id="rId1"/>
  <headerFooter alignWithMargins="0">
    <oddFooter>&amp;C&amp;"Arial,Negrito"&amp;P/&amp;N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>
    <tabColor indexed="37"/>
  </sheetPr>
  <dimension ref="A1:XFD21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5.75" customHeight="1" zeroHeight="1"/>
  <cols>
    <col min="1" max="3" width="9.28515625" style="65" customWidth="1"/>
    <col min="4" max="4" width="82.5703125" style="3" customWidth="1"/>
    <col min="5" max="5" width="15.85546875" style="3" customWidth="1"/>
    <col min="6" max="6" width="14" style="3" customWidth="1"/>
    <col min="7" max="7" width="11.42578125" style="3" bestFit="1" customWidth="1"/>
    <col min="8" max="8" width="12.28515625" style="3" customWidth="1"/>
    <col min="9" max="9" width="14.28515625" style="3" customWidth="1"/>
    <col min="10" max="10" width="11.5703125" style="3" customWidth="1"/>
    <col min="11" max="11" width="2.7109375" style="3" customWidth="1"/>
    <col min="12" max="12" width="11.42578125" style="3" hidden="1"/>
    <col min="13" max="13" width="8.7109375" style="3" hidden="1"/>
    <col min="14" max="16383" width="9.140625" style="3" hidden="1"/>
    <col min="16384" max="16384" width="2.5703125" style="3" hidden="1"/>
  </cols>
  <sheetData>
    <row r="1" spans="1:15 16384:16384" ht="40.5" customHeight="1">
      <c r="A1" s="100"/>
      <c r="B1" s="100"/>
      <c r="C1" s="100"/>
      <c r="D1" s="29"/>
      <c r="E1" s="29"/>
      <c r="F1" s="29"/>
      <c r="G1" s="29"/>
      <c r="H1" s="29"/>
      <c r="I1" s="29"/>
      <c r="J1" s="29"/>
      <c r="K1" s="29"/>
      <c r="L1" s="29"/>
      <c r="O1" s="29"/>
      <c r="XFD1" s="392"/>
    </row>
    <row r="2" spans="1:15 16384:16384" ht="15.75" customHeight="1">
      <c r="A2" s="106"/>
      <c r="B2" s="1107" t="str">
        <f>"((TITULO))"&amp;"DIRETORIA REGIONAL DE EDUCAÇÃO - "&amp;BASE!$D$5</f>
        <v>((TITULO))DIRETORIA REGIONAL DE EDUCAÇÃO - CAMPO LIMPO</v>
      </c>
      <c r="C2" s="1107"/>
      <c r="D2" s="1107"/>
      <c r="E2" s="1107"/>
      <c r="F2" s="1107"/>
      <c r="G2" s="1107"/>
      <c r="H2" s="1107"/>
      <c r="I2" s="1107"/>
      <c r="J2" s="1107"/>
      <c r="K2" s="108"/>
      <c r="L2" s="108"/>
      <c r="M2" s="414"/>
      <c r="O2" s="29"/>
      <c r="XFD2" s="392"/>
    </row>
    <row r="3" spans="1:15 16384:16384" ht="14.25" customHeight="1">
      <c r="A3" s="106"/>
      <c r="B3" s="1107" t="s">
        <v>241</v>
      </c>
      <c r="C3" s="1107"/>
      <c r="D3" s="1107"/>
      <c r="E3" s="1107"/>
      <c r="F3" s="1107"/>
      <c r="G3" s="1107"/>
      <c r="H3" s="1107"/>
      <c r="I3" s="1107"/>
      <c r="J3" s="1107"/>
      <c r="K3" s="415"/>
      <c r="L3" s="414"/>
      <c r="M3" s="414"/>
      <c r="O3" s="29"/>
      <c r="XFD3" s="392"/>
    </row>
    <row r="4" spans="1:15 16384:16384" ht="84" customHeight="1">
      <c r="A4" s="106"/>
      <c r="B4" s="1186" t="str">
        <f>"((TEXTO))"&amp;N5&amp;BASE!$D$5&amp;N6&amp;ATA!$Q$8&amp;N7&amp;N8&amp;ATA!$I$2&amp;N8&amp;ATA!$O$2&amp;N8&amp;ATA!$Z$2&amp;N9&amp;BASE!$D$11&amp;N10&amp;BASE!$F$11&amp;N13</f>
        <v>((TEXTO))No exercício de atribuição conferida pela Portaria SME nº 2.946/05, mediante Parecer Técnico Conclusivo de Comissão Específica da Diretoria Regional de Educação CAMPO LIMPO, expedido através da ATA nº ,  de  de  de , ((NG))APROVO((CL)) a Prestação de Contas do PTRF, período 01/12/2019 a 31/10/2020, das Associações de Pais e Mestres - APMs e das Associações de Pais, Mestres, Servidores, Usuários e Amigos do CEU - APMSUAC's, abaixo relacionadas:</v>
      </c>
      <c r="C4" s="1186"/>
      <c r="D4" s="1186"/>
      <c r="E4" s="1186"/>
      <c r="F4" s="1186"/>
      <c r="G4" s="1186"/>
      <c r="H4" s="1186"/>
      <c r="I4" s="1186"/>
      <c r="J4" s="1186"/>
      <c r="K4" s="416"/>
      <c r="L4" s="1185" t="s">
        <v>327</v>
      </c>
      <c r="M4" s="1185"/>
      <c r="O4" s="29"/>
      <c r="XFD4" s="392"/>
    </row>
    <row r="5" spans="1:15 16384:16384" ht="12.75" customHeight="1">
      <c r="A5" s="301"/>
      <c r="B5" s="1187" t="s">
        <v>326</v>
      </c>
      <c r="C5" s="1107" t="s">
        <v>140</v>
      </c>
      <c r="D5" s="1107"/>
      <c r="E5" s="1188" t="s">
        <v>41</v>
      </c>
      <c r="F5" s="1188"/>
      <c r="G5" s="1188"/>
      <c r="H5" s="1188" t="s">
        <v>42</v>
      </c>
      <c r="I5" s="1188"/>
      <c r="J5" s="1188"/>
      <c r="K5" s="417"/>
      <c r="L5" s="1184" t="s">
        <v>284</v>
      </c>
      <c r="M5" s="1184"/>
      <c r="N5" s="180" t="s">
        <v>150</v>
      </c>
      <c r="O5" s="29"/>
      <c r="XFD5" s="392"/>
    </row>
    <row r="6" spans="1:15 16384:16384">
      <c r="A6" s="301"/>
      <c r="B6" s="1187"/>
      <c r="C6" s="1107"/>
      <c r="D6" s="1107"/>
      <c r="E6" s="418" t="s">
        <v>130</v>
      </c>
      <c r="F6" s="418" t="s">
        <v>147</v>
      </c>
      <c r="G6" s="418" t="s">
        <v>11</v>
      </c>
      <c r="H6" s="418" t="s">
        <v>130</v>
      </c>
      <c r="I6" s="418" t="s">
        <v>147</v>
      </c>
      <c r="J6" s="418" t="s">
        <v>11</v>
      </c>
      <c r="K6" s="106"/>
      <c r="L6" s="413" t="s">
        <v>41</v>
      </c>
      <c r="M6" s="413" t="s">
        <v>42</v>
      </c>
      <c r="N6" s="3" t="s">
        <v>152</v>
      </c>
      <c r="O6" s="29"/>
      <c r="XFD6" s="392"/>
    </row>
    <row r="7" spans="1:15 16384:16384" ht="15" hidden="1">
      <c r="A7" s="301" t="str">
        <f>IF(D7="","OK","")</f>
        <v>OK</v>
      </c>
      <c r="B7" s="419" t="str">
        <f t="shared" ref="B7:B70" si="0">IF(C7="","",B6+1)</f>
        <v/>
      </c>
      <c r="C7" s="420" t="str">
        <f>IF(CONSOLIDA!CN4="","",CONSOLIDA!CN4)</f>
        <v/>
      </c>
      <c r="D7" s="421" t="str">
        <f>IF(CONSOLIDA!CO4="","",CONSOLIDA!CO4)</f>
        <v/>
      </c>
      <c r="E7" s="422" t="str">
        <f>IF(C7="","",IF(CONSOLIDA!DD4="",0,CONSOLIDA!DD4))</f>
        <v/>
      </c>
      <c r="F7" s="422" t="str">
        <f>IF(C7="","",IF(CONSOLIDA!CS4="",0,CONSOLIDA!CS4))</f>
        <v/>
      </c>
      <c r="G7" s="422" t="str">
        <f>IF(C7="","",IF(CONSOLIDA!CT4="",0,CONSOLIDA!CT4))</f>
        <v/>
      </c>
      <c r="H7" s="422" t="str">
        <f>IF(C7="","",IF(CONSOLIDA!DE4="",0,CONSOLIDA!DE4))</f>
        <v/>
      </c>
      <c r="I7" s="422" t="str">
        <f>IF(C7="","",IF(CONSOLIDA!CW4="",0,CONSOLIDA!CW4))</f>
        <v/>
      </c>
      <c r="J7" s="422" t="str">
        <f>IF(C7="","",IF(CONSOLIDA!CX4="",0,CONSOLIDA!CX4))</f>
        <v/>
      </c>
      <c r="K7" s="486"/>
      <c r="L7" s="490" t="str">
        <f>IF(C7="","",(E7-F7)-G7)</f>
        <v/>
      </c>
      <c r="M7" s="490" t="str">
        <f>IF(C7="","",(H7-I7)-J7)</f>
        <v/>
      </c>
      <c r="N7" s="3" t="s">
        <v>113</v>
      </c>
      <c r="O7" s="29"/>
      <c r="XFD7" s="392"/>
    </row>
    <row r="8" spans="1:15 16384:16384" ht="15" hidden="1">
      <c r="A8" s="243" t="str">
        <f t="shared" ref="A8:A71" si="1">IF(D8="","OK","")</f>
        <v>OK</v>
      </c>
      <c r="B8" s="419" t="str">
        <f t="shared" si="0"/>
        <v/>
      </c>
      <c r="C8" s="420" t="str">
        <f>IF(CONSOLIDA!CN5="","",CONSOLIDA!CN5)</f>
        <v/>
      </c>
      <c r="D8" s="421" t="str">
        <f>IF(CONSOLIDA!CO5="","",CONSOLIDA!CO5)</f>
        <v/>
      </c>
      <c r="E8" s="422" t="str">
        <f>IF(C8="","",IF(CONSOLIDA!DD5="",0,CONSOLIDA!DD5))</f>
        <v/>
      </c>
      <c r="F8" s="422" t="str">
        <f>IF(C8="","",IF(CONSOLIDA!CS5="",0,CONSOLIDA!CS5))</f>
        <v/>
      </c>
      <c r="G8" s="422" t="str">
        <f>IF(C8="","",IF(CONSOLIDA!CT5="",0,CONSOLIDA!CT5))</f>
        <v/>
      </c>
      <c r="H8" s="422" t="str">
        <f>IF(C8="","",IF(CONSOLIDA!DE5="",0,CONSOLIDA!DE5))</f>
        <v/>
      </c>
      <c r="I8" s="422" t="str">
        <f>IF(C8="","",IF(CONSOLIDA!CW5="",0,CONSOLIDA!CW5))</f>
        <v/>
      </c>
      <c r="J8" s="422" t="str">
        <f>IF(C8="","",IF(CONSOLIDA!CX5="",0,CONSOLIDA!CX5))</f>
        <v/>
      </c>
      <c r="K8" s="486"/>
      <c r="L8" s="490" t="str">
        <f t="shared" ref="L8:L71" si="2">IF(C8="","",(E8-F8)-G8)</f>
        <v/>
      </c>
      <c r="M8" s="490" t="str">
        <f t="shared" ref="M8:M71" si="3">IF(C8="","",(H8-I8)-J8)</f>
        <v/>
      </c>
      <c r="N8" s="3" t="s">
        <v>115</v>
      </c>
      <c r="O8" s="29"/>
      <c r="XFD8" s="392"/>
    </row>
    <row r="9" spans="1:15 16384:16384" ht="15" hidden="1">
      <c r="A9" s="243" t="str">
        <f t="shared" si="1"/>
        <v>OK</v>
      </c>
      <c r="B9" s="419" t="str">
        <f t="shared" si="0"/>
        <v/>
      </c>
      <c r="C9" s="420" t="str">
        <f>IF(CONSOLIDA!CN6="","",CONSOLIDA!CN6)</f>
        <v/>
      </c>
      <c r="D9" s="421" t="str">
        <f>IF(CONSOLIDA!CO6="","",CONSOLIDA!CO6)</f>
        <v/>
      </c>
      <c r="E9" s="422" t="str">
        <f>IF(C9="","",IF(CONSOLIDA!DD6="",0,CONSOLIDA!DD6))</f>
        <v/>
      </c>
      <c r="F9" s="422" t="str">
        <f>IF(C9="","",IF(CONSOLIDA!CS6="",0,CONSOLIDA!CS6))</f>
        <v/>
      </c>
      <c r="G9" s="422" t="str">
        <f>IF(C9="","",IF(CONSOLIDA!CT6="",0,CONSOLIDA!CT6))</f>
        <v/>
      </c>
      <c r="H9" s="422" t="str">
        <f>IF(C9="","",IF(CONSOLIDA!DE6="",0,CONSOLIDA!DE6))</f>
        <v/>
      </c>
      <c r="I9" s="422" t="str">
        <f>IF(C9="","",IF(CONSOLIDA!CW6="",0,CONSOLIDA!CW6))</f>
        <v/>
      </c>
      <c r="J9" s="422" t="str">
        <f>IF(C9="","",IF(CONSOLIDA!CX6="",0,CONSOLIDA!CX6))</f>
        <v/>
      </c>
      <c r="K9" s="486"/>
      <c r="L9" s="490" t="str">
        <f t="shared" si="2"/>
        <v/>
      </c>
      <c r="M9" s="490" t="str">
        <f t="shared" si="3"/>
        <v/>
      </c>
      <c r="N9" s="99" t="s">
        <v>325</v>
      </c>
      <c r="O9" s="29"/>
      <c r="XFD9" s="392"/>
    </row>
    <row r="10" spans="1:15 16384:16384" ht="15" hidden="1">
      <c r="A10" s="243" t="str">
        <f t="shared" si="1"/>
        <v>OK</v>
      </c>
      <c r="B10" s="419" t="str">
        <f t="shared" si="0"/>
        <v/>
      </c>
      <c r="C10" s="420" t="str">
        <f>IF(CONSOLIDA!CN7="","",CONSOLIDA!CN7)</f>
        <v/>
      </c>
      <c r="D10" s="421" t="str">
        <f>IF(CONSOLIDA!CO7="","",CONSOLIDA!CO7)</f>
        <v/>
      </c>
      <c r="E10" s="422" t="str">
        <f>IF(C10="","",IF(CONSOLIDA!DD7="",0,CONSOLIDA!DD7))</f>
        <v/>
      </c>
      <c r="F10" s="422" t="str">
        <f>IF(C10="","",IF(CONSOLIDA!CS7="",0,CONSOLIDA!CS7))</f>
        <v/>
      </c>
      <c r="G10" s="422" t="str">
        <f>IF(C10="","",IF(CONSOLIDA!CT7="",0,CONSOLIDA!CT7))</f>
        <v/>
      </c>
      <c r="H10" s="422" t="str">
        <f>IF(C10="","",IF(CONSOLIDA!DE7="",0,CONSOLIDA!DE7))</f>
        <v/>
      </c>
      <c r="I10" s="422" t="str">
        <f>IF(C10="","",IF(CONSOLIDA!CW7="",0,CONSOLIDA!CW7))</f>
        <v/>
      </c>
      <c r="J10" s="422" t="str">
        <f>IF(C10="","",IF(CONSOLIDA!CX7="",0,CONSOLIDA!CX7))</f>
        <v/>
      </c>
      <c r="K10" s="486"/>
      <c r="L10" s="490" t="str">
        <f t="shared" si="2"/>
        <v/>
      </c>
      <c r="M10" s="490" t="str">
        <f t="shared" si="3"/>
        <v/>
      </c>
      <c r="N10" s="3" t="s">
        <v>97</v>
      </c>
      <c r="O10" s="29"/>
      <c r="XFD10" s="392"/>
    </row>
    <row r="11" spans="1:15 16384:16384" ht="15" hidden="1">
      <c r="A11" s="243" t="str">
        <f t="shared" si="1"/>
        <v>OK</v>
      </c>
      <c r="B11" s="419" t="str">
        <f t="shared" si="0"/>
        <v/>
      </c>
      <c r="C11" s="420" t="str">
        <f>IF(CONSOLIDA!CN8="","",CONSOLIDA!CN8)</f>
        <v/>
      </c>
      <c r="D11" s="421" t="str">
        <f>IF(CONSOLIDA!CO8="","",CONSOLIDA!CO8)</f>
        <v/>
      </c>
      <c r="E11" s="422" t="str">
        <f>IF(C11="","",IF(CONSOLIDA!DD8="",0,CONSOLIDA!DD8))</f>
        <v/>
      </c>
      <c r="F11" s="422" t="str">
        <f>IF(C11="","",IF(CONSOLIDA!CS8="",0,CONSOLIDA!CS8))</f>
        <v/>
      </c>
      <c r="G11" s="422" t="str">
        <f>IF(C11="","",IF(CONSOLIDA!CT8="",0,CONSOLIDA!CT8))</f>
        <v/>
      </c>
      <c r="H11" s="422" t="str">
        <f>IF(C11="","",IF(CONSOLIDA!DE8="",0,CONSOLIDA!DE8))</f>
        <v/>
      </c>
      <c r="I11" s="422" t="str">
        <f>IF(C11="","",IF(CONSOLIDA!CW8="",0,CONSOLIDA!CW8))</f>
        <v/>
      </c>
      <c r="J11" s="422" t="str">
        <f>IF(C11="","",IF(CONSOLIDA!CX8="",0,CONSOLIDA!CX8))</f>
        <v/>
      </c>
      <c r="K11" s="486"/>
      <c r="L11" s="490" t="str">
        <f t="shared" si="2"/>
        <v/>
      </c>
      <c r="M11" s="490" t="str">
        <f t="shared" si="3"/>
        <v/>
      </c>
      <c r="N11" s="3" t="s">
        <v>151</v>
      </c>
      <c r="O11" s="29"/>
      <c r="XFD11" s="392"/>
    </row>
    <row r="12" spans="1:15 16384:16384" ht="15" hidden="1">
      <c r="A12" s="243" t="str">
        <f t="shared" si="1"/>
        <v>OK</v>
      </c>
      <c r="B12" s="419" t="str">
        <f t="shared" si="0"/>
        <v/>
      </c>
      <c r="C12" s="420" t="str">
        <f>IF(CONSOLIDA!CN9="","",CONSOLIDA!CN9)</f>
        <v/>
      </c>
      <c r="D12" s="421" t="str">
        <f>IF(CONSOLIDA!CO9="","",CONSOLIDA!CO9)</f>
        <v/>
      </c>
      <c r="E12" s="422" t="str">
        <f>IF(C12="","",IF(CONSOLIDA!DD9="",0,CONSOLIDA!DD9))</f>
        <v/>
      </c>
      <c r="F12" s="422" t="str">
        <f>IF(C12="","",IF(CONSOLIDA!CS9="",0,CONSOLIDA!CS9))</f>
        <v/>
      </c>
      <c r="G12" s="422" t="str">
        <f>IF(C12="","",IF(CONSOLIDA!CT9="",0,CONSOLIDA!CT9))</f>
        <v/>
      </c>
      <c r="H12" s="422" t="str">
        <f>IF(C12="","",IF(CONSOLIDA!DE9="",0,CONSOLIDA!DE9))</f>
        <v/>
      </c>
      <c r="I12" s="422" t="str">
        <f>IF(C12="","",IF(CONSOLIDA!CW9="",0,CONSOLIDA!CW9))</f>
        <v/>
      </c>
      <c r="J12" s="422" t="str">
        <f>IF(C12="","",IF(CONSOLIDA!CX9="",0,CONSOLIDA!CX9))</f>
        <v/>
      </c>
      <c r="K12" s="486"/>
      <c r="L12" s="490" t="str">
        <f t="shared" si="2"/>
        <v/>
      </c>
      <c r="M12" s="490" t="str">
        <f t="shared" si="3"/>
        <v/>
      </c>
      <c r="O12" s="29"/>
      <c r="XFD12" s="392"/>
    </row>
    <row r="13" spans="1:15 16384:16384" ht="15" hidden="1">
      <c r="A13" s="243" t="str">
        <f t="shared" si="1"/>
        <v>OK</v>
      </c>
      <c r="B13" s="419" t="str">
        <f t="shared" si="0"/>
        <v/>
      </c>
      <c r="C13" s="420" t="str">
        <f>IF(CONSOLIDA!CN10="","",CONSOLIDA!CN10)</f>
        <v/>
      </c>
      <c r="D13" s="421" t="str">
        <f>IF(CONSOLIDA!CO10="","",CONSOLIDA!CO10)</f>
        <v/>
      </c>
      <c r="E13" s="422" t="str">
        <f>IF(C13="","",IF(CONSOLIDA!DD10="",0,CONSOLIDA!DD10))</f>
        <v/>
      </c>
      <c r="F13" s="422" t="str">
        <f>IF(C13="","",IF(CONSOLIDA!CS10="",0,CONSOLIDA!CS10))</f>
        <v/>
      </c>
      <c r="G13" s="422" t="str">
        <f>IF(C13="","",IF(CONSOLIDA!CT10="",0,CONSOLIDA!CT10))</f>
        <v/>
      </c>
      <c r="H13" s="422" t="str">
        <f>IF(C13="","",IF(CONSOLIDA!DE10="",0,CONSOLIDA!DE10))</f>
        <v/>
      </c>
      <c r="I13" s="422" t="str">
        <f>IF(C13="","",IF(CONSOLIDA!CW10="",0,CONSOLIDA!CW10))</f>
        <v/>
      </c>
      <c r="J13" s="422" t="str">
        <f>IF(C13="","",IF(CONSOLIDA!CX10="",0,CONSOLIDA!CX10))</f>
        <v/>
      </c>
      <c r="K13" s="486"/>
      <c r="L13" s="490" t="str">
        <f t="shared" si="2"/>
        <v/>
      </c>
      <c r="M13" s="490" t="str">
        <f t="shared" si="3"/>
        <v/>
      </c>
      <c r="N13" s="448" t="s">
        <v>336</v>
      </c>
      <c r="O13" s="29"/>
      <c r="XFD13" s="392"/>
    </row>
    <row r="14" spans="1:15 16384:16384" ht="15" hidden="1">
      <c r="A14" s="243" t="str">
        <f t="shared" si="1"/>
        <v>OK</v>
      </c>
      <c r="B14" s="419" t="str">
        <f t="shared" si="0"/>
        <v/>
      </c>
      <c r="C14" s="420" t="str">
        <f>IF(CONSOLIDA!CN11="","",CONSOLIDA!CN11)</f>
        <v/>
      </c>
      <c r="D14" s="421" t="str">
        <f>IF(CONSOLIDA!CO11="","",CONSOLIDA!CO11)</f>
        <v/>
      </c>
      <c r="E14" s="422" t="str">
        <f>IF(C14="","",IF(CONSOLIDA!DD11="",0,CONSOLIDA!DD11))</f>
        <v/>
      </c>
      <c r="F14" s="422" t="str">
        <f>IF(C14="","",IF(CONSOLIDA!CS11="",0,CONSOLIDA!CS11))</f>
        <v/>
      </c>
      <c r="G14" s="422" t="str">
        <f>IF(C14="","",IF(CONSOLIDA!CT11="",0,CONSOLIDA!CT11))</f>
        <v/>
      </c>
      <c r="H14" s="422" t="str">
        <f>IF(C14="","",IF(CONSOLIDA!DE11="",0,CONSOLIDA!DE11))</f>
        <v/>
      </c>
      <c r="I14" s="422" t="str">
        <f>IF(C14="","",IF(CONSOLIDA!CW11="",0,CONSOLIDA!CW11))</f>
        <v/>
      </c>
      <c r="J14" s="422" t="str">
        <f>IF(C14="","",IF(CONSOLIDA!CX11="",0,CONSOLIDA!CX11))</f>
        <v/>
      </c>
      <c r="K14" s="486"/>
      <c r="L14" s="490" t="str">
        <f t="shared" si="2"/>
        <v/>
      </c>
      <c r="M14" s="490" t="str">
        <f t="shared" si="3"/>
        <v/>
      </c>
      <c r="N14" s="181"/>
      <c r="O14" s="29"/>
      <c r="XFD14" s="392"/>
    </row>
    <row r="15" spans="1:15 16384:16384" ht="15" hidden="1">
      <c r="A15" s="243" t="str">
        <f t="shared" si="1"/>
        <v>OK</v>
      </c>
      <c r="B15" s="419" t="str">
        <f t="shared" si="0"/>
        <v/>
      </c>
      <c r="C15" s="420" t="str">
        <f>IF(CONSOLIDA!CN12="","",CONSOLIDA!CN12)</f>
        <v/>
      </c>
      <c r="D15" s="421" t="str">
        <f>IF(CONSOLIDA!CO12="","",CONSOLIDA!CO12)</f>
        <v/>
      </c>
      <c r="E15" s="422" t="str">
        <f>IF(C15="","",IF(CONSOLIDA!DD12="",0,CONSOLIDA!DD12))</f>
        <v/>
      </c>
      <c r="F15" s="422" t="str">
        <f>IF(C15="","",IF(CONSOLIDA!CS12="",0,CONSOLIDA!CS12))</f>
        <v/>
      </c>
      <c r="G15" s="422" t="str">
        <f>IF(C15="","",IF(CONSOLIDA!CT12="",0,CONSOLIDA!CT12))</f>
        <v/>
      </c>
      <c r="H15" s="422" t="str">
        <f>IF(C15="","",IF(CONSOLIDA!DE12="",0,CONSOLIDA!DE12))</f>
        <v/>
      </c>
      <c r="I15" s="422" t="str">
        <f>IF(C15="","",IF(CONSOLIDA!CW12="",0,CONSOLIDA!CW12))</f>
        <v/>
      </c>
      <c r="J15" s="422" t="str">
        <f>IF(C15="","",IF(CONSOLIDA!CX12="",0,CONSOLIDA!CX12))</f>
        <v/>
      </c>
      <c r="K15" s="486"/>
      <c r="L15" s="490" t="str">
        <f t="shared" si="2"/>
        <v/>
      </c>
      <c r="M15" s="490" t="str">
        <f t="shared" si="3"/>
        <v/>
      </c>
      <c r="O15" s="29"/>
      <c r="XFD15" s="392"/>
    </row>
    <row r="16" spans="1:15 16384:16384" ht="15" hidden="1">
      <c r="A16" s="243" t="str">
        <f t="shared" si="1"/>
        <v>OK</v>
      </c>
      <c r="B16" s="419" t="str">
        <f t="shared" si="0"/>
        <v/>
      </c>
      <c r="C16" s="420" t="str">
        <f>IF(CONSOLIDA!CN13="","",CONSOLIDA!CN13)</f>
        <v/>
      </c>
      <c r="D16" s="421" t="str">
        <f>IF(CONSOLIDA!CO13="","",CONSOLIDA!CO13)</f>
        <v/>
      </c>
      <c r="E16" s="422" t="str">
        <f>IF(C16="","",IF(CONSOLIDA!DD13="",0,CONSOLIDA!DD13))</f>
        <v/>
      </c>
      <c r="F16" s="422" t="str">
        <f>IF(C16="","",IF(CONSOLIDA!CS13="",0,CONSOLIDA!CS13))</f>
        <v/>
      </c>
      <c r="G16" s="422" t="str">
        <f>IF(C16="","",IF(CONSOLIDA!CT13="",0,CONSOLIDA!CT13))</f>
        <v/>
      </c>
      <c r="H16" s="422" t="str">
        <f>IF(C16="","",IF(CONSOLIDA!DE13="",0,CONSOLIDA!DE13))</f>
        <v/>
      </c>
      <c r="I16" s="422" t="str">
        <f>IF(C16="","",IF(CONSOLIDA!CW13="",0,CONSOLIDA!CW13))</f>
        <v/>
      </c>
      <c r="J16" s="422" t="str">
        <f>IF(C16="","",IF(CONSOLIDA!CX13="",0,CONSOLIDA!CX13))</f>
        <v/>
      </c>
      <c r="K16" s="486"/>
      <c r="L16" s="490" t="str">
        <f t="shared" si="2"/>
        <v/>
      </c>
      <c r="M16" s="490" t="str">
        <f t="shared" si="3"/>
        <v/>
      </c>
      <c r="O16" s="29"/>
      <c r="XFD16" s="392"/>
    </row>
    <row r="17" spans="1:15 16384:16384" ht="15" hidden="1">
      <c r="A17" s="243" t="str">
        <f t="shared" si="1"/>
        <v>OK</v>
      </c>
      <c r="B17" s="419" t="str">
        <f t="shared" si="0"/>
        <v/>
      </c>
      <c r="C17" s="420" t="str">
        <f>IF(CONSOLIDA!CN14="","",CONSOLIDA!CN14)</f>
        <v/>
      </c>
      <c r="D17" s="421" t="str">
        <f>IF(CONSOLIDA!CO14="","",CONSOLIDA!CO14)</f>
        <v/>
      </c>
      <c r="E17" s="422" t="str">
        <f>IF(C17="","",IF(CONSOLIDA!DD14="",0,CONSOLIDA!DD14))</f>
        <v/>
      </c>
      <c r="F17" s="422" t="str">
        <f>IF(C17="","",IF(CONSOLIDA!CS14="",0,CONSOLIDA!CS14))</f>
        <v/>
      </c>
      <c r="G17" s="422" t="str">
        <f>IF(C17="","",IF(CONSOLIDA!CT14="",0,CONSOLIDA!CT14))</f>
        <v/>
      </c>
      <c r="H17" s="422" t="str">
        <f>IF(C17="","",IF(CONSOLIDA!DE14="",0,CONSOLIDA!DE14))</f>
        <v/>
      </c>
      <c r="I17" s="422" t="str">
        <f>IF(C17="","",IF(CONSOLIDA!CW14="",0,CONSOLIDA!CW14))</f>
        <v/>
      </c>
      <c r="J17" s="422" t="str">
        <f>IF(C17="","",IF(CONSOLIDA!CX14="",0,CONSOLIDA!CX14))</f>
        <v/>
      </c>
      <c r="K17" s="486"/>
      <c r="L17" s="490" t="str">
        <f t="shared" si="2"/>
        <v/>
      </c>
      <c r="M17" s="490" t="str">
        <f t="shared" si="3"/>
        <v/>
      </c>
      <c r="O17" s="29"/>
      <c r="XFD17" s="392"/>
    </row>
    <row r="18" spans="1:15 16384:16384" ht="15" hidden="1">
      <c r="A18" s="243" t="str">
        <f t="shared" si="1"/>
        <v>OK</v>
      </c>
      <c r="B18" s="419" t="str">
        <f t="shared" si="0"/>
        <v/>
      </c>
      <c r="C18" s="420" t="str">
        <f>IF(CONSOLIDA!CN15="","",CONSOLIDA!CN15)</f>
        <v/>
      </c>
      <c r="D18" s="421" t="str">
        <f>IF(CONSOLIDA!CO15="","",CONSOLIDA!CO15)</f>
        <v/>
      </c>
      <c r="E18" s="422" t="str">
        <f>IF(C18="","",IF(CONSOLIDA!DD15="",0,CONSOLIDA!DD15))</f>
        <v/>
      </c>
      <c r="F18" s="422" t="str">
        <f>IF(C18="","",IF(CONSOLIDA!CS15="",0,CONSOLIDA!CS15))</f>
        <v/>
      </c>
      <c r="G18" s="422" t="str">
        <f>IF(C18="","",IF(CONSOLIDA!CT15="",0,CONSOLIDA!CT15))</f>
        <v/>
      </c>
      <c r="H18" s="422" t="str">
        <f>IF(C18="","",IF(CONSOLIDA!DE15="",0,CONSOLIDA!DE15))</f>
        <v/>
      </c>
      <c r="I18" s="422" t="str">
        <f>IF(C18="","",IF(CONSOLIDA!CW15="",0,CONSOLIDA!CW15))</f>
        <v/>
      </c>
      <c r="J18" s="422" t="str">
        <f>IF(C18="","",IF(CONSOLIDA!CX15="",0,CONSOLIDA!CX15))</f>
        <v/>
      </c>
      <c r="K18" s="486"/>
      <c r="L18" s="490" t="str">
        <f t="shared" si="2"/>
        <v/>
      </c>
      <c r="M18" s="490" t="str">
        <f t="shared" si="3"/>
        <v/>
      </c>
      <c r="O18" s="29"/>
      <c r="XFD18" s="392"/>
    </row>
    <row r="19" spans="1:15 16384:16384" ht="15" hidden="1">
      <c r="A19" s="243" t="str">
        <f t="shared" si="1"/>
        <v>OK</v>
      </c>
      <c r="B19" s="419" t="str">
        <f t="shared" si="0"/>
        <v/>
      </c>
      <c r="C19" s="420" t="str">
        <f>IF(CONSOLIDA!CN16="","",CONSOLIDA!CN16)</f>
        <v/>
      </c>
      <c r="D19" s="421" t="str">
        <f>IF(CONSOLIDA!CO16="","",CONSOLIDA!CO16)</f>
        <v/>
      </c>
      <c r="E19" s="422" t="str">
        <f>IF(C19="","",IF(CONSOLIDA!DD16="",0,CONSOLIDA!DD16))</f>
        <v/>
      </c>
      <c r="F19" s="422" t="str">
        <f>IF(C19="","",IF(CONSOLIDA!CS16="",0,CONSOLIDA!CS16))</f>
        <v/>
      </c>
      <c r="G19" s="422" t="str">
        <f>IF(C19="","",IF(CONSOLIDA!CT16="",0,CONSOLIDA!CT16))</f>
        <v/>
      </c>
      <c r="H19" s="422" t="str">
        <f>IF(C19="","",IF(CONSOLIDA!DE16="",0,CONSOLIDA!DE16))</f>
        <v/>
      </c>
      <c r="I19" s="422" t="str">
        <f>IF(C19="","",IF(CONSOLIDA!CW16="",0,CONSOLIDA!CW16))</f>
        <v/>
      </c>
      <c r="J19" s="422" t="str">
        <f>IF(C19="","",IF(CONSOLIDA!CX16="",0,CONSOLIDA!CX16))</f>
        <v/>
      </c>
      <c r="K19" s="486"/>
      <c r="L19" s="490" t="str">
        <f t="shared" si="2"/>
        <v/>
      </c>
      <c r="M19" s="490" t="str">
        <f t="shared" si="3"/>
        <v/>
      </c>
      <c r="O19" s="29"/>
      <c r="XFD19" s="392"/>
    </row>
    <row r="20" spans="1:15 16384:16384" ht="15" hidden="1">
      <c r="A20" s="243" t="str">
        <f t="shared" si="1"/>
        <v>OK</v>
      </c>
      <c r="B20" s="419" t="str">
        <f t="shared" si="0"/>
        <v/>
      </c>
      <c r="C20" s="420" t="str">
        <f>IF(CONSOLIDA!CN17="","",CONSOLIDA!CN17)</f>
        <v/>
      </c>
      <c r="D20" s="421" t="str">
        <f>IF(CONSOLIDA!CO17="","",CONSOLIDA!CO17)</f>
        <v/>
      </c>
      <c r="E20" s="422" t="str">
        <f>IF(C20="","",IF(CONSOLIDA!DD17="",0,CONSOLIDA!DD17))</f>
        <v/>
      </c>
      <c r="F20" s="422" t="str">
        <f>IF(C20="","",IF(CONSOLIDA!CS17="",0,CONSOLIDA!CS17))</f>
        <v/>
      </c>
      <c r="G20" s="422" t="str">
        <f>IF(C20="","",IF(CONSOLIDA!CT17="",0,CONSOLIDA!CT17))</f>
        <v/>
      </c>
      <c r="H20" s="422" t="str">
        <f>IF(C20="","",IF(CONSOLIDA!DE17="",0,CONSOLIDA!DE17))</f>
        <v/>
      </c>
      <c r="I20" s="422" t="str">
        <f>IF(C20="","",IF(CONSOLIDA!CW17="",0,CONSOLIDA!CW17))</f>
        <v/>
      </c>
      <c r="J20" s="422" t="str">
        <f>IF(C20="","",IF(CONSOLIDA!CX17="",0,CONSOLIDA!CX17))</f>
        <v/>
      </c>
      <c r="K20" s="486"/>
      <c r="L20" s="490" t="str">
        <f t="shared" si="2"/>
        <v/>
      </c>
      <c r="M20" s="490" t="str">
        <f t="shared" si="3"/>
        <v/>
      </c>
      <c r="O20" s="29"/>
      <c r="XFD20" s="392"/>
    </row>
    <row r="21" spans="1:15 16384:16384" ht="15" hidden="1">
      <c r="A21" s="243" t="str">
        <f t="shared" si="1"/>
        <v>OK</v>
      </c>
      <c r="B21" s="419" t="str">
        <f t="shared" si="0"/>
        <v/>
      </c>
      <c r="C21" s="420" t="str">
        <f>IF(CONSOLIDA!CN18="","",CONSOLIDA!CN18)</f>
        <v/>
      </c>
      <c r="D21" s="421" t="str">
        <f>IF(CONSOLIDA!CO18="","",CONSOLIDA!CO18)</f>
        <v/>
      </c>
      <c r="E21" s="422" t="str">
        <f>IF(C21="","",IF(CONSOLIDA!DD18="",0,CONSOLIDA!DD18))</f>
        <v/>
      </c>
      <c r="F21" s="422" t="str">
        <f>IF(C21="","",IF(CONSOLIDA!CS18="",0,CONSOLIDA!CS18))</f>
        <v/>
      </c>
      <c r="G21" s="422" t="str">
        <f>IF(C21="","",IF(CONSOLIDA!CT18="",0,CONSOLIDA!CT18))</f>
        <v/>
      </c>
      <c r="H21" s="422" t="str">
        <f>IF(C21="","",IF(CONSOLIDA!DE18="",0,CONSOLIDA!DE18))</f>
        <v/>
      </c>
      <c r="I21" s="422" t="str">
        <f>IF(C21="","",IF(CONSOLIDA!CW18="",0,CONSOLIDA!CW18))</f>
        <v/>
      </c>
      <c r="J21" s="422" t="str">
        <f>IF(C21="","",IF(CONSOLIDA!CX18="",0,CONSOLIDA!CX18))</f>
        <v/>
      </c>
      <c r="K21" s="486"/>
      <c r="L21" s="490" t="str">
        <f t="shared" si="2"/>
        <v/>
      </c>
      <c r="M21" s="490" t="str">
        <f t="shared" si="3"/>
        <v/>
      </c>
      <c r="O21" s="29"/>
      <c r="XFD21" s="392"/>
    </row>
    <row r="22" spans="1:15 16384:16384" ht="15" hidden="1">
      <c r="A22" s="243" t="str">
        <f t="shared" si="1"/>
        <v>OK</v>
      </c>
      <c r="B22" s="419" t="str">
        <f t="shared" si="0"/>
        <v/>
      </c>
      <c r="C22" s="420" t="str">
        <f>IF(CONSOLIDA!CN19="","",CONSOLIDA!CN19)</f>
        <v/>
      </c>
      <c r="D22" s="421" t="str">
        <f>IF(CONSOLIDA!CO19="","",CONSOLIDA!CO19)</f>
        <v/>
      </c>
      <c r="E22" s="422" t="str">
        <f>IF(C22="","",IF(CONSOLIDA!DD19="",0,CONSOLIDA!DD19))</f>
        <v/>
      </c>
      <c r="F22" s="422" t="str">
        <f>IF(C22="","",IF(CONSOLIDA!CS19="",0,CONSOLIDA!CS19))</f>
        <v/>
      </c>
      <c r="G22" s="422" t="str">
        <f>IF(C22="","",IF(CONSOLIDA!CT19="",0,CONSOLIDA!CT19))</f>
        <v/>
      </c>
      <c r="H22" s="422" t="str">
        <f>IF(C22="","",IF(CONSOLIDA!DE19="",0,CONSOLIDA!DE19))</f>
        <v/>
      </c>
      <c r="I22" s="422" t="str">
        <f>IF(C22="","",IF(CONSOLIDA!CW19="",0,CONSOLIDA!CW19))</f>
        <v/>
      </c>
      <c r="J22" s="422" t="str">
        <f>IF(C22="","",IF(CONSOLIDA!CX19="",0,CONSOLIDA!CX19))</f>
        <v/>
      </c>
      <c r="K22" s="486"/>
      <c r="L22" s="490" t="str">
        <f t="shared" si="2"/>
        <v/>
      </c>
      <c r="M22" s="490" t="str">
        <f t="shared" si="3"/>
        <v/>
      </c>
      <c r="O22" s="29"/>
      <c r="XFD22" s="392"/>
    </row>
    <row r="23" spans="1:15 16384:16384" ht="15" hidden="1">
      <c r="A23" s="243" t="str">
        <f t="shared" si="1"/>
        <v>OK</v>
      </c>
      <c r="B23" s="419" t="str">
        <f t="shared" si="0"/>
        <v/>
      </c>
      <c r="C23" s="420" t="str">
        <f>IF(CONSOLIDA!CN20="","",CONSOLIDA!CN20)</f>
        <v/>
      </c>
      <c r="D23" s="421" t="str">
        <f>IF(CONSOLIDA!CO20="","",CONSOLIDA!CO20)</f>
        <v/>
      </c>
      <c r="E23" s="422" t="str">
        <f>IF(C23="","",IF(CONSOLIDA!DD20="",0,CONSOLIDA!DD20))</f>
        <v/>
      </c>
      <c r="F23" s="422" t="str">
        <f>IF(C23="","",IF(CONSOLIDA!CS20="",0,CONSOLIDA!CS20))</f>
        <v/>
      </c>
      <c r="G23" s="422" t="str">
        <f>IF(C23="","",IF(CONSOLIDA!CT20="",0,CONSOLIDA!CT20))</f>
        <v/>
      </c>
      <c r="H23" s="422" t="str">
        <f>IF(C23="","",IF(CONSOLIDA!DE20="",0,CONSOLIDA!DE20))</f>
        <v/>
      </c>
      <c r="I23" s="422" t="str">
        <f>IF(C23="","",IF(CONSOLIDA!CW20="",0,CONSOLIDA!CW20))</f>
        <v/>
      </c>
      <c r="J23" s="422" t="str">
        <f>IF(C23="","",IF(CONSOLIDA!CX20="",0,CONSOLIDA!CX20))</f>
        <v/>
      </c>
      <c r="K23" s="486"/>
      <c r="L23" s="490" t="str">
        <f t="shared" si="2"/>
        <v/>
      </c>
      <c r="M23" s="490" t="str">
        <f t="shared" si="3"/>
        <v/>
      </c>
      <c r="O23" s="29"/>
      <c r="XFD23" s="392"/>
    </row>
    <row r="24" spans="1:15 16384:16384" ht="15" hidden="1">
      <c r="A24" s="243" t="str">
        <f t="shared" si="1"/>
        <v>OK</v>
      </c>
      <c r="B24" s="419" t="str">
        <f t="shared" si="0"/>
        <v/>
      </c>
      <c r="C24" s="420" t="str">
        <f>IF(CONSOLIDA!CN21="","",CONSOLIDA!CN21)</f>
        <v/>
      </c>
      <c r="D24" s="421" t="str">
        <f>IF(CONSOLIDA!CO21="","",CONSOLIDA!CO21)</f>
        <v/>
      </c>
      <c r="E24" s="422" t="str">
        <f>IF(C24="","",IF(CONSOLIDA!DD21="",0,CONSOLIDA!DD21))</f>
        <v/>
      </c>
      <c r="F24" s="422" t="str">
        <f>IF(C24="","",IF(CONSOLIDA!CS21="",0,CONSOLIDA!CS21))</f>
        <v/>
      </c>
      <c r="G24" s="422" t="str">
        <f>IF(C24="","",IF(CONSOLIDA!CT21="",0,CONSOLIDA!CT21))</f>
        <v/>
      </c>
      <c r="H24" s="422" t="str">
        <f>IF(C24="","",IF(CONSOLIDA!DE21="",0,CONSOLIDA!DE21))</f>
        <v/>
      </c>
      <c r="I24" s="422" t="str">
        <f>IF(C24="","",IF(CONSOLIDA!CW21="",0,CONSOLIDA!CW21))</f>
        <v/>
      </c>
      <c r="J24" s="422" t="str">
        <f>IF(C24="","",IF(CONSOLIDA!CX21="",0,CONSOLIDA!CX21))</f>
        <v/>
      </c>
      <c r="K24" s="486"/>
      <c r="L24" s="490" t="str">
        <f t="shared" si="2"/>
        <v/>
      </c>
      <c r="M24" s="490" t="str">
        <f t="shared" si="3"/>
        <v/>
      </c>
      <c r="O24" s="29"/>
      <c r="XFD24" s="392"/>
    </row>
    <row r="25" spans="1:15 16384:16384" ht="15" hidden="1">
      <c r="A25" s="243" t="str">
        <f t="shared" si="1"/>
        <v>OK</v>
      </c>
      <c r="B25" s="419" t="str">
        <f t="shared" si="0"/>
        <v/>
      </c>
      <c r="C25" s="420" t="str">
        <f>IF(CONSOLIDA!CN22="","",CONSOLIDA!CN22)</f>
        <v/>
      </c>
      <c r="D25" s="421" t="str">
        <f>IF(CONSOLIDA!CO22="","",CONSOLIDA!CO22)</f>
        <v/>
      </c>
      <c r="E25" s="422" t="str">
        <f>IF(C25="","",IF(CONSOLIDA!DD22="",0,CONSOLIDA!DD22))</f>
        <v/>
      </c>
      <c r="F25" s="422" t="str">
        <f>IF(C25="","",IF(CONSOLIDA!CS22="",0,CONSOLIDA!CS22))</f>
        <v/>
      </c>
      <c r="G25" s="422" t="str">
        <f>IF(C25="","",IF(CONSOLIDA!CT22="",0,CONSOLIDA!CT22))</f>
        <v/>
      </c>
      <c r="H25" s="422" t="str">
        <f>IF(C25="","",IF(CONSOLIDA!DE22="",0,CONSOLIDA!DE22))</f>
        <v/>
      </c>
      <c r="I25" s="422" t="str">
        <f>IF(C25="","",IF(CONSOLIDA!CW22="",0,CONSOLIDA!CW22))</f>
        <v/>
      </c>
      <c r="J25" s="422" t="str">
        <f>IF(C25="","",IF(CONSOLIDA!CX22="",0,CONSOLIDA!CX22))</f>
        <v/>
      </c>
      <c r="K25" s="486"/>
      <c r="L25" s="490" t="str">
        <f t="shared" si="2"/>
        <v/>
      </c>
      <c r="M25" s="490" t="str">
        <f t="shared" si="3"/>
        <v/>
      </c>
      <c r="O25" s="29"/>
      <c r="XFD25" s="392"/>
    </row>
    <row r="26" spans="1:15 16384:16384" ht="15" hidden="1">
      <c r="A26" s="243" t="str">
        <f t="shared" si="1"/>
        <v>OK</v>
      </c>
      <c r="B26" s="419" t="str">
        <f t="shared" si="0"/>
        <v/>
      </c>
      <c r="C26" s="420" t="str">
        <f>IF(CONSOLIDA!CN23="","",CONSOLIDA!CN23)</f>
        <v/>
      </c>
      <c r="D26" s="421" t="str">
        <f>IF(CONSOLIDA!CO23="","",CONSOLIDA!CO23)</f>
        <v/>
      </c>
      <c r="E26" s="422" t="str">
        <f>IF(C26="","",IF(CONSOLIDA!DD23="",0,CONSOLIDA!DD23))</f>
        <v/>
      </c>
      <c r="F26" s="422" t="str">
        <f>IF(C26="","",IF(CONSOLIDA!CS23="",0,CONSOLIDA!CS23))</f>
        <v/>
      </c>
      <c r="G26" s="422" t="str">
        <f>IF(C26="","",IF(CONSOLIDA!CT23="",0,CONSOLIDA!CT23))</f>
        <v/>
      </c>
      <c r="H26" s="422" t="str">
        <f>IF(C26="","",IF(CONSOLIDA!DE23="",0,CONSOLIDA!DE23))</f>
        <v/>
      </c>
      <c r="I26" s="422" t="str">
        <f>IF(C26="","",IF(CONSOLIDA!CW23="",0,CONSOLIDA!CW23))</f>
        <v/>
      </c>
      <c r="J26" s="422" t="str">
        <f>IF(C26="","",IF(CONSOLIDA!CX23="",0,CONSOLIDA!CX23))</f>
        <v/>
      </c>
      <c r="K26" s="486"/>
      <c r="L26" s="490" t="str">
        <f t="shared" si="2"/>
        <v/>
      </c>
      <c r="M26" s="490" t="str">
        <f t="shared" si="3"/>
        <v/>
      </c>
      <c r="O26" s="29"/>
      <c r="XFD26" s="392"/>
    </row>
    <row r="27" spans="1:15 16384:16384" ht="15" hidden="1">
      <c r="A27" s="243" t="str">
        <f t="shared" si="1"/>
        <v>OK</v>
      </c>
      <c r="B27" s="419" t="str">
        <f t="shared" si="0"/>
        <v/>
      </c>
      <c r="C27" s="420" t="str">
        <f>IF(CONSOLIDA!CN24="","",CONSOLIDA!CN24)</f>
        <v/>
      </c>
      <c r="D27" s="421" t="str">
        <f>IF(CONSOLIDA!CO24="","",CONSOLIDA!CO24)</f>
        <v/>
      </c>
      <c r="E27" s="422" t="str">
        <f>IF(C27="","",IF(CONSOLIDA!DD24="",0,CONSOLIDA!DD24))</f>
        <v/>
      </c>
      <c r="F27" s="422" t="str">
        <f>IF(C27="","",IF(CONSOLIDA!CS24="",0,CONSOLIDA!CS24))</f>
        <v/>
      </c>
      <c r="G27" s="422" t="str">
        <f>IF(C27="","",IF(CONSOLIDA!CT24="",0,CONSOLIDA!CT24))</f>
        <v/>
      </c>
      <c r="H27" s="422" t="str">
        <f>IF(C27="","",IF(CONSOLIDA!DE24="",0,CONSOLIDA!DE24))</f>
        <v/>
      </c>
      <c r="I27" s="422" t="str">
        <f>IF(C27="","",IF(CONSOLIDA!CW24="",0,CONSOLIDA!CW24))</f>
        <v/>
      </c>
      <c r="J27" s="422" t="str">
        <f>IF(C27="","",IF(CONSOLIDA!CX24="",0,CONSOLIDA!CX24))</f>
        <v/>
      </c>
      <c r="K27" s="486"/>
      <c r="L27" s="490" t="str">
        <f t="shared" si="2"/>
        <v/>
      </c>
      <c r="M27" s="490" t="str">
        <f t="shared" si="3"/>
        <v/>
      </c>
      <c r="O27" s="29"/>
      <c r="XFD27" s="392"/>
    </row>
    <row r="28" spans="1:15 16384:16384" ht="15" hidden="1">
      <c r="A28" s="243" t="str">
        <f t="shared" si="1"/>
        <v>OK</v>
      </c>
      <c r="B28" s="419" t="str">
        <f t="shared" si="0"/>
        <v/>
      </c>
      <c r="C28" s="420" t="str">
        <f>IF(CONSOLIDA!CN25="","",CONSOLIDA!CN25)</f>
        <v/>
      </c>
      <c r="D28" s="421" t="str">
        <f>IF(CONSOLIDA!CO25="","",CONSOLIDA!CO25)</f>
        <v/>
      </c>
      <c r="E28" s="422" t="str">
        <f>IF(C28="","",IF(CONSOLIDA!DD25="",0,CONSOLIDA!DD25))</f>
        <v/>
      </c>
      <c r="F28" s="422" t="str">
        <f>IF(C28="","",IF(CONSOLIDA!CS25="",0,CONSOLIDA!CS25))</f>
        <v/>
      </c>
      <c r="G28" s="422" t="str">
        <f>IF(C28="","",IF(CONSOLIDA!CT25="",0,CONSOLIDA!CT25))</f>
        <v/>
      </c>
      <c r="H28" s="422" t="str">
        <f>IF(C28="","",IF(CONSOLIDA!DE25="",0,CONSOLIDA!DE25))</f>
        <v/>
      </c>
      <c r="I28" s="422" t="str">
        <f>IF(C28="","",IF(CONSOLIDA!CW25="",0,CONSOLIDA!CW25))</f>
        <v/>
      </c>
      <c r="J28" s="422" t="str">
        <f>IF(C28="","",IF(CONSOLIDA!CX25="",0,CONSOLIDA!CX25))</f>
        <v/>
      </c>
      <c r="K28" s="486"/>
      <c r="L28" s="490" t="str">
        <f t="shared" si="2"/>
        <v/>
      </c>
      <c r="M28" s="490" t="str">
        <f t="shared" si="3"/>
        <v/>
      </c>
      <c r="O28" s="29"/>
      <c r="XFD28" s="392"/>
    </row>
    <row r="29" spans="1:15 16384:16384" ht="15" hidden="1">
      <c r="A29" s="243" t="str">
        <f t="shared" si="1"/>
        <v>OK</v>
      </c>
      <c r="B29" s="419" t="str">
        <f t="shared" si="0"/>
        <v/>
      </c>
      <c r="C29" s="420" t="str">
        <f>IF(CONSOLIDA!CN26="","",CONSOLIDA!CN26)</f>
        <v/>
      </c>
      <c r="D29" s="421" t="str">
        <f>IF(CONSOLIDA!CO26="","",CONSOLIDA!CO26)</f>
        <v/>
      </c>
      <c r="E29" s="422" t="str">
        <f>IF(C29="","",IF(CONSOLIDA!DD26="",0,CONSOLIDA!DD26))</f>
        <v/>
      </c>
      <c r="F29" s="422" t="str">
        <f>IF(C29="","",IF(CONSOLIDA!CS26="",0,CONSOLIDA!CS26))</f>
        <v/>
      </c>
      <c r="G29" s="422" t="str">
        <f>IF(C29="","",IF(CONSOLIDA!CT26="",0,CONSOLIDA!CT26))</f>
        <v/>
      </c>
      <c r="H29" s="422" t="str">
        <f>IF(C29="","",IF(CONSOLIDA!DE26="",0,CONSOLIDA!DE26))</f>
        <v/>
      </c>
      <c r="I29" s="422" t="str">
        <f>IF(C29="","",IF(CONSOLIDA!CW26="",0,CONSOLIDA!CW26))</f>
        <v/>
      </c>
      <c r="J29" s="422" t="str">
        <f>IF(C29="","",IF(CONSOLIDA!CX26="",0,CONSOLIDA!CX26))</f>
        <v/>
      </c>
      <c r="K29" s="486"/>
      <c r="L29" s="490" t="str">
        <f t="shared" si="2"/>
        <v/>
      </c>
      <c r="M29" s="490" t="str">
        <f t="shared" si="3"/>
        <v/>
      </c>
      <c r="O29" s="29"/>
      <c r="XFD29" s="392"/>
    </row>
    <row r="30" spans="1:15 16384:16384" ht="15" hidden="1">
      <c r="A30" s="243" t="str">
        <f t="shared" si="1"/>
        <v>OK</v>
      </c>
      <c r="B30" s="419" t="str">
        <f t="shared" si="0"/>
        <v/>
      </c>
      <c r="C30" s="420" t="str">
        <f>IF(CONSOLIDA!CN27="","",CONSOLIDA!CN27)</f>
        <v/>
      </c>
      <c r="D30" s="421" t="str">
        <f>IF(CONSOLIDA!CO27="","",CONSOLIDA!CO27)</f>
        <v/>
      </c>
      <c r="E30" s="422" t="str">
        <f>IF(C30="","",IF(CONSOLIDA!DD27="",0,CONSOLIDA!DD27))</f>
        <v/>
      </c>
      <c r="F30" s="422" t="str">
        <f>IF(C30="","",IF(CONSOLIDA!CS27="",0,CONSOLIDA!CS27))</f>
        <v/>
      </c>
      <c r="G30" s="422" t="str">
        <f>IF(C30="","",IF(CONSOLIDA!CT27="",0,CONSOLIDA!CT27))</f>
        <v/>
      </c>
      <c r="H30" s="422" t="str">
        <f>IF(C30="","",IF(CONSOLIDA!DE27="",0,CONSOLIDA!DE27))</f>
        <v/>
      </c>
      <c r="I30" s="422" t="str">
        <f>IF(C30="","",IF(CONSOLIDA!CW27="",0,CONSOLIDA!CW27))</f>
        <v/>
      </c>
      <c r="J30" s="422" t="str">
        <f>IF(C30="","",IF(CONSOLIDA!CX27="",0,CONSOLIDA!CX27))</f>
        <v/>
      </c>
      <c r="K30" s="486"/>
      <c r="L30" s="490" t="str">
        <f t="shared" si="2"/>
        <v/>
      </c>
      <c r="M30" s="490" t="str">
        <f t="shared" si="3"/>
        <v/>
      </c>
      <c r="O30" s="29"/>
      <c r="XFD30" s="392"/>
    </row>
    <row r="31" spans="1:15 16384:16384" ht="15" hidden="1">
      <c r="A31" s="243" t="str">
        <f t="shared" si="1"/>
        <v>OK</v>
      </c>
      <c r="B31" s="419" t="str">
        <f t="shared" si="0"/>
        <v/>
      </c>
      <c r="C31" s="420" t="str">
        <f>IF(CONSOLIDA!CN28="","",CONSOLIDA!CN28)</f>
        <v/>
      </c>
      <c r="D31" s="421" t="str">
        <f>IF(CONSOLIDA!CO28="","",CONSOLIDA!CO28)</f>
        <v/>
      </c>
      <c r="E31" s="422" t="str">
        <f>IF(C31="","",IF(CONSOLIDA!DD28="",0,CONSOLIDA!DD28))</f>
        <v/>
      </c>
      <c r="F31" s="422" t="str">
        <f>IF(C31="","",IF(CONSOLIDA!CS28="",0,CONSOLIDA!CS28))</f>
        <v/>
      </c>
      <c r="G31" s="422" t="str">
        <f>IF(C31="","",IF(CONSOLIDA!CT28="",0,CONSOLIDA!CT28))</f>
        <v/>
      </c>
      <c r="H31" s="422" t="str">
        <f>IF(C31="","",IF(CONSOLIDA!DE28="",0,CONSOLIDA!DE28))</f>
        <v/>
      </c>
      <c r="I31" s="422" t="str">
        <f>IF(C31="","",IF(CONSOLIDA!CW28="",0,CONSOLIDA!CW28))</f>
        <v/>
      </c>
      <c r="J31" s="422" t="str">
        <f>IF(C31="","",IF(CONSOLIDA!CX28="",0,CONSOLIDA!CX28))</f>
        <v/>
      </c>
      <c r="K31" s="486"/>
      <c r="L31" s="490" t="str">
        <f t="shared" si="2"/>
        <v/>
      </c>
      <c r="M31" s="490" t="str">
        <f t="shared" si="3"/>
        <v/>
      </c>
      <c r="O31" s="29"/>
      <c r="XFD31" s="392"/>
    </row>
    <row r="32" spans="1:15 16384:16384" ht="15" hidden="1">
      <c r="A32" s="243" t="str">
        <f t="shared" si="1"/>
        <v>OK</v>
      </c>
      <c r="B32" s="419" t="str">
        <f t="shared" si="0"/>
        <v/>
      </c>
      <c r="C32" s="420" t="str">
        <f>IF(CONSOLIDA!CN29="","",CONSOLIDA!CN29)</f>
        <v/>
      </c>
      <c r="D32" s="421" t="str">
        <f>IF(CONSOLIDA!CO29="","",CONSOLIDA!CO29)</f>
        <v/>
      </c>
      <c r="E32" s="422" t="str">
        <f>IF(C32="","",IF(CONSOLIDA!DD29="",0,CONSOLIDA!DD29))</f>
        <v/>
      </c>
      <c r="F32" s="422" t="str">
        <f>IF(C32="","",IF(CONSOLIDA!CS29="",0,CONSOLIDA!CS29))</f>
        <v/>
      </c>
      <c r="G32" s="422" t="str">
        <f>IF(C32="","",IF(CONSOLIDA!CT29="",0,CONSOLIDA!CT29))</f>
        <v/>
      </c>
      <c r="H32" s="422" t="str">
        <f>IF(C32="","",IF(CONSOLIDA!DE29="",0,CONSOLIDA!DE29))</f>
        <v/>
      </c>
      <c r="I32" s="422" t="str">
        <f>IF(C32="","",IF(CONSOLIDA!CW29="",0,CONSOLIDA!CW29))</f>
        <v/>
      </c>
      <c r="J32" s="422" t="str">
        <f>IF(C32="","",IF(CONSOLIDA!CX29="",0,CONSOLIDA!CX29))</f>
        <v/>
      </c>
      <c r="K32" s="486"/>
      <c r="L32" s="490" t="str">
        <f t="shared" si="2"/>
        <v/>
      </c>
      <c r="M32" s="490" t="str">
        <f t="shared" si="3"/>
        <v/>
      </c>
      <c r="O32" s="29"/>
      <c r="XFD32" s="392"/>
    </row>
    <row r="33" spans="1:15 16384:16384" ht="15" hidden="1">
      <c r="A33" s="243" t="str">
        <f t="shared" si="1"/>
        <v>OK</v>
      </c>
      <c r="B33" s="419" t="str">
        <f t="shared" si="0"/>
        <v/>
      </c>
      <c r="C33" s="420" t="str">
        <f>IF(CONSOLIDA!CN30="","",CONSOLIDA!CN30)</f>
        <v/>
      </c>
      <c r="D33" s="421" t="str">
        <f>IF(CONSOLIDA!CO30="","",CONSOLIDA!CO30)</f>
        <v/>
      </c>
      <c r="E33" s="422" t="str">
        <f>IF(C33="","",IF(CONSOLIDA!DD30="",0,CONSOLIDA!DD30))</f>
        <v/>
      </c>
      <c r="F33" s="422" t="str">
        <f>IF(C33="","",IF(CONSOLIDA!CS30="",0,CONSOLIDA!CS30))</f>
        <v/>
      </c>
      <c r="G33" s="422" t="str">
        <f>IF(C33="","",IF(CONSOLIDA!CT30="",0,CONSOLIDA!CT30))</f>
        <v/>
      </c>
      <c r="H33" s="422" t="str">
        <f>IF(C33="","",IF(CONSOLIDA!DE30="",0,CONSOLIDA!DE30))</f>
        <v/>
      </c>
      <c r="I33" s="422" t="str">
        <f>IF(C33="","",IF(CONSOLIDA!CW30="",0,CONSOLIDA!CW30))</f>
        <v/>
      </c>
      <c r="J33" s="422" t="str">
        <f>IF(C33="","",IF(CONSOLIDA!CX30="",0,CONSOLIDA!CX30))</f>
        <v/>
      </c>
      <c r="K33" s="486"/>
      <c r="L33" s="490" t="str">
        <f t="shared" si="2"/>
        <v/>
      </c>
      <c r="M33" s="490" t="str">
        <f t="shared" si="3"/>
        <v/>
      </c>
      <c r="O33" s="29"/>
      <c r="XFD33" s="392"/>
    </row>
    <row r="34" spans="1:15 16384:16384" ht="15" hidden="1">
      <c r="A34" s="243" t="str">
        <f t="shared" si="1"/>
        <v>OK</v>
      </c>
      <c r="B34" s="419" t="str">
        <f t="shared" si="0"/>
        <v/>
      </c>
      <c r="C34" s="420" t="str">
        <f>IF(CONSOLIDA!CN31="","",CONSOLIDA!CN31)</f>
        <v/>
      </c>
      <c r="D34" s="421" t="str">
        <f>IF(CONSOLIDA!CO31="","",CONSOLIDA!CO31)</f>
        <v/>
      </c>
      <c r="E34" s="422" t="str">
        <f>IF(C34="","",IF(CONSOLIDA!DD31="",0,CONSOLIDA!DD31))</f>
        <v/>
      </c>
      <c r="F34" s="422" t="str">
        <f>IF(C34="","",IF(CONSOLIDA!CS31="",0,CONSOLIDA!CS31))</f>
        <v/>
      </c>
      <c r="G34" s="422" t="str">
        <f>IF(C34="","",IF(CONSOLIDA!CT31="",0,CONSOLIDA!CT31))</f>
        <v/>
      </c>
      <c r="H34" s="422" t="str">
        <f>IF(C34="","",IF(CONSOLIDA!DE31="",0,CONSOLIDA!DE31))</f>
        <v/>
      </c>
      <c r="I34" s="422" t="str">
        <f>IF(C34="","",IF(CONSOLIDA!CW31="",0,CONSOLIDA!CW31))</f>
        <v/>
      </c>
      <c r="J34" s="422" t="str">
        <f>IF(C34="","",IF(CONSOLIDA!CX31="",0,CONSOLIDA!CX31))</f>
        <v/>
      </c>
      <c r="K34" s="486"/>
      <c r="L34" s="490" t="str">
        <f t="shared" si="2"/>
        <v/>
      </c>
      <c r="M34" s="490" t="str">
        <f t="shared" si="3"/>
        <v/>
      </c>
      <c r="O34" s="29"/>
      <c r="XFD34" s="392"/>
    </row>
    <row r="35" spans="1:15 16384:16384" ht="15" hidden="1">
      <c r="A35" s="243" t="str">
        <f t="shared" si="1"/>
        <v>OK</v>
      </c>
      <c r="B35" s="419" t="str">
        <f t="shared" si="0"/>
        <v/>
      </c>
      <c r="C35" s="420" t="str">
        <f>IF(CONSOLIDA!CN32="","",CONSOLIDA!CN32)</f>
        <v/>
      </c>
      <c r="D35" s="421" t="str">
        <f>IF(CONSOLIDA!CO32="","",CONSOLIDA!CO32)</f>
        <v/>
      </c>
      <c r="E35" s="422" t="str">
        <f>IF(C35="","",IF(CONSOLIDA!DD32="",0,CONSOLIDA!DD32))</f>
        <v/>
      </c>
      <c r="F35" s="422" t="str">
        <f>IF(C35="","",IF(CONSOLIDA!CS32="",0,CONSOLIDA!CS32))</f>
        <v/>
      </c>
      <c r="G35" s="422" t="str">
        <f>IF(C35="","",IF(CONSOLIDA!CT32="",0,CONSOLIDA!CT32))</f>
        <v/>
      </c>
      <c r="H35" s="422" t="str">
        <f>IF(C35="","",IF(CONSOLIDA!DE32="",0,CONSOLIDA!DE32))</f>
        <v/>
      </c>
      <c r="I35" s="422" t="str">
        <f>IF(C35="","",IF(CONSOLIDA!CW32="",0,CONSOLIDA!CW32))</f>
        <v/>
      </c>
      <c r="J35" s="422" t="str">
        <f>IF(C35="","",IF(CONSOLIDA!CX32="",0,CONSOLIDA!CX32))</f>
        <v/>
      </c>
      <c r="K35" s="486"/>
      <c r="L35" s="490" t="str">
        <f t="shared" si="2"/>
        <v/>
      </c>
      <c r="M35" s="490" t="str">
        <f t="shared" si="3"/>
        <v/>
      </c>
      <c r="O35" s="29"/>
      <c r="XFD35" s="392"/>
    </row>
    <row r="36" spans="1:15 16384:16384" ht="15" hidden="1">
      <c r="A36" s="243" t="str">
        <f t="shared" si="1"/>
        <v>OK</v>
      </c>
      <c r="B36" s="419" t="str">
        <f t="shared" si="0"/>
        <v/>
      </c>
      <c r="C36" s="420" t="str">
        <f>IF(CONSOLIDA!CN33="","",CONSOLIDA!CN33)</f>
        <v/>
      </c>
      <c r="D36" s="421" t="str">
        <f>IF(CONSOLIDA!CO33="","",CONSOLIDA!CO33)</f>
        <v/>
      </c>
      <c r="E36" s="422" t="str">
        <f>IF(C36="","",IF(CONSOLIDA!DD33="",0,CONSOLIDA!DD33))</f>
        <v/>
      </c>
      <c r="F36" s="422" t="str">
        <f>IF(C36="","",IF(CONSOLIDA!CS33="",0,CONSOLIDA!CS33))</f>
        <v/>
      </c>
      <c r="G36" s="422" t="str">
        <f>IF(C36="","",IF(CONSOLIDA!CT33="",0,CONSOLIDA!CT33))</f>
        <v/>
      </c>
      <c r="H36" s="422" t="str">
        <f>IF(C36="","",IF(CONSOLIDA!DE33="",0,CONSOLIDA!DE33))</f>
        <v/>
      </c>
      <c r="I36" s="422" t="str">
        <f>IF(C36="","",IF(CONSOLIDA!CW33="",0,CONSOLIDA!CW33))</f>
        <v/>
      </c>
      <c r="J36" s="422" t="str">
        <f>IF(C36="","",IF(CONSOLIDA!CX33="",0,CONSOLIDA!CX33))</f>
        <v/>
      </c>
      <c r="K36" s="486"/>
      <c r="L36" s="490" t="str">
        <f t="shared" si="2"/>
        <v/>
      </c>
      <c r="M36" s="490" t="str">
        <f t="shared" si="3"/>
        <v/>
      </c>
      <c r="O36" s="29"/>
      <c r="XFD36" s="392"/>
    </row>
    <row r="37" spans="1:15 16384:16384" ht="15" hidden="1">
      <c r="A37" s="243" t="str">
        <f t="shared" si="1"/>
        <v>OK</v>
      </c>
      <c r="B37" s="419" t="str">
        <f t="shared" si="0"/>
        <v/>
      </c>
      <c r="C37" s="420" t="str">
        <f>IF(CONSOLIDA!CN34="","",CONSOLIDA!CN34)</f>
        <v/>
      </c>
      <c r="D37" s="421" t="str">
        <f>IF(CONSOLIDA!CO34="","",CONSOLIDA!CO34)</f>
        <v/>
      </c>
      <c r="E37" s="422" t="str">
        <f>IF(C37="","",IF(CONSOLIDA!DD34="",0,CONSOLIDA!DD34))</f>
        <v/>
      </c>
      <c r="F37" s="422" t="str">
        <f>IF(C37="","",IF(CONSOLIDA!CS34="",0,CONSOLIDA!CS34))</f>
        <v/>
      </c>
      <c r="G37" s="422" t="str">
        <f>IF(C37="","",IF(CONSOLIDA!CT34="",0,CONSOLIDA!CT34))</f>
        <v/>
      </c>
      <c r="H37" s="422" t="str">
        <f>IF(C37="","",IF(CONSOLIDA!DE34="",0,CONSOLIDA!DE34))</f>
        <v/>
      </c>
      <c r="I37" s="422" t="str">
        <f>IF(C37="","",IF(CONSOLIDA!CW34="",0,CONSOLIDA!CW34))</f>
        <v/>
      </c>
      <c r="J37" s="422" t="str">
        <f>IF(C37="","",IF(CONSOLIDA!CX34="",0,CONSOLIDA!CX34))</f>
        <v/>
      </c>
      <c r="K37" s="486"/>
      <c r="L37" s="490" t="str">
        <f t="shared" si="2"/>
        <v/>
      </c>
      <c r="M37" s="490" t="str">
        <f t="shared" si="3"/>
        <v/>
      </c>
      <c r="O37" s="29"/>
      <c r="XFD37" s="392"/>
    </row>
    <row r="38" spans="1:15 16384:16384" ht="15" hidden="1">
      <c r="A38" s="243" t="str">
        <f t="shared" si="1"/>
        <v>OK</v>
      </c>
      <c r="B38" s="419" t="str">
        <f t="shared" si="0"/>
        <v/>
      </c>
      <c r="C38" s="420" t="str">
        <f>IF(CONSOLIDA!CN35="","",CONSOLIDA!CN35)</f>
        <v/>
      </c>
      <c r="D38" s="421" t="str">
        <f>IF(CONSOLIDA!CO35="","",CONSOLIDA!CO35)</f>
        <v/>
      </c>
      <c r="E38" s="422" t="str">
        <f>IF(C38="","",IF(CONSOLIDA!DD35="",0,CONSOLIDA!DD35))</f>
        <v/>
      </c>
      <c r="F38" s="422" t="str">
        <f>IF(C38="","",IF(CONSOLIDA!CS35="",0,CONSOLIDA!CS35))</f>
        <v/>
      </c>
      <c r="G38" s="422" t="str">
        <f>IF(C38="","",IF(CONSOLIDA!CT35="",0,CONSOLIDA!CT35))</f>
        <v/>
      </c>
      <c r="H38" s="422" t="str">
        <f>IF(C38="","",IF(CONSOLIDA!DE35="",0,CONSOLIDA!DE35))</f>
        <v/>
      </c>
      <c r="I38" s="422" t="str">
        <f>IF(C38="","",IF(CONSOLIDA!CW35="",0,CONSOLIDA!CW35))</f>
        <v/>
      </c>
      <c r="J38" s="422" t="str">
        <f>IF(C38="","",IF(CONSOLIDA!CX35="",0,CONSOLIDA!CX35))</f>
        <v/>
      </c>
      <c r="K38" s="486"/>
      <c r="L38" s="490" t="str">
        <f t="shared" si="2"/>
        <v/>
      </c>
      <c r="M38" s="490" t="str">
        <f t="shared" si="3"/>
        <v/>
      </c>
      <c r="O38" s="29"/>
      <c r="XFD38" s="392"/>
    </row>
    <row r="39" spans="1:15 16384:16384" ht="15" hidden="1">
      <c r="A39" s="243" t="str">
        <f t="shared" si="1"/>
        <v>OK</v>
      </c>
      <c r="B39" s="419" t="str">
        <f t="shared" si="0"/>
        <v/>
      </c>
      <c r="C39" s="420" t="str">
        <f>IF(CONSOLIDA!CN36="","",CONSOLIDA!CN36)</f>
        <v/>
      </c>
      <c r="D39" s="421" t="str">
        <f>IF(CONSOLIDA!CO36="","",CONSOLIDA!CO36)</f>
        <v/>
      </c>
      <c r="E39" s="422" t="str">
        <f>IF(C39="","",IF(CONSOLIDA!DD36="",0,CONSOLIDA!DD36))</f>
        <v/>
      </c>
      <c r="F39" s="422" t="str">
        <f>IF(C39="","",IF(CONSOLIDA!CS36="",0,CONSOLIDA!CS36))</f>
        <v/>
      </c>
      <c r="G39" s="422" t="str">
        <f>IF(C39="","",IF(CONSOLIDA!CT36="",0,CONSOLIDA!CT36))</f>
        <v/>
      </c>
      <c r="H39" s="422" t="str">
        <f>IF(C39="","",IF(CONSOLIDA!DE36="",0,CONSOLIDA!DE36))</f>
        <v/>
      </c>
      <c r="I39" s="422" t="str">
        <f>IF(C39="","",IF(CONSOLIDA!CW36="",0,CONSOLIDA!CW36))</f>
        <v/>
      </c>
      <c r="J39" s="422" t="str">
        <f>IF(C39="","",IF(CONSOLIDA!CX36="",0,CONSOLIDA!CX36))</f>
        <v/>
      </c>
      <c r="K39" s="486"/>
      <c r="L39" s="490" t="str">
        <f t="shared" si="2"/>
        <v/>
      </c>
      <c r="M39" s="490" t="str">
        <f t="shared" si="3"/>
        <v/>
      </c>
      <c r="O39" s="29"/>
      <c r="XFD39" s="392"/>
    </row>
    <row r="40" spans="1:15 16384:16384" ht="15" hidden="1">
      <c r="A40" s="243" t="str">
        <f t="shared" si="1"/>
        <v>OK</v>
      </c>
      <c r="B40" s="419" t="str">
        <f t="shared" si="0"/>
        <v/>
      </c>
      <c r="C40" s="420" t="str">
        <f>IF(CONSOLIDA!CN37="","",CONSOLIDA!CN37)</f>
        <v/>
      </c>
      <c r="D40" s="421" t="str">
        <f>IF(CONSOLIDA!CO37="","",CONSOLIDA!CO37)</f>
        <v/>
      </c>
      <c r="E40" s="422" t="str">
        <f>IF(C40="","",IF(CONSOLIDA!DD37="",0,CONSOLIDA!DD37))</f>
        <v/>
      </c>
      <c r="F40" s="422" t="str">
        <f>IF(C40="","",IF(CONSOLIDA!CS37="",0,CONSOLIDA!CS37))</f>
        <v/>
      </c>
      <c r="G40" s="422" t="str">
        <f>IF(C40="","",IF(CONSOLIDA!CT37="",0,CONSOLIDA!CT37))</f>
        <v/>
      </c>
      <c r="H40" s="422" t="str">
        <f>IF(C40="","",IF(CONSOLIDA!DE37="",0,CONSOLIDA!DE37))</f>
        <v/>
      </c>
      <c r="I40" s="422" t="str">
        <f>IF(C40="","",IF(CONSOLIDA!CW37="",0,CONSOLIDA!CW37))</f>
        <v/>
      </c>
      <c r="J40" s="422" t="str">
        <f>IF(C40="","",IF(CONSOLIDA!CX37="",0,CONSOLIDA!CX37))</f>
        <v/>
      </c>
      <c r="K40" s="486"/>
      <c r="L40" s="490" t="str">
        <f t="shared" si="2"/>
        <v/>
      </c>
      <c r="M40" s="490" t="str">
        <f t="shared" si="3"/>
        <v/>
      </c>
      <c r="O40" s="29"/>
      <c r="XFD40" s="392"/>
    </row>
    <row r="41" spans="1:15 16384:16384" ht="15" hidden="1">
      <c r="A41" s="243" t="str">
        <f t="shared" si="1"/>
        <v>OK</v>
      </c>
      <c r="B41" s="419" t="str">
        <f t="shared" si="0"/>
        <v/>
      </c>
      <c r="C41" s="420" t="str">
        <f>IF(CONSOLIDA!CN38="","",CONSOLIDA!CN38)</f>
        <v/>
      </c>
      <c r="D41" s="421" t="str">
        <f>IF(CONSOLIDA!CO38="","",CONSOLIDA!CO38)</f>
        <v/>
      </c>
      <c r="E41" s="422" t="str">
        <f>IF(C41="","",IF(CONSOLIDA!DD38="",0,CONSOLIDA!DD38))</f>
        <v/>
      </c>
      <c r="F41" s="422" t="str">
        <f>IF(C41="","",IF(CONSOLIDA!CS38="",0,CONSOLIDA!CS38))</f>
        <v/>
      </c>
      <c r="G41" s="422" t="str">
        <f>IF(C41="","",IF(CONSOLIDA!CT38="",0,CONSOLIDA!CT38))</f>
        <v/>
      </c>
      <c r="H41" s="422" t="str">
        <f>IF(C41="","",IF(CONSOLIDA!DE38="",0,CONSOLIDA!DE38))</f>
        <v/>
      </c>
      <c r="I41" s="422" t="str">
        <f>IF(C41="","",IF(CONSOLIDA!CW38="",0,CONSOLIDA!CW38))</f>
        <v/>
      </c>
      <c r="J41" s="422" t="str">
        <f>IF(C41="","",IF(CONSOLIDA!CX38="",0,CONSOLIDA!CX38))</f>
        <v/>
      </c>
      <c r="K41" s="486"/>
      <c r="L41" s="490" t="str">
        <f t="shared" si="2"/>
        <v/>
      </c>
      <c r="M41" s="490" t="str">
        <f t="shared" si="3"/>
        <v/>
      </c>
      <c r="O41" s="29"/>
      <c r="XFD41" s="392"/>
    </row>
    <row r="42" spans="1:15 16384:16384" ht="15" hidden="1">
      <c r="A42" s="243" t="str">
        <f t="shared" si="1"/>
        <v>OK</v>
      </c>
      <c r="B42" s="419" t="str">
        <f t="shared" si="0"/>
        <v/>
      </c>
      <c r="C42" s="420" t="str">
        <f>IF(CONSOLIDA!CN39="","",CONSOLIDA!CN39)</f>
        <v/>
      </c>
      <c r="D42" s="421" t="str">
        <f>IF(CONSOLIDA!CO39="","",CONSOLIDA!CO39)</f>
        <v/>
      </c>
      <c r="E42" s="422" t="str">
        <f>IF(C42="","",IF(CONSOLIDA!DD39="",0,CONSOLIDA!DD39))</f>
        <v/>
      </c>
      <c r="F42" s="422" t="str">
        <f>IF(C42="","",IF(CONSOLIDA!CS39="",0,CONSOLIDA!CS39))</f>
        <v/>
      </c>
      <c r="G42" s="422" t="str">
        <f>IF(C42="","",IF(CONSOLIDA!CT39="",0,CONSOLIDA!CT39))</f>
        <v/>
      </c>
      <c r="H42" s="422" t="str">
        <f>IF(C42="","",IF(CONSOLIDA!DE39="",0,CONSOLIDA!DE39))</f>
        <v/>
      </c>
      <c r="I42" s="422" t="str">
        <f>IF(C42="","",IF(CONSOLIDA!CW39="",0,CONSOLIDA!CW39))</f>
        <v/>
      </c>
      <c r="J42" s="422" t="str">
        <f>IF(C42="","",IF(CONSOLIDA!CX39="",0,CONSOLIDA!CX39))</f>
        <v/>
      </c>
      <c r="K42" s="486"/>
      <c r="L42" s="490" t="str">
        <f t="shared" si="2"/>
        <v/>
      </c>
      <c r="M42" s="490" t="str">
        <f t="shared" si="3"/>
        <v/>
      </c>
      <c r="O42" s="29"/>
      <c r="XFD42" s="392"/>
    </row>
    <row r="43" spans="1:15 16384:16384" ht="15" hidden="1">
      <c r="A43" s="243" t="str">
        <f t="shared" si="1"/>
        <v>OK</v>
      </c>
      <c r="B43" s="419" t="str">
        <f t="shared" si="0"/>
        <v/>
      </c>
      <c r="C43" s="420" t="str">
        <f>IF(CONSOLIDA!CN40="","",CONSOLIDA!CN40)</f>
        <v/>
      </c>
      <c r="D43" s="421" t="str">
        <f>IF(CONSOLIDA!CO40="","",CONSOLIDA!CO40)</f>
        <v/>
      </c>
      <c r="E43" s="422" t="str">
        <f>IF(C43="","",IF(CONSOLIDA!DD40="",0,CONSOLIDA!DD40))</f>
        <v/>
      </c>
      <c r="F43" s="422" t="str">
        <f>IF(C43="","",IF(CONSOLIDA!CS40="",0,CONSOLIDA!CS40))</f>
        <v/>
      </c>
      <c r="G43" s="422" t="str">
        <f>IF(C43="","",IF(CONSOLIDA!CT40="",0,CONSOLIDA!CT40))</f>
        <v/>
      </c>
      <c r="H43" s="422" t="str">
        <f>IF(C43="","",IF(CONSOLIDA!DE40="",0,CONSOLIDA!DE40))</f>
        <v/>
      </c>
      <c r="I43" s="422" t="str">
        <f>IF(C43="","",IF(CONSOLIDA!CW40="",0,CONSOLIDA!CW40))</f>
        <v/>
      </c>
      <c r="J43" s="422" t="str">
        <f>IF(C43="","",IF(CONSOLIDA!CX40="",0,CONSOLIDA!CX40))</f>
        <v/>
      </c>
      <c r="K43" s="486"/>
      <c r="L43" s="490" t="str">
        <f t="shared" si="2"/>
        <v/>
      </c>
      <c r="M43" s="490" t="str">
        <f t="shared" si="3"/>
        <v/>
      </c>
      <c r="O43" s="29"/>
      <c r="XFD43" s="392"/>
    </row>
    <row r="44" spans="1:15 16384:16384" ht="15" hidden="1">
      <c r="A44" s="243" t="str">
        <f t="shared" si="1"/>
        <v>OK</v>
      </c>
      <c r="B44" s="419" t="str">
        <f t="shared" si="0"/>
        <v/>
      </c>
      <c r="C44" s="420" t="str">
        <f>IF(CONSOLIDA!CN41="","",CONSOLIDA!CN41)</f>
        <v/>
      </c>
      <c r="D44" s="421" t="str">
        <f>IF(CONSOLIDA!CO41="","",CONSOLIDA!CO41)</f>
        <v/>
      </c>
      <c r="E44" s="422" t="str">
        <f>IF(C44="","",IF(CONSOLIDA!DD41="",0,CONSOLIDA!DD41))</f>
        <v/>
      </c>
      <c r="F44" s="422" t="str">
        <f>IF(C44="","",IF(CONSOLIDA!CS41="",0,CONSOLIDA!CS41))</f>
        <v/>
      </c>
      <c r="G44" s="422" t="str">
        <f>IF(C44="","",IF(CONSOLIDA!CT41="",0,CONSOLIDA!CT41))</f>
        <v/>
      </c>
      <c r="H44" s="422" t="str">
        <f>IF(C44="","",IF(CONSOLIDA!DE41="",0,CONSOLIDA!DE41))</f>
        <v/>
      </c>
      <c r="I44" s="422" t="str">
        <f>IF(C44="","",IF(CONSOLIDA!CW41="",0,CONSOLIDA!CW41))</f>
        <v/>
      </c>
      <c r="J44" s="422" t="str">
        <f>IF(C44="","",IF(CONSOLIDA!CX41="",0,CONSOLIDA!CX41))</f>
        <v/>
      </c>
      <c r="K44" s="486"/>
      <c r="L44" s="490" t="str">
        <f t="shared" si="2"/>
        <v/>
      </c>
      <c r="M44" s="490" t="str">
        <f t="shared" si="3"/>
        <v/>
      </c>
      <c r="O44" s="29"/>
      <c r="XFD44" s="392"/>
    </row>
    <row r="45" spans="1:15 16384:16384" ht="15" hidden="1">
      <c r="A45" s="243" t="str">
        <f t="shared" si="1"/>
        <v>OK</v>
      </c>
      <c r="B45" s="419" t="str">
        <f t="shared" si="0"/>
        <v/>
      </c>
      <c r="C45" s="420" t="str">
        <f>IF(CONSOLIDA!CN42="","",CONSOLIDA!CN42)</f>
        <v/>
      </c>
      <c r="D45" s="421" t="str">
        <f>IF(CONSOLIDA!CO42="","",CONSOLIDA!CO42)</f>
        <v/>
      </c>
      <c r="E45" s="422" t="str">
        <f>IF(C45="","",IF(CONSOLIDA!DD42="",0,CONSOLIDA!DD42))</f>
        <v/>
      </c>
      <c r="F45" s="422" t="str">
        <f>IF(C45="","",IF(CONSOLIDA!CS42="",0,CONSOLIDA!CS42))</f>
        <v/>
      </c>
      <c r="G45" s="422" t="str">
        <f>IF(C45="","",IF(CONSOLIDA!CT42="",0,CONSOLIDA!CT42))</f>
        <v/>
      </c>
      <c r="H45" s="422" t="str">
        <f>IF(C45="","",IF(CONSOLIDA!DE42="",0,CONSOLIDA!DE42))</f>
        <v/>
      </c>
      <c r="I45" s="422" t="str">
        <f>IF(C45="","",IF(CONSOLIDA!CW42="",0,CONSOLIDA!CW42))</f>
        <v/>
      </c>
      <c r="J45" s="422" t="str">
        <f>IF(C45="","",IF(CONSOLIDA!CX42="",0,CONSOLIDA!CX42))</f>
        <v/>
      </c>
      <c r="K45" s="486"/>
      <c r="L45" s="490" t="str">
        <f t="shared" si="2"/>
        <v/>
      </c>
      <c r="M45" s="490" t="str">
        <f t="shared" si="3"/>
        <v/>
      </c>
      <c r="O45" s="29"/>
      <c r="XFD45" s="392"/>
    </row>
    <row r="46" spans="1:15 16384:16384" ht="15" hidden="1">
      <c r="A46" s="243" t="str">
        <f t="shared" si="1"/>
        <v>OK</v>
      </c>
      <c r="B46" s="419" t="str">
        <f t="shared" si="0"/>
        <v/>
      </c>
      <c r="C46" s="420" t="str">
        <f>IF(CONSOLIDA!CN43="","",CONSOLIDA!CN43)</f>
        <v/>
      </c>
      <c r="D46" s="421" t="str">
        <f>IF(CONSOLIDA!CO43="","",CONSOLIDA!CO43)</f>
        <v/>
      </c>
      <c r="E46" s="422" t="str">
        <f>IF(C46="","",IF(CONSOLIDA!DD43="",0,CONSOLIDA!DD43))</f>
        <v/>
      </c>
      <c r="F46" s="422" t="str">
        <f>IF(C46="","",IF(CONSOLIDA!CS43="",0,CONSOLIDA!CS43))</f>
        <v/>
      </c>
      <c r="G46" s="422" t="str">
        <f>IF(C46="","",IF(CONSOLIDA!CT43="",0,CONSOLIDA!CT43))</f>
        <v/>
      </c>
      <c r="H46" s="422" t="str">
        <f>IF(C46="","",IF(CONSOLIDA!DE43="",0,CONSOLIDA!DE43))</f>
        <v/>
      </c>
      <c r="I46" s="422" t="str">
        <f>IF(C46="","",IF(CONSOLIDA!CW43="",0,CONSOLIDA!CW43))</f>
        <v/>
      </c>
      <c r="J46" s="422" t="str">
        <f>IF(C46="","",IF(CONSOLIDA!CX43="",0,CONSOLIDA!CX43))</f>
        <v/>
      </c>
      <c r="K46" s="486"/>
      <c r="L46" s="490" t="str">
        <f t="shared" si="2"/>
        <v/>
      </c>
      <c r="M46" s="490" t="str">
        <f t="shared" si="3"/>
        <v/>
      </c>
      <c r="O46" s="29"/>
      <c r="XFD46" s="392"/>
    </row>
    <row r="47" spans="1:15 16384:16384" ht="15" hidden="1">
      <c r="A47" s="243" t="str">
        <f t="shared" si="1"/>
        <v>OK</v>
      </c>
      <c r="B47" s="419" t="str">
        <f t="shared" si="0"/>
        <v/>
      </c>
      <c r="C47" s="420" t="str">
        <f>IF(CONSOLIDA!CN44="","",CONSOLIDA!CN44)</f>
        <v/>
      </c>
      <c r="D47" s="421" t="str">
        <f>IF(CONSOLIDA!CO44="","",CONSOLIDA!CO44)</f>
        <v/>
      </c>
      <c r="E47" s="422" t="str">
        <f>IF(C47="","",IF(CONSOLIDA!DD44="",0,CONSOLIDA!DD44))</f>
        <v/>
      </c>
      <c r="F47" s="422" t="str">
        <f>IF(C47="","",IF(CONSOLIDA!CS44="",0,CONSOLIDA!CS44))</f>
        <v/>
      </c>
      <c r="G47" s="422" t="str">
        <f>IF(C47="","",IF(CONSOLIDA!CT44="",0,CONSOLIDA!CT44))</f>
        <v/>
      </c>
      <c r="H47" s="422" t="str">
        <f>IF(C47="","",IF(CONSOLIDA!DE44="",0,CONSOLIDA!DE44))</f>
        <v/>
      </c>
      <c r="I47" s="422" t="str">
        <f>IF(C47="","",IF(CONSOLIDA!CW44="",0,CONSOLIDA!CW44))</f>
        <v/>
      </c>
      <c r="J47" s="422" t="str">
        <f>IF(C47="","",IF(CONSOLIDA!CX44="",0,CONSOLIDA!CX44))</f>
        <v/>
      </c>
      <c r="K47" s="486"/>
      <c r="L47" s="490" t="str">
        <f t="shared" si="2"/>
        <v/>
      </c>
      <c r="M47" s="490" t="str">
        <f t="shared" si="3"/>
        <v/>
      </c>
      <c r="O47" s="29"/>
      <c r="XFD47" s="392"/>
    </row>
    <row r="48" spans="1:15 16384:16384" ht="15" hidden="1">
      <c r="A48" s="243" t="str">
        <f t="shared" si="1"/>
        <v>OK</v>
      </c>
      <c r="B48" s="419" t="str">
        <f t="shared" si="0"/>
        <v/>
      </c>
      <c r="C48" s="420" t="str">
        <f>IF(CONSOLIDA!CN45="","",CONSOLIDA!CN45)</f>
        <v/>
      </c>
      <c r="D48" s="421" t="str">
        <f>IF(CONSOLIDA!CO45="","",CONSOLIDA!CO45)</f>
        <v/>
      </c>
      <c r="E48" s="422" t="str">
        <f>IF(C48="","",IF(CONSOLIDA!DD45="",0,CONSOLIDA!DD45))</f>
        <v/>
      </c>
      <c r="F48" s="422" t="str">
        <f>IF(C48="","",IF(CONSOLIDA!CS45="",0,CONSOLIDA!CS45))</f>
        <v/>
      </c>
      <c r="G48" s="422" t="str">
        <f>IF(C48="","",IF(CONSOLIDA!CT45="",0,CONSOLIDA!CT45))</f>
        <v/>
      </c>
      <c r="H48" s="422" t="str">
        <f>IF(C48="","",IF(CONSOLIDA!DE45="",0,CONSOLIDA!DE45))</f>
        <v/>
      </c>
      <c r="I48" s="422" t="str">
        <f>IF(C48="","",IF(CONSOLIDA!CW45="",0,CONSOLIDA!CW45))</f>
        <v/>
      </c>
      <c r="J48" s="422" t="str">
        <f>IF(C48="","",IF(CONSOLIDA!CX45="",0,CONSOLIDA!CX45))</f>
        <v/>
      </c>
      <c r="K48" s="486"/>
      <c r="L48" s="490" t="str">
        <f t="shared" si="2"/>
        <v/>
      </c>
      <c r="M48" s="490" t="str">
        <f t="shared" si="3"/>
        <v/>
      </c>
      <c r="O48" s="29"/>
      <c r="XFD48" s="392"/>
    </row>
    <row r="49" spans="1:15 16384:16384" ht="15" hidden="1">
      <c r="A49" s="243" t="str">
        <f t="shared" si="1"/>
        <v>OK</v>
      </c>
      <c r="B49" s="419" t="str">
        <f t="shared" si="0"/>
        <v/>
      </c>
      <c r="C49" s="420" t="str">
        <f>IF(CONSOLIDA!CN46="","",CONSOLIDA!CN46)</f>
        <v/>
      </c>
      <c r="D49" s="421" t="str">
        <f>IF(CONSOLIDA!CO46="","",CONSOLIDA!CO46)</f>
        <v/>
      </c>
      <c r="E49" s="422" t="str">
        <f>IF(C49="","",IF(CONSOLIDA!DD46="",0,CONSOLIDA!DD46))</f>
        <v/>
      </c>
      <c r="F49" s="422" t="str">
        <f>IF(C49="","",IF(CONSOLIDA!CS46="",0,CONSOLIDA!CS46))</f>
        <v/>
      </c>
      <c r="G49" s="422" t="str">
        <f>IF(C49="","",IF(CONSOLIDA!CT46="",0,CONSOLIDA!CT46))</f>
        <v/>
      </c>
      <c r="H49" s="422" t="str">
        <f>IF(C49="","",IF(CONSOLIDA!DE46="",0,CONSOLIDA!DE46))</f>
        <v/>
      </c>
      <c r="I49" s="422" t="str">
        <f>IF(C49="","",IF(CONSOLIDA!CW46="",0,CONSOLIDA!CW46))</f>
        <v/>
      </c>
      <c r="J49" s="422" t="str">
        <f>IF(C49="","",IF(CONSOLIDA!CX46="",0,CONSOLIDA!CX46))</f>
        <v/>
      </c>
      <c r="K49" s="486"/>
      <c r="L49" s="490" t="str">
        <f t="shared" si="2"/>
        <v/>
      </c>
      <c r="M49" s="490" t="str">
        <f t="shared" si="3"/>
        <v/>
      </c>
      <c r="O49" s="29"/>
      <c r="XFD49" s="392"/>
    </row>
    <row r="50" spans="1:15 16384:16384" ht="15" hidden="1">
      <c r="A50" s="243" t="str">
        <f t="shared" si="1"/>
        <v>OK</v>
      </c>
      <c r="B50" s="419" t="str">
        <f t="shared" si="0"/>
        <v/>
      </c>
      <c r="C50" s="420" t="str">
        <f>IF(CONSOLIDA!CN47="","",CONSOLIDA!CN47)</f>
        <v/>
      </c>
      <c r="D50" s="421" t="str">
        <f>IF(CONSOLIDA!CO47="","",CONSOLIDA!CO47)</f>
        <v/>
      </c>
      <c r="E50" s="422" t="str">
        <f>IF(C50="","",IF(CONSOLIDA!DD47="",0,CONSOLIDA!DD47))</f>
        <v/>
      </c>
      <c r="F50" s="422" t="str">
        <f>IF(C50="","",IF(CONSOLIDA!CS47="",0,CONSOLIDA!CS47))</f>
        <v/>
      </c>
      <c r="G50" s="422" t="str">
        <f>IF(C50="","",IF(CONSOLIDA!CT47="",0,CONSOLIDA!CT47))</f>
        <v/>
      </c>
      <c r="H50" s="422" t="str">
        <f>IF(C50="","",IF(CONSOLIDA!DE47="",0,CONSOLIDA!DE47))</f>
        <v/>
      </c>
      <c r="I50" s="422" t="str">
        <f>IF(C50="","",IF(CONSOLIDA!CW47="",0,CONSOLIDA!CW47))</f>
        <v/>
      </c>
      <c r="J50" s="422" t="str">
        <f>IF(C50="","",IF(CONSOLIDA!CX47="",0,CONSOLIDA!CX47))</f>
        <v/>
      </c>
      <c r="K50" s="486"/>
      <c r="L50" s="490" t="str">
        <f t="shared" si="2"/>
        <v/>
      </c>
      <c r="M50" s="490" t="str">
        <f t="shared" si="3"/>
        <v/>
      </c>
      <c r="O50" s="29"/>
      <c r="XFD50" s="392"/>
    </row>
    <row r="51" spans="1:15 16384:16384" ht="15" hidden="1">
      <c r="A51" s="243" t="str">
        <f t="shared" si="1"/>
        <v>OK</v>
      </c>
      <c r="B51" s="419" t="str">
        <f t="shared" si="0"/>
        <v/>
      </c>
      <c r="C51" s="420" t="str">
        <f>IF(CONSOLIDA!CN48="","",CONSOLIDA!CN48)</f>
        <v/>
      </c>
      <c r="D51" s="421" t="str">
        <f>IF(CONSOLIDA!CO48="","",CONSOLIDA!CO48)</f>
        <v/>
      </c>
      <c r="E51" s="422" t="str">
        <f>IF(C51="","",IF(CONSOLIDA!DD48="",0,CONSOLIDA!DD48))</f>
        <v/>
      </c>
      <c r="F51" s="422" t="str">
        <f>IF(C51="","",IF(CONSOLIDA!CS48="",0,CONSOLIDA!CS48))</f>
        <v/>
      </c>
      <c r="G51" s="422" t="str">
        <f>IF(C51="","",IF(CONSOLIDA!CT48="",0,CONSOLIDA!CT48))</f>
        <v/>
      </c>
      <c r="H51" s="422" t="str">
        <f>IF(C51="","",IF(CONSOLIDA!DE48="",0,CONSOLIDA!DE48))</f>
        <v/>
      </c>
      <c r="I51" s="422" t="str">
        <f>IF(C51="","",IF(CONSOLIDA!CW48="",0,CONSOLIDA!CW48))</f>
        <v/>
      </c>
      <c r="J51" s="422" t="str">
        <f>IF(C51="","",IF(CONSOLIDA!CX48="",0,CONSOLIDA!CX48))</f>
        <v/>
      </c>
      <c r="K51" s="486"/>
      <c r="L51" s="490" t="str">
        <f t="shared" si="2"/>
        <v/>
      </c>
      <c r="M51" s="490" t="str">
        <f t="shared" si="3"/>
        <v/>
      </c>
      <c r="O51" s="29"/>
      <c r="XFD51" s="392"/>
    </row>
    <row r="52" spans="1:15 16384:16384" ht="15" hidden="1">
      <c r="A52" s="243" t="str">
        <f t="shared" si="1"/>
        <v>OK</v>
      </c>
      <c r="B52" s="419" t="str">
        <f t="shared" si="0"/>
        <v/>
      </c>
      <c r="C52" s="420" t="str">
        <f>IF(CONSOLIDA!CN49="","",CONSOLIDA!CN49)</f>
        <v/>
      </c>
      <c r="D52" s="421" t="str">
        <f>IF(CONSOLIDA!CO49="","",CONSOLIDA!CO49)</f>
        <v/>
      </c>
      <c r="E52" s="422" t="str">
        <f>IF(C52="","",IF(CONSOLIDA!DD49="",0,CONSOLIDA!DD49))</f>
        <v/>
      </c>
      <c r="F52" s="422" t="str">
        <f>IF(C52="","",IF(CONSOLIDA!CS49="",0,CONSOLIDA!CS49))</f>
        <v/>
      </c>
      <c r="G52" s="422" t="str">
        <f>IF(C52="","",IF(CONSOLIDA!CT49="",0,CONSOLIDA!CT49))</f>
        <v/>
      </c>
      <c r="H52" s="422" t="str">
        <f>IF(C52="","",IF(CONSOLIDA!DE49="",0,CONSOLIDA!DE49))</f>
        <v/>
      </c>
      <c r="I52" s="422" t="str">
        <f>IF(C52="","",IF(CONSOLIDA!CW49="",0,CONSOLIDA!CW49))</f>
        <v/>
      </c>
      <c r="J52" s="422" t="str">
        <f>IF(C52="","",IF(CONSOLIDA!CX49="",0,CONSOLIDA!CX49))</f>
        <v/>
      </c>
      <c r="K52" s="486"/>
      <c r="L52" s="490" t="str">
        <f t="shared" si="2"/>
        <v/>
      </c>
      <c r="M52" s="490" t="str">
        <f t="shared" si="3"/>
        <v/>
      </c>
      <c r="O52" s="29"/>
      <c r="XFD52" s="392"/>
    </row>
    <row r="53" spans="1:15 16384:16384" ht="15" hidden="1">
      <c r="A53" s="243" t="str">
        <f t="shared" si="1"/>
        <v>OK</v>
      </c>
      <c r="B53" s="419" t="str">
        <f t="shared" si="0"/>
        <v/>
      </c>
      <c r="C53" s="420" t="str">
        <f>IF(CONSOLIDA!CN50="","",CONSOLIDA!CN50)</f>
        <v/>
      </c>
      <c r="D53" s="421" t="str">
        <f>IF(CONSOLIDA!CO50="","",CONSOLIDA!CO50)</f>
        <v/>
      </c>
      <c r="E53" s="422" t="str">
        <f>IF(C53="","",IF(CONSOLIDA!DD50="",0,CONSOLIDA!DD50))</f>
        <v/>
      </c>
      <c r="F53" s="422" t="str">
        <f>IF(C53="","",IF(CONSOLIDA!CS50="",0,CONSOLIDA!CS50))</f>
        <v/>
      </c>
      <c r="G53" s="422" t="str">
        <f>IF(C53="","",IF(CONSOLIDA!CT50="",0,CONSOLIDA!CT50))</f>
        <v/>
      </c>
      <c r="H53" s="422" t="str">
        <f>IF(C53="","",IF(CONSOLIDA!DE50="",0,CONSOLIDA!DE50))</f>
        <v/>
      </c>
      <c r="I53" s="422" t="str">
        <f>IF(C53="","",IF(CONSOLIDA!CW50="",0,CONSOLIDA!CW50))</f>
        <v/>
      </c>
      <c r="J53" s="422" t="str">
        <f>IF(C53="","",IF(CONSOLIDA!CX50="",0,CONSOLIDA!CX50))</f>
        <v/>
      </c>
      <c r="K53" s="486"/>
      <c r="L53" s="490" t="str">
        <f t="shared" si="2"/>
        <v/>
      </c>
      <c r="M53" s="490" t="str">
        <f t="shared" si="3"/>
        <v/>
      </c>
      <c r="O53" s="29"/>
      <c r="XFD53" s="392"/>
    </row>
    <row r="54" spans="1:15 16384:16384" ht="15" hidden="1">
      <c r="A54" s="243" t="str">
        <f t="shared" si="1"/>
        <v>OK</v>
      </c>
      <c r="B54" s="419" t="str">
        <f t="shared" si="0"/>
        <v/>
      </c>
      <c r="C54" s="420" t="str">
        <f>IF(CONSOLIDA!CN51="","",CONSOLIDA!CN51)</f>
        <v/>
      </c>
      <c r="D54" s="421" t="str">
        <f>IF(CONSOLIDA!CO51="","",CONSOLIDA!CO51)</f>
        <v/>
      </c>
      <c r="E54" s="422" t="str">
        <f>IF(C54="","",IF(CONSOLIDA!DD51="",0,CONSOLIDA!DD51))</f>
        <v/>
      </c>
      <c r="F54" s="422" t="str">
        <f>IF(C54="","",IF(CONSOLIDA!CS51="",0,CONSOLIDA!CS51))</f>
        <v/>
      </c>
      <c r="G54" s="422" t="str">
        <f>IF(C54="","",IF(CONSOLIDA!CT51="",0,CONSOLIDA!CT51))</f>
        <v/>
      </c>
      <c r="H54" s="422" t="str">
        <f>IF(C54="","",IF(CONSOLIDA!DE51="",0,CONSOLIDA!DE51))</f>
        <v/>
      </c>
      <c r="I54" s="422" t="str">
        <f>IF(C54="","",IF(CONSOLIDA!CW51="",0,CONSOLIDA!CW51))</f>
        <v/>
      </c>
      <c r="J54" s="422" t="str">
        <f>IF(C54="","",IF(CONSOLIDA!CX51="",0,CONSOLIDA!CX51))</f>
        <v/>
      </c>
      <c r="K54" s="486"/>
      <c r="L54" s="490" t="str">
        <f t="shared" si="2"/>
        <v/>
      </c>
      <c r="M54" s="490" t="str">
        <f t="shared" si="3"/>
        <v/>
      </c>
      <c r="O54" s="29"/>
      <c r="XFD54" s="392"/>
    </row>
    <row r="55" spans="1:15 16384:16384" ht="15" hidden="1">
      <c r="A55" s="243" t="str">
        <f t="shared" si="1"/>
        <v>OK</v>
      </c>
      <c r="B55" s="419" t="str">
        <f t="shared" si="0"/>
        <v/>
      </c>
      <c r="C55" s="420" t="str">
        <f>IF(CONSOLIDA!CN52="","",CONSOLIDA!CN52)</f>
        <v/>
      </c>
      <c r="D55" s="421" t="str">
        <f>IF(CONSOLIDA!CO52="","",CONSOLIDA!CO52)</f>
        <v/>
      </c>
      <c r="E55" s="422" t="str">
        <f>IF(C55="","",IF(CONSOLIDA!DD52="",0,CONSOLIDA!DD52))</f>
        <v/>
      </c>
      <c r="F55" s="422" t="str">
        <f>IF(C55="","",IF(CONSOLIDA!CS52="",0,CONSOLIDA!CS52))</f>
        <v/>
      </c>
      <c r="G55" s="422" t="str">
        <f>IF(C55="","",IF(CONSOLIDA!CT52="",0,CONSOLIDA!CT52))</f>
        <v/>
      </c>
      <c r="H55" s="422" t="str">
        <f>IF(C55="","",IF(CONSOLIDA!DE52="",0,CONSOLIDA!DE52))</f>
        <v/>
      </c>
      <c r="I55" s="422" t="str">
        <f>IF(C55="","",IF(CONSOLIDA!CW52="",0,CONSOLIDA!CW52))</f>
        <v/>
      </c>
      <c r="J55" s="422" t="str">
        <f>IF(C55="","",IF(CONSOLIDA!CX52="",0,CONSOLIDA!CX52))</f>
        <v/>
      </c>
      <c r="K55" s="486"/>
      <c r="L55" s="490" t="str">
        <f t="shared" si="2"/>
        <v/>
      </c>
      <c r="M55" s="490" t="str">
        <f t="shared" si="3"/>
        <v/>
      </c>
      <c r="O55" s="29"/>
      <c r="XFD55" s="392"/>
    </row>
    <row r="56" spans="1:15 16384:16384" ht="15" hidden="1">
      <c r="A56" s="243" t="str">
        <f t="shared" si="1"/>
        <v>OK</v>
      </c>
      <c r="B56" s="419" t="str">
        <f t="shared" si="0"/>
        <v/>
      </c>
      <c r="C56" s="420" t="str">
        <f>IF(CONSOLIDA!CN53="","",CONSOLIDA!CN53)</f>
        <v/>
      </c>
      <c r="D56" s="421" t="str">
        <f>IF(CONSOLIDA!CO53="","",CONSOLIDA!CO53)</f>
        <v/>
      </c>
      <c r="E56" s="422" t="str">
        <f>IF(C56="","",IF(CONSOLIDA!DD53="",0,CONSOLIDA!DD53))</f>
        <v/>
      </c>
      <c r="F56" s="422" t="str">
        <f>IF(C56="","",IF(CONSOLIDA!CS53="",0,CONSOLIDA!CS53))</f>
        <v/>
      </c>
      <c r="G56" s="422" t="str">
        <f>IF(C56="","",IF(CONSOLIDA!CT53="",0,CONSOLIDA!CT53))</f>
        <v/>
      </c>
      <c r="H56" s="422" t="str">
        <f>IF(C56="","",IF(CONSOLIDA!DE53="",0,CONSOLIDA!DE53))</f>
        <v/>
      </c>
      <c r="I56" s="422" t="str">
        <f>IF(C56="","",IF(CONSOLIDA!CW53="",0,CONSOLIDA!CW53))</f>
        <v/>
      </c>
      <c r="J56" s="422" t="str">
        <f>IF(C56="","",IF(CONSOLIDA!CX53="",0,CONSOLIDA!CX53))</f>
        <v/>
      </c>
      <c r="K56" s="486"/>
      <c r="L56" s="490" t="str">
        <f t="shared" si="2"/>
        <v/>
      </c>
      <c r="M56" s="490" t="str">
        <f t="shared" si="3"/>
        <v/>
      </c>
      <c r="O56" s="29"/>
      <c r="XFD56" s="392"/>
    </row>
    <row r="57" spans="1:15 16384:16384" ht="15" hidden="1">
      <c r="A57" s="243" t="str">
        <f t="shared" si="1"/>
        <v>OK</v>
      </c>
      <c r="B57" s="419" t="str">
        <f t="shared" si="0"/>
        <v/>
      </c>
      <c r="C57" s="420" t="str">
        <f>IF(CONSOLIDA!CN54="","",CONSOLIDA!CN54)</f>
        <v/>
      </c>
      <c r="D57" s="421" t="str">
        <f>IF(CONSOLIDA!CO54="","",CONSOLIDA!CO54)</f>
        <v/>
      </c>
      <c r="E57" s="422" t="str">
        <f>IF(C57="","",IF(CONSOLIDA!DD54="",0,CONSOLIDA!DD54))</f>
        <v/>
      </c>
      <c r="F57" s="422" t="str">
        <f>IF(C57="","",IF(CONSOLIDA!CS54="",0,CONSOLIDA!CS54))</f>
        <v/>
      </c>
      <c r="G57" s="422" t="str">
        <f>IF(C57="","",IF(CONSOLIDA!CT54="",0,CONSOLIDA!CT54))</f>
        <v/>
      </c>
      <c r="H57" s="422" t="str">
        <f>IF(C57="","",IF(CONSOLIDA!DE54="",0,CONSOLIDA!DE54))</f>
        <v/>
      </c>
      <c r="I57" s="422" t="str">
        <f>IF(C57="","",IF(CONSOLIDA!CW54="",0,CONSOLIDA!CW54))</f>
        <v/>
      </c>
      <c r="J57" s="422" t="str">
        <f>IF(C57="","",IF(CONSOLIDA!CX54="",0,CONSOLIDA!CX54))</f>
        <v/>
      </c>
      <c r="K57" s="486"/>
      <c r="L57" s="490" t="str">
        <f t="shared" si="2"/>
        <v/>
      </c>
      <c r="M57" s="490" t="str">
        <f t="shared" si="3"/>
        <v/>
      </c>
      <c r="O57" s="29"/>
      <c r="XFD57" s="392"/>
    </row>
    <row r="58" spans="1:15 16384:16384" ht="15" hidden="1">
      <c r="A58" s="243" t="str">
        <f t="shared" si="1"/>
        <v>OK</v>
      </c>
      <c r="B58" s="419" t="str">
        <f t="shared" si="0"/>
        <v/>
      </c>
      <c r="C58" s="420" t="str">
        <f>IF(CONSOLIDA!CN55="","",CONSOLIDA!CN55)</f>
        <v/>
      </c>
      <c r="D58" s="421" t="str">
        <f>IF(CONSOLIDA!CO55="","",CONSOLIDA!CO55)</f>
        <v/>
      </c>
      <c r="E58" s="422" t="str">
        <f>IF(C58="","",IF(CONSOLIDA!DD55="",0,CONSOLIDA!DD55))</f>
        <v/>
      </c>
      <c r="F58" s="422" t="str">
        <f>IF(C58="","",IF(CONSOLIDA!CS55="",0,CONSOLIDA!CS55))</f>
        <v/>
      </c>
      <c r="G58" s="422" t="str">
        <f>IF(C58="","",IF(CONSOLIDA!CT55="",0,CONSOLIDA!CT55))</f>
        <v/>
      </c>
      <c r="H58" s="422" t="str">
        <f>IF(C58="","",IF(CONSOLIDA!DE55="",0,CONSOLIDA!DE55))</f>
        <v/>
      </c>
      <c r="I58" s="422" t="str">
        <f>IF(C58="","",IF(CONSOLIDA!CW55="",0,CONSOLIDA!CW55))</f>
        <v/>
      </c>
      <c r="J58" s="422" t="str">
        <f>IF(C58="","",IF(CONSOLIDA!CX55="",0,CONSOLIDA!CX55))</f>
        <v/>
      </c>
      <c r="K58" s="486"/>
      <c r="L58" s="490" t="str">
        <f t="shared" si="2"/>
        <v/>
      </c>
      <c r="M58" s="490" t="str">
        <f t="shared" si="3"/>
        <v/>
      </c>
      <c r="O58" s="29"/>
      <c r="XFD58" s="392"/>
    </row>
    <row r="59" spans="1:15 16384:16384" ht="15" hidden="1">
      <c r="A59" s="243" t="str">
        <f t="shared" si="1"/>
        <v>OK</v>
      </c>
      <c r="B59" s="419" t="str">
        <f t="shared" si="0"/>
        <v/>
      </c>
      <c r="C59" s="420" t="str">
        <f>IF(CONSOLIDA!CN56="","",CONSOLIDA!CN56)</f>
        <v/>
      </c>
      <c r="D59" s="421" t="str">
        <f>IF(CONSOLIDA!CO56="","",CONSOLIDA!CO56)</f>
        <v/>
      </c>
      <c r="E59" s="422" t="str">
        <f>IF(C59="","",IF(CONSOLIDA!DD56="",0,CONSOLIDA!DD56))</f>
        <v/>
      </c>
      <c r="F59" s="422" t="str">
        <f>IF(C59="","",IF(CONSOLIDA!CS56="",0,CONSOLIDA!CS56))</f>
        <v/>
      </c>
      <c r="G59" s="422" t="str">
        <f>IF(C59="","",IF(CONSOLIDA!CT56="",0,CONSOLIDA!CT56))</f>
        <v/>
      </c>
      <c r="H59" s="422" t="str">
        <f>IF(C59="","",IF(CONSOLIDA!DE56="",0,CONSOLIDA!DE56))</f>
        <v/>
      </c>
      <c r="I59" s="422" t="str">
        <f>IF(C59="","",IF(CONSOLIDA!CW56="",0,CONSOLIDA!CW56))</f>
        <v/>
      </c>
      <c r="J59" s="422" t="str">
        <f>IF(C59="","",IF(CONSOLIDA!CX56="",0,CONSOLIDA!CX56))</f>
        <v/>
      </c>
      <c r="K59" s="486"/>
      <c r="L59" s="490" t="str">
        <f t="shared" si="2"/>
        <v/>
      </c>
      <c r="M59" s="490" t="str">
        <f t="shared" si="3"/>
        <v/>
      </c>
      <c r="O59" s="29"/>
      <c r="XFD59" s="392"/>
    </row>
    <row r="60" spans="1:15 16384:16384" ht="15" hidden="1">
      <c r="A60" s="243" t="str">
        <f t="shared" si="1"/>
        <v>OK</v>
      </c>
      <c r="B60" s="419" t="str">
        <f t="shared" si="0"/>
        <v/>
      </c>
      <c r="C60" s="420" t="str">
        <f>IF(CONSOLIDA!CN57="","",CONSOLIDA!CN57)</f>
        <v/>
      </c>
      <c r="D60" s="421" t="str">
        <f>IF(CONSOLIDA!CO57="","",CONSOLIDA!CO57)</f>
        <v/>
      </c>
      <c r="E60" s="422" t="str">
        <f>IF(C60="","",IF(CONSOLIDA!DD57="",0,CONSOLIDA!DD57))</f>
        <v/>
      </c>
      <c r="F60" s="422" t="str">
        <f>IF(C60="","",IF(CONSOLIDA!CS57="",0,CONSOLIDA!CS57))</f>
        <v/>
      </c>
      <c r="G60" s="422" t="str">
        <f>IF(C60="","",IF(CONSOLIDA!CT57="",0,CONSOLIDA!CT57))</f>
        <v/>
      </c>
      <c r="H60" s="422" t="str">
        <f>IF(C60="","",IF(CONSOLIDA!DE57="",0,CONSOLIDA!DE57))</f>
        <v/>
      </c>
      <c r="I60" s="422" t="str">
        <f>IF(C60="","",IF(CONSOLIDA!CW57="",0,CONSOLIDA!CW57))</f>
        <v/>
      </c>
      <c r="J60" s="422" t="str">
        <f>IF(C60="","",IF(CONSOLIDA!CX57="",0,CONSOLIDA!CX57))</f>
        <v/>
      </c>
      <c r="K60" s="486"/>
      <c r="L60" s="490" t="str">
        <f t="shared" si="2"/>
        <v/>
      </c>
      <c r="M60" s="490" t="str">
        <f t="shared" si="3"/>
        <v/>
      </c>
      <c r="O60" s="29"/>
      <c r="XFD60" s="392"/>
    </row>
    <row r="61" spans="1:15 16384:16384" ht="15" hidden="1">
      <c r="A61" s="243" t="str">
        <f t="shared" si="1"/>
        <v>OK</v>
      </c>
      <c r="B61" s="419" t="str">
        <f t="shared" si="0"/>
        <v/>
      </c>
      <c r="C61" s="420" t="str">
        <f>IF(CONSOLIDA!CN58="","",CONSOLIDA!CN58)</f>
        <v/>
      </c>
      <c r="D61" s="421" t="str">
        <f>IF(CONSOLIDA!CO58="","",CONSOLIDA!CO58)</f>
        <v/>
      </c>
      <c r="E61" s="422" t="str">
        <f>IF(C61="","",IF(CONSOLIDA!DD58="",0,CONSOLIDA!DD58))</f>
        <v/>
      </c>
      <c r="F61" s="422" t="str">
        <f>IF(C61="","",IF(CONSOLIDA!CS58="",0,CONSOLIDA!CS58))</f>
        <v/>
      </c>
      <c r="G61" s="422" t="str">
        <f>IF(C61="","",IF(CONSOLIDA!CT58="",0,CONSOLIDA!CT58))</f>
        <v/>
      </c>
      <c r="H61" s="422" t="str">
        <f>IF(C61="","",IF(CONSOLIDA!DE58="",0,CONSOLIDA!DE58))</f>
        <v/>
      </c>
      <c r="I61" s="422" t="str">
        <f>IF(C61="","",IF(CONSOLIDA!CW58="",0,CONSOLIDA!CW58))</f>
        <v/>
      </c>
      <c r="J61" s="422" t="str">
        <f>IF(C61="","",IF(CONSOLIDA!CX58="",0,CONSOLIDA!CX58))</f>
        <v/>
      </c>
      <c r="K61" s="486"/>
      <c r="L61" s="490" t="str">
        <f t="shared" si="2"/>
        <v/>
      </c>
      <c r="M61" s="490" t="str">
        <f t="shared" si="3"/>
        <v/>
      </c>
      <c r="O61" s="29"/>
      <c r="XFD61" s="392"/>
    </row>
    <row r="62" spans="1:15 16384:16384" ht="15" hidden="1">
      <c r="A62" s="243" t="str">
        <f t="shared" si="1"/>
        <v>OK</v>
      </c>
      <c r="B62" s="419" t="str">
        <f t="shared" si="0"/>
        <v/>
      </c>
      <c r="C62" s="420" t="str">
        <f>IF(CONSOLIDA!CN59="","",CONSOLIDA!CN59)</f>
        <v/>
      </c>
      <c r="D62" s="421" t="str">
        <f>IF(CONSOLIDA!CO59="","",CONSOLIDA!CO59)</f>
        <v/>
      </c>
      <c r="E62" s="422" t="str">
        <f>IF(C62="","",IF(CONSOLIDA!DD59="",0,CONSOLIDA!DD59))</f>
        <v/>
      </c>
      <c r="F62" s="422" t="str">
        <f>IF(C62="","",IF(CONSOLIDA!CS59="",0,CONSOLIDA!CS59))</f>
        <v/>
      </c>
      <c r="G62" s="422" t="str">
        <f>IF(C62="","",IF(CONSOLIDA!CT59="",0,CONSOLIDA!CT59))</f>
        <v/>
      </c>
      <c r="H62" s="422" t="str">
        <f>IF(C62="","",IF(CONSOLIDA!DE59="",0,CONSOLIDA!DE59))</f>
        <v/>
      </c>
      <c r="I62" s="422" t="str">
        <f>IF(C62="","",IF(CONSOLIDA!CW59="",0,CONSOLIDA!CW59))</f>
        <v/>
      </c>
      <c r="J62" s="422" t="str">
        <f>IF(C62="","",IF(CONSOLIDA!CX59="",0,CONSOLIDA!CX59))</f>
        <v/>
      </c>
      <c r="K62" s="486"/>
      <c r="L62" s="490" t="str">
        <f t="shared" si="2"/>
        <v/>
      </c>
      <c r="M62" s="490" t="str">
        <f t="shared" si="3"/>
        <v/>
      </c>
      <c r="O62" s="29"/>
      <c r="XFD62" s="392"/>
    </row>
    <row r="63" spans="1:15 16384:16384" ht="15" hidden="1">
      <c r="A63" s="243" t="str">
        <f t="shared" si="1"/>
        <v>OK</v>
      </c>
      <c r="B63" s="419" t="str">
        <f t="shared" si="0"/>
        <v/>
      </c>
      <c r="C63" s="420" t="str">
        <f>IF(CONSOLIDA!CN60="","",CONSOLIDA!CN60)</f>
        <v/>
      </c>
      <c r="D63" s="421" t="str">
        <f>IF(CONSOLIDA!CO60="","",CONSOLIDA!CO60)</f>
        <v/>
      </c>
      <c r="E63" s="422" t="str">
        <f>IF(C63="","",IF(CONSOLIDA!DD60="",0,CONSOLIDA!DD60))</f>
        <v/>
      </c>
      <c r="F63" s="422" t="str">
        <f>IF(C63="","",IF(CONSOLIDA!CS60="",0,CONSOLIDA!CS60))</f>
        <v/>
      </c>
      <c r="G63" s="422" t="str">
        <f>IF(C63="","",IF(CONSOLIDA!CT60="",0,CONSOLIDA!CT60))</f>
        <v/>
      </c>
      <c r="H63" s="422" t="str">
        <f>IF(C63="","",IF(CONSOLIDA!DE60="",0,CONSOLIDA!DE60))</f>
        <v/>
      </c>
      <c r="I63" s="422" t="str">
        <f>IF(C63="","",IF(CONSOLIDA!CW60="",0,CONSOLIDA!CW60))</f>
        <v/>
      </c>
      <c r="J63" s="422" t="str">
        <f>IF(C63="","",IF(CONSOLIDA!CX60="",0,CONSOLIDA!CX60))</f>
        <v/>
      </c>
      <c r="K63" s="486"/>
      <c r="L63" s="490" t="str">
        <f t="shared" si="2"/>
        <v/>
      </c>
      <c r="M63" s="490" t="str">
        <f t="shared" si="3"/>
        <v/>
      </c>
      <c r="O63" s="29"/>
      <c r="XFD63" s="392"/>
    </row>
    <row r="64" spans="1:15 16384:16384" ht="15" hidden="1">
      <c r="A64" s="243" t="str">
        <f t="shared" si="1"/>
        <v>OK</v>
      </c>
      <c r="B64" s="419" t="str">
        <f t="shared" si="0"/>
        <v/>
      </c>
      <c r="C64" s="420" t="str">
        <f>IF(CONSOLIDA!CN61="","",CONSOLIDA!CN61)</f>
        <v/>
      </c>
      <c r="D64" s="421" t="str">
        <f>IF(CONSOLIDA!CO61="","",CONSOLIDA!CO61)</f>
        <v/>
      </c>
      <c r="E64" s="422" t="str">
        <f>IF(C64="","",IF(CONSOLIDA!DD61="",0,CONSOLIDA!DD61))</f>
        <v/>
      </c>
      <c r="F64" s="422" t="str">
        <f>IF(C64="","",IF(CONSOLIDA!CS61="",0,CONSOLIDA!CS61))</f>
        <v/>
      </c>
      <c r="G64" s="422" t="str">
        <f>IF(C64="","",IF(CONSOLIDA!CT61="",0,CONSOLIDA!CT61))</f>
        <v/>
      </c>
      <c r="H64" s="422" t="str">
        <f>IF(C64="","",IF(CONSOLIDA!DE61="",0,CONSOLIDA!DE61))</f>
        <v/>
      </c>
      <c r="I64" s="422" t="str">
        <f>IF(C64="","",IF(CONSOLIDA!CW61="",0,CONSOLIDA!CW61))</f>
        <v/>
      </c>
      <c r="J64" s="422" t="str">
        <f>IF(C64="","",IF(CONSOLIDA!CX61="",0,CONSOLIDA!CX61))</f>
        <v/>
      </c>
      <c r="K64" s="486"/>
      <c r="L64" s="490" t="str">
        <f t="shared" si="2"/>
        <v/>
      </c>
      <c r="M64" s="490" t="str">
        <f t="shared" si="3"/>
        <v/>
      </c>
      <c r="O64" s="29"/>
      <c r="XFD64" s="392"/>
    </row>
    <row r="65" spans="1:15 16384:16384" ht="15" hidden="1">
      <c r="A65" s="243" t="str">
        <f t="shared" si="1"/>
        <v>OK</v>
      </c>
      <c r="B65" s="419" t="str">
        <f t="shared" si="0"/>
        <v/>
      </c>
      <c r="C65" s="420" t="str">
        <f>IF(CONSOLIDA!CN62="","",CONSOLIDA!CN62)</f>
        <v/>
      </c>
      <c r="D65" s="421" t="str">
        <f>IF(CONSOLIDA!CO62="","",CONSOLIDA!CO62)</f>
        <v/>
      </c>
      <c r="E65" s="422" t="str">
        <f>IF(C65="","",IF(CONSOLIDA!DD62="",0,CONSOLIDA!DD62))</f>
        <v/>
      </c>
      <c r="F65" s="422" t="str">
        <f>IF(C65="","",IF(CONSOLIDA!CS62="",0,CONSOLIDA!CS62))</f>
        <v/>
      </c>
      <c r="G65" s="422" t="str">
        <f>IF(C65="","",IF(CONSOLIDA!CT62="",0,CONSOLIDA!CT62))</f>
        <v/>
      </c>
      <c r="H65" s="422" t="str">
        <f>IF(C65="","",IF(CONSOLIDA!DE62="",0,CONSOLIDA!DE62))</f>
        <v/>
      </c>
      <c r="I65" s="422" t="str">
        <f>IF(C65="","",IF(CONSOLIDA!CW62="",0,CONSOLIDA!CW62))</f>
        <v/>
      </c>
      <c r="J65" s="422" t="str">
        <f>IF(C65="","",IF(CONSOLIDA!CX62="",0,CONSOLIDA!CX62))</f>
        <v/>
      </c>
      <c r="K65" s="486"/>
      <c r="L65" s="490" t="str">
        <f t="shared" si="2"/>
        <v/>
      </c>
      <c r="M65" s="490" t="str">
        <f t="shared" si="3"/>
        <v/>
      </c>
      <c r="O65" s="29"/>
      <c r="XFD65" s="392"/>
    </row>
    <row r="66" spans="1:15 16384:16384" ht="15" hidden="1">
      <c r="A66" s="243" t="str">
        <f t="shared" si="1"/>
        <v>OK</v>
      </c>
      <c r="B66" s="419" t="str">
        <f t="shared" si="0"/>
        <v/>
      </c>
      <c r="C66" s="420" t="str">
        <f>IF(CONSOLIDA!CN63="","",CONSOLIDA!CN63)</f>
        <v/>
      </c>
      <c r="D66" s="421" t="str">
        <f>IF(CONSOLIDA!CO63="","",CONSOLIDA!CO63)</f>
        <v/>
      </c>
      <c r="E66" s="422" t="str">
        <f>IF(C66="","",IF(CONSOLIDA!DD63="",0,CONSOLIDA!DD63))</f>
        <v/>
      </c>
      <c r="F66" s="422" t="str">
        <f>IF(C66="","",IF(CONSOLIDA!CS63="",0,CONSOLIDA!CS63))</f>
        <v/>
      </c>
      <c r="G66" s="422" t="str">
        <f>IF(C66="","",IF(CONSOLIDA!CT63="",0,CONSOLIDA!CT63))</f>
        <v/>
      </c>
      <c r="H66" s="422" t="str">
        <f>IF(C66="","",IF(CONSOLIDA!DE63="",0,CONSOLIDA!DE63))</f>
        <v/>
      </c>
      <c r="I66" s="422" t="str">
        <f>IF(C66="","",IF(CONSOLIDA!CW63="",0,CONSOLIDA!CW63))</f>
        <v/>
      </c>
      <c r="J66" s="422" t="str">
        <f>IF(C66="","",IF(CONSOLIDA!CX63="",0,CONSOLIDA!CX63))</f>
        <v/>
      </c>
      <c r="K66" s="486"/>
      <c r="L66" s="490" t="str">
        <f t="shared" si="2"/>
        <v/>
      </c>
      <c r="M66" s="490" t="str">
        <f t="shared" si="3"/>
        <v/>
      </c>
      <c r="O66" s="29"/>
      <c r="XFD66" s="392"/>
    </row>
    <row r="67" spans="1:15 16384:16384" ht="15" hidden="1">
      <c r="A67" s="243" t="str">
        <f t="shared" si="1"/>
        <v>OK</v>
      </c>
      <c r="B67" s="419" t="str">
        <f t="shared" si="0"/>
        <v/>
      </c>
      <c r="C67" s="420" t="str">
        <f>IF(CONSOLIDA!CN64="","",CONSOLIDA!CN64)</f>
        <v/>
      </c>
      <c r="D67" s="421" t="str">
        <f>IF(CONSOLIDA!CO64="","",CONSOLIDA!CO64)</f>
        <v/>
      </c>
      <c r="E67" s="422" t="str">
        <f>IF(C67="","",IF(CONSOLIDA!DD64="",0,CONSOLIDA!DD64))</f>
        <v/>
      </c>
      <c r="F67" s="422" t="str">
        <f>IF(C67="","",IF(CONSOLIDA!CS64="",0,CONSOLIDA!CS64))</f>
        <v/>
      </c>
      <c r="G67" s="422" t="str">
        <f>IF(C67="","",IF(CONSOLIDA!CT64="",0,CONSOLIDA!CT64))</f>
        <v/>
      </c>
      <c r="H67" s="422" t="str">
        <f>IF(C67="","",IF(CONSOLIDA!DE64="",0,CONSOLIDA!DE64))</f>
        <v/>
      </c>
      <c r="I67" s="422" t="str">
        <f>IF(C67="","",IF(CONSOLIDA!CW64="",0,CONSOLIDA!CW64))</f>
        <v/>
      </c>
      <c r="J67" s="422" t="str">
        <f>IF(C67="","",IF(CONSOLIDA!CX64="",0,CONSOLIDA!CX64))</f>
        <v/>
      </c>
      <c r="K67" s="486"/>
      <c r="L67" s="490" t="str">
        <f t="shared" si="2"/>
        <v/>
      </c>
      <c r="M67" s="490" t="str">
        <f t="shared" si="3"/>
        <v/>
      </c>
      <c r="O67" s="29"/>
      <c r="XFD67" s="392"/>
    </row>
    <row r="68" spans="1:15 16384:16384" ht="15" hidden="1">
      <c r="A68" s="243" t="str">
        <f t="shared" si="1"/>
        <v>OK</v>
      </c>
      <c r="B68" s="419" t="str">
        <f t="shared" si="0"/>
        <v/>
      </c>
      <c r="C68" s="420" t="str">
        <f>IF(CONSOLIDA!CN65="","",CONSOLIDA!CN65)</f>
        <v/>
      </c>
      <c r="D68" s="421" t="str">
        <f>IF(CONSOLIDA!CO65="","",CONSOLIDA!CO65)</f>
        <v/>
      </c>
      <c r="E68" s="422" t="str">
        <f>IF(C68="","",IF(CONSOLIDA!DD65="",0,CONSOLIDA!DD65))</f>
        <v/>
      </c>
      <c r="F68" s="422" t="str">
        <f>IF(C68="","",IF(CONSOLIDA!CS65="",0,CONSOLIDA!CS65))</f>
        <v/>
      </c>
      <c r="G68" s="422" t="str">
        <f>IF(C68="","",IF(CONSOLIDA!CT65="",0,CONSOLIDA!CT65))</f>
        <v/>
      </c>
      <c r="H68" s="422" t="str">
        <f>IF(C68="","",IF(CONSOLIDA!DE65="",0,CONSOLIDA!DE65))</f>
        <v/>
      </c>
      <c r="I68" s="422" t="str">
        <f>IF(C68="","",IF(CONSOLIDA!CW65="",0,CONSOLIDA!CW65))</f>
        <v/>
      </c>
      <c r="J68" s="422" t="str">
        <f>IF(C68="","",IF(CONSOLIDA!CX65="",0,CONSOLIDA!CX65))</f>
        <v/>
      </c>
      <c r="K68" s="486"/>
      <c r="L68" s="490" t="str">
        <f t="shared" si="2"/>
        <v/>
      </c>
      <c r="M68" s="490" t="str">
        <f t="shared" si="3"/>
        <v/>
      </c>
      <c r="O68" s="29"/>
      <c r="XFD68" s="392"/>
    </row>
    <row r="69" spans="1:15 16384:16384" ht="15" hidden="1">
      <c r="A69" s="243" t="str">
        <f t="shared" si="1"/>
        <v>OK</v>
      </c>
      <c r="B69" s="419" t="str">
        <f t="shared" si="0"/>
        <v/>
      </c>
      <c r="C69" s="420" t="str">
        <f>IF(CONSOLIDA!CN66="","",CONSOLIDA!CN66)</f>
        <v/>
      </c>
      <c r="D69" s="421" t="str">
        <f>IF(CONSOLIDA!CO66="","",CONSOLIDA!CO66)</f>
        <v/>
      </c>
      <c r="E69" s="422" t="str">
        <f>IF(C69="","",IF(CONSOLIDA!DD66="",0,CONSOLIDA!DD66))</f>
        <v/>
      </c>
      <c r="F69" s="422" t="str">
        <f>IF(C69="","",IF(CONSOLIDA!CS66="",0,CONSOLIDA!CS66))</f>
        <v/>
      </c>
      <c r="G69" s="422" t="str">
        <f>IF(C69="","",IF(CONSOLIDA!CT66="",0,CONSOLIDA!CT66))</f>
        <v/>
      </c>
      <c r="H69" s="422" t="str">
        <f>IF(C69="","",IF(CONSOLIDA!DE66="",0,CONSOLIDA!DE66))</f>
        <v/>
      </c>
      <c r="I69" s="422" t="str">
        <f>IF(C69="","",IF(CONSOLIDA!CW66="",0,CONSOLIDA!CW66))</f>
        <v/>
      </c>
      <c r="J69" s="422" t="str">
        <f>IF(C69="","",IF(CONSOLIDA!CX66="",0,CONSOLIDA!CX66))</f>
        <v/>
      </c>
      <c r="K69" s="486"/>
      <c r="L69" s="490" t="str">
        <f t="shared" si="2"/>
        <v/>
      </c>
      <c r="M69" s="490" t="str">
        <f t="shared" si="3"/>
        <v/>
      </c>
      <c r="O69" s="29"/>
      <c r="XFD69" s="392"/>
    </row>
    <row r="70" spans="1:15 16384:16384" ht="15" hidden="1">
      <c r="A70" s="243" t="str">
        <f t="shared" si="1"/>
        <v>OK</v>
      </c>
      <c r="B70" s="419" t="str">
        <f t="shared" si="0"/>
        <v/>
      </c>
      <c r="C70" s="420" t="str">
        <f>IF(CONSOLIDA!CN67="","",CONSOLIDA!CN67)</f>
        <v/>
      </c>
      <c r="D70" s="421" t="str">
        <f>IF(CONSOLIDA!CO67="","",CONSOLIDA!CO67)</f>
        <v/>
      </c>
      <c r="E70" s="422" t="str">
        <f>IF(C70="","",IF(CONSOLIDA!DD67="",0,CONSOLIDA!DD67))</f>
        <v/>
      </c>
      <c r="F70" s="422" t="str">
        <f>IF(C70="","",IF(CONSOLIDA!CS67="",0,CONSOLIDA!CS67))</f>
        <v/>
      </c>
      <c r="G70" s="422" t="str">
        <f>IF(C70="","",IF(CONSOLIDA!CT67="",0,CONSOLIDA!CT67))</f>
        <v/>
      </c>
      <c r="H70" s="422" t="str">
        <f>IF(C70="","",IF(CONSOLIDA!DE67="",0,CONSOLIDA!DE67))</f>
        <v/>
      </c>
      <c r="I70" s="422" t="str">
        <f>IF(C70="","",IF(CONSOLIDA!CW67="",0,CONSOLIDA!CW67))</f>
        <v/>
      </c>
      <c r="J70" s="422" t="str">
        <f>IF(C70="","",IF(CONSOLIDA!CX67="",0,CONSOLIDA!CX67))</f>
        <v/>
      </c>
      <c r="K70" s="486"/>
      <c r="L70" s="490" t="str">
        <f t="shared" si="2"/>
        <v/>
      </c>
      <c r="M70" s="490" t="str">
        <f t="shared" si="3"/>
        <v/>
      </c>
      <c r="O70" s="29"/>
      <c r="XFD70" s="392"/>
    </row>
    <row r="71" spans="1:15 16384:16384" ht="15" hidden="1">
      <c r="A71" s="243" t="str">
        <f t="shared" si="1"/>
        <v>OK</v>
      </c>
      <c r="B71" s="419" t="str">
        <f t="shared" ref="B71:B134" si="4">IF(C71="","",B70+1)</f>
        <v/>
      </c>
      <c r="C71" s="420" t="str">
        <f>IF(CONSOLIDA!CN68="","",CONSOLIDA!CN68)</f>
        <v/>
      </c>
      <c r="D71" s="421" t="str">
        <f>IF(CONSOLIDA!CO68="","",CONSOLIDA!CO68)</f>
        <v/>
      </c>
      <c r="E71" s="422" t="str">
        <f>IF(C71="","",IF(CONSOLIDA!DD68="",0,CONSOLIDA!DD68))</f>
        <v/>
      </c>
      <c r="F71" s="422" t="str">
        <f>IF(C71="","",IF(CONSOLIDA!CS68="",0,CONSOLIDA!CS68))</f>
        <v/>
      </c>
      <c r="G71" s="422" t="str">
        <f>IF(C71="","",IF(CONSOLIDA!CT68="",0,CONSOLIDA!CT68))</f>
        <v/>
      </c>
      <c r="H71" s="422" t="str">
        <f>IF(C71="","",IF(CONSOLIDA!DE68="",0,CONSOLIDA!DE68))</f>
        <v/>
      </c>
      <c r="I71" s="422" t="str">
        <f>IF(C71="","",IF(CONSOLIDA!CW68="",0,CONSOLIDA!CW68))</f>
        <v/>
      </c>
      <c r="J71" s="422" t="str">
        <f>IF(C71="","",IF(CONSOLIDA!CX68="",0,CONSOLIDA!CX68))</f>
        <v/>
      </c>
      <c r="K71" s="486"/>
      <c r="L71" s="490" t="str">
        <f t="shared" si="2"/>
        <v/>
      </c>
      <c r="M71" s="490" t="str">
        <f t="shared" si="3"/>
        <v/>
      </c>
      <c r="O71" s="29"/>
      <c r="XFD71" s="392"/>
    </row>
    <row r="72" spans="1:15 16384:16384" ht="15" hidden="1">
      <c r="A72" s="243" t="str">
        <f t="shared" ref="A72:A135" si="5">IF(D72="","OK","")</f>
        <v>OK</v>
      </c>
      <c r="B72" s="419" t="str">
        <f t="shared" si="4"/>
        <v/>
      </c>
      <c r="C72" s="420" t="str">
        <f>IF(CONSOLIDA!CN69="","",CONSOLIDA!CN69)</f>
        <v/>
      </c>
      <c r="D72" s="421" t="str">
        <f>IF(CONSOLIDA!CO69="","",CONSOLIDA!CO69)</f>
        <v/>
      </c>
      <c r="E72" s="422" t="str">
        <f>IF(C72="","",IF(CONSOLIDA!DD69="",0,CONSOLIDA!DD69))</f>
        <v/>
      </c>
      <c r="F72" s="422" t="str">
        <f>IF(C72="","",IF(CONSOLIDA!CS69="",0,CONSOLIDA!CS69))</f>
        <v/>
      </c>
      <c r="G72" s="422" t="str">
        <f>IF(C72="","",IF(CONSOLIDA!CT69="",0,CONSOLIDA!CT69))</f>
        <v/>
      </c>
      <c r="H72" s="422" t="str">
        <f>IF(C72="","",IF(CONSOLIDA!DE69="",0,CONSOLIDA!DE69))</f>
        <v/>
      </c>
      <c r="I72" s="422" t="str">
        <f>IF(C72="","",IF(CONSOLIDA!CW69="",0,CONSOLIDA!CW69))</f>
        <v/>
      </c>
      <c r="J72" s="422" t="str">
        <f>IF(C72="","",IF(CONSOLIDA!CX69="",0,CONSOLIDA!CX69))</f>
        <v/>
      </c>
      <c r="K72" s="486"/>
      <c r="L72" s="490" t="str">
        <f t="shared" ref="L72:L109" si="6">IF(C72="","",(E72-F72)-G72)</f>
        <v/>
      </c>
      <c r="M72" s="490" t="str">
        <f t="shared" ref="M72:M135" si="7">IF(C72="","",(H72-I72)-J72)</f>
        <v/>
      </c>
      <c r="O72" s="29"/>
      <c r="XFD72" s="392"/>
    </row>
    <row r="73" spans="1:15 16384:16384" ht="15" hidden="1">
      <c r="A73" s="243" t="str">
        <f t="shared" si="5"/>
        <v>OK</v>
      </c>
      <c r="B73" s="419" t="str">
        <f t="shared" si="4"/>
        <v/>
      </c>
      <c r="C73" s="420" t="str">
        <f>IF(CONSOLIDA!CN70="","",CONSOLIDA!CN70)</f>
        <v/>
      </c>
      <c r="D73" s="421" t="str">
        <f>IF(CONSOLIDA!CO70="","",CONSOLIDA!CO70)</f>
        <v/>
      </c>
      <c r="E73" s="422" t="str">
        <f>IF(C73="","",IF(CONSOLIDA!DD70="",0,CONSOLIDA!DD70))</f>
        <v/>
      </c>
      <c r="F73" s="422" t="str">
        <f>IF(C73="","",IF(CONSOLIDA!CS70="",0,CONSOLIDA!CS70))</f>
        <v/>
      </c>
      <c r="G73" s="422" t="str">
        <f>IF(C73="","",IF(CONSOLIDA!CT70="",0,CONSOLIDA!CT70))</f>
        <v/>
      </c>
      <c r="H73" s="422" t="str">
        <f>IF(C73="","",IF(CONSOLIDA!DE70="",0,CONSOLIDA!DE70))</f>
        <v/>
      </c>
      <c r="I73" s="422" t="str">
        <f>IF(C73="","",IF(CONSOLIDA!CW70="",0,CONSOLIDA!CW70))</f>
        <v/>
      </c>
      <c r="J73" s="422" t="str">
        <f>IF(C73="","",IF(CONSOLIDA!CX70="",0,CONSOLIDA!CX70))</f>
        <v/>
      </c>
      <c r="K73" s="486"/>
      <c r="L73" s="490" t="str">
        <f t="shared" si="6"/>
        <v/>
      </c>
      <c r="M73" s="490" t="str">
        <f t="shared" si="7"/>
        <v/>
      </c>
      <c r="O73" s="29"/>
      <c r="XFD73" s="392"/>
    </row>
    <row r="74" spans="1:15 16384:16384" ht="15" hidden="1">
      <c r="A74" s="243" t="str">
        <f t="shared" si="5"/>
        <v>OK</v>
      </c>
      <c r="B74" s="419" t="str">
        <f t="shared" si="4"/>
        <v/>
      </c>
      <c r="C74" s="420" t="str">
        <f>IF(CONSOLIDA!CN71="","",CONSOLIDA!CN71)</f>
        <v/>
      </c>
      <c r="D74" s="421" t="str">
        <f>IF(CONSOLIDA!CO71="","",CONSOLIDA!CO71)</f>
        <v/>
      </c>
      <c r="E74" s="422" t="str">
        <f>IF(C74="","",IF(CONSOLIDA!DD71="",0,CONSOLIDA!DD71))</f>
        <v/>
      </c>
      <c r="F74" s="422" t="str">
        <f>IF(C74="","",IF(CONSOLIDA!CS71="",0,CONSOLIDA!CS71))</f>
        <v/>
      </c>
      <c r="G74" s="422" t="str">
        <f>IF(C74="","",IF(CONSOLIDA!CT71="",0,CONSOLIDA!CT71))</f>
        <v/>
      </c>
      <c r="H74" s="422" t="str">
        <f>IF(C74="","",IF(CONSOLIDA!DE71="",0,CONSOLIDA!DE71))</f>
        <v/>
      </c>
      <c r="I74" s="422" t="str">
        <f>IF(C74="","",IF(CONSOLIDA!CW71="",0,CONSOLIDA!CW71))</f>
        <v/>
      </c>
      <c r="J74" s="422" t="str">
        <f>IF(C74="","",IF(CONSOLIDA!CX71="",0,CONSOLIDA!CX71))</f>
        <v/>
      </c>
      <c r="K74" s="486"/>
      <c r="L74" s="490" t="str">
        <f t="shared" si="6"/>
        <v/>
      </c>
      <c r="M74" s="490" t="str">
        <f t="shared" si="7"/>
        <v/>
      </c>
      <c r="O74" s="29"/>
      <c r="XFD74" s="392"/>
    </row>
    <row r="75" spans="1:15 16384:16384" ht="15" hidden="1">
      <c r="A75" s="243" t="str">
        <f t="shared" si="5"/>
        <v>OK</v>
      </c>
      <c r="B75" s="419" t="str">
        <f t="shared" si="4"/>
        <v/>
      </c>
      <c r="C75" s="420" t="str">
        <f>IF(CONSOLIDA!CN72="","",CONSOLIDA!CN72)</f>
        <v/>
      </c>
      <c r="D75" s="421" t="str">
        <f>IF(CONSOLIDA!CO72="","",CONSOLIDA!CO72)</f>
        <v/>
      </c>
      <c r="E75" s="422" t="str">
        <f>IF(C75="","",IF(CONSOLIDA!DD72="",0,CONSOLIDA!DD72))</f>
        <v/>
      </c>
      <c r="F75" s="422" t="str">
        <f>IF(C75="","",IF(CONSOLIDA!CS72="",0,CONSOLIDA!CS72))</f>
        <v/>
      </c>
      <c r="G75" s="422" t="str">
        <f>IF(C75="","",IF(CONSOLIDA!CT72="",0,CONSOLIDA!CT72))</f>
        <v/>
      </c>
      <c r="H75" s="422" t="str">
        <f>IF(C75="","",IF(CONSOLIDA!DE72="",0,CONSOLIDA!DE72))</f>
        <v/>
      </c>
      <c r="I75" s="422" t="str">
        <f>IF(C75="","",IF(CONSOLIDA!CW72="",0,CONSOLIDA!CW72))</f>
        <v/>
      </c>
      <c r="J75" s="422" t="str">
        <f>IF(C75="","",IF(CONSOLIDA!CX72="",0,CONSOLIDA!CX72))</f>
        <v/>
      </c>
      <c r="K75" s="486"/>
      <c r="L75" s="490" t="str">
        <f t="shared" si="6"/>
        <v/>
      </c>
      <c r="M75" s="490" t="str">
        <f t="shared" si="7"/>
        <v/>
      </c>
      <c r="O75" s="29"/>
      <c r="XFD75" s="392"/>
    </row>
    <row r="76" spans="1:15 16384:16384" ht="15" hidden="1">
      <c r="A76" s="243" t="str">
        <f t="shared" si="5"/>
        <v>OK</v>
      </c>
      <c r="B76" s="419" t="str">
        <f t="shared" si="4"/>
        <v/>
      </c>
      <c r="C76" s="420" t="str">
        <f>IF(CONSOLIDA!CN73="","",CONSOLIDA!CN73)</f>
        <v/>
      </c>
      <c r="D76" s="421" t="str">
        <f>IF(CONSOLIDA!CO73="","",CONSOLIDA!CO73)</f>
        <v/>
      </c>
      <c r="E76" s="422" t="str">
        <f>IF(C76="","",IF(CONSOLIDA!DD73="",0,CONSOLIDA!DD73))</f>
        <v/>
      </c>
      <c r="F76" s="422" t="str">
        <f>IF(C76="","",IF(CONSOLIDA!CS73="",0,CONSOLIDA!CS73))</f>
        <v/>
      </c>
      <c r="G76" s="422" t="str">
        <f>IF(C76="","",IF(CONSOLIDA!CT73="",0,CONSOLIDA!CT73))</f>
        <v/>
      </c>
      <c r="H76" s="422" t="str">
        <f>IF(C76="","",IF(CONSOLIDA!DE73="",0,CONSOLIDA!DE73))</f>
        <v/>
      </c>
      <c r="I76" s="422" t="str">
        <f>IF(C76="","",IF(CONSOLIDA!CW73="",0,CONSOLIDA!CW73))</f>
        <v/>
      </c>
      <c r="J76" s="422" t="str">
        <f>IF(C76="","",IF(CONSOLIDA!CX73="",0,CONSOLIDA!CX73))</f>
        <v/>
      </c>
      <c r="K76" s="486"/>
      <c r="L76" s="490" t="str">
        <f t="shared" si="6"/>
        <v/>
      </c>
      <c r="M76" s="490" t="str">
        <f t="shared" si="7"/>
        <v/>
      </c>
      <c r="O76" s="29"/>
      <c r="XFD76" s="392"/>
    </row>
    <row r="77" spans="1:15 16384:16384" ht="15" hidden="1">
      <c r="A77" s="243" t="str">
        <f t="shared" si="5"/>
        <v>OK</v>
      </c>
      <c r="B77" s="419" t="str">
        <f t="shared" si="4"/>
        <v/>
      </c>
      <c r="C77" s="420" t="str">
        <f>IF(CONSOLIDA!CN74="","",CONSOLIDA!CN74)</f>
        <v/>
      </c>
      <c r="D77" s="421" t="str">
        <f>IF(CONSOLIDA!CO74="","",CONSOLIDA!CO74)</f>
        <v/>
      </c>
      <c r="E77" s="422" t="str">
        <f>IF(C77="","",IF(CONSOLIDA!DD74="",0,CONSOLIDA!DD74))</f>
        <v/>
      </c>
      <c r="F77" s="422" t="str">
        <f>IF(C77="","",IF(CONSOLIDA!CS74="",0,CONSOLIDA!CS74))</f>
        <v/>
      </c>
      <c r="G77" s="422" t="str">
        <f>IF(C77="","",IF(CONSOLIDA!CT74="",0,CONSOLIDA!CT74))</f>
        <v/>
      </c>
      <c r="H77" s="422" t="str">
        <f>IF(C77="","",IF(CONSOLIDA!DE74="",0,CONSOLIDA!DE74))</f>
        <v/>
      </c>
      <c r="I77" s="422" t="str">
        <f>IF(C77="","",IF(CONSOLIDA!CW74="",0,CONSOLIDA!CW74))</f>
        <v/>
      </c>
      <c r="J77" s="422" t="str">
        <f>IF(C77="","",IF(CONSOLIDA!CX74="",0,CONSOLIDA!CX74))</f>
        <v/>
      </c>
      <c r="K77" s="486"/>
      <c r="L77" s="490" t="str">
        <f t="shared" si="6"/>
        <v/>
      </c>
      <c r="M77" s="490" t="str">
        <f t="shared" si="7"/>
        <v/>
      </c>
      <c r="O77" s="29"/>
      <c r="XFD77" s="392"/>
    </row>
    <row r="78" spans="1:15 16384:16384" ht="15" hidden="1">
      <c r="A78" s="243" t="str">
        <f t="shared" si="5"/>
        <v>OK</v>
      </c>
      <c r="B78" s="419" t="str">
        <f t="shared" si="4"/>
        <v/>
      </c>
      <c r="C78" s="420" t="str">
        <f>IF(CONSOLIDA!CN75="","",CONSOLIDA!CN75)</f>
        <v/>
      </c>
      <c r="D78" s="421" t="str">
        <f>IF(CONSOLIDA!CO75="","",CONSOLIDA!CO75)</f>
        <v/>
      </c>
      <c r="E78" s="422" t="str">
        <f>IF(C78="","",IF(CONSOLIDA!DD75="",0,CONSOLIDA!DD75))</f>
        <v/>
      </c>
      <c r="F78" s="422" t="str">
        <f>IF(C78="","",IF(CONSOLIDA!CS75="",0,CONSOLIDA!CS75))</f>
        <v/>
      </c>
      <c r="G78" s="422" t="str">
        <f>IF(C78="","",IF(CONSOLIDA!CT75="",0,CONSOLIDA!CT75))</f>
        <v/>
      </c>
      <c r="H78" s="422" t="str">
        <f>IF(C78="","",IF(CONSOLIDA!DE75="",0,CONSOLIDA!DE75))</f>
        <v/>
      </c>
      <c r="I78" s="422" t="str">
        <f>IF(C78="","",IF(CONSOLIDA!CW75="",0,CONSOLIDA!CW75))</f>
        <v/>
      </c>
      <c r="J78" s="422" t="str">
        <f>IF(C78="","",IF(CONSOLIDA!CX75="",0,CONSOLIDA!CX75))</f>
        <v/>
      </c>
      <c r="K78" s="486"/>
      <c r="L78" s="490" t="str">
        <f t="shared" si="6"/>
        <v/>
      </c>
      <c r="M78" s="490" t="str">
        <f t="shared" si="7"/>
        <v/>
      </c>
      <c r="O78" s="29"/>
      <c r="XFD78" s="392"/>
    </row>
    <row r="79" spans="1:15 16384:16384" ht="15" hidden="1">
      <c r="A79" s="243" t="str">
        <f t="shared" si="5"/>
        <v>OK</v>
      </c>
      <c r="B79" s="419" t="str">
        <f t="shared" si="4"/>
        <v/>
      </c>
      <c r="C79" s="420" t="str">
        <f>IF(CONSOLIDA!CN76="","",CONSOLIDA!CN76)</f>
        <v/>
      </c>
      <c r="D79" s="421" t="str">
        <f>IF(CONSOLIDA!CO76="","",CONSOLIDA!CO76)</f>
        <v/>
      </c>
      <c r="E79" s="422" t="str">
        <f>IF(C79="","",IF(CONSOLIDA!DD76="",0,CONSOLIDA!DD76))</f>
        <v/>
      </c>
      <c r="F79" s="422" t="str">
        <f>IF(C79="","",IF(CONSOLIDA!CS76="",0,CONSOLIDA!CS76))</f>
        <v/>
      </c>
      <c r="G79" s="422" t="str">
        <f>IF(C79="","",IF(CONSOLIDA!CT76="",0,CONSOLIDA!CT76))</f>
        <v/>
      </c>
      <c r="H79" s="422" t="str">
        <f>IF(C79="","",IF(CONSOLIDA!DE76="",0,CONSOLIDA!DE76))</f>
        <v/>
      </c>
      <c r="I79" s="422" t="str">
        <f>IF(C79="","",IF(CONSOLIDA!CW76="",0,CONSOLIDA!CW76))</f>
        <v/>
      </c>
      <c r="J79" s="422" t="str">
        <f>IF(C79="","",IF(CONSOLIDA!CX76="",0,CONSOLIDA!CX76))</f>
        <v/>
      </c>
      <c r="K79" s="486"/>
      <c r="L79" s="490" t="str">
        <f t="shared" si="6"/>
        <v/>
      </c>
      <c r="M79" s="490" t="str">
        <f t="shared" si="7"/>
        <v/>
      </c>
      <c r="O79" s="29"/>
      <c r="XFD79" s="392"/>
    </row>
    <row r="80" spans="1:15 16384:16384" ht="15" hidden="1">
      <c r="A80" s="243" t="str">
        <f t="shared" si="5"/>
        <v>OK</v>
      </c>
      <c r="B80" s="419" t="str">
        <f t="shared" si="4"/>
        <v/>
      </c>
      <c r="C80" s="420" t="str">
        <f>IF(CONSOLIDA!CN77="","",CONSOLIDA!CN77)</f>
        <v/>
      </c>
      <c r="D80" s="421" t="str">
        <f>IF(CONSOLIDA!CO77="","",CONSOLIDA!CO77)</f>
        <v/>
      </c>
      <c r="E80" s="422" t="str">
        <f>IF(C80="","",IF(CONSOLIDA!DD77="",0,CONSOLIDA!DD77))</f>
        <v/>
      </c>
      <c r="F80" s="422" t="str">
        <f>IF(C80="","",IF(CONSOLIDA!CS77="",0,CONSOLIDA!CS77))</f>
        <v/>
      </c>
      <c r="G80" s="422" t="str">
        <f>IF(C80="","",IF(CONSOLIDA!CT77="",0,CONSOLIDA!CT77))</f>
        <v/>
      </c>
      <c r="H80" s="422" t="str">
        <f>IF(C80="","",IF(CONSOLIDA!DE77="",0,CONSOLIDA!DE77))</f>
        <v/>
      </c>
      <c r="I80" s="422" t="str">
        <f>IF(C80="","",IF(CONSOLIDA!CW77="",0,CONSOLIDA!CW77))</f>
        <v/>
      </c>
      <c r="J80" s="422" t="str">
        <f>IF(C80="","",IF(CONSOLIDA!CX77="",0,CONSOLIDA!CX77))</f>
        <v/>
      </c>
      <c r="K80" s="486"/>
      <c r="L80" s="490" t="str">
        <f t="shared" si="6"/>
        <v/>
      </c>
      <c r="M80" s="490" t="str">
        <f t="shared" si="7"/>
        <v/>
      </c>
      <c r="O80" s="29"/>
      <c r="XFD80" s="392"/>
    </row>
    <row r="81" spans="1:15 16384:16384" ht="15" hidden="1">
      <c r="A81" s="243" t="str">
        <f t="shared" si="5"/>
        <v>OK</v>
      </c>
      <c r="B81" s="419" t="str">
        <f t="shared" si="4"/>
        <v/>
      </c>
      <c r="C81" s="420" t="str">
        <f>IF(CONSOLIDA!CN78="","",CONSOLIDA!CN78)</f>
        <v/>
      </c>
      <c r="D81" s="421" t="str">
        <f>IF(CONSOLIDA!CO78="","",CONSOLIDA!CO78)</f>
        <v/>
      </c>
      <c r="E81" s="422" t="str">
        <f>IF(C81="","",IF(CONSOLIDA!DD78="",0,CONSOLIDA!DD78))</f>
        <v/>
      </c>
      <c r="F81" s="422" t="str">
        <f>IF(C81="","",IF(CONSOLIDA!CS78="",0,CONSOLIDA!CS78))</f>
        <v/>
      </c>
      <c r="G81" s="422" t="str">
        <f>IF(C81="","",IF(CONSOLIDA!CT78="",0,CONSOLIDA!CT78))</f>
        <v/>
      </c>
      <c r="H81" s="422" t="str">
        <f>IF(C81="","",IF(CONSOLIDA!DE78="",0,CONSOLIDA!DE78))</f>
        <v/>
      </c>
      <c r="I81" s="422" t="str">
        <f>IF(C81="","",IF(CONSOLIDA!CW78="",0,CONSOLIDA!CW78))</f>
        <v/>
      </c>
      <c r="J81" s="422" t="str">
        <f>IF(C81="","",IF(CONSOLIDA!CX78="",0,CONSOLIDA!CX78))</f>
        <v/>
      </c>
      <c r="K81" s="486"/>
      <c r="L81" s="490" t="str">
        <f t="shared" si="6"/>
        <v/>
      </c>
      <c r="M81" s="490" t="str">
        <f t="shared" si="7"/>
        <v/>
      </c>
      <c r="O81" s="29"/>
      <c r="XFD81" s="392"/>
    </row>
    <row r="82" spans="1:15 16384:16384" ht="15" hidden="1">
      <c r="A82" s="243" t="str">
        <f t="shared" si="5"/>
        <v>OK</v>
      </c>
      <c r="B82" s="419" t="str">
        <f t="shared" si="4"/>
        <v/>
      </c>
      <c r="C82" s="420" t="str">
        <f>IF(CONSOLIDA!CN79="","",CONSOLIDA!CN79)</f>
        <v/>
      </c>
      <c r="D82" s="421" t="str">
        <f>IF(CONSOLIDA!CO79="","",CONSOLIDA!CO79)</f>
        <v/>
      </c>
      <c r="E82" s="422" t="str">
        <f>IF(C82="","",IF(CONSOLIDA!DD79="",0,CONSOLIDA!DD79))</f>
        <v/>
      </c>
      <c r="F82" s="422" t="str">
        <f>IF(C82="","",IF(CONSOLIDA!CS79="",0,CONSOLIDA!CS79))</f>
        <v/>
      </c>
      <c r="G82" s="422" t="str">
        <f>IF(C82="","",IF(CONSOLIDA!CT79="",0,CONSOLIDA!CT79))</f>
        <v/>
      </c>
      <c r="H82" s="422" t="str">
        <f>IF(C82="","",IF(CONSOLIDA!DE79="",0,CONSOLIDA!DE79))</f>
        <v/>
      </c>
      <c r="I82" s="422" t="str">
        <f>IF(C82="","",IF(CONSOLIDA!CW79="",0,CONSOLIDA!CW79))</f>
        <v/>
      </c>
      <c r="J82" s="422" t="str">
        <f>IF(C82="","",IF(CONSOLIDA!CX79="",0,CONSOLIDA!CX79))</f>
        <v/>
      </c>
      <c r="K82" s="486"/>
      <c r="L82" s="490" t="str">
        <f t="shared" si="6"/>
        <v/>
      </c>
      <c r="M82" s="490" t="str">
        <f t="shared" si="7"/>
        <v/>
      </c>
      <c r="O82" s="29"/>
      <c r="XFD82" s="392"/>
    </row>
    <row r="83" spans="1:15 16384:16384" ht="15" hidden="1">
      <c r="A83" s="243" t="str">
        <f t="shared" si="5"/>
        <v>OK</v>
      </c>
      <c r="B83" s="419" t="str">
        <f t="shared" si="4"/>
        <v/>
      </c>
      <c r="C83" s="420" t="str">
        <f>IF(CONSOLIDA!CN80="","",CONSOLIDA!CN80)</f>
        <v/>
      </c>
      <c r="D83" s="421" t="str">
        <f>IF(CONSOLIDA!CO80="","",CONSOLIDA!CO80)</f>
        <v/>
      </c>
      <c r="E83" s="422" t="str">
        <f>IF(C83="","",IF(CONSOLIDA!DD80="",0,CONSOLIDA!DD80))</f>
        <v/>
      </c>
      <c r="F83" s="422" t="str">
        <f>IF(C83="","",IF(CONSOLIDA!CS80="",0,CONSOLIDA!CS80))</f>
        <v/>
      </c>
      <c r="G83" s="422" t="str">
        <f>IF(C83="","",IF(CONSOLIDA!CT80="",0,CONSOLIDA!CT80))</f>
        <v/>
      </c>
      <c r="H83" s="422" t="str">
        <f>IF(C83="","",IF(CONSOLIDA!DE80="",0,CONSOLIDA!DE80))</f>
        <v/>
      </c>
      <c r="I83" s="422" t="str">
        <f>IF(C83="","",IF(CONSOLIDA!CW80="",0,CONSOLIDA!CW80))</f>
        <v/>
      </c>
      <c r="J83" s="422" t="str">
        <f>IF(C83="","",IF(CONSOLIDA!CX80="",0,CONSOLIDA!CX80))</f>
        <v/>
      </c>
      <c r="K83" s="486"/>
      <c r="L83" s="490" t="str">
        <f t="shared" si="6"/>
        <v/>
      </c>
      <c r="M83" s="490" t="str">
        <f t="shared" si="7"/>
        <v/>
      </c>
      <c r="O83" s="29"/>
      <c r="XFD83" s="392"/>
    </row>
    <row r="84" spans="1:15 16384:16384" ht="15" hidden="1">
      <c r="A84" s="243" t="str">
        <f t="shared" si="5"/>
        <v>OK</v>
      </c>
      <c r="B84" s="419" t="str">
        <f t="shared" si="4"/>
        <v/>
      </c>
      <c r="C84" s="420" t="str">
        <f>IF(CONSOLIDA!CN81="","",CONSOLIDA!CN81)</f>
        <v/>
      </c>
      <c r="D84" s="421" t="str">
        <f>IF(CONSOLIDA!CO81="","",CONSOLIDA!CO81)</f>
        <v/>
      </c>
      <c r="E84" s="422" t="str">
        <f>IF(C84="","",IF(CONSOLIDA!DD81="",0,CONSOLIDA!DD81))</f>
        <v/>
      </c>
      <c r="F84" s="422" t="str">
        <f>IF(C84="","",IF(CONSOLIDA!CS81="",0,CONSOLIDA!CS81))</f>
        <v/>
      </c>
      <c r="G84" s="422" t="str">
        <f>IF(C84="","",IF(CONSOLIDA!CT81="",0,CONSOLIDA!CT81))</f>
        <v/>
      </c>
      <c r="H84" s="422" t="str">
        <f>IF(C84="","",IF(CONSOLIDA!DE81="",0,CONSOLIDA!DE81))</f>
        <v/>
      </c>
      <c r="I84" s="422" t="str">
        <f>IF(C84="","",IF(CONSOLIDA!CW81="",0,CONSOLIDA!CW81))</f>
        <v/>
      </c>
      <c r="J84" s="422" t="str">
        <f>IF(C84="","",IF(CONSOLIDA!CX81="",0,CONSOLIDA!CX81))</f>
        <v/>
      </c>
      <c r="K84" s="486"/>
      <c r="L84" s="490" t="str">
        <f t="shared" si="6"/>
        <v/>
      </c>
      <c r="M84" s="490" t="str">
        <f t="shared" si="7"/>
        <v/>
      </c>
      <c r="O84" s="29"/>
      <c r="XFD84" s="392"/>
    </row>
    <row r="85" spans="1:15 16384:16384" ht="15" hidden="1">
      <c r="A85" s="243" t="str">
        <f t="shared" si="5"/>
        <v>OK</v>
      </c>
      <c r="B85" s="419" t="str">
        <f t="shared" si="4"/>
        <v/>
      </c>
      <c r="C85" s="420" t="str">
        <f>IF(CONSOLIDA!CN82="","",CONSOLIDA!CN82)</f>
        <v/>
      </c>
      <c r="D85" s="421" t="str">
        <f>IF(CONSOLIDA!CO82="","",CONSOLIDA!CO82)</f>
        <v/>
      </c>
      <c r="E85" s="422" t="str">
        <f>IF(C85="","",IF(CONSOLIDA!DD82="",0,CONSOLIDA!DD82))</f>
        <v/>
      </c>
      <c r="F85" s="422" t="str">
        <f>IF(C85="","",IF(CONSOLIDA!CS82="",0,CONSOLIDA!CS82))</f>
        <v/>
      </c>
      <c r="G85" s="422" t="str">
        <f>IF(C85="","",IF(CONSOLIDA!CT82="",0,CONSOLIDA!CT82))</f>
        <v/>
      </c>
      <c r="H85" s="422" t="str">
        <f>IF(C85="","",IF(CONSOLIDA!DE82="",0,CONSOLIDA!DE82))</f>
        <v/>
      </c>
      <c r="I85" s="422" t="str">
        <f>IF(C85="","",IF(CONSOLIDA!CW82="",0,CONSOLIDA!CW82))</f>
        <v/>
      </c>
      <c r="J85" s="422" t="str">
        <f>IF(C85="","",IF(CONSOLIDA!CX82="",0,CONSOLIDA!CX82))</f>
        <v/>
      </c>
      <c r="K85" s="486"/>
      <c r="L85" s="490" t="str">
        <f t="shared" si="6"/>
        <v/>
      </c>
      <c r="M85" s="490" t="str">
        <f t="shared" si="7"/>
        <v/>
      </c>
      <c r="O85" s="29"/>
      <c r="XFD85" s="392"/>
    </row>
    <row r="86" spans="1:15 16384:16384" ht="15" hidden="1">
      <c r="A86" s="243" t="str">
        <f t="shared" si="5"/>
        <v>OK</v>
      </c>
      <c r="B86" s="419" t="str">
        <f t="shared" si="4"/>
        <v/>
      </c>
      <c r="C86" s="420" t="str">
        <f>IF(CONSOLIDA!CN83="","",CONSOLIDA!CN83)</f>
        <v/>
      </c>
      <c r="D86" s="421" t="str">
        <f>IF(CONSOLIDA!CO83="","",CONSOLIDA!CO83)</f>
        <v/>
      </c>
      <c r="E86" s="422" t="str">
        <f>IF(C86="","",IF(CONSOLIDA!DD83="",0,CONSOLIDA!DD83))</f>
        <v/>
      </c>
      <c r="F86" s="422" t="str">
        <f>IF(C86="","",IF(CONSOLIDA!CS83="",0,CONSOLIDA!CS83))</f>
        <v/>
      </c>
      <c r="G86" s="422" t="str">
        <f>IF(C86="","",IF(CONSOLIDA!CT83="",0,CONSOLIDA!CT83))</f>
        <v/>
      </c>
      <c r="H86" s="422" t="str">
        <f>IF(C86="","",IF(CONSOLIDA!DE83="",0,CONSOLIDA!DE83))</f>
        <v/>
      </c>
      <c r="I86" s="422" t="str">
        <f>IF(C86="","",IF(CONSOLIDA!CW83="",0,CONSOLIDA!CW83))</f>
        <v/>
      </c>
      <c r="J86" s="422" t="str">
        <f>IF(C86="","",IF(CONSOLIDA!CX83="",0,CONSOLIDA!CX83))</f>
        <v/>
      </c>
      <c r="K86" s="486"/>
      <c r="L86" s="490" t="str">
        <f t="shared" si="6"/>
        <v/>
      </c>
      <c r="M86" s="490" t="str">
        <f t="shared" si="7"/>
        <v/>
      </c>
      <c r="O86" s="29"/>
      <c r="XFD86" s="392"/>
    </row>
    <row r="87" spans="1:15 16384:16384" ht="15" hidden="1">
      <c r="A87" s="243" t="str">
        <f t="shared" si="5"/>
        <v>OK</v>
      </c>
      <c r="B87" s="419" t="str">
        <f t="shared" si="4"/>
        <v/>
      </c>
      <c r="C87" s="420" t="str">
        <f>IF(CONSOLIDA!CN84="","",CONSOLIDA!CN84)</f>
        <v/>
      </c>
      <c r="D87" s="421" t="str">
        <f>IF(CONSOLIDA!CO84="","",CONSOLIDA!CO84)</f>
        <v/>
      </c>
      <c r="E87" s="422" t="str">
        <f>IF(C87="","",IF(CONSOLIDA!DD84="",0,CONSOLIDA!DD84))</f>
        <v/>
      </c>
      <c r="F87" s="422" t="str">
        <f>IF(C87="","",IF(CONSOLIDA!CS84="",0,CONSOLIDA!CS84))</f>
        <v/>
      </c>
      <c r="G87" s="422" t="str">
        <f>IF(C87="","",IF(CONSOLIDA!CT84="",0,CONSOLIDA!CT84))</f>
        <v/>
      </c>
      <c r="H87" s="422" t="str">
        <f>IF(C87="","",IF(CONSOLIDA!DE84="",0,CONSOLIDA!DE84))</f>
        <v/>
      </c>
      <c r="I87" s="422" t="str">
        <f>IF(C87="","",IF(CONSOLIDA!CW84="",0,CONSOLIDA!CW84))</f>
        <v/>
      </c>
      <c r="J87" s="422" t="str">
        <f>IF(C87="","",IF(CONSOLIDA!CX84="",0,CONSOLIDA!CX84))</f>
        <v/>
      </c>
      <c r="K87" s="486"/>
      <c r="L87" s="490" t="str">
        <f t="shared" si="6"/>
        <v/>
      </c>
      <c r="M87" s="490" t="str">
        <f t="shared" si="7"/>
        <v/>
      </c>
      <c r="O87" s="29"/>
      <c r="XFD87" s="392"/>
    </row>
    <row r="88" spans="1:15 16384:16384" ht="15" hidden="1">
      <c r="A88" s="243" t="str">
        <f t="shared" si="5"/>
        <v>OK</v>
      </c>
      <c r="B88" s="419" t="str">
        <f t="shared" si="4"/>
        <v/>
      </c>
      <c r="C88" s="420" t="str">
        <f>IF(CONSOLIDA!CN85="","",CONSOLIDA!CN85)</f>
        <v/>
      </c>
      <c r="D88" s="421" t="str">
        <f>IF(CONSOLIDA!CO85="","",CONSOLIDA!CO85)</f>
        <v/>
      </c>
      <c r="E88" s="422" t="str">
        <f>IF(C88="","",IF(CONSOLIDA!DD85="",0,CONSOLIDA!DD85))</f>
        <v/>
      </c>
      <c r="F88" s="422" t="str">
        <f>IF(C88="","",IF(CONSOLIDA!CS85="",0,CONSOLIDA!CS85))</f>
        <v/>
      </c>
      <c r="G88" s="422" t="str">
        <f>IF(C88="","",IF(CONSOLIDA!CT85="",0,CONSOLIDA!CT85))</f>
        <v/>
      </c>
      <c r="H88" s="422" t="str">
        <f>IF(C88="","",IF(CONSOLIDA!DE85="",0,CONSOLIDA!DE85))</f>
        <v/>
      </c>
      <c r="I88" s="422" t="str">
        <f>IF(C88="","",IF(CONSOLIDA!CW85="",0,CONSOLIDA!CW85))</f>
        <v/>
      </c>
      <c r="J88" s="422" t="str">
        <f>IF(C88="","",IF(CONSOLIDA!CX85="",0,CONSOLIDA!CX85))</f>
        <v/>
      </c>
      <c r="K88" s="486"/>
      <c r="L88" s="490" t="str">
        <f t="shared" si="6"/>
        <v/>
      </c>
      <c r="M88" s="490" t="str">
        <f t="shared" si="7"/>
        <v/>
      </c>
      <c r="O88" s="29"/>
      <c r="XFD88" s="392"/>
    </row>
    <row r="89" spans="1:15 16384:16384" ht="15" hidden="1">
      <c r="A89" s="243" t="str">
        <f t="shared" si="5"/>
        <v>OK</v>
      </c>
      <c r="B89" s="419" t="str">
        <f t="shared" si="4"/>
        <v/>
      </c>
      <c r="C89" s="420" t="str">
        <f>IF(CONSOLIDA!CN86="","",CONSOLIDA!CN86)</f>
        <v/>
      </c>
      <c r="D89" s="421" t="str">
        <f>IF(CONSOLIDA!CO86="","",CONSOLIDA!CO86)</f>
        <v/>
      </c>
      <c r="E89" s="422" t="str">
        <f>IF(C89="","",IF(CONSOLIDA!DD86="",0,CONSOLIDA!DD86))</f>
        <v/>
      </c>
      <c r="F89" s="422" t="str">
        <f>IF(C89="","",IF(CONSOLIDA!CS86="",0,CONSOLIDA!CS86))</f>
        <v/>
      </c>
      <c r="G89" s="422" t="str">
        <f>IF(C89="","",IF(CONSOLIDA!CT86="",0,CONSOLIDA!CT86))</f>
        <v/>
      </c>
      <c r="H89" s="422" t="str">
        <f>IF(C89="","",IF(CONSOLIDA!DE86="",0,CONSOLIDA!DE86))</f>
        <v/>
      </c>
      <c r="I89" s="422" t="str">
        <f>IF(C89="","",IF(CONSOLIDA!CW86="",0,CONSOLIDA!CW86))</f>
        <v/>
      </c>
      <c r="J89" s="422" t="str">
        <f>IF(C89="","",IF(CONSOLIDA!CX86="",0,CONSOLIDA!CX86))</f>
        <v/>
      </c>
      <c r="K89" s="486"/>
      <c r="L89" s="490" t="str">
        <f t="shared" si="6"/>
        <v/>
      </c>
      <c r="M89" s="490" t="str">
        <f t="shared" si="7"/>
        <v/>
      </c>
      <c r="O89" s="29"/>
      <c r="XFD89" s="392"/>
    </row>
    <row r="90" spans="1:15 16384:16384" ht="15" hidden="1">
      <c r="A90" s="243" t="str">
        <f t="shared" si="5"/>
        <v>OK</v>
      </c>
      <c r="B90" s="419" t="str">
        <f t="shared" si="4"/>
        <v/>
      </c>
      <c r="C90" s="420" t="str">
        <f>IF(CONSOLIDA!CN87="","",CONSOLIDA!CN87)</f>
        <v/>
      </c>
      <c r="D90" s="421" t="str">
        <f>IF(CONSOLIDA!CO87="","",CONSOLIDA!CO87)</f>
        <v/>
      </c>
      <c r="E90" s="422" t="str">
        <f>IF(C90="","",IF(CONSOLIDA!DD87="",0,CONSOLIDA!DD87))</f>
        <v/>
      </c>
      <c r="F90" s="422" t="str">
        <f>IF(C90="","",IF(CONSOLIDA!CS87="",0,CONSOLIDA!CS87))</f>
        <v/>
      </c>
      <c r="G90" s="422" t="str">
        <f>IF(C90="","",IF(CONSOLIDA!CT87="",0,CONSOLIDA!CT87))</f>
        <v/>
      </c>
      <c r="H90" s="422" t="str">
        <f>IF(C90="","",IF(CONSOLIDA!DE87="",0,CONSOLIDA!DE87))</f>
        <v/>
      </c>
      <c r="I90" s="422" t="str">
        <f>IF(C90="","",IF(CONSOLIDA!CW87="",0,CONSOLIDA!CW87))</f>
        <v/>
      </c>
      <c r="J90" s="422" t="str">
        <f>IF(C90="","",IF(CONSOLIDA!CX87="",0,CONSOLIDA!CX87))</f>
        <v/>
      </c>
      <c r="K90" s="486"/>
      <c r="L90" s="490" t="str">
        <f t="shared" si="6"/>
        <v/>
      </c>
      <c r="M90" s="490" t="str">
        <f t="shared" si="7"/>
        <v/>
      </c>
      <c r="O90" s="29"/>
      <c r="XFD90" s="392"/>
    </row>
    <row r="91" spans="1:15 16384:16384" ht="15" hidden="1">
      <c r="A91" s="243" t="str">
        <f t="shared" si="5"/>
        <v>OK</v>
      </c>
      <c r="B91" s="419" t="str">
        <f t="shared" si="4"/>
        <v/>
      </c>
      <c r="C91" s="420" t="str">
        <f>IF(CONSOLIDA!CN88="","",CONSOLIDA!CN88)</f>
        <v/>
      </c>
      <c r="D91" s="421" t="str">
        <f>IF(CONSOLIDA!CO88="","",CONSOLIDA!CO88)</f>
        <v/>
      </c>
      <c r="E91" s="422" t="str">
        <f>IF(C91="","",IF(CONSOLIDA!DD88="",0,CONSOLIDA!DD88))</f>
        <v/>
      </c>
      <c r="F91" s="422" t="str">
        <f>IF(C91="","",IF(CONSOLIDA!CS88="",0,CONSOLIDA!CS88))</f>
        <v/>
      </c>
      <c r="G91" s="422" t="str">
        <f>IF(C91="","",IF(CONSOLIDA!CT88="",0,CONSOLIDA!CT88))</f>
        <v/>
      </c>
      <c r="H91" s="422" t="str">
        <f>IF(C91="","",IF(CONSOLIDA!DE88="",0,CONSOLIDA!DE88))</f>
        <v/>
      </c>
      <c r="I91" s="422" t="str">
        <f>IF(C91="","",IF(CONSOLIDA!CW88="",0,CONSOLIDA!CW88))</f>
        <v/>
      </c>
      <c r="J91" s="422" t="str">
        <f>IF(C91="","",IF(CONSOLIDA!CX88="",0,CONSOLIDA!CX88))</f>
        <v/>
      </c>
      <c r="K91" s="486"/>
      <c r="L91" s="490" t="str">
        <f t="shared" si="6"/>
        <v/>
      </c>
      <c r="M91" s="490" t="str">
        <f t="shared" si="7"/>
        <v/>
      </c>
      <c r="O91" s="29"/>
      <c r="XFD91" s="392"/>
    </row>
    <row r="92" spans="1:15 16384:16384" ht="15" hidden="1">
      <c r="A92" s="243" t="str">
        <f t="shared" si="5"/>
        <v>OK</v>
      </c>
      <c r="B92" s="419" t="str">
        <f t="shared" si="4"/>
        <v/>
      </c>
      <c r="C92" s="420" t="str">
        <f>IF(CONSOLIDA!CN89="","",CONSOLIDA!CN89)</f>
        <v/>
      </c>
      <c r="D92" s="421" t="str">
        <f>IF(CONSOLIDA!CO89="","",CONSOLIDA!CO89)</f>
        <v/>
      </c>
      <c r="E92" s="422" t="str">
        <f>IF(C92="","",IF(CONSOLIDA!DD89="",0,CONSOLIDA!DD89))</f>
        <v/>
      </c>
      <c r="F92" s="422" t="str">
        <f>IF(C92="","",IF(CONSOLIDA!CS89="",0,CONSOLIDA!CS89))</f>
        <v/>
      </c>
      <c r="G92" s="422" t="str">
        <f>IF(C92="","",IF(CONSOLIDA!CT89="",0,CONSOLIDA!CT89))</f>
        <v/>
      </c>
      <c r="H92" s="422" t="str">
        <f>IF(C92="","",IF(CONSOLIDA!DE89="",0,CONSOLIDA!DE89))</f>
        <v/>
      </c>
      <c r="I92" s="422" t="str">
        <f>IF(C92="","",IF(CONSOLIDA!CW89="",0,CONSOLIDA!CW89))</f>
        <v/>
      </c>
      <c r="J92" s="422" t="str">
        <f>IF(C92="","",IF(CONSOLIDA!CX89="",0,CONSOLIDA!CX89))</f>
        <v/>
      </c>
      <c r="K92" s="486"/>
      <c r="L92" s="490" t="str">
        <f t="shared" si="6"/>
        <v/>
      </c>
      <c r="M92" s="490" t="str">
        <f t="shared" si="7"/>
        <v/>
      </c>
      <c r="O92" s="29"/>
      <c r="XFD92" s="392"/>
    </row>
    <row r="93" spans="1:15 16384:16384" ht="15" hidden="1">
      <c r="A93" s="243" t="str">
        <f t="shared" si="5"/>
        <v>OK</v>
      </c>
      <c r="B93" s="419" t="str">
        <f t="shared" si="4"/>
        <v/>
      </c>
      <c r="C93" s="420" t="str">
        <f>IF(CONSOLIDA!CN90="","",CONSOLIDA!CN90)</f>
        <v/>
      </c>
      <c r="D93" s="421" t="str">
        <f>IF(CONSOLIDA!CO90="","",CONSOLIDA!CO90)</f>
        <v/>
      </c>
      <c r="E93" s="422" t="str">
        <f>IF(C93="","",IF(CONSOLIDA!DD90="",0,CONSOLIDA!DD90))</f>
        <v/>
      </c>
      <c r="F93" s="422" t="str">
        <f>IF(C93="","",IF(CONSOLIDA!CS90="",0,CONSOLIDA!CS90))</f>
        <v/>
      </c>
      <c r="G93" s="422" t="str">
        <f>IF(C93="","",IF(CONSOLIDA!CT90="",0,CONSOLIDA!CT90))</f>
        <v/>
      </c>
      <c r="H93" s="422" t="str">
        <f>IF(C93="","",IF(CONSOLIDA!DE90="",0,CONSOLIDA!DE90))</f>
        <v/>
      </c>
      <c r="I93" s="422" t="str">
        <f>IF(C93="","",IF(CONSOLIDA!CW90="",0,CONSOLIDA!CW90))</f>
        <v/>
      </c>
      <c r="J93" s="422" t="str">
        <f>IF(C93="","",IF(CONSOLIDA!CX90="",0,CONSOLIDA!CX90))</f>
        <v/>
      </c>
      <c r="K93" s="486"/>
      <c r="L93" s="490" t="str">
        <f t="shared" si="6"/>
        <v/>
      </c>
      <c r="M93" s="490" t="str">
        <f t="shared" si="7"/>
        <v/>
      </c>
      <c r="O93" s="29"/>
      <c r="XFD93" s="392"/>
    </row>
    <row r="94" spans="1:15 16384:16384" ht="15" hidden="1">
      <c r="A94" s="243" t="str">
        <f t="shared" si="5"/>
        <v>OK</v>
      </c>
      <c r="B94" s="419" t="str">
        <f t="shared" si="4"/>
        <v/>
      </c>
      <c r="C94" s="420" t="str">
        <f>IF(CONSOLIDA!CN91="","",CONSOLIDA!CN91)</f>
        <v/>
      </c>
      <c r="D94" s="421" t="str">
        <f>IF(CONSOLIDA!CO91="","",CONSOLIDA!CO91)</f>
        <v/>
      </c>
      <c r="E94" s="422" t="str">
        <f>IF(C94="","",IF(CONSOLIDA!DD91="",0,CONSOLIDA!DD91))</f>
        <v/>
      </c>
      <c r="F94" s="422" t="str">
        <f>IF(C94="","",IF(CONSOLIDA!CS91="",0,CONSOLIDA!CS91))</f>
        <v/>
      </c>
      <c r="G94" s="422" t="str">
        <f>IF(C94="","",IF(CONSOLIDA!CT91="",0,CONSOLIDA!CT91))</f>
        <v/>
      </c>
      <c r="H94" s="422" t="str">
        <f>IF(C94="","",IF(CONSOLIDA!DE91="",0,CONSOLIDA!DE91))</f>
        <v/>
      </c>
      <c r="I94" s="422" t="str">
        <f>IF(C94="","",IF(CONSOLIDA!CW91="",0,CONSOLIDA!CW91))</f>
        <v/>
      </c>
      <c r="J94" s="422" t="str">
        <f>IF(C94="","",IF(CONSOLIDA!CX91="",0,CONSOLIDA!CX91))</f>
        <v/>
      </c>
      <c r="K94" s="486"/>
      <c r="L94" s="490" t="str">
        <f t="shared" si="6"/>
        <v/>
      </c>
      <c r="M94" s="490" t="str">
        <f t="shared" si="7"/>
        <v/>
      </c>
      <c r="O94" s="29"/>
      <c r="XFD94" s="392"/>
    </row>
    <row r="95" spans="1:15 16384:16384" ht="15.75" hidden="1" customHeight="1">
      <c r="A95" s="243" t="str">
        <f t="shared" si="5"/>
        <v>OK</v>
      </c>
      <c r="B95" s="419" t="str">
        <f t="shared" si="4"/>
        <v/>
      </c>
      <c r="C95" s="420" t="str">
        <f>IF(CONSOLIDA!CN92="","",CONSOLIDA!CN92)</f>
        <v/>
      </c>
      <c r="D95" s="421" t="str">
        <f>IF(CONSOLIDA!CO92="","",CONSOLIDA!CO92)</f>
        <v/>
      </c>
      <c r="E95" s="422" t="str">
        <f>IF(C95="","",IF(CONSOLIDA!DD92="",0,CONSOLIDA!DD92))</f>
        <v/>
      </c>
      <c r="F95" s="422" t="str">
        <f>IF(C95="","",IF(CONSOLIDA!CS92="",0,CONSOLIDA!CS92))</f>
        <v/>
      </c>
      <c r="G95" s="422" t="str">
        <f>IF(C95="","",IF(CONSOLIDA!CT92="",0,CONSOLIDA!CT92))</f>
        <v/>
      </c>
      <c r="H95" s="422" t="str">
        <f>IF(C95="","",IF(CONSOLIDA!DE92="",0,CONSOLIDA!DE92))</f>
        <v/>
      </c>
      <c r="I95" s="422" t="str">
        <f>IF(C95="","",IF(CONSOLIDA!CW92="",0,CONSOLIDA!CW92))</f>
        <v/>
      </c>
      <c r="J95" s="422" t="str">
        <f>IF(C95="","",IF(CONSOLIDA!CX92="",0,CONSOLIDA!CX92))</f>
        <v/>
      </c>
      <c r="K95" s="486"/>
      <c r="L95" s="490" t="str">
        <f t="shared" si="6"/>
        <v/>
      </c>
      <c r="M95" s="490" t="str">
        <f t="shared" si="7"/>
        <v/>
      </c>
      <c r="O95" s="29"/>
      <c r="XFD95" s="392"/>
    </row>
    <row r="96" spans="1:15 16384:16384" ht="15.75" hidden="1" customHeight="1">
      <c r="A96" s="243" t="str">
        <f t="shared" si="5"/>
        <v>OK</v>
      </c>
      <c r="B96" s="419" t="str">
        <f t="shared" si="4"/>
        <v/>
      </c>
      <c r="C96" s="420" t="str">
        <f>IF(CONSOLIDA!CN93="","",CONSOLIDA!CN93)</f>
        <v/>
      </c>
      <c r="D96" s="421" t="str">
        <f>IF(CONSOLIDA!CO93="","",CONSOLIDA!CO93)</f>
        <v/>
      </c>
      <c r="E96" s="422" t="str">
        <f>IF(C96="","",IF(CONSOLIDA!DD93="",0,CONSOLIDA!DD93))</f>
        <v/>
      </c>
      <c r="F96" s="422" t="str">
        <f>IF(C96="","",IF(CONSOLIDA!CS93="",0,CONSOLIDA!CS93))</f>
        <v/>
      </c>
      <c r="G96" s="422" t="str">
        <f>IF(C96="","",IF(CONSOLIDA!CT93="",0,CONSOLIDA!CT93))</f>
        <v/>
      </c>
      <c r="H96" s="422" t="str">
        <f>IF(C96="","",IF(CONSOLIDA!DE93="",0,CONSOLIDA!DE93))</f>
        <v/>
      </c>
      <c r="I96" s="422" t="str">
        <f>IF(C96="","",IF(CONSOLIDA!CW93="",0,CONSOLIDA!CW93))</f>
        <v/>
      </c>
      <c r="J96" s="422" t="str">
        <f>IF(C96="","",IF(CONSOLIDA!CX93="",0,CONSOLIDA!CX93))</f>
        <v/>
      </c>
      <c r="K96" s="486"/>
      <c r="L96" s="490" t="str">
        <f t="shared" si="6"/>
        <v/>
      </c>
      <c r="M96" s="490" t="str">
        <f t="shared" si="7"/>
        <v/>
      </c>
      <c r="O96" s="29"/>
      <c r="XFD96" s="392"/>
    </row>
    <row r="97" spans="1:15 16384:16384" ht="15.75" hidden="1" customHeight="1">
      <c r="A97" s="243" t="str">
        <f t="shared" si="5"/>
        <v>OK</v>
      </c>
      <c r="B97" s="419" t="str">
        <f t="shared" si="4"/>
        <v/>
      </c>
      <c r="C97" s="420" t="str">
        <f>IF(CONSOLIDA!CN94="","",CONSOLIDA!CN94)</f>
        <v/>
      </c>
      <c r="D97" s="421" t="str">
        <f>IF(CONSOLIDA!CO94="","",CONSOLIDA!CO94)</f>
        <v/>
      </c>
      <c r="E97" s="422" t="str">
        <f>IF(C97="","",IF(CONSOLIDA!DD94="",0,CONSOLIDA!DD94))</f>
        <v/>
      </c>
      <c r="F97" s="422" t="str">
        <f>IF(C97="","",IF(CONSOLIDA!CS94="",0,CONSOLIDA!CS94))</f>
        <v/>
      </c>
      <c r="G97" s="422" t="str">
        <f>IF(C97="","",IF(CONSOLIDA!CT94="",0,CONSOLIDA!CT94))</f>
        <v/>
      </c>
      <c r="H97" s="422" t="str">
        <f>IF(C97="","",IF(CONSOLIDA!DE94="",0,CONSOLIDA!DE94))</f>
        <v/>
      </c>
      <c r="I97" s="422" t="str">
        <f>IF(C97="","",IF(CONSOLIDA!CW94="",0,CONSOLIDA!CW94))</f>
        <v/>
      </c>
      <c r="J97" s="422" t="str">
        <f>IF(C97="","",IF(CONSOLIDA!CX94="",0,CONSOLIDA!CX94))</f>
        <v/>
      </c>
      <c r="K97" s="486"/>
      <c r="L97" s="490" t="str">
        <f t="shared" si="6"/>
        <v/>
      </c>
      <c r="M97" s="490" t="str">
        <f t="shared" si="7"/>
        <v/>
      </c>
      <c r="O97" s="29"/>
      <c r="XFD97" s="392"/>
    </row>
    <row r="98" spans="1:15 16384:16384" ht="15.75" hidden="1" customHeight="1">
      <c r="A98" s="243" t="str">
        <f t="shared" si="5"/>
        <v>OK</v>
      </c>
      <c r="B98" s="419" t="str">
        <f t="shared" si="4"/>
        <v/>
      </c>
      <c r="C98" s="420" t="str">
        <f>IF(CONSOLIDA!CN95="","",CONSOLIDA!CN95)</f>
        <v/>
      </c>
      <c r="D98" s="421" t="str">
        <f>IF(CONSOLIDA!CO95="","",CONSOLIDA!CO95)</f>
        <v/>
      </c>
      <c r="E98" s="422" t="str">
        <f>IF(C98="","",IF(CONSOLIDA!DD95="",0,CONSOLIDA!DD95))</f>
        <v/>
      </c>
      <c r="F98" s="422" t="str">
        <f>IF(C98="","",IF(CONSOLIDA!CS95="",0,CONSOLIDA!CS95))</f>
        <v/>
      </c>
      <c r="G98" s="422" t="str">
        <f>IF(C98="","",IF(CONSOLIDA!CT95="",0,CONSOLIDA!CT95))</f>
        <v/>
      </c>
      <c r="H98" s="422" t="str">
        <f>IF(C98="","",IF(CONSOLIDA!DE95="",0,CONSOLIDA!DE95))</f>
        <v/>
      </c>
      <c r="I98" s="422" t="str">
        <f>IF(C98="","",IF(CONSOLIDA!CW95="",0,CONSOLIDA!CW95))</f>
        <v/>
      </c>
      <c r="J98" s="422" t="str">
        <f>IF(C98="","",IF(CONSOLIDA!CX95="",0,CONSOLIDA!CX95))</f>
        <v/>
      </c>
      <c r="K98" s="486"/>
      <c r="L98" s="490" t="str">
        <f t="shared" si="6"/>
        <v/>
      </c>
      <c r="M98" s="490" t="str">
        <f t="shared" si="7"/>
        <v/>
      </c>
      <c r="O98" s="29"/>
      <c r="XFD98" s="392"/>
    </row>
    <row r="99" spans="1:15 16384:16384" ht="15.75" hidden="1" customHeight="1">
      <c r="A99" s="243" t="str">
        <f t="shared" si="5"/>
        <v>OK</v>
      </c>
      <c r="B99" s="419" t="str">
        <f t="shared" si="4"/>
        <v/>
      </c>
      <c r="C99" s="420" t="str">
        <f>IF(CONSOLIDA!CN96="","",CONSOLIDA!CN96)</f>
        <v/>
      </c>
      <c r="D99" s="421" t="str">
        <f>IF(CONSOLIDA!CO96="","",CONSOLIDA!CO96)</f>
        <v/>
      </c>
      <c r="E99" s="422" t="str">
        <f>IF(C99="","",IF(CONSOLIDA!DD96="",0,CONSOLIDA!DD96))</f>
        <v/>
      </c>
      <c r="F99" s="422" t="str">
        <f>IF(C99="","",IF(CONSOLIDA!CS96="",0,CONSOLIDA!CS96))</f>
        <v/>
      </c>
      <c r="G99" s="422" t="str">
        <f>IF(C99="","",IF(CONSOLIDA!CT96="",0,CONSOLIDA!CT96))</f>
        <v/>
      </c>
      <c r="H99" s="422" t="str">
        <f>IF(C99="","",IF(CONSOLIDA!DE96="",0,CONSOLIDA!DE96))</f>
        <v/>
      </c>
      <c r="I99" s="422" t="str">
        <f>IF(C99="","",IF(CONSOLIDA!CW96="",0,CONSOLIDA!CW96))</f>
        <v/>
      </c>
      <c r="J99" s="422" t="str">
        <f>IF(C99="","",IF(CONSOLIDA!CX96="",0,CONSOLIDA!CX96))</f>
        <v/>
      </c>
      <c r="K99" s="486"/>
      <c r="L99" s="490" t="str">
        <f t="shared" si="6"/>
        <v/>
      </c>
      <c r="M99" s="490" t="str">
        <f t="shared" si="7"/>
        <v/>
      </c>
      <c r="O99" s="29"/>
      <c r="XFD99" s="392"/>
    </row>
    <row r="100" spans="1:15 16384:16384" ht="15.75" hidden="1" customHeight="1">
      <c r="A100" s="243" t="str">
        <f t="shared" si="5"/>
        <v>OK</v>
      </c>
      <c r="B100" s="419" t="str">
        <f t="shared" si="4"/>
        <v/>
      </c>
      <c r="C100" s="420" t="str">
        <f>IF(CONSOLIDA!CN97="","",CONSOLIDA!CN97)</f>
        <v/>
      </c>
      <c r="D100" s="421" t="str">
        <f>IF(CONSOLIDA!CO97="","",CONSOLIDA!CO97)</f>
        <v/>
      </c>
      <c r="E100" s="422" t="str">
        <f>IF(C100="","",IF(CONSOLIDA!DD97="",0,CONSOLIDA!DD97))</f>
        <v/>
      </c>
      <c r="F100" s="422" t="str">
        <f>IF(C100="","",IF(CONSOLIDA!CS97="",0,CONSOLIDA!CS97))</f>
        <v/>
      </c>
      <c r="G100" s="422" t="str">
        <f>IF(C100="","",IF(CONSOLIDA!CT97="",0,CONSOLIDA!CT97))</f>
        <v/>
      </c>
      <c r="H100" s="422" t="str">
        <f>IF(C100="","",IF(CONSOLIDA!DE97="",0,CONSOLIDA!DE97))</f>
        <v/>
      </c>
      <c r="I100" s="422" t="str">
        <f>IF(C100="","",IF(CONSOLIDA!CW97="",0,CONSOLIDA!CW97))</f>
        <v/>
      </c>
      <c r="J100" s="422" t="str">
        <f>IF(C100="","",IF(CONSOLIDA!CX97="",0,CONSOLIDA!CX97))</f>
        <v/>
      </c>
      <c r="K100" s="486"/>
      <c r="L100" s="490" t="str">
        <f t="shared" si="6"/>
        <v/>
      </c>
      <c r="M100" s="490" t="str">
        <f t="shared" si="7"/>
        <v/>
      </c>
      <c r="O100" s="29"/>
      <c r="XFD100" s="392"/>
    </row>
    <row r="101" spans="1:15 16384:16384" ht="15.75" hidden="1" customHeight="1">
      <c r="A101" s="243" t="str">
        <f t="shared" si="5"/>
        <v>OK</v>
      </c>
      <c r="B101" s="419" t="str">
        <f t="shared" si="4"/>
        <v/>
      </c>
      <c r="C101" s="420" t="str">
        <f>IF(CONSOLIDA!CN98="","",CONSOLIDA!CN98)</f>
        <v/>
      </c>
      <c r="D101" s="421" t="str">
        <f>IF(CONSOLIDA!CO98="","",CONSOLIDA!CO98)</f>
        <v/>
      </c>
      <c r="E101" s="422" t="str">
        <f>IF(C101="","",IF(CONSOLIDA!DD98="",0,CONSOLIDA!DD98))</f>
        <v/>
      </c>
      <c r="F101" s="422" t="str">
        <f>IF(C101="","",IF(CONSOLIDA!CS98="",0,CONSOLIDA!CS98))</f>
        <v/>
      </c>
      <c r="G101" s="422" t="str">
        <f>IF(C101="","",IF(CONSOLIDA!CT98="",0,CONSOLIDA!CT98))</f>
        <v/>
      </c>
      <c r="H101" s="422" t="str">
        <f>IF(C101="","",IF(CONSOLIDA!DE98="",0,CONSOLIDA!DE98))</f>
        <v/>
      </c>
      <c r="I101" s="422" t="str">
        <f>IF(C101="","",IF(CONSOLIDA!CW98="",0,CONSOLIDA!CW98))</f>
        <v/>
      </c>
      <c r="J101" s="422" t="str">
        <f>IF(C101="","",IF(CONSOLIDA!CX98="",0,CONSOLIDA!CX98))</f>
        <v/>
      </c>
      <c r="K101" s="486"/>
      <c r="L101" s="490" t="str">
        <f t="shared" si="6"/>
        <v/>
      </c>
      <c r="M101" s="490" t="str">
        <f t="shared" si="7"/>
        <v/>
      </c>
      <c r="O101" s="29"/>
      <c r="XFD101" s="392"/>
    </row>
    <row r="102" spans="1:15 16384:16384" ht="15.75" hidden="1" customHeight="1">
      <c r="A102" s="243" t="str">
        <f t="shared" si="5"/>
        <v>OK</v>
      </c>
      <c r="B102" s="419" t="str">
        <f t="shared" si="4"/>
        <v/>
      </c>
      <c r="C102" s="420" t="str">
        <f>IF(CONSOLIDA!CN99="","",CONSOLIDA!CN99)</f>
        <v/>
      </c>
      <c r="D102" s="421" t="str">
        <f>IF(CONSOLIDA!CO99="","",CONSOLIDA!CO99)</f>
        <v/>
      </c>
      <c r="E102" s="422" t="str">
        <f>IF(C102="","",IF(CONSOLIDA!DD99="",0,CONSOLIDA!DD99))</f>
        <v/>
      </c>
      <c r="F102" s="422" t="str">
        <f>IF(C102="","",IF(CONSOLIDA!CS99="",0,CONSOLIDA!CS99))</f>
        <v/>
      </c>
      <c r="G102" s="422" t="str">
        <f>IF(C102="","",IF(CONSOLIDA!CT99="",0,CONSOLIDA!CT99))</f>
        <v/>
      </c>
      <c r="H102" s="422" t="str">
        <f>IF(C102="","",IF(CONSOLIDA!DE99="",0,CONSOLIDA!DE99))</f>
        <v/>
      </c>
      <c r="I102" s="422" t="str">
        <f>IF(C102="","",IF(CONSOLIDA!CW99="",0,CONSOLIDA!CW99))</f>
        <v/>
      </c>
      <c r="J102" s="422" t="str">
        <f>IF(C102="","",IF(CONSOLIDA!CX99="",0,CONSOLIDA!CX99))</f>
        <v/>
      </c>
      <c r="K102" s="486"/>
      <c r="L102" s="490" t="str">
        <f t="shared" si="6"/>
        <v/>
      </c>
      <c r="M102" s="490" t="str">
        <f t="shared" si="7"/>
        <v/>
      </c>
      <c r="O102" s="29"/>
      <c r="XFD102" s="392"/>
    </row>
    <row r="103" spans="1:15 16384:16384" ht="15.75" hidden="1" customHeight="1">
      <c r="A103" s="243" t="str">
        <f t="shared" si="5"/>
        <v>OK</v>
      </c>
      <c r="B103" s="419" t="str">
        <f t="shared" si="4"/>
        <v/>
      </c>
      <c r="C103" s="420" t="str">
        <f>IF(CONSOLIDA!CN100="","",CONSOLIDA!CN100)</f>
        <v/>
      </c>
      <c r="D103" s="421" t="str">
        <f>IF(CONSOLIDA!CO100="","",CONSOLIDA!CO100)</f>
        <v/>
      </c>
      <c r="E103" s="422" t="str">
        <f>IF(C103="","",IF(CONSOLIDA!DD100="",0,CONSOLIDA!DD100))</f>
        <v/>
      </c>
      <c r="F103" s="422" t="str">
        <f>IF(C103="","",IF(CONSOLIDA!CS100="",0,CONSOLIDA!CS100))</f>
        <v/>
      </c>
      <c r="G103" s="422" t="str">
        <f>IF(C103="","",IF(CONSOLIDA!CT100="",0,CONSOLIDA!CT100))</f>
        <v/>
      </c>
      <c r="H103" s="422" t="str">
        <f>IF(C103="","",IF(CONSOLIDA!DE100="",0,CONSOLIDA!DE100))</f>
        <v/>
      </c>
      <c r="I103" s="422" t="str">
        <f>IF(C103="","",IF(CONSOLIDA!CW100="",0,CONSOLIDA!CW100))</f>
        <v/>
      </c>
      <c r="J103" s="422" t="str">
        <f>IF(C103="","",IF(CONSOLIDA!CX100="",0,CONSOLIDA!CX100))</f>
        <v/>
      </c>
      <c r="K103" s="486"/>
      <c r="L103" s="490" t="str">
        <f t="shared" si="6"/>
        <v/>
      </c>
      <c r="M103" s="490" t="str">
        <f t="shared" si="7"/>
        <v/>
      </c>
      <c r="O103" s="29"/>
      <c r="XFD103" s="392"/>
    </row>
    <row r="104" spans="1:15 16384:16384" ht="15.75" hidden="1" customHeight="1">
      <c r="A104" s="243" t="str">
        <f t="shared" si="5"/>
        <v>OK</v>
      </c>
      <c r="B104" s="419" t="str">
        <f t="shared" si="4"/>
        <v/>
      </c>
      <c r="C104" s="420" t="str">
        <f>IF(CONSOLIDA!CN101="","",CONSOLIDA!CN101)</f>
        <v/>
      </c>
      <c r="D104" s="421" t="str">
        <f>IF(CONSOLIDA!CO101="","",CONSOLIDA!CO101)</f>
        <v/>
      </c>
      <c r="E104" s="422" t="str">
        <f>IF(C104="","",IF(CONSOLIDA!DD101="",0,CONSOLIDA!DD101))</f>
        <v/>
      </c>
      <c r="F104" s="422" t="str">
        <f>IF(C104="","",IF(CONSOLIDA!CS101="",0,CONSOLIDA!CS101))</f>
        <v/>
      </c>
      <c r="G104" s="422" t="str">
        <f>IF(C104="","",IF(CONSOLIDA!CT101="",0,CONSOLIDA!CT101))</f>
        <v/>
      </c>
      <c r="H104" s="422" t="str">
        <f>IF(C104="","",IF(CONSOLIDA!DE101="",0,CONSOLIDA!DE101))</f>
        <v/>
      </c>
      <c r="I104" s="422" t="str">
        <f>IF(C104="","",IF(CONSOLIDA!CW101="",0,CONSOLIDA!CW101))</f>
        <v/>
      </c>
      <c r="J104" s="422" t="str">
        <f>IF(C104="","",IF(CONSOLIDA!CX101="",0,CONSOLIDA!CX101))</f>
        <v/>
      </c>
      <c r="K104" s="486"/>
      <c r="L104" s="490" t="str">
        <f t="shared" si="6"/>
        <v/>
      </c>
      <c r="M104" s="490" t="str">
        <f t="shared" si="7"/>
        <v/>
      </c>
      <c r="O104" s="29"/>
      <c r="XFD104" s="392"/>
    </row>
    <row r="105" spans="1:15 16384:16384" ht="15.75" hidden="1" customHeight="1">
      <c r="A105" s="243" t="str">
        <f t="shared" si="5"/>
        <v>OK</v>
      </c>
      <c r="B105" s="419" t="str">
        <f t="shared" si="4"/>
        <v/>
      </c>
      <c r="C105" s="420" t="str">
        <f>IF(CONSOLIDA!CN102="","",CONSOLIDA!CN102)</f>
        <v/>
      </c>
      <c r="D105" s="421" t="str">
        <f>IF(CONSOLIDA!CO102="","",CONSOLIDA!CO102)</f>
        <v/>
      </c>
      <c r="E105" s="422" t="str">
        <f>IF(C105="","",IF(CONSOLIDA!DD102="",0,CONSOLIDA!DD102))</f>
        <v/>
      </c>
      <c r="F105" s="422" t="str">
        <f>IF(C105="","",IF(CONSOLIDA!CS102="",0,CONSOLIDA!CS102))</f>
        <v/>
      </c>
      <c r="G105" s="422" t="str">
        <f>IF(C105="","",IF(CONSOLIDA!CT102="",0,CONSOLIDA!CT102))</f>
        <v/>
      </c>
      <c r="H105" s="422" t="str">
        <f>IF(C105="","",IF(CONSOLIDA!DE102="",0,CONSOLIDA!DE102))</f>
        <v/>
      </c>
      <c r="I105" s="422" t="str">
        <f>IF(C105="","",IF(CONSOLIDA!CW102="",0,CONSOLIDA!CW102))</f>
        <v/>
      </c>
      <c r="J105" s="422" t="str">
        <f>IF(C105="","",IF(CONSOLIDA!CX102="",0,CONSOLIDA!CX102))</f>
        <v/>
      </c>
      <c r="K105" s="486"/>
      <c r="L105" s="490" t="str">
        <f t="shared" si="6"/>
        <v/>
      </c>
      <c r="M105" s="490" t="str">
        <f t="shared" si="7"/>
        <v/>
      </c>
      <c r="O105" s="29"/>
      <c r="XFD105" s="392"/>
    </row>
    <row r="106" spans="1:15 16384:16384" ht="15.75" hidden="1" customHeight="1">
      <c r="A106" s="243" t="str">
        <f t="shared" si="5"/>
        <v>OK</v>
      </c>
      <c r="B106" s="419" t="str">
        <f t="shared" si="4"/>
        <v/>
      </c>
      <c r="C106" s="420" t="str">
        <f>IF(CONSOLIDA!CN103="","",CONSOLIDA!CN103)</f>
        <v/>
      </c>
      <c r="D106" s="421" t="str">
        <f>IF(CONSOLIDA!CO103="","",CONSOLIDA!CO103)</f>
        <v/>
      </c>
      <c r="E106" s="422" t="str">
        <f>IF(C106="","",IF(CONSOLIDA!DD103="",0,CONSOLIDA!DD103))</f>
        <v/>
      </c>
      <c r="F106" s="422" t="str">
        <f>IF(C106="","",IF(CONSOLIDA!CS103="",0,CONSOLIDA!CS103))</f>
        <v/>
      </c>
      <c r="G106" s="422" t="str">
        <f>IF(C106="","",IF(CONSOLIDA!CT103="",0,CONSOLIDA!CT103))</f>
        <v/>
      </c>
      <c r="H106" s="422" t="str">
        <f>IF(C106="","",IF(CONSOLIDA!DE103="",0,CONSOLIDA!DE103))</f>
        <v/>
      </c>
      <c r="I106" s="422" t="str">
        <f>IF(C106="","",IF(CONSOLIDA!CW103="",0,CONSOLIDA!CW103))</f>
        <v/>
      </c>
      <c r="J106" s="422" t="str">
        <f>IF(C106="","",IF(CONSOLIDA!CX103="",0,CONSOLIDA!CX103))</f>
        <v/>
      </c>
      <c r="K106" s="486"/>
      <c r="L106" s="490" t="str">
        <f t="shared" si="6"/>
        <v/>
      </c>
      <c r="M106" s="490" t="str">
        <f t="shared" si="7"/>
        <v/>
      </c>
      <c r="O106" s="29"/>
      <c r="XFD106" s="392"/>
    </row>
    <row r="107" spans="1:15 16384:16384" ht="15.75" hidden="1" customHeight="1">
      <c r="A107" s="243" t="str">
        <f t="shared" si="5"/>
        <v>OK</v>
      </c>
      <c r="B107" s="419" t="str">
        <f t="shared" si="4"/>
        <v/>
      </c>
      <c r="C107" s="420" t="str">
        <f>IF(CONSOLIDA!CN104="","",CONSOLIDA!CN104)</f>
        <v/>
      </c>
      <c r="D107" s="421" t="str">
        <f>IF(CONSOLIDA!CO104="","",CONSOLIDA!CO104)</f>
        <v/>
      </c>
      <c r="E107" s="422" t="str">
        <f>IF(C107="","",IF(CONSOLIDA!DD104="",0,CONSOLIDA!DD104))</f>
        <v/>
      </c>
      <c r="F107" s="422" t="str">
        <f>IF(C107="","",IF(CONSOLIDA!CS104="",0,CONSOLIDA!CS104))</f>
        <v/>
      </c>
      <c r="G107" s="422" t="str">
        <f>IF(C107="","",IF(CONSOLIDA!CT104="",0,CONSOLIDA!CT104))</f>
        <v/>
      </c>
      <c r="H107" s="422" t="str">
        <f>IF(C107="","",IF(CONSOLIDA!DE104="",0,CONSOLIDA!DE104))</f>
        <v/>
      </c>
      <c r="I107" s="422" t="str">
        <f>IF(C107="","",IF(CONSOLIDA!CW104="",0,CONSOLIDA!CW104))</f>
        <v/>
      </c>
      <c r="J107" s="422" t="str">
        <f>IF(C107="","",IF(CONSOLIDA!CX104="",0,CONSOLIDA!CX104))</f>
        <v/>
      </c>
      <c r="K107" s="486"/>
      <c r="L107" s="490" t="str">
        <f t="shared" si="6"/>
        <v/>
      </c>
      <c r="M107" s="490" t="str">
        <f t="shared" si="7"/>
        <v/>
      </c>
      <c r="O107" s="29"/>
      <c r="XFD107" s="392"/>
    </row>
    <row r="108" spans="1:15 16384:16384" ht="15.75" hidden="1" customHeight="1">
      <c r="A108" s="243" t="str">
        <f t="shared" si="5"/>
        <v>OK</v>
      </c>
      <c r="B108" s="419" t="str">
        <f t="shared" si="4"/>
        <v/>
      </c>
      <c r="C108" s="420" t="str">
        <f>IF(CONSOLIDA!CN105="","",CONSOLIDA!CN105)</f>
        <v/>
      </c>
      <c r="D108" s="421" t="str">
        <f>IF(CONSOLIDA!CO105="","",CONSOLIDA!CO105)</f>
        <v/>
      </c>
      <c r="E108" s="422" t="str">
        <f>IF(C108="","",IF(CONSOLIDA!DD105="",0,CONSOLIDA!DD105))</f>
        <v/>
      </c>
      <c r="F108" s="422" t="str">
        <f>IF(C108="","",IF(CONSOLIDA!CS105="",0,CONSOLIDA!CS105))</f>
        <v/>
      </c>
      <c r="G108" s="422" t="str">
        <f>IF(C108="","",IF(CONSOLIDA!CT105="",0,CONSOLIDA!CT105))</f>
        <v/>
      </c>
      <c r="H108" s="422" t="str">
        <f>IF(C108="","",IF(CONSOLIDA!DE105="",0,CONSOLIDA!DE105))</f>
        <v/>
      </c>
      <c r="I108" s="422" t="str">
        <f>IF(C108="","",IF(CONSOLIDA!CW105="",0,CONSOLIDA!CW105))</f>
        <v/>
      </c>
      <c r="J108" s="422" t="str">
        <f>IF(C108="","",IF(CONSOLIDA!CX105="",0,CONSOLIDA!CX105))</f>
        <v/>
      </c>
      <c r="K108" s="486"/>
      <c r="L108" s="490" t="str">
        <f t="shared" si="6"/>
        <v/>
      </c>
      <c r="M108" s="490" t="str">
        <f t="shared" si="7"/>
        <v/>
      </c>
      <c r="O108" s="29"/>
      <c r="XFD108" s="392"/>
    </row>
    <row r="109" spans="1:15 16384:16384" ht="15.75" hidden="1" customHeight="1">
      <c r="A109" s="243" t="str">
        <f t="shared" si="5"/>
        <v>OK</v>
      </c>
      <c r="B109" s="419" t="str">
        <f t="shared" si="4"/>
        <v/>
      </c>
      <c r="C109" s="420" t="str">
        <f>IF(CONSOLIDA!CN106="","",CONSOLIDA!CN106)</f>
        <v/>
      </c>
      <c r="D109" s="421" t="str">
        <f>IF(CONSOLIDA!CO106="","",CONSOLIDA!CO106)</f>
        <v/>
      </c>
      <c r="E109" s="422" t="str">
        <f>IF(C109="","",IF(CONSOLIDA!DD106="",0,CONSOLIDA!DD106))</f>
        <v/>
      </c>
      <c r="F109" s="422" t="str">
        <f>IF(C109="","",IF(CONSOLIDA!CS106="",0,CONSOLIDA!CS106))</f>
        <v/>
      </c>
      <c r="G109" s="422" t="str">
        <f>IF(C109="","",IF(CONSOLIDA!CT106="",0,CONSOLIDA!CT106))</f>
        <v/>
      </c>
      <c r="H109" s="422" t="str">
        <f>IF(C109="","",IF(CONSOLIDA!DE106="",0,CONSOLIDA!DE106))</f>
        <v/>
      </c>
      <c r="I109" s="422" t="str">
        <f>IF(C109="","",IF(CONSOLIDA!CW106="",0,CONSOLIDA!CW106))</f>
        <v/>
      </c>
      <c r="J109" s="422" t="str">
        <f>IF(C109="","",IF(CONSOLIDA!CX106="",0,CONSOLIDA!CX106))</f>
        <v/>
      </c>
      <c r="K109" s="486"/>
      <c r="L109" s="490" t="str">
        <f t="shared" si="6"/>
        <v/>
      </c>
      <c r="M109" s="490" t="str">
        <f t="shared" si="7"/>
        <v/>
      </c>
      <c r="O109" s="29"/>
      <c r="XFD109" s="392"/>
    </row>
    <row r="110" spans="1:15 16384:16384" ht="15.75" hidden="1" customHeight="1">
      <c r="A110" s="243" t="str">
        <f t="shared" si="5"/>
        <v>OK</v>
      </c>
      <c r="B110" s="419" t="str">
        <f t="shared" si="4"/>
        <v/>
      </c>
      <c r="C110" s="420" t="str">
        <f>IF(CONSOLIDA!CN107="","",CONSOLIDA!CN107)</f>
        <v/>
      </c>
      <c r="D110" s="421" t="str">
        <f>IF(CONSOLIDA!CO107="","",CONSOLIDA!CO107)</f>
        <v/>
      </c>
      <c r="E110" s="422" t="str">
        <f>IF(C110="","",IF(CONSOLIDA!DD107="",0,CONSOLIDA!DD107))</f>
        <v/>
      </c>
      <c r="F110" s="422" t="str">
        <f>IF(C110="","",IF(CONSOLIDA!CS107="",0,CONSOLIDA!CS107))</f>
        <v/>
      </c>
      <c r="G110" s="422" t="str">
        <f>IF(C110="","",IF(CONSOLIDA!CT107="",0,CONSOLIDA!CT107))</f>
        <v/>
      </c>
      <c r="H110" s="422" t="str">
        <f>IF(C110="","",IF(CONSOLIDA!DE107="",0,CONSOLIDA!DE107))</f>
        <v/>
      </c>
      <c r="I110" s="422" t="str">
        <f>IF(C110="","",IF(CONSOLIDA!CW107="",0,CONSOLIDA!CW107))</f>
        <v/>
      </c>
      <c r="J110" s="422" t="str">
        <f>IF(C110="","",IF(CONSOLIDA!CX107="",0,CONSOLIDA!CX107))</f>
        <v/>
      </c>
      <c r="K110" s="486"/>
      <c r="L110" s="490" t="str">
        <f>IF(C110="","",(E110-F110)-G110)</f>
        <v/>
      </c>
      <c r="M110" s="490" t="str">
        <f t="shared" si="7"/>
        <v/>
      </c>
      <c r="O110" s="29"/>
      <c r="XFD110" s="392"/>
    </row>
    <row r="111" spans="1:15 16384:16384" ht="15.75" hidden="1" customHeight="1">
      <c r="A111" s="243" t="str">
        <f t="shared" si="5"/>
        <v>OK</v>
      </c>
      <c r="B111" s="419" t="str">
        <f t="shared" si="4"/>
        <v/>
      </c>
      <c r="C111" s="420" t="str">
        <f>IF(CONSOLIDA!CN108="","",CONSOLIDA!CN108)</f>
        <v/>
      </c>
      <c r="D111" s="421" t="str">
        <f>IF(CONSOLIDA!CO108="","",CONSOLIDA!CO108)</f>
        <v/>
      </c>
      <c r="E111" s="422" t="str">
        <f>IF(C111="","",IF(CONSOLIDA!DD108="",0,CONSOLIDA!DD108))</f>
        <v/>
      </c>
      <c r="F111" s="422" t="str">
        <f>IF(C111="","",IF(CONSOLIDA!CS108="",0,CONSOLIDA!CS108))</f>
        <v/>
      </c>
      <c r="G111" s="422" t="str">
        <f>IF(C111="","",IF(CONSOLIDA!CT108="",0,CONSOLIDA!CT108))</f>
        <v/>
      </c>
      <c r="H111" s="422" t="str">
        <f>IF(C111="","",IF(CONSOLIDA!DE108="",0,CONSOLIDA!DE108))</f>
        <v/>
      </c>
      <c r="I111" s="422" t="str">
        <f>IF(C111="","",IF(CONSOLIDA!CW108="",0,CONSOLIDA!CW108))</f>
        <v/>
      </c>
      <c r="J111" s="422" t="str">
        <f>IF(C111="","",IF(CONSOLIDA!CX108="",0,CONSOLIDA!CX108))</f>
        <v/>
      </c>
      <c r="K111" s="486"/>
      <c r="L111" s="490" t="str">
        <f t="shared" ref="L111:L174" si="8">IF(C111="","",(E111-F111)-G111)</f>
        <v/>
      </c>
      <c r="M111" s="490" t="str">
        <f t="shared" si="7"/>
        <v/>
      </c>
      <c r="O111" s="29"/>
      <c r="XFD111" s="392"/>
    </row>
    <row r="112" spans="1:15 16384:16384" ht="15.75" hidden="1" customHeight="1">
      <c r="A112" s="243" t="str">
        <f t="shared" si="5"/>
        <v>OK</v>
      </c>
      <c r="B112" s="419" t="str">
        <f t="shared" si="4"/>
        <v/>
      </c>
      <c r="C112" s="420" t="str">
        <f>IF(CONSOLIDA!CN109="","",CONSOLIDA!CN109)</f>
        <v/>
      </c>
      <c r="D112" s="421" t="str">
        <f>IF(CONSOLIDA!CO109="","",CONSOLIDA!CO109)</f>
        <v/>
      </c>
      <c r="E112" s="422" t="str">
        <f>IF(C112="","",IF(CONSOLIDA!DD109="",0,CONSOLIDA!DD109))</f>
        <v/>
      </c>
      <c r="F112" s="422" t="str">
        <f>IF(C112="","",IF(CONSOLIDA!CS109="",0,CONSOLIDA!CS109))</f>
        <v/>
      </c>
      <c r="G112" s="422" t="str">
        <f>IF(C112="","",IF(CONSOLIDA!CT109="",0,CONSOLIDA!CT109))</f>
        <v/>
      </c>
      <c r="H112" s="422" t="str">
        <f>IF(C112="","",IF(CONSOLIDA!DE109="",0,CONSOLIDA!DE109))</f>
        <v/>
      </c>
      <c r="I112" s="422" t="str">
        <f>IF(C112="","",IF(CONSOLIDA!CW109="",0,CONSOLIDA!CW109))</f>
        <v/>
      </c>
      <c r="J112" s="422" t="str">
        <f>IF(C112="","",IF(CONSOLIDA!CX109="",0,CONSOLIDA!CX109))</f>
        <v/>
      </c>
      <c r="K112" s="486"/>
      <c r="L112" s="490" t="str">
        <f t="shared" si="8"/>
        <v/>
      </c>
      <c r="M112" s="490" t="str">
        <f t="shared" si="7"/>
        <v/>
      </c>
      <c r="O112" s="29"/>
      <c r="XFD112" s="392"/>
    </row>
    <row r="113" spans="1:15 16384:16384" ht="15.75" hidden="1" customHeight="1">
      <c r="A113" s="243" t="str">
        <f t="shared" si="5"/>
        <v>OK</v>
      </c>
      <c r="B113" s="419" t="str">
        <f t="shared" si="4"/>
        <v/>
      </c>
      <c r="C113" s="420" t="str">
        <f>IF(CONSOLIDA!CN110="","",CONSOLIDA!CN110)</f>
        <v/>
      </c>
      <c r="D113" s="421" t="str">
        <f>IF(CONSOLIDA!CO110="","",CONSOLIDA!CO110)</f>
        <v/>
      </c>
      <c r="E113" s="422" t="str">
        <f>IF(C113="","",IF(CONSOLIDA!DD110="",0,CONSOLIDA!DD110))</f>
        <v/>
      </c>
      <c r="F113" s="422" t="str">
        <f>IF(C113="","",IF(CONSOLIDA!CS110="",0,CONSOLIDA!CS110))</f>
        <v/>
      </c>
      <c r="G113" s="422" t="str">
        <f>IF(C113="","",IF(CONSOLIDA!CT110="",0,CONSOLIDA!CT110))</f>
        <v/>
      </c>
      <c r="H113" s="422" t="str">
        <f>IF(C113="","",IF(CONSOLIDA!DE110="",0,CONSOLIDA!DE110))</f>
        <v/>
      </c>
      <c r="I113" s="422" t="str">
        <f>IF(C113="","",IF(CONSOLIDA!CW110="",0,CONSOLIDA!CW110))</f>
        <v/>
      </c>
      <c r="J113" s="422" t="str">
        <f>IF(C113="","",IF(CONSOLIDA!CX110="",0,CONSOLIDA!CX110))</f>
        <v/>
      </c>
      <c r="K113" s="486"/>
      <c r="L113" s="490" t="str">
        <f t="shared" si="8"/>
        <v/>
      </c>
      <c r="M113" s="490" t="str">
        <f t="shared" si="7"/>
        <v/>
      </c>
      <c r="O113" s="29"/>
      <c r="XFD113" s="392"/>
    </row>
    <row r="114" spans="1:15 16384:16384" ht="15.75" hidden="1" customHeight="1">
      <c r="A114" s="243" t="str">
        <f t="shared" si="5"/>
        <v>OK</v>
      </c>
      <c r="B114" s="419" t="str">
        <f t="shared" si="4"/>
        <v/>
      </c>
      <c r="C114" s="420" t="str">
        <f>IF(CONSOLIDA!CN111="","",CONSOLIDA!CN111)</f>
        <v/>
      </c>
      <c r="D114" s="421" t="str">
        <f>IF(CONSOLIDA!CO111="","",CONSOLIDA!CO111)</f>
        <v/>
      </c>
      <c r="E114" s="422" t="str">
        <f>IF(C114="","",IF(CONSOLIDA!DD111="",0,CONSOLIDA!DD111))</f>
        <v/>
      </c>
      <c r="F114" s="422" t="str">
        <f>IF(C114="","",IF(CONSOLIDA!CS111="",0,CONSOLIDA!CS111))</f>
        <v/>
      </c>
      <c r="G114" s="422" t="str">
        <f>IF(C114="","",IF(CONSOLIDA!CT111="",0,CONSOLIDA!CT111))</f>
        <v/>
      </c>
      <c r="H114" s="422" t="str">
        <f>IF(C114="","",IF(CONSOLIDA!DE111="",0,CONSOLIDA!DE111))</f>
        <v/>
      </c>
      <c r="I114" s="422" t="str">
        <f>IF(C114="","",IF(CONSOLIDA!CW111="",0,CONSOLIDA!CW111))</f>
        <v/>
      </c>
      <c r="J114" s="422" t="str">
        <f>IF(C114="","",IF(CONSOLIDA!CX111="",0,CONSOLIDA!CX111))</f>
        <v/>
      </c>
      <c r="K114" s="486"/>
      <c r="L114" s="490" t="str">
        <f t="shared" si="8"/>
        <v/>
      </c>
      <c r="M114" s="490" t="str">
        <f t="shared" si="7"/>
        <v/>
      </c>
      <c r="O114" s="29"/>
      <c r="XFD114" s="392"/>
    </row>
    <row r="115" spans="1:15 16384:16384" ht="15.75" hidden="1" customHeight="1">
      <c r="A115" s="243" t="str">
        <f t="shared" si="5"/>
        <v>OK</v>
      </c>
      <c r="B115" s="419" t="str">
        <f t="shared" si="4"/>
        <v/>
      </c>
      <c r="C115" s="420" t="str">
        <f>IF(CONSOLIDA!CN112="","",CONSOLIDA!CN112)</f>
        <v/>
      </c>
      <c r="D115" s="421" t="str">
        <f>IF(CONSOLIDA!CO112="","",CONSOLIDA!CO112)</f>
        <v/>
      </c>
      <c r="E115" s="422" t="str">
        <f>IF(C115="","",IF(CONSOLIDA!DD112="",0,CONSOLIDA!DD112))</f>
        <v/>
      </c>
      <c r="F115" s="422" t="str">
        <f>IF(C115="","",IF(CONSOLIDA!CS112="",0,CONSOLIDA!CS112))</f>
        <v/>
      </c>
      <c r="G115" s="422" t="str">
        <f>IF(C115="","",IF(CONSOLIDA!CT112="",0,CONSOLIDA!CT112))</f>
        <v/>
      </c>
      <c r="H115" s="422" t="str">
        <f>IF(C115="","",IF(CONSOLIDA!DE112="",0,CONSOLIDA!DE112))</f>
        <v/>
      </c>
      <c r="I115" s="422" t="str">
        <f>IF(C115="","",IF(CONSOLIDA!CW112="",0,CONSOLIDA!CW112))</f>
        <v/>
      </c>
      <c r="J115" s="422" t="str">
        <f>IF(C115="","",IF(CONSOLIDA!CX112="",0,CONSOLIDA!CX112))</f>
        <v/>
      </c>
      <c r="K115" s="486"/>
      <c r="L115" s="490" t="str">
        <f t="shared" si="8"/>
        <v/>
      </c>
      <c r="M115" s="490" t="str">
        <f t="shared" si="7"/>
        <v/>
      </c>
      <c r="O115" s="29"/>
      <c r="XFD115" s="392"/>
    </row>
    <row r="116" spans="1:15 16384:16384" ht="15.75" hidden="1" customHeight="1">
      <c r="A116" s="243" t="str">
        <f t="shared" si="5"/>
        <v>OK</v>
      </c>
      <c r="B116" s="419" t="str">
        <f t="shared" si="4"/>
        <v/>
      </c>
      <c r="C116" s="420" t="str">
        <f>IF(CONSOLIDA!CN113="","",CONSOLIDA!CN113)</f>
        <v/>
      </c>
      <c r="D116" s="421" t="str">
        <f>IF(CONSOLIDA!CO113="","",CONSOLIDA!CO113)</f>
        <v/>
      </c>
      <c r="E116" s="422" t="str">
        <f>IF(C116="","",IF(CONSOLIDA!DD113="",0,CONSOLIDA!DD113))</f>
        <v/>
      </c>
      <c r="F116" s="422" t="str">
        <f>IF(C116="","",IF(CONSOLIDA!CS113="",0,CONSOLIDA!CS113))</f>
        <v/>
      </c>
      <c r="G116" s="422" t="str">
        <f>IF(C116="","",IF(CONSOLIDA!CT113="",0,CONSOLIDA!CT113))</f>
        <v/>
      </c>
      <c r="H116" s="422" t="str">
        <f>IF(C116="","",IF(CONSOLIDA!DE113="",0,CONSOLIDA!DE113))</f>
        <v/>
      </c>
      <c r="I116" s="422" t="str">
        <f>IF(C116="","",IF(CONSOLIDA!CW113="",0,CONSOLIDA!CW113))</f>
        <v/>
      </c>
      <c r="J116" s="422" t="str">
        <f>IF(C116="","",IF(CONSOLIDA!CX113="",0,CONSOLIDA!CX113))</f>
        <v/>
      </c>
      <c r="K116" s="486"/>
      <c r="L116" s="490" t="str">
        <f t="shared" si="8"/>
        <v/>
      </c>
      <c r="M116" s="490" t="str">
        <f t="shared" si="7"/>
        <v/>
      </c>
      <c r="O116" s="29"/>
      <c r="XFD116" s="392"/>
    </row>
    <row r="117" spans="1:15 16384:16384" ht="15.75" hidden="1" customHeight="1">
      <c r="A117" s="243" t="str">
        <f t="shared" si="5"/>
        <v>OK</v>
      </c>
      <c r="B117" s="419" t="str">
        <f t="shared" si="4"/>
        <v/>
      </c>
      <c r="C117" s="420" t="str">
        <f>IF(CONSOLIDA!CN114="","",CONSOLIDA!CN114)</f>
        <v/>
      </c>
      <c r="D117" s="421" t="str">
        <f>IF(CONSOLIDA!CO114="","",CONSOLIDA!CO114)</f>
        <v/>
      </c>
      <c r="E117" s="422" t="str">
        <f>IF(C117="","",IF(CONSOLIDA!DD114="",0,CONSOLIDA!DD114))</f>
        <v/>
      </c>
      <c r="F117" s="422" t="str">
        <f>IF(C117="","",IF(CONSOLIDA!CS114="",0,CONSOLIDA!CS114))</f>
        <v/>
      </c>
      <c r="G117" s="422" t="str">
        <f>IF(C117="","",IF(CONSOLIDA!CT114="",0,CONSOLIDA!CT114))</f>
        <v/>
      </c>
      <c r="H117" s="422" t="str">
        <f>IF(C117="","",IF(CONSOLIDA!DE114="",0,CONSOLIDA!DE114))</f>
        <v/>
      </c>
      <c r="I117" s="422" t="str">
        <f>IF(C117="","",IF(CONSOLIDA!CW114="",0,CONSOLIDA!CW114))</f>
        <v/>
      </c>
      <c r="J117" s="422" t="str">
        <f>IF(C117="","",IF(CONSOLIDA!CX114="",0,CONSOLIDA!CX114))</f>
        <v/>
      </c>
      <c r="K117" s="486"/>
      <c r="L117" s="490" t="str">
        <f t="shared" si="8"/>
        <v/>
      </c>
      <c r="M117" s="490" t="str">
        <f t="shared" si="7"/>
        <v/>
      </c>
      <c r="O117" s="29"/>
      <c r="XFD117" s="392"/>
    </row>
    <row r="118" spans="1:15 16384:16384" ht="15.75" hidden="1" customHeight="1">
      <c r="A118" s="243" t="str">
        <f t="shared" si="5"/>
        <v>OK</v>
      </c>
      <c r="B118" s="419" t="str">
        <f t="shared" si="4"/>
        <v/>
      </c>
      <c r="C118" s="420" t="str">
        <f>IF(CONSOLIDA!CN115="","",CONSOLIDA!CN115)</f>
        <v/>
      </c>
      <c r="D118" s="421" t="str">
        <f>IF(CONSOLIDA!CO115="","",CONSOLIDA!CO115)</f>
        <v/>
      </c>
      <c r="E118" s="422" t="str">
        <f>IF(C118="","",IF(CONSOLIDA!DD115="",0,CONSOLIDA!DD115))</f>
        <v/>
      </c>
      <c r="F118" s="422" t="str">
        <f>IF(C118="","",IF(CONSOLIDA!CS115="",0,CONSOLIDA!CS115))</f>
        <v/>
      </c>
      <c r="G118" s="422" t="str">
        <f>IF(C118="","",IF(CONSOLIDA!CT115="",0,CONSOLIDA!CT115))</f>
        <v/>
      </c>
      <c r="H118" s="422" t="str">
        <f>IF(C118="","",IF(CONSOLIDA!DE115="",0,CONSOLIDA!DE115))</f>
        <v/>
      </c>
      <c r="I118" s="422" t="str">
        <f>IF(C118="","",IF(CONSOLIDA!CW115="",0,CONSOLIDA!CW115))</f>
        <v/>
      </c>
      <c r="J118" s="422" t="str">
        <f>IF(C118="","",IF(CONSOLIDA!CX115="",0,CONSOLIDA!CX115))</f>
        <v/>
      </c>
      <c r="K118" s="486"/>
      <c r="L118" s="490" t="str">
        <f t="shared" si="8"/>
        <v/>
      </c>
      <c r="M118" s="490" t="str">
        <f t="shared" si="7"/>
        <v/>
      </c>
      <c r="O118" s="29"/>
      <c r="XFD118" s="392"/>
    </row>
    <row r="119" spans="1:15 16384:16384" ht="15.75" hidden="1" customHeight="1">
      <c r="A119" s="243" t="str">
        <f t="shared" si="5"/>
        <v>OK</v>
      </c>
      <c r="B119" s="419" t="str">
        <f t="shared" si="4"/>
        <v/>
      </c>
      <c r="C119" s="420" t="str">
        <f>IF(CONSOLIDA!CN116="","",CONSOLIDA!CN116)</f>
        <v/>
      </c>
      <c r="D119" s="421" t="str">
        <f>IF(CONSOLIDA!CO116="","",CONSOLIDA!CO116)</f>
        <v/>
      </c>
      <c r="E119" s="422" t="str">
        <f>IF(C119="","",IF(CONSOLIDA!DD116="",0,CONSOLIDA!DD116))</f>
        <v/>
      </c>
      <c r="F119" s="422" t="str">
        <f>IF(C119="","",IF(CONSOLIDA!CS116="",0,CONSOLIDA!CS116))</f>
        <v/>
      </c>
      <c r="G119" s="422" t="str">
        <f>IF(C119="","",IF(CONSOLIDA!CT116="",0,CONSOLIDA!CT116))</f>
        <v/>
      </c>
      <c r="H119" s="422" t="str">
        <f>IF(C119="","",IF(CONSOLIDA!DE116="",0,CONSOLIDA!DE116))</f>
        <v/>
      </c>
      <c r="I119" s="422" t="str">
        <f>IF(C119="","",IF(CONSOLIDA!CW116="",0,CONSOLIDA!CW116))</f>
        <v/>
      </c>
      <c r="J119" s="422" t="str">
        <f>IF(C119="","",IF(CONSOLIDA!CX116="",0,CONSOLIDA!CX116))</f>
        <v/>
      </c>
      <c r="K119" s="486"/>
      <c r="L119" s="490" t="str">
        <f t="shared" si="8"/>
        <v/>
      </c>
      <c r="M119" s="490" t="str">
        <f t="shared" si="7"/>
        <v/>
      </c>
      <c r="O119" s="29"/>
      <c r="XFD119" s="392"/>
    </row>
    <row r="120" spans="1:15 16384:16384" ht="15.75" hidden="1" customHeight="1">
      <c r="A120" s="243" t="str">
        <f t="shared" si="5"/>
        <v>OK</v>
      </c>
      <c r="B120" s="419" t="str">
        <f t="shared" si="4"/>
        <v/>
      </c>
      <c r="C120" s="420" t="str">
        <f>IF(CONSOLIDA!CN117="","",CONSOLIDA!CN117)</f>
        <v/>
      </c>
      <c r="D120" s="421" t="str">
        <f>IF(CONSOLIDA!CO117="","",CONSOLIDA!CO117)</f>
        <v/>
      </c>
      <c r="E120" s="422" t="str">
        <f>IF(C120="","",IF(CONSOLIDA!DD117="",0,CONSOLIDA!DD117))</f>
        <v/>
      </c>
      <c r="F120" s="422" t="str">
        <f>IF(C120="","",IF(CONSOLIDA!CS117="",0,CONSOLIDA!CS117))</f>
        <v/>
      </c>
      <c r="G120" s="422" t="str">
        <f>IF(C120="","",IF(CONSOLIDA!CT117="",0,CONSOLIDA!CT117))</f>
        <v/>
      </c>
      <c r="H120" s="422" t="str">
        <f>IF(C120="","",IF(CONSOLIDA!DE117="",0,CONSOLIDA!DE117))</f>
        <v/>
      </c>
      <c r="I120" s="422" t="str">
        <f>IF(C120="","",IF(CONSOLIDA!CW117="",0,CONSOLIDA!CW117))</f>
        <v/>
      </c>
      <c r="J120" s="422" t="str">
        <f>IF(C120="","",IF(CONSOLIDA!CX117="",0,CONSOLIDA!CX117))</f>
        <v/>
      </c>
      <c r="K120" s="486"/>
      <c r="L120" s="490" t="str">
        <f t="shared" si="8"/>
        <v/>
      </c>
      <c r="M120" s="490" t="str">
        <f t="shared" si="7"/>
        <v/>
      </c>
      <c r="O120" s="29"/>
      <c r="XFD120" s="392"/>
    </row>
    <row r="121" spans="1:15 16384:16384" ht="15.75" hidden="1" customHeight="1">
      <c r="A121" s="243" t="str">
        <f t="shared" si="5"/>
        <v>OK</v>
      </c>
      <c r="B121" s="419" t="str">
        <f t="shared" si="4"/>
        <v/>
      </c>
      <c r="C121" s="420" t="str">
        <f>IF(CONSOLIDA!CN118="","",CONSOLIDA!CN118)</f>
        <v/>
      </c>
      <c r="D121" s="421" t="str">
        <f>IF(CONSOLIDA!CO118="","",CONSOLIDA!CO118)</f>
        <v/>
      </c>
      <c r="E121" s="422" t="str">
        <f>IF(C121="","",IF(CONSOLIDA!DD118="",0,CONSOLIDA!DD118))</f>
        <v/>
      </c>
      <c r="F121" s="422" t="str">
        <f>IF(C121="","",IF(CONSOLIDA!CS118="",0,CONSOLIDA!CS118))</f>
        <v/>
      </c>
      <c r="G121" s="422" t="str">
        <f>IF(C121="","",IF(CONSOLIDA!CT118="",0,CONSOLIDA!CT118))</f>
        <v/>
      </c>
      <c r="H121" s="422" t="str">
        <f>IF(C121="","",IF(CONSOLIDA!DE118="",0,CONSOLIDA!DE118))</f>
        <v/>
      </c>
      <c r="I121" s="422" t="str">
        <f>IF(C121="","",IF(CONSOLIDA!CW118="",0,CONSOLIDA!CW118))</f>
        <v/>
      </c>
      <c r="J121" s="422" t="str">
        <f>IF(C121="","",IF(CONSOLIDA!CX118="",0,CONSOLIDA!CX118))</f>
        <v/>
      </c>
      <c r="K121" s="486"/>
      <c r="L121" s="490" t="str">
        <f t="shared" si="8"/>
        <v/>
      </c>
      <c r="M121" s="490" t="str">
        <f t="shared" si="7"/>
        <v/>
      </c>
      <c r="O121" s="29"/>
      <c r="XFD121" s="392"/>
    </row>
    <row r="122" spans="1:15 16384:16384" ht="15.75" hidden="1" customHeight="1">
      <c r="A122" s="243" t="str">
        <f t="shared" si="5"/>
        <v>OK</v>
      </c>
      <c r="B122" s="419" t="str">
        <f t="shared" si="4"/>
        <v/>
      </c>
      <c r="C122" s="420" t="str">
        <f>IF(CONSOLIDA!CN119="","",CONSOLIDA!CN119)</f>
        <v/>
      </c>
      <c r="D122" s="421" t="str">
        <f>IF(CONSOLIDA!CO119="","",CONSOLIDA!CO119)</f>
        <v/>
      </c>
      <c r="E122" s="422" t="str">
        <f>IF(C122="","",IF(CONSOLIDA!DD119="",0,CONSOLIDA!DD119))</f>
        <v/>
      </c>
      <c r="F122" s="422" t="str">
        <f>IF(C122="","",IF(CONSOLIDA!CS119="",0,CONSOLIDA!CS119))</f>
        <v/>
      </c>
      <c r="G122" s="422" t="str">
        <f>IF(C122="","",IF(CONSOLIDA!CT119="",0,CONSOLIDA!CT119))</f>
        <v/>
      </c>
      <c r="H122" s="422" t="str">
        <f>IF(C122="","",IF(CONSOLIDA!DE119="",0,CONSOLIDA!DE119))</f>
        <v/>
      </c>
      <c r="I122" s="422" t="str">
        <f>IF(C122="","",IF(CONSOLIDA!CW119="",0,CONSOLIDA!CW119))</f>
        <v/>
      </c>
      <c r="J122" s="422" t="str">
        <f>IF(C122="","",IF(CONSOLIDA!CX119="",0,CONSOLIDA!CX119))</f>
        <v/>
      </c>
      <c r="K122" s="486"/>
      <c r="L122" s="490" t="str">
        <f t="shared" si="8"/>
        <v/>
      </c>
      <c r="M122" s="490" t="str">
        <f t="shared" si="7"/>
        <v/>
      </c>
      <c r="O122" s="29"/>
      <c r="XFD122" s="392"/>
    </row>
    <row r="123" spans="1:15 16384:16384" ht="15.75" hidden="1" customHeight="1">
      <c r="A123" s="243" t="str">
        <f t="shared" si="5"/>
        <v>OK</v>
      </c>
      <c r="B123" s="419" t="str">
        <f t="shared" si="4"/>
        <v/>
      </c>
      <c r="C123" s="420" t="str">
        <f>IF(CONSOLIDA!CN120="","",CONSOLIDA!CN120)</f>
        <v/>
      </c>
      <c r="D123" s="421" t="str">
        <f>IF(CONSOLIDA!CO120="","",CONSOLIDA!CO120)</f>
        <v/>
      </c>
      <c r="E123" s="422" t="str">
        <f>IF(C123="","",IF(CONSOLIDA!DD120="",0,CONSOLIDA!DD120))</f>
        <v/>
      </c>
      <c r="F123" s="422" t="str">
        <f>IF(C123="","",IF(CONSOLIDA!CS120="",0,CONSOLIDA!CS120))</f>
        <v/>
      </c>
      <c r="G123" s="422" t="str">
        <f>IF(C123="","",IF(CONSOLIDA!CT120="",0,CONSOLIDA!CT120))</f>
        <v/>
      </c>
      <c r="H123" s="422" t="str">
        <f>IF(C123="","",IF(CONSOLIDA!DE120="",0,CONSOLIDA!DE120))</f>
        <v/>
      </c>
      <c r="I123" s="422" t="str">
        <f>IF(C123="","",IF(CONSOLIDA!CW120="",0,CONSOLIDA!CW120))</f>
        <v/>
      </c>
      <c r="J123" s="422" t="str">
        <f>IF(C123="","",IF(CONSOLIDA!CX120="",0,CONSOLIDA!CX120))</f>
        <v/>
      </c>
      <c r="K123" s="486"/>
      <c r="L123" s="490" t="str">
        <f t="shared" si="8"/>
        <v/>
      </c>
      <c r="M123" s="490" t="str">
        <f t="shared" si="7"/>
        <v/>
      </c>
      <c r="O123" s="29"/>
      <c r="XFD123" s="392"/>
    </row>
    <row r="124" spans="1:15 16384:16384" ht="15.75" hidden="1" customHeight="1">
      <c r="A124" s="243" t="str">
        <f t="shared" si="5"/>
        <v>OK</v>
      </c>
      <c r="B124" s="419" t="str">
        <f t="shared" si="4"/>
        <v/>
      </c>
      <c r="C124" s="420" t="str">
        <f>IF(CONSOLIDA!CN121="","",CONSOLIDA!CN121)</f>
        <v/>
      </c>
      <c r="D124" s="421" t="str">
        <f>IF(CONSOLIDA!CO121="","",CONSOLIDA!CO121)</f>
        <v/>
      </c>
      <c r="E124" s="422" t="str">
        <f>IF(C124="","",IF(CONSOLIDA!DD121="",0,CONSOLIDA!DD121))</f>
        <v/>
      </c>
      <c r="F124" s="422" t="str">
        <f>IF(C124="","",IF(CONSOLIDA!CS121="",0,CONSOLIDA!CS121))</f>
        <v/>
      </c>
      <c r="G124" s="422" t="str">
        <f>IF(C124="","",IF(CONSOLIDA!CT121="",0,CONSOLIDA!CT121))</f>
        <v/>
      </c>
      <c r="H124" s="422" t="str">
        <f>IF(C124="","",IF(CONSOLIDA!DE121="",0,CONSOLIDA!DE121))</f>
        <v/>
      </c>
      <c r="I124" s="422" t="str">
        <f>IF(C124="","",IF(CONSOLIDA!CW121="",0,CONSOLIDA!CW121))</f>
        <v/>
      </c>
      <c r="J124" s="422" t="str">
        <f>IF(C124="","",IF(CONSOLIDA!CX121="",0,CONSOLIDA!CX121))</f>
        <v/>
      </c>
      <c r="K124" s="486"/>
      <c r="L124" s="490" t="str">
        <f t="shared" si="8"/>
        <v/>
      </c>
      <c r="M124" s="490" t="str">
        <f t="shared" si="7"/>
        <v/>
      </c>
      <c r="O124" s="29"/>
      <c r="XFD124" s="392"/>
    </row>
    <row r="125" spans="1:15 16384:16384" ht="15.75" hidden="1" customHeight="1">
      <c r="A125" s="243" t="str">
        <f t="shared" si="5"/>
        <v>OK</v>
      </c>
      <c r="B125" s="419" t="str">
        <f t="shared" si="4"/>
        <v/>
      </c>
      <c r="C125" s="420" t="str">
        <f>IF(CONSOLIDA!CN122="","",CONSOLIDA!CN122)</f>
        <v/>
      </c>
      <c r="D125" s="421" t="str">
        <f>IF(CONSOLIDA!CO122="","",CONSOLIDA!CO122)</f>
        <v/>
      </c>
      <c r="E125" s="422" t="str">
        <f>IF(C125="","",IF(CONSOLIDA!DD122="",0,CONSOLIDA!DD122))</f>
        <v/>
      </c>
      <c r="F125" s="422" t="str">
        <f>IF(C125="","",IF(CONSOLIDA!CS122="",0,CONSOLIDA!CS122))</f>
        <v/>
      </c>
      <c r="G125" s="422" t="str">
        <f>IF(C125="","",IF(CONSOLIDA!CT122="",0,CONSOLIDA!CT122))</f>
        <v/>
      </c>
      <c r="H125" s="422" t="str">
        <f>IF(C125="","",IF(CONSOLIDA!DE122="",0,CONSOLIDA!DE122))</f>
        <v/>
      </c>
      <c r="I125" s="422" t="str">
        <f>IF(C125="","",IF(CONSOLIDA!CW122="",0,CONSOLIDA!CW122))</f>
        <v/>
      </c>
      <c r="J125" s="422" t="str">
        <f>IF(C125="","",IF(CONSOLIDA!CX122="",0,CONSOLIDA!CX122))</f>
        <v/>
      </c>
      <c r="K125" s="486"/>
      <c r="L125" s="490" t="str">
        <f t="shared" si="8"/>
        <v/>
      </c>
      <c r="M125" s="490" t="str">
        <f t="shared" si="7"/>
        <v/>
      </c>
      <c r="O125" s="29"/>
      <c r="XFD125" s="392"/>
    </row>
    <row r="126" spans="1:15 16384:16384" ht="15.75" hidden="1" customHeight="1">
      <c r="A126" s="243" t="str">
        <f t="shared" si="5"/>
        <v>OK</v>
      </c>
      <c r="B126" s="419" t="str">
        <f t="shared" si="4"/>
        <v/>
      </c>
      <c r="C126" s="420" t="str">
        <f>IF(CONSOLIDA!CN123="","",CONSOLIDA!CN123)</f>
        <v/>
      </c>
      <c r="D126" s="421" t="str">
        <f>IF(CONSOLIDA!CO123="","",CONSOLIDA!CO123)</f>
        <v/>
      </c>
      <c r="E126" s="422" t="str">
        <f>IF(C126="","",IF(CONSOLIDA!DD123="",0,CONSOLIDA!DD123))</f>
        <v/>
      </c>
      <c r="F126" s="422" t="str">
        <f>IF(C126="","",IF(CONSOLIDA!CS123="",0,CONSOLIDA!CS123))</f>
        <v/>
      </c>
      <c r="G126" s="422" t="str">
        <f>IF(C126="","",IF(CONSOLIDA!CT123="",0,CONSOLIDA!CT123))</f>
        <v/>
      </c>
      <c r="H126" s="422" t="str">
        <f>IF(C126="","",IF(CONSOLIDA!DE123="",0,CONSOLIDA!DE123))</f>
        <v/>
      </c>
      <c r="I126" s="422" t="str">
        <f>IF(C126="","",IF(CONSOLIDA!CW123="",0,CONSOLIDA!CW123))</f>
        <v/>
      </c>
      <c r="J126" s="422" t="str">
        <f>IF(C126="","",IF(CONSOLIDA!CX123="",0,CONSOLIDA!CX123))</f>
        <v/>
      </c>
      <c r="K126" s="486"/>
      <c r="L126" s="490" t="str">
        <f t="shared" si="8"/>
        <v/>
      </c>
      <c r="M126" s="490" t="str">
        <f t="shared" si="7"/>
        <v/>
      </c>
      <c r="O126" s="29"/>
      <c r="XFD126" s="392"/>
    </row>
    <row r="127" spans="1:15 16384:16384" ht="15.75" hidden="1" customHeight="1">
      <c r="A127" s="243" t="str">
        <f t="shared" si="5"/>
        <v>OK</v>
      </c>
      <c r="B127" s="419" t="str">
        <f t="shared" si="4"/>
        <v/>
      </c>
      <c r="C127" s="420" t="str">
        <f>IF(CONSOLIDA!CN124="","",CONSOLIDA!CN124)</f>
        <v/>
      </c>
      <c r="D127" s="421" t="str">
        <f>IF(CONSOLIDA!CO124="","",CONSOLIDA!CO124)</f>
        <v/>
      </c>
      <c r="E127" s="422" t="str">
        <f>IF(C127="","",IF(CONSOLIDA!DD124="",0,CONSOLIDA!DD124))</f>
        <v/>
      </c>
      <c r="F127" s="422" t="str">
        <f>IF(C127="","",IF(CONSOLIDA!CS124="",0,CONSOLIDA!CS124))</f>
        <v/>
      </c>
      <c r="G127" s="422" t="str">
        <f>IF(C127="","",IF(CONSOLIDA!CT124="",0,CONSOLIDA!CT124))</f>
        <v/>
      </c>
      <c r="H127" s="422" t="str">
        <f>IF(C127="","",IF(CONSOLIDA!DE124="",0,CONSOLIDA!DE124))</f>
        <v/>
      </c>
      <c r="I127" s="422" t="str">
        <f>IF(C127="","",IF(CONSOLIDA!CW124="",0,CONSOLIDA!CW124))</f>
        <v/>
      </c>
      <c r="J127" s="422" t="str">
        <f>IF(C127="","",IF(CONSOLIDA!CX124="",0,CONSOLIDA!CX124))</f>
        <v/>
      </c>
      <c r="K127" s="486"/>
      <c r="L127" s="490" t="str">
        <f t="shared" si="8"/>
        <v/>
      </c>
      <c r="M127" s="490" t="str">
        <f t="shared" si="7"/>
        <v/>
      </c>
      <c r="O127" s="29"/>
      <c r="XFD127" s="392"/>
    </row>
    <row r="128" spans="1:15 16384:16384" ht="15.75" hidden="1" customHeight="1">
      <c r="A128" s="243" t="str">
        <f t="shared" si="5"/>
        <v>OK</v>
      </c>
      <c r="B128" s="419" t="str">
        <f t="shared" si="4"/>
        <v/>
      </c>
      <c r="C128" s="420" t="str">
        <f>IF(CONSOLIDA!CN125="","",CONSOLIDA!CN125)</f>
        <v/>
      </c>
      <c r="D128" s="421" t="str">
        <f>IF(CONSOLIDA!CO125="","",CONSOLIDA!CO125)</f>
        <v/>
      </c>
      <c r="E128" s="422" t="str">
        <f>IF(C128="","",IF(CONSOLIDA!DD125="",0,CONSOLIDA!DD125))</f>
        <v/>
      </c>
      <c r="F128" s="422" t="str">
        <f>IF(C128="","",IF(CONSOLIDA!CS125="",0,CONSOLIDA!CS125))</f>
        <v/>
      </c>
      <c r="G128" s="422" t="str">
        <f>IF(C128="","",IF(CONSOLIDA!CT125="",0,CONSOLIDA!CT125))</f>
        <v/>
      </c>
      <c r="H128" s="422" t="str">
        <f>IF(C128="","",IF(CONSOLIDA!DE125="",0,CONSOLIDA!DE125))</f>
        <v/>
      </c>
      <c r="I128" s="422" t="str">
        <f>IF(C128="","",IF(CONSOLIDA!CW125="",0,CONSOLIDA!CW125))</f>
        <v/>
      </c>
      <c r="J128" s="422" t="str">
        <f>IF(C128="","",IF(CONSOLIDA!CX125="",0,CONSOLIDA!CX125))</f>
        <v/>
      </c>
      <c r="K128" s="486"/>
      <c r="L128" s="490" t="str">
        <f t="shared" si="8"/>
        <v/>
      </c>
      <c r="M128" s="490" t="str">
        <f t="shared" si="7"/>
        <v/>
      </c>
      <c r="O128" s="29"/>
      <c r="XFD128" s="392"/>
    </row>
    <row r="129" spans="1:15 16384:16384" ht="15.75" hidden="1" customHeight="1">
      <c r="A129" s="243" t="str">
        <f t="shared" si="5"/>
        <v>OK</v>
      </c>
      <c r="B129" s="419" t="str">
        <f t="shared" si="4"/>
        <v/>
      </c>
      <c r="C129" s="420" t="str">
        <f>IF(CONSOLIDA!CN126="","",CONSOLIDA!CN126)</f>
        <v/>
      </c>
      <c r="D129" s="421" t="str">
        <f>IF(CONSOLIDA!CO126="","",CONSOLIDA!CO126)</f>
        <v/>
      </c>
      <c r="E129" s="422" t="str">
        <f>IF(C129="","",IF(CONSOLIDA!DD126="",0,CONSOLIDA!DD126))</f>
        <v/>
      </c>
      <c r="F129" s="422" t="str">
        <f>IF(C129="","",IF(CONSOLIDA!CS126="",0,CONSOLIDA!CS126))</f>
        <v/>
      </c>
      <c r="G129" s="422" t="str">
        <f>IF(C129="","",IF(CONSOLIDA!CT126="",0,CONSOLIDA!CT126))</f>
        <v/>
      </c>
      <c r="H129" s="422" t="str">
        <f>IF(C129="","",IF(CONSOLIDA!DE126="",0,CONSOLIDA!DE126))</f>
        <v/>
      </c>
      <c r="I129" s="422" t="str">
        <f>IF(C129="","",IF(CONSOLIDA!CW126="",0,CONSOLIDA!CW126))</f>
        <v/>
      </c>
      <c r="J129" s="422" t="str">
        <f>IF(C129="","",IF(CONSOLIDA!CX126="",0,CONSOLIDA!CX126))</f>
        <v/>
      </c>
      <c r="K129" s="486"/>
      <c r="L129" s="490" t="str">
        <f t="shared" si="8"/>
        <v/>
      </c>
      <c r="M129" s="490" t="str">
        <f t="shared" si="7"/>
        <v/>
      </c>
      <c r="O129" s="29"/>
      <c r="XFD129" s="392"/>
    </row>
    <row r="130" spans="1:15 16384:16384" ht="15.75" hidden="1" customHeight="1">
      <c r="A130" s="243" t="str">
        <f t="shared" si="5"/>
        <v>OK</v>
      </c>
      <c r="B130" s="419" t="str">
        <f t="shared" si="4"/>
        <v/>
      </c>
      <c r="C130" s="420" t="str">
        <f>IF(CONSOLIDA!CN127="","",CONSOLIDA!CN127)</f>
        <v/>
      </c>
      <c r="D130" s="421" t="str">
        <f>IF(CONSOLIDA!CO127="","",CONSOLIDA!CO127)</f>
        <v/>
      </c>
      <c r="E130" s="422" t="str">
        <f>IF(C130="","",IF(CONSOLIDA!DD127="",0,CONSOLIDA!DD127))</f>
        <v/>
      </c>
      <c r="F130" s="422" t="str">
        <f>IF(C130="","",IF(CONSOLIDA!CS127="",0,CONSOLIDA!CS127))</f>
        <v/>
      </c>
      <c r="G130" s="422" t="str">
        <f>IF(C130="","",IF(CONSOLIDA!CT127="",0,CONSOLIDA!CT127))</f>
        <v/>
      </c>
      <c r="H130" s="422" t="str">
        <f>IF(C130="","",IF(CONSOLIDA!DE127="",0,CONSOLIDA!DE127))</f>
        <v/>
      </c>
      <c r="I130" s="422" t="str">
        <f>IF(C130="","",IF(CONSOLIDA!CW127="",0,CONSOLIDA!CW127))</f>
        <v/>
      </c>
      <c r="J130" s="422" t="str">
        <f>IF(C130="","",IF(CONSOLIDA!CX127="",0,CONSOLIDA!CX127))</f>
        <v/>
      </c>
      <c r="K130" s="486"/>
      <c r="L130" s="490" t="str">
        <f t="shared" si="8"/>
        <v/>
      </c>
      <c r="M130" s="490" t="str">
        <f t="shared" si="7"/>
        <v/>
      </c>
      <c r="O130" s="29"/>
      <c r="XFD130" s="392"/>
    </row>
    <row r="131" spans="1:15 16384:16384" ht="15.75" hidden="1" customHeight="1">
      <c r="A131" s="243" t="str">
        <f t="shared" si="5"/>
        <v>OK</v>
      </c>
      <c r="B131" s="419" t="str">
        <f t="shared" si="4"/>
        <v/>
      </c>
      <c r="C131" s="420" t="str">
        <f>IF(CONSOLIDA!CN128="","",CONSOLIDA!CN128)</f>
        <v/>
      </c>
      <c r="D131" s="421" t="str">
        <f>IF(CONSOLIDA!CO128="","",CONSOLIDA!CO128)</f>
        <v/>
      </c>
      <c r="E131" s="422" t="str">
        <f>IF(C131="","",IF(CONSOLIDA!DD128="",0,CONSOLIDA!DD128))</f>
        <v/>
      </c>
      <c r="F131" s="422" t="str">
        <f>IF(C131="","",IF(CONSOLIDA!CS128="",0,CONSOLIDA!CS128))</f>
        <v/>
      </c>
      <c r="G131" s="422" t="str">
        <f>IF(C131="","",IF(CONSOLIDA!CT128="",0,CONSOLIDA!CT128))</f>
        <v/>
      </c>
      <c r="H131" s="422" t="str">
        <f>IF(C131="","",IF(CONSOLIDA!DE128="",0,CONSOLIDA!DE128))</f>
        <v/>
      </c>
      <c r="I131" s="422" t="str">
        <f>IF(C131="","",IF(CONSOLIDA!CW128="",0,CONSOLIDA!CW128))</f>
        <v/>
      </c>
      <c r="J131" s="422" t="str">
        <f>IF(C131="","",IF(CONSOLIDA!CX128="",0,CONSOLIDA!CX128))</f>
        <v/>
      </c>
      <c r="K131" s="486"/>
      <c r="L131" s="490" t="str">
        <f t="shared" si="8"/>
        <v/>
      </c>
      <c r="M131" s="490" t="str">
        <f t="shared" si="7"/>
        <v/>
      </c>
      <c r="O131" s="29"/>
      <c r="XFD131" s="392"/>
    </row>
    <row r="132" spans="1:15 16384:16384" ht="15.75" hidden="1" customHeight="1">
      <c r="A132" s="243" t="str">
        <f t="shared" si="5"/>
        <v>OK</v>
      </c>
      <c r="B132" s="419" t="str">
        <f t="shared" si="4"/>
        <v/>
      </c>
      <c r="C132" s="420" t="str">
        <f>IF(CONSOLIDA!CN129="","",CONSOLIDA!CN129)</f>
        <v/>
      </c>
      <c r="D132" s="421" t="str">
        <f>IF(CONSOLIDA!CO129="","",CONSOLIDA!CO129)</f>
        <v/>
      </c>
      <c r="E132" s="422" t="str">
        <f>IF(C132="","",IF(CONSOLIDA!DD129="",0,CONSOLIDA!DD129))</f>
        <v/>
      </c>
      <c r="F132" s="422" t="str">
        <f>IF(C132="","",IF(CONSOLIDA!CS129="",0,CONSOLIDA!CS129))</f>
        <v/>
      </c>
      <c r="G132" s="422" t="str">
        <f>IF(C132="","",IF(CONSOLIDA!CT129="",0,CONSOLIDA!CT129))</f>
        <v/>
      </c>
      <c r="H132" s="422" t="str">
        <f>IF(C132="","",IF(CONSOLIDA!DE129="",0,CONSOLIDA!DE129))</f>
        <v/>
      </c>
      <c r="I132" s="422" t="str">
        <f>IF(C132="","",IF(CONSOLIDA!CW129="",0,CONSOLIDA!CW129))</f>
        <v/>
      </c>
      <c r="J132" s="422" t="str">
        <f>IF(C132="","",IF(CONSOLIDA!CX129="",0,CONSOLIDA!CX129))</f>
        <v/>
      </c>
      <c r="K132" s="486"/>
      <c r="L132" s="490" t="str">
        <f t="shared" si="8"/>
        <v/>
      </c>
      <c r="M132" s="490" t="str">
        <f t="shared" si="7"/>
        <v/>
      </c>
      <c r="O132" s="29"/>
      <c r="XFD132" s="392"/>
    </row>
    <row r="133" spans="1:15 16384:16384" ht="15.75" hidden="1" customHeight="1">
      <c r="A133" s="243" t="str">
        <f t="shared" si="5"/>
        <v>OK</v>
      </c>
      <c r="B133" s="419" t="str">
        <f t="shared" si="4"/>
        <v/>
      </c>
      <c r="C133" s="420" t="str">
        <f>IF(CONSOLIDA!CN130="","",CONSOLIDA!CN130)</f>
        <v/>
      </c>
      <c r="D133" s="421" t="str">
        <f>IF(CONSOLIDA!CO130="","",CONSOLIDA!CO130)</f>
        <v/>
      </c>
      <c r="E133" s="422" t="str">
        <f>IF(C133="","",IF(CONSOLIDA!DD130="",0,CONSOLIDA!DD130))</f>
        <v/>
      </c>
      <c r="F133" s="422" t="str">
        <f>IF(C133="","",IF(CONSOLIDA!CS130="",0,CONSOLIDA!CS130))</f>
        <v/>
      </c>
      <c r="G133" s="422" t="str">
        <f>IF(C133="","",IF(CONSOLIDA!CT130="",0,CONSOLIDA!CT130))</f>
        <v/>
      </c>
      <c r="H133" s="422" t="str">
        <f>IF(C133="","",IF(CONSOLIDA!DE130="",0,CONSOLIDA!DE130))</f>
        <v/>
      </c>
      <c r="I133" s="422" t="str">
        <f>IF(C133="","",IF(CONSOLIDA!CW130="",0,CONSOLIDA!CW130))</f>
        <v/>
      </c>
      <c r="J133" s="422" t="str">
        <f>IF(C133="","",IF(CONSOLIDA!CX130="",0,CONSOLIDA!CX130))</f>
        <v/>
      </c>
      <c r="K133" s="486"/>
      <c r="L133" s="490" t="str">
        <f t="shared" si="8"/>
        <v/>
      </c>
      <c r="M133" s="490" t="str">
        <f t="shared" si="7"/>
        <v/>
      </c>
      <c r="O133" s="29"/>
      <c r="XFD133" s="392"/>
    </row>
    <row r="134" spans="1:15 16384:16384" ht="15.75" hidden="1" customHeight="1">
      <c r="A134" s="243" t="str">
        <f t="shared" si="5"/>
        <v>OK</v>
      </c>
      <c r="B134" s="419" t="str">
        <f t="shared" si="4"/>
        <v/>
      </c>
      <c r="C134" s="420" t="str">
        <f>IF(CONSOLIDA!CN131="","",CONSOLIDA!CN131)</f>
        <v/>
      </c>
      <c r="D134" s="421" t="str">
        <f>IF(CONSOLIDA!CO131="","",CONSOLIDA!CO131)</f>
        <v/>
      </c>
      <c r="E134" s="422" t="str">
        <f>IF(C134="","",IF(CONSOLIDA!DD131="",0,CONSOLIDA!DD131))</f>
        <v/>
      </c>
      <c r="F134" s="422" t="str">
        <f>IF(C134="","",IF(CONSOLIDA!CS131="",0,CONSOLIDA!CS131))</f>
        <v/>
      </c>
      <c r="G134" s="422" t="str">
        <f>IF(C134="","",IF(CONSOLIDA!CT131="",0,CONSOLIDA!CT131))</f>
        <v/>
      </c>
      <c r="H134" s="422" t="str">
        <f>IF(C134="","",IF(CONSOLIDA!DE131="",0,CONSOLIDA!DE131))</f>
        <v/>
      </c>
      <c r="I134" s="422" t="str">
        <f>IF(C134="","",IF(CONSOLIDA!CW131="",0,CONSOLIDA!CW131))</f>
        <v/>
      </c>
      <c r="J134" s="422" t="str">
        <f>IF(C134="","",IF(CONSOLIDA!CX131="",0,CONSOLIDA!CX131))</f>
        <v/>
      </c>
      <c r="K134" s="486"/>
      <c r="L134" s="490" t="str">
        <f t="shared" si="8"/>
        <v/>
      </c>
      <c r="M134" s="490" t="str">
        <f t="shared" si="7"/>
        <v/>
      </c>
      <c r="O134" s="29"/>
      <c r="XFD134" s="392"/>
    </row>
    <row r="135" spans="1:15 16384:16384" ht="15.75" hidden="1" customHeight="1">
      <c r="A135" s="243" t="str">
        <f t="shared" si="5"/>
        <v>OK</v>
      </c>
      <c r="B135" s="419" t="str">
        <f t="shared" ref="B135:B198" si="9">IF(C135="","",B134+1)</f>
        <v/>
      </c>
      <c r="C135" s="420" t="str">
        <f>IF(CONSOLIDA!CN132="","",CONSOLIDA!CN132)</f>
        <v/>
      </c>
      <c r="D135" s="421" t="str">
        <f>IF(CONSOLIDA!CO132="","",CONSOLIDA!CO132)</f>
        <v/>
      </c>
      <c r="E135" s="422" t="str">
        <f>IF(C135="","",IF(CONSOLIDA!DD132="",0,CONSOLIDA!DD132))</f>
        <v/>
      </c>
      <c r="F135" s="422" t="str">
        <f>IF(C135="","",IF(CONSOLIDA!CS132="",0,CONSOLIDA!CS132))</f>
        <v/>
      </c>
      <c r="G135" s="422" t="str">
        <f>IF(C135="","",IF(CONSOLIDA!CT132="",0,CONSOLIDA!CT132))</f>
        <v/>
      </c>
      <c r="H135" s="422" t="str">
        <f>IF(C135="","",IF(CONSOLIDA!DE132="",0,CONSOLIDA!DE132))</f>
        <v/>
      </c>
      <c r="I135" s="422" t="str">
        <f>IF(C135="","",IF(CONSOLIDA!CW132="",0,CONSOLIDA!CW132))</f>
        <v/>
      </c>
      <c r="J135" s="422" t="str">
        <f>IF(C135="","",IF(CONSOLIDA!CX132="",0,CONSOLIDA!CX132))</f>
        <v/>
      </c>
      <c r="K135" s="486"/>
      <c r="L135" s="490" t="str">
        <f t="shared" si="8"/>
        <v/>
      </c>
      <c r="M135" s="490" t="str">
        <f t="shared" si="7"/>
        <v/>
      </c>
      <c r="O135" s="29"/>
      <c r="XFD135" s="392"/>
    </row>
    <row r="136" spans="1:15 16384:16384" ht="15.75" hidden="1" customHeight="1">
      <c r="A136" s="243" t="str">
        <f t="shared" ref="A136:A199" si="10">IF(D136="","OK","")</f>
        <v>OK</v>
      </c>
      <c r="B136" s="419" t="str">
        <f t="shared" si="9"/>
        <v/>
      </c>
      <c r="C136" s="420" t="str">
        <f>IF(CONSOLIDA!CN133="","",CONSOLIDA!CN133)</f>
        <v/>
      </c>
      <c r="D136" s="421" t="str">
        <f>IF(CONSOLIDA!CO133="","",CONSOLIDA!CO133)</f>
        <v/>
      </c>
      <c r="E136" s="422" t="str">
        <f>IF(C136="","",IF(CONSOLIDA!DD133="",0,CONSOLIDA!DD133))</f>
        <v/>
      </c>
      <c r="F136" s="422" t="str">
        <f>IF(C136="","",IF(CONSOLIDA!CS133="",0,CONSOLIDA!CS133))</f>
        <v/>
      </c>
      <c r="G136" s="422" t="str">
        <f>IF(C136="","",IF(CONSOLIDA!CT133="",0,CONSOLIDA!CT133))</f>
        <v/>
      </c>
      <c r="H136" s="422" t="str">
        <f>IF(C136="","",IF(CONSOLIDA!DE133="",0,CONSOLIDA!DE133))</f>
        <v/>
      </c>
      <c r="I136" s="422" t="str">
        <f>IF(C136="","",IF(CONSOLIDA!CW133="",0,CONSOLIDA!CW133))</f>
        <v/>
      </c>
      <c r="J136" s="422" t="str">
        <f>IF(C136="","",IF(CONSOLIDA!CX133="",0,CONSOLIDA!CX133))</f>
        <v/>
      </c>
      <c r="K136" s="486"/>
      <c r="L136" s="490" t="str">
        <f t="shared" si="8"/>
        <v/>
      </c>
      <c r="M136" s="490" t="str">
        <f t="shared" ref="M136:M199" si="11">IF(C136="","",(H136-I136)-J136)</f>
        <v/>
      </c>
      <c r="O136" s="29"/>
      <c r="XFD136" s="392"/>
    </row>
    <row r="137" spans="1:15 16384:16384" ht="15.75" hidden="1" customHeight="1">
      <c r="A137" s="243" t="str">
        <f t="shared" si="10"/>
        <v>OK</v>
      </c>
      <c r="B137" s="419" t="str">
        <f t="shared" si="9"/>
        <v/>
      </c>
      <c r="C137" s="420" t="str">
        <f>IF(CONSOLIDA!CN134="","",CONSOLIDA!CN134)</f>
        <v/>
      </c>
      <c r="D137" s="421" t="str">
        <f>IF(CONSOLIDA!CO134="","",CONSOLIDA!CO134)</f>
        <v/>
      </c>
      <c r="E137" s="422" t="str">
        <f>IF(C137="","",IF(CONSOLIDA!DD134="",0,CONSOLIDA!DD134))</f>
        <v/>
      </c>
      <c r="F137" s="422" t="str">
        <f>IF(C137="","",IF(CONSOLIDA!CS134="",0,CONSOLIDA!CS134))</f>
        <v/>
      </c>
      <c r="G137" s="422" t="str">
        <f>IF(C137="","",IF(CONSOLIDA!CT134="",0,CONSOLIDA!CT134))</f>
        <v/>
      </c>
      <c r="H137" s="422" t="str">
        <f>IF(C137="","",IF(CONSOLIDA!DE134="",0,CONSOLIDA!DE134))</f>
        <v/>
      </c>
      <c r="I137" s="422" t="str">
        <f>IF(C137="","",IF(CONSOLIDA!CW134="",0,CONSOLIDA!CW134))</f>
        <v/>
      </c>
      <c r="J137" s="422" t="str">
        <f>IF(C137="","",IF(CONSOLIDA!CX134="",0,CONSOLIDA!CX134))</f>
        <v/>
      </c>
      <c r="K137" s="486"/>
      <c r="L137" s="490" t="str">
        <f t="shared" si="8"/>
        <v/>
      </c>
      <c r="M137" s="490" t="str">
        <f t="shared" si="11"/>
        <v/>
      </c>
      <c r="O137" s="29"/>
      <c r="XFD137" s="392"/>
    </row>
    <row r="138" spans="1:15 16384:16384" ht="15.75" hidden="1" customHeight="1">
      <c r="A138" s="243" t="str">
        <f t="shared" si="10"/>
        <v>OK</v>
      </c>
      <c r="B138" s="419" t="str">
        <f t="shared" si="9"/>
        <v/>
      </c>
      <c r="C138" s="420" t="str">
        <f>IF(CONSOLIDA!CN135="","",CONSOLIDA!CN135)</f>
        <v/>
      </c>
      <c r="D138" s="421" t="str">
        <f>IF(CONSOLIDA!CO135="","",CONSOLIDA!CO135)</f>
        <v/>
      </c>
      <c r="E138" s="422" t="str">
        <f>IF(C138="","",IF(CONSOLIDA!DD135="",0,CONSOLIDA!DD135))</f>
        <v/>
      </c>
      <c r="F138" s="422" t="str">
        <f>IF(C138="","",IF(CONSOLIDA!CS135="",0,CONSOLIDA!CS135))</f>
        <v/>
      </c>
      <c r="G138" s="422" t="str">
        <f>IF(C138="","",IF(CONSOLIDA!CT135="",0,CONSOLIDA!CT135))</f>
        <v/>
      </c>
      <c r="H138" s="422" t="str">
        <f>IF(C138="","",IF(CONSOLIDA!DE135="",0,CONSOLIDA!DE135))</f>
        <v/>
      </c>
      <c r="I138" s="422" t="str">
        <f>IF(C138="","",IF(CONSOLIDA!CW135="",0,CONSOLIDA!CW135))</f>
        <v/>
      </c>
      <c r="J138" s="422" t="str">
        <f>IF(C138="","",IF(CONSOLIDA!CX135="",0,CONSOLIDA!CX135))</f>
        <v/>
      </c>
      <c r="K138" s="486"/>
      <c r="L138" s="490" t="str">
        <f t="shared" si="8"/>
        <v/>
      </c>
      <c r="M138" s="490" t="str">
        <f t="shared" si="11"/>
        <v/>
      </c>
      <c r="O138" s="29"/>
      <c r="XFD138" s="392"/>
    </row>
    <row r="139" spans="1:15 16384:16384" ht="15.75" hidden="1" customHeight="1">
      <c r="A139" s="243" t="str">
        <f t="shared" si="10"/>
        <v>OK</v>
      </c>
      <c r="B139" s="419" t="str">
        <f t="shared" si="9"/>
        <v/>
      </c>
      <c r="C139" s="420" t="str">
        <f>IF(CONSOLIDA!CN136="","",CONSOLIDA!CN136)</f>
        <v/>
      </c>
      <c r="D139" s="421" t="str">
        <f>IF(CONSOLIDA!CO136="","",CONSOLIDA!CO136)</f>
        <v/>
      </c>
      <c r="E139" s="422" t="str">
        <f>IF(C139="","",IF(CONSOLIDA!DD136="",0,CONSOLIDA!DD136))</f>
        <v/>
      </c>
      <c r="F139" s="422" t="str">
        <f>IF(C139="","",IF(CONSOLIDA!CS136="",0,CONSOLIDA!CS136))</f>
        <v/>
      </c>
      <c r="G139" s="422" t="str">
        <f>IF(C139="","",IF(CONSOLIDA!CT136="",0,CONSOLIDA!CT136))</f>
        <v/>
      </c>
      <c r="H139" s="422" t="str">
        <f>IF(C139="","",IF(CONSOLIDA!DE136="",0,CONSOLIDA!DE136))</f>
        <v/>
      </c>
      <c r="I139" s="422" t="str">
        <f>IF(C139="","",IF(CONSOLIDA!CW136="",0,CONSOLIDA!CW136))</f>
        <v/>
      </c>
      <c r="J139" s="422" t="str">
        <f>IF(C139="","",IF(CONSOLIDA!CX136="",0,CONSOLIDA!CX136))</f>
        <v/>
      </c>
      <c r="K139" s="486"/>
      <c r="L139" s="490" t="str">
        <f t="shared" si="8"/>
        <v/>
      </c>
      <c r="M139" s="490" t="str">
        <f t="shared" si="11"/>
        <v/>
      </c>
      <c r="O139" s="29"/>
      <c r="XFD139" s="392"/>
    </row>
    <row r="140" spans="1:15 16384:16384" ht="15.75" hidden="1" customHeight="1">
      <c r="A140" s="243" t="str">
        <f t="shared" si="10"/>
        <v>OK</v>
      </c>
      <c r="B140" s="419" t="str">
        <f t="shared" si="9"/>
        <v/>
      </c>
      <c r="C140" s="420" t="str">
        <f>IF(CONSOLIDA!CN137="","",CONSOLIDA!CN137)</f>
        <v/>
      </c>
      <c r="D140" s="421" t="str">
        <f>IF(CONSOLIDA!CO137="","",CONSOLIDA!CO137)</f>
        <v/>
      </c>
      <c r="E140" s="422" t="str">
        <f>IF(C140="","",IF(CONSOLIDA!DD137="",0,CONSOLIDA!DD137))</f>
        <v/>
      </c>
      <c r="F140" s="422" t="str">
        <f>IF(C140="","",IF(CONSOLIDA!CS137="",0,CONSOLIDA!CS137))</f>
        <v/>
      </c>
      <c r="G140" s="422" t="str">
        <f>IF(C140="","",IF(CONSOLIDA!CT137="",0,CONSOLIDA!CT137))</f>
        <v/>
      </c>
      <c r="H140" s="422" t="str">
        <f>IF(C140="","",IF(CONSOLIDA!DE137="",0,CONSOLIDA!DE137))</f>
        <v/>
      </c>
      <c r="I140" s="422" t="str">
        <f>IF(C140="","",IF(CONSOLIDA!CW137="",0,CONSOLIDA!CW137))</f>
        <v/>
      </c>
      <c r="J140" s="422" t="str">
        <f>IF(C140="","",IF(CONSOLIDA!CX137="",0,CONSOLIDA!CX137))</f>
        <v/>
      </c>
      <c r="K140" s="486"/>
      <c r="L140" s="490" t="str">
        <f t="shared" si="8"/>
        <v/>
      </c>
      <c r="M140" s="490" t="str">
        <f t="shared" si="11"/>
        <v/>
      </c>
      <c r="O140" s="29"/>
      <c r="XFD140" s="392"/>
    </row>
    <row r="141" spans="1:15 16384:16384" ht="15.75" hidden="1" customHeight="1">
      <c r="A141" s="243" t="str">
        <f t="shared" si="10"/>
        <v>OK</v>
      </c>
      <c r="B141" s="419" t="str">
        <f t="shared" si="9"/>
        <v/>
      </c>
      <c r="C141" s="420" t="str">
        <f>IF(CONSOLIDA!CN138="","",CONSOLIDA!CN138)</f>
        <v/>
      </c>
      <c r="D141" s="421" t="str">
        <f>IF(CONSOLIDA!CO138="","",CONSOLIDA!CO138)</f>
        <v/>
      </c>
      <c r="E141" s="422" t="str">
        <f>IF(C141="","",IF(CONSOLIDA!DD138="",0,CONSOLIDA!DD138))</f>
        <v/>
      </c>
      <c r="F141" s="422" t="str">
        <f>IF(C141="","",IF(CONSOLIDA!CS138="",0,CONSOLIDA!CS138))</f>
        <v/>
      </c>
      <c r="G141" s="422" t="str">
        <f>IF(C141="","",IF(CONSOLIDA!CT138="",0,CONSOLIDA!CT138))</f>
        <v/>
      </c>
      <c r="H141" s="422" t="str">
        <f>IF(C141="","",IF(CONSOLIDA!DE138="",0,CONSOLIDA!DE138))</f>
        <v/>
      </c>
      <c r="I141" s="422" t="str">
        <f>IF(C141="","",IF(CONSOLIDA!CW138="",0,CONSOLIDA!CW138))</f>
        <v/>
      </c>
      <c r="J141" s="422" t="str">
        <f>IF(C141="","",IF(CONSOLIDA!CX138="",0,CONSOLIDA!CX138))</f>
        <v/>
      </c>
      <c r="K141" s="486"/>
      <c r="L141" s="490" t="str">
        <f t="shared" si="8"/>
        <v/>
      </c>
      <c r="M141" s="490" t="str">
        <f t="shared" si="11"/>
        <v/>
      </c>
      <c r="O141" s="29"/>
      <c r="XFD141" s="392"/>
    </row>
    <row r="142" spans="1:15 16384:16384" ht="15.75" hidden="1" customHeight="1">
      <c r="A142" s="243" t="str">
        <f t="shared" si="10"/>
        <v>OK</v>
      </c>
      <c r="B142" s="419" t="str">
        <f t="shared" si="9"/>
        <v/>
      </c>
      <c r="C142" s="420" t="str">
        <f>IF(CONSOLIDA!CN139="","",CONSOLIDA!CN139)</f>
        <v/>
      </c>
      <c r="D142" s="421" t="str">
        <f>IF(CONSOLIDA!CO139="","",CONSOLIDA!CO139)</f>
        <v/>
      </c>
      <c r="E142" s="422" t="str">
        <f>IF(C142="","",IF(CONSOLIDA!DD139="",0,CONSOLIDA!DD139))</f>
        <v/>
      </c>
      <c r="F142" s="422" t="str">
        <f>IF(C142="","",IF(CONSOLIDA!CS139="",0,CONSOLIDA!CS139))</f>
        <v/>
      </c>
      <c r="G142" s="422" t="str">
        <f>IF(C142="","",IF(CONSOLIDA!CT139="",0,CONSOLIDA!CT139))</f>
        <v/>
      </c>
      <c r="H142" s="422" t="str">
        <f>IF(C142="","",IF(CONSOLIDA!DE139="",0,CONSOLIDA!DE139))</f>
        <v/>
      </c>
      <c r="I142" s="422" t="str">
        <f>IF(C142="","",IF(CONSOLIDA!CW139="",0,CONSOLIDA!CW139))</f>
        <v/>
      </c>
      <c r="J142" s="422" t="str">
        <f>IF(C142="","",IF(CONSOLIDA!CX139="",0,CONSOLIDA!CX139))</f>
        <v/>
      </c>
      <c r="K142" s="486"/>
      <c r="L142" s="490" t="str">
        <f t="shared" si="8"/>
        <v/>
      </c>
      <c r="M142" s="490" t="str">
        <f t="shared" si="11"/>
        <v/>
      </c>
      <c r="O142" s="29"/>
      <c r="XFD142" s="392"/>
    </row>
    <row r="143" spans="1:15 16384:16384" ht="15.75" hidden="1" customHeight="1">
      <c r="A143" s="243" t="str">
        <f t="shared" si="10"/>
        <v>OK</v>
      </c>
      <c r="B143" s="419" t="str">
        <f t="shared" si="9"/>
        <v/>
      </c>
      <c r="C143" s="420" t="str">
        <f>IF(CONSOLIDA!CN140="","",CONSOLIDA!CN140)</f>
        <v/>
      </c>
      <c r="D143" s="421" t="str">
        <f>IF(CONSOLIDA!CO140="","",CONSOLIDA!CO140)</f>
        <v/>
      </c>
      <c r="E143" s="422" t="str">
        <f>IF(C143="","",IF(CONSOLIDA!DD140="",0,CONSOLIDA!DD140))</f>
        <v/>
      </c>
      <c r="F143" s="422" t="str">
        <f>IF(C143="","",IF(CONSOLIDA!CS140="",0,CONSOLIDA!CS140))</f>
        <v/>
      </c>
      <c r="G143" s="422" t="str">
        <f>IF(C143="","",IF(CONSOLIDA!CT140="",0,CONSOLIDA!CT140))</f>
        <v/>
      </c>
      <c r="H143" s="422" t="str">
        <f>IF(C143="","",IF(CONSOLIDA!DE140="",0,CONSOLIDA!DE140))</f>
        <v/>
      </c>
      <c r="I143" s="422" t="str">
        <f>IF(C143="","",IF(CONSOLIDA!CW140="",0,CONSOLIDA!CW140))</f>
        <v/>
      </c>
      <c r="J143" s="422" t="str">
        <f>IF(C143="","",IF(CONSOLIDA!CX140="",0,CONSOLIDA!CX140))</f>
        <v/>
      </c>
      <c r="K143" s="486"/>
      <c r="L143" s="490" t="str">
        <f t="shared" si="8"/>
        <v/>
      </c>
      <c r="M143" s="490" t="str">
        <f t="shared" si="11"/>
        <v/>
      </c>
      <c r="O143" s="29"/>
      <c r="XFD143" s="392"/>
    </row>
    <row r="144" spans="1:15 16384:16384" ht="15.75" hidden="1" customHeight="1">
      <c r="A144" s="243" t="str">
        <f t="shared" si="10"/>
        <v>OK</v>
      </c>
      <c r="B144" s="419" t="str">
        <f t="shared" si="9"/>
        <v/>
      </c>
      <c r="C144" s="420" t="str">
        <f>IF(CONSOLIDA!CN141="","",CONSOLIDA!CN141)</f>
        <v/>
      </c>
      <c r="D144" s="421" t="str">
        <f>IF(CONSOLIDA!CO141="","",CONSOLIDA!CO141)</f>
        <v/>
      </c>
      <c r="E144" s="422" t="str">
        <f>IF(C144="","",IF(CONSOLIDA!DD141="",0,CONSOLIDA!DD141))</f>
        <v/>
      </c>
      <c r="F144" s="422" t="str">
        <f>IF(C144="","",IF(CONSOLIDA!CS141="",0,CONSOLIDA!CS141))</f>
        <v/>
      </c>
      <c r="G144" s="422" t="str">
        <f>IF(C144="","",IF(CONSOLIDA!CT141="",0,CONSOLIDA!CT141))</f>
        <v/>
      </c>
      <c r="H144" s="422" t="str">
        <f>IF(C144="","",IF(CONSOLIDA!DE141="",0,CONSOLIDA!DE141))</f>
        <v/>
      </c>
      <c r="I144" s="422" t="str">
        <f>IF(C144="","",IF(CONSOLIDA!CW141="",0,CONSOLIDA!CW141))</f>
        <v/>
      </c>
      <c r="J144" s="422" t="str">
        <f>IF(C144="","",IF(CONSOLIDA!CX141="",0,CONSOLIDA!CX141))</f>
        <v/>
      </c>
      <c r="K144" s="486"/>
      <c r="L144" s="490" t="str">
        <f t="shared" si="8"/>
        <v/>
      </c>
      <c r="M144" s="490" t="str">
        <f t="shared" si="11"/>
        <v/>
      </c>
      <c r="O144" s="29"/>
      <c r="XFD144" s="392"/>
    </row>
    <row r="145" spans="1:15 16384:16384" ht="15.75" hidden="1" customHeight="1">
      <c r="A145" s="243" t="str">
        <f t="shared" si="10"/>
        <v>OK</v>
      </c>
      <c r="B145" s="419" t="str">
        <f t="shared" si="9"/>
        <v/>
      </c>
      <c r="C145" s="420" t="str">
        <f>IF(CONSOLIDA!CN142="","",CONSOLIDA!CN142)</f>
        <v/>
      </c>
      <c r="D145" s="421" t="str">
        <f>IF(CONSOLIDA!CO142="","",CONSOLIDA!CO142)</f>
        <v/>
      </c>
      <c r="E145" s="422" t="str">
        <f>IF(C145="","",IF(CONSOLIDA!DD142="",0,CONSOLIDA!DD142))</f>
        <v/>
      </c>
      <c r="F145" s="422" t="str">
        <f>IF(C145="","",IF(CONSOLIDA!CS142="",0,CONSOLIDA!CS142))</f>
        <v/>
      </c>
      <c r="G145" s="422" t="str">
        <f>IF(C145="","",IF(CONSOLIDA!CT142="",0,CONSOLIDA!CT142))</f>
        <v/>
      </c>
      <c r="H145" s="422" t="str">
        <f>IF(C145="","",IF(CONSOLIDA!DE142="",0,CONSOLIDA!DE142))</f>
        <v/>
      </c>
      <c r="I145" s="422" t="str">
        <f>IF(C145="","",IF(CONSOLIDA!CW142="",0,CONSOLIDA!CW142))</f>
        <v/>
      </c>
      <c r="J145" s="422" t="str">
        <f>IF(C145="","",IF(CONSOLIDA!CX142="",0,CONSOLIDA!CX142))</f>
        <v/>
      </c>
      <c r="K145" s="486"/>
      <c r="L145" s="490" t="str">
        <f t="shared" si="8"/>
        <v/>
      </c>
      <c r="M145" s="490" t="str">
        <f t="shared" si="11"/>
        <v/>
      </c>
      <c r="O145" s="29"/>
      <c r="XFD145" s="392"/>
    </row>
    <row r="146" spans="1:15 16384:16384" ht="15.75" hidden="1" customHeight="1">
      <c r="A146" s="243" t="str">
        <f t="shared" si="10"/>
        <v>OK</v>
      </c>
      <c r="B146" s="419" t="str">
        <f t="shared" si="9"/>
        <v/>
      </c>
      <c r="C146" s="420" t="str">
        <f>IF(CONSOLIDA!CN143="","",CONSOLIDA!CN143)</f>
        <v/>
      </c>
      <c r="D146" s="421" t="str">
        <f>IF(CONSOLIDA!CO143="","",CONSOLIDA!CO143)</f>
        <v/>
      </c>
      <c r="E146" s="422" t="str">
        <f>IF(C146="","",IF(CONSOLIDA!DD143="",0,CONSOLIDA!DD143))</f>
        <v/>
      </c>
      <c r="F146" s="422" t="str">
        <f>IF(C146="","",IF(CONSOLIDA!CS143="",0,CONSOLIDA!CS143))</f>
        <v/>
      </c>
      <c r="G146" s="422" t="str">
        <f>IF(C146="","",IF(CONSOLIDA!CT143="",0,CONSOLIDA!CT143))</f>
        <v/>
      </c>
      <c r="H146" s="422" t="str">
        <f>IF(C146="","",IF(CONSOLIDA!DE143="",0,CONSOLIDA!DE143))</f>
        <v/>
      </c>
      <c r="I146" s="422" t="str">
        <f>IF(C146="","",IF(CONSOLIDA!CW143="",0,CONSOLIDA!CW143))</f>
        <v/>
      </c>
      <c r="J146" s="422" t="str">
        <f>IF(C146="","",IF(CONSOLIDA!CX143="",0,CONSOLIDA!CX143))</f>
        <v/>
      </c>
      <c r="K146" s="486"/>
      <c r="L146" s="490" t="str">
        <f t="shared" si="8"/>
        <v/>
      </c>
      <c r="M146" s="490" t="str">
        <f t="shared" si="11"/>
        <v/>
      </c>
      <c r="O146" s="29"/>
      <c r="XFD146" s="392"/>
    </row>
    <row r="147" spans="1:15 16384:16384" ht="15.75" hidden="1" customHeight="1">
      <c r="A147" s="243" t="str">
        <f t="shared" si="10"/>
        <v>OK</v>
      </c>
      <c r="B147" s="419" t="str">
        <f t="shared" si="9"/>
        <v/>
      </c>
      <c r="C147" s="420" t="str">
        <f>IF(CONSOLIDA!CN144="","",CONSOLIDA!CN144)</f>
        <v/>
      </c>
      <c r="D147" s="421" t="str">
        <f>IF(CONSOLIDA!CO144="","",CONSOLIDA!CO144)</f>
        <v/>
      </c>
      <c r="E147" s="422" t="str">
        <f>IF(C147="","",IF(CONSOLIDA!DD144="",0,CONSOLIDA!DD144))</f>
        <v/>
      </c>
      <c r="F147" s="422" t="str">
        <f>IF(C147="","",IF(CONSOLIDA!CS144="",0,CONSOLIDA!CS144))</f>
        <v/>
      </c>
      <c r="G147" s="422" t="str">
        <f>IF(C147="","",IF(CONSOLIDA!CT144="",0,CONSOLIDA!CT144))</f>
        <v/>
      </c>
      <c r="H147" s="422" t="str">
        <f>IF(C147="","",IF(CONSOLIDA!DE144="",0,CONSOLIDA!DE144))</f>
        <v/>
      </c>
      <c r="I147" s="422" t="str">
        <f>IF(C147="","",IF(CONSOLIDA!CW144="",0,CONSOLIDA!CW144))</f>
        <v/>
      </c>
      <c r="J147" s="422" t="str">
        <f>IF(C147="","",IF(CONSOLIDA!CX144="",0,CONSOLIDA!CX144))</f>
        <v/>
      </c>
      <c r="K147" s="486"/>
      <c r="L147" s="490" t="str">
        <f t="shared" si="8"/>
        <v/>
      </c>
      <c r="M147" s="490" t="str">
        <f t="shared" si="11"/>
        <v/>
      </c>
      <c r="O147" s="29"/>
      <c r="XFD147" s="392"/>
    </row>
    <row r="148" spans="1:15 16384:16384" ht="15.75" hidden="1" customHeight="1">
      <c r="A148" s="243" t="str">
        <f t="shared" si="10"/>
        <v>OK</v>
      </c>
      <c r="B148" s="419" t="str">
        <f t="shared" si="9"/>
        <v/>
      </c>
      <c r="C148" s="420" t="str">
        <f>IF(CONSOLIDA!CN145="","",CONSOLIDA!CN145)</f>
        <v/>
      </c>
      <c r="D148" s="421" t="str">
        <f>IF(CONSOLIDA!CO145="","",CONSOLIDA!CO145)</f>
        <v/>
      </c>
      <c r="E148" s="422" t="str">
        <f>IF(C148="","",IF(CONSOLIDA!DD145="",0,CONSOLIDA!DD145))</f>
        <v/>
      </c>
      <c r="F148" s="422" t="str">
        <f>IF(C148="","",IF(CONSOLIDA!CS145="",0,CONSOLIDA!CS145))</f>
        <v/>
      </c>
      <c r="G148" s="422" t="str">
        <f>IF(C148="","",IF(CONSOLIDA!CT145="",0,CONSOLIDA!CT145))</f>
        <v/>
      </c>
      <c r="H148" s="422" t="str">
        <f>IF(C148="","",IF(CONSOLIDA!DE145="",0,CONSOLIDA!DE145))</f>
        <v/>
      </c>
      <c r="I148" s="422" t="str">
        <f>IF(C148="","",IF(CONSOLIDA!CW145="",0,CONSOLIDA!CW145))</f>
        <v/>
      </c>
      <c r="J148" s="422" t="str">
        <f>IF(C148="","",IF(CONSOLIDA!CX145="",0,CONSOLIDA!CX145))</f>
        <v/>
      </c>
      <c r="K148" s="486"/>
      <c r="L148" s="490" t="str">
        <f t="shared" si="8"/>
        <v/>
      </c>
      <c r="M148" s="490" t="str">
        <f t="shared" si="11"/>
        <v/>
      </c>
      <c r="O148" s="29"/>
      <c r="XFD148" s="392"/>
    </row>
    <row r="149" spans="1:15 16384:16384" ht="15.75" hidden="1" customHeight="1">
      <c r="A149" s="243" t="str">
        <f t="shared" si="10"/>
        <v>OK</v>
      </c>
      <c r="B149" s="419" t="str">
        <f t="shared" si="9"/>
        <v/>
      </c>
      <c r="C149" s="420" t="str">
        <f>IF(CONSOLIDA!CN146="","",CONSOLIDA!CN146)</f>
        <v/>
      </c>
      <c r="D149" s="421" t="str">
        <f>IF(CONSOLIDA!CO146="","",CONSOLIDA!CO146)</f>
        <v/>
      </c>
      <c r="E149" s="422" t="str">
        <f>IF(C149="","",IF(CONSOLIDA!DD146="",0,CONSOLIDA!DD146))</f>
        <v/>
      </c>
      <c r="F149" s="422" t="str">
        <f>IF(C149="","",IF(CONSOLIDA!CS146="",0,CONSOLIDA!CS146))</f>
        <v/>
      </c>
      <c r="G149" s="422" t="str">
        <f>IF(C149="","",IF(CONSOLIDA!CT146="",0,CONSOLIDA!CT146))</f>
        <v/>
      </c>
      <c r="H149" s="422" t="str">
        <f>IF(C149="","",IF(CONSOLIDA!DE146="",0,CONSOLIDA!DE146))</f>
        <v/>
      </c>
      <c r="I149" s="422" t="str">
        <f>IF(C149="","",IF(CONSOLIDA!CW146="",0,CONSOLIDA!CW146))</f>
        <v/>
      </c>
      <c r="J149" s="422" t="str">
        <f>IF(C149="","",IF(CONSOLIDA!CX146="",0,CONSOLIDA!CX146))</f>
        <v/>
      </c>
      <c r="K149" s="486"/>
      <c r="L149" s="490" t="str">
        <f t="shared" si="8"/>
        <v/>
      </c>
      <c r="M149" s="490" t="str">
        <f t="shared" si="11"/>
        <v/>
      </c>
      <c r="O149" s="29"/>
      <c r="XFD149" s="392"/>
    </row>
    <row r="150" spans="1:15 16384:16384" ht="15.75" hidden="1" customHeight="1">
      <c r="A150" s="243" t="str">
        <f t="shared" si="10"/>
        <v>OK</v>
      </c>
      <c r="B150" s="419" t="str">
        <f t="shared" si="9"/>
        <v/>
      </c>
      <c r="C150" s="420" t="str">
        <f>IF(CONSOLIDA!CN147="","",CONSOLIDA!CN147)</f>
        <v/>
      </c>
      <c r="D150" s="421" t="str">
        <f>IF(CONSOLIDA!CO147="","",CONSOLIDA!CO147)</f>
        <v/>
      </c>
      <c r="E150" s="422" t="str">
        <f>IF(C150="","",IF(CONSOLIDA!DD147="",0,CONSOLIDA!DD147))</f>
        <v/>
      </c>
      <c r="F150" s="422" t="str">
        <f>IF(C150="","",IF(CONSOLIDA!CS147="",0,CONSOLIDA!CS147))</f>
        <v/>
      </c>
      <c r="G150" s="422" t="str">
        <f>IF(C150="","",IF(CONSOLIDA!CT147="",0,CONSOLIDA!CT147))</f>
        <v/>
      </c>
      <c r="H150" s="422" t="str">
        <f>IF(C150="","",IF(CONSOLIDA!DE147="",0,CONSOLIDA!DE147))</f>
        <v/>
      </c>
      <c r="I150" s="422" t="str">
        <f>IF(C150="","",IF(CONSOLIDA!CW147="",0,CONSOLIDA!CW147))</f>
        <v/>
      </c>
      <c r="J150" s="422" t="str">
        <f>IF(C150="","",IF(CONSOLIDA!CX147="",0,CONSOLIDA!CX147))</f>
        <v/>
      </c>
      <c r="K150" s="486"/>
      <c r="L150" s="490" t="str">
        <f t="shared" si="8"/>
        <v/>
      </c>
      <c r="M150" s="490" t="str">
        <f t="shared" si="11"/>
        <v/>
      </c>
      <c r="O150" s="29"/>
      <c r="XFD150" s="392"/>
    </row>
    <row r="151" spans="1:15 16384:16384" ht="15.75" hidden="1" customHeight="1">
      <c r="A151" s="243" t="str">
        <f t="shared" si="10"/>
        <v>OK</v>
      </c>
      <c r="B151" s="419" t="str">
        <f t="shared" si="9"/>
        <v/>
      </c>
      <c r="C151" s="420" t="str">
        <f>IF(CONSOLIDA!CN148="","",CONSOLIDA!CN148)</f>
        <v/>
      </c>
      <c r="D151" s="421" t="str">
        <f>IF(CONSOLIDA!CO148="","",CONSOLIDA!CO148)</f>
        <v/>
      </c>
      <c r="E151" s="422" t="str">
        <f>IF(C151="","",IF(CONSOLIDA!DD148="",0,CONSOLIDA!DD148))</f>
        <v/>
      </c>
      <c r="F151" s="422" t="str">
        <f>IF(C151="","",IF(CONSOLIDA!CS148="",0,CONSOLIDA!CS148))</f>
        <v/>
      </c>
      <c r="G151" s="422" t="str">
        <f>IF(C151="","",IF(CONSOLIDA!CT148="",0,CONSOLIDA!CT148))</f>
        <v/>
      </c>
      <c r="H151" s="422" t="str">
        <f>IF(C151="","",IF(CONSOLIDA!DE148="",0,CONSOLIDA!DE148))</f>
        <v/>
      </c>
      <c r="I151" s="422" t="str">
        <f>IF(C151="","",IF(CONSOLIDA!CW148="",0,CONSOLIDA!CW148))</f>
        <v/>
      </c>
      <c r="J151" s="422" t="str">
        <f>IF(C151="","",IF(CONSOLIDA!CX148="",0,CONSOLIDA!CX148))</f>
        <v/>
      </c>
      <c r="K151" s="486"/>
      <c r="L151" s="490" t="str">
        <f t="shared" si="8"/>
        <v/>
      </c>
      <c r="M151" s="490" t="str">
        <f t="shared" si="11"/>
        <v/>
      </c>
      <c r="O151" s="29"/>
      <c r="XFD151" s="392"/>
    </row>
    <row r="152" spans="1:15 16384:16384" ht="15.75" hidden="1" customHeight="1">
      <c r="A152" s="243" t="str">
        <f t="shared" si="10"/>
        <v>OK</v>
      </c>
      <c r="B152" s="419" t="str">
        <f t="shared" si="9"/>
        <v/>
      </c>
      <c r="C152" s="420" t="str">
        <f>IF(CONSOLIDA!CN149="","",CONSOLIDA!CN149)</f>
        <v/>
      </c>
      <c r="D152" s="421" t="str">
        <f>IF(CONSOLIDA!CO149="","",CONSOLIDA!CO149)</f>
        <v/>
      </c>
      <c r="E152" s="422" t="str">
        <f>IF(C152="","",IF(CONSOLIDA!DD149="",0,CONSOLIDA!DD149))</f>
        <v/>
      </c>
      <c r="F152" s="422" t="str">
        <f>IF(C152="","",IF(CONSOLIDA!CS149="",0,CONSOLIDA!CS149))</f>
        <v/>
      </c>
      <c r="G152" s="422" t="str">
        <f>IF(C152="","",IF(CONSOLIDA!CT149="",0,CONSOLIDA!CT149))</f>
        <v/>
      </c>
      <c r="H152" s="422" t="str">
        <f>IF(C152="","",IF(CONSOLIDA!DE149="",0,CONSOLIDA!DE149))</f>
        <v/>
      </c>
      <c r="I152" s="422" t="str">
        <f>IF(C152="","",IF(CONSOLIDA!CW149="",0,CONSOLIDA!CW149))</f>
        <v/>
      </c>
      <c r="J152" s="422" t="str">
        <f>IF(C152="","",IF(CONSOLIDA!CX149="",0,CONSOLIDA!CX149))</f>
        <v/>
      </c>
      <c r="K152" s="486"/>
      <c r="L152" s="490" t="str">
        <f t="shared" si="8"/>
        <v/>
      </c>
      <c r="M152" s="490" t="str">
        <f t="shared" si="11"/>
        <v/>
      </c>
      <c r="O152" s="29"/>
      <c r="XFD152" s="392"/>
    </row>
    <row r="153" spans="1:15 16384:16384" ht="15.75" hidden="1" customHeight="1">
      <c r="A153" s="243" t="str">
        <f t="shared" si="10"/>
        <v>OK</v>
      </c>
      <c r="B153" s="419" t="str">
        <f t="shared" si="9"/>
        <v/>
      </c>
      <c r="C153" s="420" t="str">
        <f>IF(CONSOLIDA!CN150="","",CONSOLIDA!CN150)</f>
        <v/>
      </c>
      <c r="D153" s="421" t="str">
        <f>IF(CONSOLIDA!CO150="","",CONSOLIDA!CO150)</f>
        <v/>
      </c>
      <c r="E153" s="422" t="str">
        <f>IF(C153="","",IF(CONSOLIDA!DD150="",0,CONSOLIDA!DD150))</f>
        <v/>
      </c>
      <c r="F153" s="422" t="str">
        <f>IF(C153="","",IF(CONSOLIDA!CS150="",0,CONSOLIDA!CS150))</f>
        <v/>
      </c>
      <c r="G153" s="422" t="str">
        <f>IF(C153="","",IF(CONSOLIDA!CT150="",0,CONSOLIDA!CT150))</f>
        <v/>
      </c>
      <c r="H153" s="422" t="str">
        <f>IF(C153="","",IF(CONSOLIDA!DE150="",0,CONSOLIDA!DE150))</f>
        <v/>
      </c>
      <c r="I153" s="422" t="str">
        <f>IF(C153="","",IF(CONSOLIDA!CW150="",0,CONSOLIDA!CW150))</f>
        <v/>
      </c>
      <c r="J153" s="422" t="str">
        <f>IF(C153="","",IF(CONSOLIDA!CX150="",0,CONSOLIDA!CX150))</f>
        <v/>
      </c>
      <c r="K153" s="486"/>
      <c r="L153" s="490" t="str">
        <f t="shared" si="8"/>
        <v/>
      </c>
      <c r="M153" s="490" t="str">
        <f t="shared" si="11"/>
        <v/>
      </c>
      <c r="O153" s="29"/>
      <c r="XFD153" s="392"/>
    </row>
    <row r="154" spans="1:15 16384:16384" ht="15.75" hidden="1" customHeight="1">
      <c r="A154" s="243" t="str">
        <f t="shared" si="10"/>
        <v>OK</v>
      </c>
      <c r="B154" s="419" t="str">
        <f t="shared" si="9"/>
        <v/>
      </c>
      <c r="C154" s="420" t="str">
        <f>IF(CONSOLIDA!CN151="","",CONSOLIDA!CN151)</f>
        <v/>
      </c>
      <c r="D154" s="421" t="str">
        <f>IF(CONSOLIDA!CO151="","",CONSOLIDA!CO151)</f>
        <v/>
      </c>
      <c r="E154" s="422" t="str">
        <f>IF(C154="","",IF(CONSOLIDA!DD151="",0,CONSOLIDA!DD151))</f>
        <v/>
      </c>
      <c r="F154" s="422" t="str">
        <f>IF(C154="","",IF(CONSOLIDA!CS151="",0,CONSOLIDA!CS151))</f>
        <v/>
      </c>
      <c r="G154" s="422" t="str">
        <f>IF(C154="","",IF(CONSOLIDA!CT151="",0,CONSOLIDA!CT151))</f>
        <v/>
      </c>
      <c r="H154" s="422" t="str">
        <f>IF(C154="","",IF(CONSOLIDA!DE151="",0,CONSOLIDA!DE151))</f>
        <v/>
      </c>
      <c r="I154" s="422" t="str">
        <f>IF(C154="","",IF(CONSOLIDA!CW151="",0,CONSOLIDA!CW151))</f>
        <v/>
      </c>
      <c r="J154" s="422" t="str">
        <f>IF(C154="","",IF(CONSOLIDA!CX151="",0,CONSOLIDA!CX151))</f>
        <v/>
      </c>
      <c r="K154" s="486"/>
      <c r="L154" s="490" t="str">
        <f t="shared" si="8"/>
        <v/>
      </c>
      <c r="M154" s="490" t="str">
        <f t="shared" si="11"/>
        <v/>
      </c>
      <c r="O154" s="29"/>
      <c r="XFD154" s="392"/>
    </row>
    <row r="155" spans="1:15 16384:16384" ht="15.75" hidden="1" customHeight="1">
      <c r="A155" s="243" t="str">
        <f t="shared" si="10"/>
        <v>OK</v>
      </c>
      <c r="B155" s="419" t="str">
        <f t="shared" si="9"/>
        <v/>
      </c>
      <c r="C155" s="420" t="str">
        <f>IF(CONSOLIDA!CN152="","",CONSOLIDA!CN152)</f>
        <v/>
      </c>
      <c r="D155" s="421" t="str">
        <f>IF(CONSOLIDA!CO152="","",CONSOLIDA!CO152)</f>
        <v/>
      </c>
      <c r="E155" s="422" t="str">
        <f>IF(C155="","",IF(CONSOLIDA!DD152="",0,CONSOLIDA!DD152))</f>
        <v/>
      </c>
      <c r="F155" s="422" t="str">
        <f>IF(C155="","",IF(CONSOLIDA!CS152="",0,CONSOLIDA!CS152))</f>
        <v/>
      </c>
      <c r="G155" s="422" t="str">
        <f>IF(C155="","",IF(CONSOLIDA!CT152="",0,CONSOLIDA!CT152))</f>
        <v/>
      </c>
      <c r="H155" s="422" t="str">
        <f>IF(C155="","",IF(CONSOLIDA!DE152="",0,CONSOLIDA!DE152))</f>
        <v/>
      </c>
      <c r="I155" s="422" t="str">
        <f>IF(C155="","",IF(CONSOLIDA!CW152="",0,CONSOLIDA!CW152))</f>
        <v/>
      </c>
      <c r="J155" s="422" t="str">
        <f>IF(C155="","",IF(CONSOLIDA!CX152="",0,CONSOLIDA!CX152))</f>
        <v/>
      </c>
      <c r="K155" s="486"/>
      <c r="L155" s="490" t="str">
        <f t="shared" si="8"/>
        <v/>
      </c>
      <c r="M155" s="490" t="str">
        <f t="shared" si="11"/>
        <v/>
      </c>
      <c r="O155" s="29"/>
      <c r="XFD155" s="392"/>
    </row>
    <row r="156" spans="1:15 16384:16384" ht="15.75" hidden="1" customHeight="1">
      <c r="A156" s="243" t="str">
        <f t="shared" si="10"/>
        <v>OK</v>
      </c>
      <c r="B156" s="419" t="str">
        <f t="shared" si="9"/>
        <v/>
      </c>
      <c r="C156" s="420" t="str">
        <f>IF(CONSOLIDA!CN153="","",CONSOLIDA!CN153)</f>
        <v/>
      </c>
      <c r="D156" s="421" t="str">
        <f>IF(CONSOLIDA!CO153="","",CONSOLIDA!CO153)</f>
        <v/>
      </c>
      <c r="E156" s="422" t="str">
        <f>IF(C156="","",IF(CONSOLIDA!DD153="",0,CONSOLIDA!DD153))</f>
        <v/>
      </c>
      <c r="F156" s="422" t="str">
        <f>IF(C156="","",IF(CONSOLIDA!CS153="",0,CONSOLIDA!CS153))</f>
        <v/>
      </c>
      <c r="G156" s="422" t="str">
        <f>IF(C156="","",IF(CONSOLIDA!CT153="",0,CONSOLIDA!CT153))</f>
        <v/>
      </c>
      <c r="H156" s="422" t="str">
        <f>IF(C156="","",IF(CONSOLIDA!DE153="",0,CONSOLIDA!DE153))</f>
        <v/>
      </c>
      <c r="I156" s="422" t="str">
        <f>IF(C156="","",IF(CONSOLIDA!CW153="",0,CONSOLIDA!CW153))</f>
        <v/>
      </c>
      <c r="J156" s="422" t="str">
        <f>IF(C156="","",IF(CONSOLIDA!CX153="",0,CONSOLIDA!CX153))</f>
        <v/>
      </c>
      <c r="K156" s="486"/>
      <c r="L156" s="490" t="str">
        <f t="shared" si="8"/>
        <v/>
      </c>
      <c r="M156" s="490" t="str">
        <f t="shared" si="11"/>
        <v/>
      </c>
      <c r="O156" s="29"/>
      <c r="XFD156" s="392"/>
    </row>
    <row r="157" spans="1:15 16384:16384" ht="15.75" hidden="1" customHeight="1">
      <c r="A157" s="243" t="str">
        <f t="shared" si="10"/>
        <v>OK</v>
      </c>
      <c r="B157" s="419" t="str">
        <f t="shared" si="9"/>
        <v/>
      </c>
      <c r="C157" s="420" t="str">
        <f>IF(CONSOLIDA!CN154="","",CONSOLIDA!CN154)</f>
        <v/>
      </c>
      <c r="D157" s="421" t="str">
        <f>IF(CONSOLIDA!CO154="","",CONSOLIDA!CO154)</f>
        <v/>
      </c>
      <c r="E157" s="422" t="str">
        <f>IF(C157="","",IF(CONSOLIDA!DD154="",0,CONSOLIDA!DD154))</f>
        <v/>
      </c>
      <c r="F157" s="422" t="str">
        <f>IF(C157="","",IF(CONSOLIDA!CS154="",0,CONSOLIDA!CS154))</f>
        <v/>
      </c>
      <c r="G157" s="422" t="str">
        <f>IF(C157="","",IF(CONSOLIDA!CT154="",0,CONSOLIDA!CT154))</f>
        <v/>
      </c>
      <c r="H157" s="422" t="str">
        <f>IF(C157="","",IF(CONSOLIDA!DE154="",0,CONSOLIDA!DE154))</f>
        <v/>
      </c>
      <c r="I157" s="422" t="str">
        <f>IF(C157="","",IF(CONSOLIDA!CW154="",0,CONSOLIDA!CW154))</f>
        <v/>
      </c>
      <c r="J157" s="422" t="str">
        <f>IF(C157="","",IF(CONSOLIDA!CX154="",0,CONSOLIDA!CX154))</f>
        <v/>
      </c>
      <c r="K157" s="486"/>
      <c r="L157" s="490" t="str">
        <f t="shared" si="8"/>
        <v/>
      </c>
      <c r="M157" s="490" t="str">
        <f t="shared" si="11"/>
        <v/>
      </c>
      <c r="O157" s="29"/>
      <c r="XFD157" s="392"/>
    </row>
    <row r="158" spans="1:15 16384:16384" ht="15.75" hidden="1" customHeight="1">
      <c r="A158" s="243" t="str">
        <f t="shared" si="10"/>
        <v>OK</v>
      </c>
      <c r="B158" s="419" t="str">
        <f t="shared" si="9"/>
        <v/>
      </c>
      <c r="C158" s="420" t="str">
        <f>IF(CONSOLIDA!CN155="","",CONSOLIDA!CN155)</f>
        <v/>
      </c>
      <c r="D158" s="421" t="str">
        <f>IF(CONSOLIDA!CO155="","",CONSOLIDA!CO155)</f>
        <v/>
      </c>
      <c r="E158" s="422" t="str">
        <f>IF(C158="","",IF(CONSOLIDA!DD155="",0,CONSOLIDA!DD155))</f>
        <v/>
      </c>
      <c r="F158" s="422" t="str">
        <f>IF(C158="","",IF(CONSOLIDA!CS155="",0,CONSOLIDA!CS155))</f>
        <v/>
      </c>
      <c r="G158" s="422" t="str">
        <f>IF(C158="","",IF(CONSOLIDA!CT155="",0,CONSOLIDA!CT155))</f>
        <v/>
      </c>
      <c r="H158" s="422" t="str">
        <f>IF(C158="","",IF(CONSOLIDA!DE155="",0,CONSOLIDA!DE155))</f>
        <v/>
      </c>
      <c r="I158" s="422" t="str">
        <f>IF(C158="","",IF(CONSOLIDA!CW155="",0,CONSOLIDA!CW155))</f>
        <v/>
      </c>
      <c r="J158" s="422" t="str">
        <f>IF(C158="","",IF(CONSOLIDA!CX155="",0,CONSOLIDA!CX155))</f>
        <v/>
      </c>
      <c r="K158" s="486"/>
      <c r="L158" s="490" t="str">
        <f t="shared" si="8"/>
        <v/>
      </c>
      <c r="M158" s="490" t="str">
        <f t="shared" si="11"/>
        <v/>
      </c>
      <c r="O158" s="29"/>
      <c r="XFD158" s="392"/>
    </row>
    <row r="159" spans="1:15 16384:16384" ht="15.75" hidden="1" customHeight="1">
      <c r="A159" s="243" t="str">
        <f t="shared" si="10"/>
        <v>OK</v>
      </c>
      <c r="B159" s="419" t="str">
        <f t="shared" si="9"/>
        <v/>
      </c>
      <c r="C159" s="420" t="str">
        <f>IF(CONSOLIDA!CN156="","",CONSOLIDA!CN156)</f>
        <v/>
      </c>
      <c r="D159" s="421" t="str">
        <f>IF(CONSOLIDA!CO156="","",CONSOLIDA!CO156)</f>
        <v/>
      </c>
      <c r="E159" s="422" t="str">
        <f>IF(C159="","",IF(CONSOLIDA!DD156="",0,CONSOLIDA!DD156))</f>
        <v/>
      </c>
      <c r="F159" s="422" t="str">
        <f>IF(C159="","",IF(CONSOLIDA!CS156="",0,CONSOLIDA!CS156))</f>
        <v/>
      </c>
      <c r="G159" s="422" t="str">
        <f>IF(C159="","",IF(CONSOLIDA!CT156="",0,CONSOLIDA!CT156))</f>
        <v/>
      </c>
      <c r="H159" s="422" t="str">
        <f>IF(C159="","",IF(CONSOLIDA!DE156="",0,CONSOLIDA!DE156))</f>
        <v/>
      </c>
      <c r="I159" s="422" t="str">
        <f>IF(C159="","",IF(CONSOLIDA!CW156="",0,CONSOLIDA!CW156))</f>
        <v/>
      </c>
      <c r="J159" s="422" t="str">
        <f>IF(C159="","",IF(CONSOLIDA!CX156="",0,CONSOLIDA!CX156))</f>
        <v/>
      </c>
      <c r="K159" s="486"/>
      <c r="L159" s="490" t="str">
        <f t="shared" si="8"/>
        <v/>
      </c>
      <c r="M159" s="490" t="str">
        <f t="shared" si="11"/>
        <v/>
      </c>
      <c r="O159" s="29"/>
      <c r="XFD159" s="392"/>
    </row>
    <row r="160" spans="1:15 16384:16384" ht="15.75" hidden="1" customHeight="1">
      <c r="A160" s="243" t="str">
        <f t="shared" si="10"/>
        <v>OK</v>
      </c>
      <c r="B160" s="419" t="str">
        <f t="shared" si="9"/>
        <v/>
      </c>
      <c r="C160" s="420" t="str">
        <f>IF(CONSOLIDA!CN157="","",CONSOLIDA!CN157)</f>
        <v/>
      </c>
      <c r="D160" s="421" t="str">
        <f>IF(CONSOLIDA!CO157="","",CONSOLIDA!CO157)</f>
        <v/>
      </c>
      <c r="E160" s="422" t="str">
        <f>IF(C160="","",IF(CONSOLIDA!DD157="",0,CONSOLIDA!DD157))</f>
        <v/>
      </c>
      <c r="F160" s="422" t="str">
        <f>IF(C160="","",IF(CONSOLIDA!CS157="",0,CONSOLIDA!CS157))</f>
        <v/>
      </c>
      <c r="G160" s="422" t="str">
        <f>IF(C160="","",IF(CONSOLIDA!CT157="",0,CONSOLIDA!CT157))</f>
        <v/>
      </c>
      <c r="H160" s="422" t="str">
        <f>IF(C160="","",IF(CONSOLIDA!DE157="",0,CONSOLIDA!DE157))</f>
        <v/>
      </c>
      <c r="I160" s="422" t="str">
        <f>IF(C160="","",IF(CONSOLIDA!CW157="",0,CONSOLIDA!CW157))</f>
        <v/>
      </c>
      <c r="J160" s="422" t="str">
        <f>IF(C160="","",IF(CONSOLIDA!CX157="",0,CONSOLIDA!CX157))</f>
        <v/>
      </c>
      <c r="K160" s="486"/>
      <c r="L160" s="490" t="str">
        <f t="shared" si="8"/>
        <v/>
      </c>
      <c r="M160" s="490" t="str">
        <f t="shared" si="11"/>
        <v/>
      </c>
      <c r="O160" s="29"/>
      <c r="XFD160" s="392"/>
    </row>
    <row r="161" spans="1:15 16384:16384" ht="15.75" hidden="1" customHeight="1">
      <c r="A161" s="243" t="str">
        <f t="shared" si="10"/>
        <v>OK</v>
      </c>
      <c r="B161" s="419" t="str">
        <f t="shared" si="9"/>
        <v/>
      </c>
      <c r="C161" s="420" t="str">
        <f>IF(CONSOLIDA!CN158="","",CONSOLIDA!CN158)</f>
        <v/>
      </c>
      <c r="D161" s="421" t="str">
        <f>IF(CONSOLIDA!CO158="","",CONSOLIDA!CO158)</f>
        <v/>
      </c>
      <c r="E161" s="422" t="str">
        <f>IF(C161="","",IF(CONSOLIDA!DD158="",0,CONSOLIDA!DD158))</f>
        <v/>
      </c>
      <c r="F161" s="422" t="str">
        <f>IF(C161="","",IF(CONSOLIDA!CS158="",0,CONSOLIDA!CS158))</f>
        <v/>
      </c>
      <c r="G161" s="422" t="str">
        <f>IF(C161="","",IF(CONSOLIDA!CT158="",0,CONSOLIDA!CT158))</f>
        <v/>
      </c>
      <c r="H161" s="422" t="str">
        <f>IF(C161="","",IF(CONSOLIDA!DE158="",0,CONSOLIDA!DE158))</f>
        <v/>
      </c>
      <c r="I161" s="422" t="str">
        <f>IF(C161="","",IF(CONSOLIDA!CW158="",0,CONSOLIDA!CW158))</f>
        <v/>
      </c>
      <c r="J161" s="422" t="str">
        <f>IF(C161="","",IF(CONSOLIDA!CX158="",0,CONSOLIDA!CX158))</f>
        <v/>
      </c>
      <c r="K161" s="486"/>
      <c r="L161" s="490" t="str">
        <f t="shared" si="8"/>
        <v/>
      </c>
      <c r="M161" s="490" t="str">
        <f t="shared" si="11"/>
        <v/>
      </c>
      <c r="O161" s="29"/>
      <c r="XFD161" s="392"/>
    </row>
    <row r="162" spans="1:15 16384:16384" ht="15.75" hidden="1" customHeight="1">
      <c r="A162" s="243" t="str">
        <f t="shared" si="10"/>
        <v>OK</v>
      </c>
      <c r="B162" s="419" t="str">
        <f t="shared" si="9"/>
        <v/>
      </c>
      <c r="C162" s="420" t="str">
        <f>IF(CONSOLIDA!CN159="","",CONSOLIDA!CN159)</f>
        <v/>
      </c>
      <c r="D162" s="421" t="str">
        <f>IF(CONSOLIDA!CO159="","",CONSOLIDA!CO159)</f>
        <v/>
      </c>
      <c r="E162" s="422" t="str">
        <f>IF(C162="","",IF(CONSOLIDA!DD159="",0,CONSOLIDA!DD159))</f>
        <v/>
      </c>
      <c r="F162" s="422" t="str">
        <f>IF(C162="","",IF(CONSOLIDA!CS159="",0,CONSOLIDA!CS159))</f>
        <v/>
      </c>
      <c r="G162" s="422" t="str">
        <f>IF(C162="","",IF(CONSOLIDA!CT159="",0,CONSOLIDA!CT159))</f>
        <v/>
      </c>
      <c r="H162" s="422" t="str">
        <f>IF(C162="","",IF(CONSOLIDA!DE159="",0,CONSOLIDA!DE159))</f>
        <v/>
      </c>
      <c r="I162" s="422" t="str">
        <f>IF(C162="","",IF(CONSOLIDA!CW159="",0,CONSOLIDA!CW159))</f>
        <v/>
      </c>
      <c r="J162" s="422" t="str">
        <f>IF(C162="","",IF(CONSOLIDA!CX159="",0,CONSOLIDA!CX159))</f>
        <v/>
      </c>
      <c r="K162" s="486"/>
      <c r="L162" s="490" t="str">
        <f t="shared" si="8"/>
        <v/>
      </c>
      <c r="M162" s="490" t="str">
        <f t="shared" si="11"/>
        <v/>
      </c>
      <c r="O162" s="29"/>
      <c r="XFD162" s="392"/>
    </row>
    <row r="163" spans="1:15 16384:16384" ht="15.75" hidden="1" customHeight="1">
      <c r="A163" s="243" t="str">
        <f t="shared" si="10"/>
        <v>OK</v>
      </c>
      <c r="B163" s="419" t="str">
        <f t="shared" si="9"/>
        <v/>
      </c>
      <c r="C163" s="420" t="str">
        <f>IF(CONSOLIDA!CN160="","",CONSOLIDA!CN160)</f>
        <v/>
      </c>
      <c r="D163" s="421" t="str">
        <f>IF(CONSOLIDA!CO160="","",CONSOLIDA!CO160)</f>
        <v/>
      </c>
      <c r="E163" s="422" t="str">
        <f>IF(C163="","",IF(CONSOLIDA!DD160="",0,CONSOLIDA!DD160))</f>
        <v/>
      </c>
      <c r="F163" s="422" t="str">
        <f>IF(C163="","",IF(CONSOLIDA!CS160="",0,CONSOLIDA!CS160))</f>
        <v/>
      </c>
      <c r="G163" s="422" t="str">
        <f>IF(C163="","",IF(CONSOLIDA!CT160="",0,CONSOLIDA!CT160))</f>
        <v/>
      </c>
      <c r="H163" s="422" t="str">
        <f>IF(C163="","",IF(CONSOLIDA!DE160="",0,CONSOLIDA!DE160))</f>
        <v/>
      </c>
      <c r="I163" s="422" t="str">
        <f>IF(C163="","",IF(CONSOLIDA!CW160="",0,CONSOLIDA!CW160))</f>
        <v/>
      </c>
      <c r="J163" s="422" t="str">
        <f>IF(C163="","",IF(CONSOLIDA!CX160="",0,CONSOLIDA!CX160))</f>
        <v/>
      </c>
      <c r="K163" s="486"/>
      <c r="L163" s="490" t="str">
        <f t="shared" si="8"/>
        <v/>
      </c>
      <c r="M163" s="490" t="str">
        <f t="shared" si="11"/>
        <v/>
      </c>
      <c r="O163" s="29"/>
      <c r="XFD163" s="392"/>
    </row>
    <row r="164" spans="1:15 16384:16384" ht="15.75" hidden="1" customHeight="1">
      <c r="A164" s="243" t="str">
        <f t="shared" si="10"/>
        <v>OK</v>
      </c>
      <c r="B164" s="419" t="str">
        <f t="shared" si="9"/>
        <v/>
      </c>
      <c r="C164" s="420" t="str">
        <f>IF(CONSOLIDA!CN161="","",CONSOLIDA!CN161)</f>
        <v/>
      </c>
      <c r="D164" s="421" t="str">
        <f>IF(CONSOLIDA!CO161="","",CONSOLIDA!CO161)</f>
        <v/>
      </c>
      <c r="E164" s="422" t="str">
        <f>IF(C164="","",IF(CONSOLIDA!DD161="",0,CONSOLIDA!DD161))</f>
        <v/>
      </c>
      <c r="F164" s="422" t="str">
        <f>IF(C164="","",IF(CONSOLIDA!CS161="",0,CONSOLIDA!CS161))</f>
        <v/>
      </c>
      <c r="G164" s="422" t="str">
        <f>IF(C164="","",IF(CONSOLIDA!CT161="",0,CONSOLIDA!CT161))</f>
        <v/>
      </c>
      <c r="H164" s="422" t="str">
        <f>IF(C164="","",IF(CONSOLIDA!DE161="",0,CONSOLIDA!DE161))</f>
        <v/>
      </c>
      <c r="I164" s="422" t="str">
        <f>IF(C164="","",IF(CONSOLIDA!CW161="",0,CONSOLIDA!CW161))</f>
        <v/>
      </c>
      <c r="J164" s="422" t="str">
        <f>IF(C164="","",IF(CONSOLIDA!CX161="",0,CONSOLIDA!CX161))</f>
        <v/>
      </c>
      <c r="K164" s="486"/>
      <c r="L164" s="490" t="str">
        <f t="shared" si="8"/>
        <v/>
      </c>
      <c r="M164" s="490" t="str">
        <f t="shared" si="11"/>
        <v/>
      </c>
      <c r="O164" s="29"/>
      <c r="XFD164" s="392"/>
    </row>
    <row r="165" spans="1:15 16384:16384" ht="15.75" hidden="1" customHeight="1">
      <c r="A165" s="243" t="str">
        <f t="shared" si="10"/>
        <v>OK</v>
      </c>
      <c r="B165" s="419" t="str">
        <f t="shared" si="9"/>
        <v/>
      </c>
      <c r="C165" s="420" t="str">
        <f>IF(CONSOLIDA!CN162="","",CONSOLIDA!CN162)</f>
        <v/>
      </c>
      <c r="D165" s="421" t="str">
        <f>IF(CONSOLIDA!CO162="","",CONSOLIDA!CO162)</f>
        <v/>
      </c>
      <c r="E165" s="422" t="str">
        <f>IF(C165="","",IF(CONSOLIDA!DD162="",0,CONSOLIDA!DD162))</f>
        <v/>
      </c>
      <c r="F165" s="422" t="str">
        <f>IF(C165="","",IF(CONSOLIDA!CS162="",0,CONSOLIDA!CS162))</f>
        <v/>
      </c>
      <c r="G165" s="422" t="str">
        <f>IF(C165="","",IF(CONSOLIDA!CT162="",0,CONSOLIDA!CT162))</f>
        <v/>
      </c>
      <c r="H165" s="422" t="str">
        <f>IF(C165="","",IF(CONSOLIDA!DE162="",0,CONSOLIDA!DE162))</f>
        <v/>
      </c>
      <c r="I165" s="422" t="str">
        <f>IF(C165="","",IF(CONSOLIDA!CW162="",0,CONSOLIDA!CW162))</f>
        <v/>
      </c>
      <c r="J165" s="422" t="str">
        <f>IF(C165="","",IF(CONSOLIDA!CX162="",0,CONSOLIDA!CX162))</f>
        <v/>
      </c>
      <c r="K165" s="486"/>
      <c r="L165" s="490" t="str">
        <f t="shared" si="8"/>
        <v/>
      </c>
      <c r="M165" s="490" t="str">
        <f t="shared" si="11"/>
        <v/>
      </c>
      <c r="O165" s="29"/>
      <c r="XFD165" s="392"/>
    </row>
    <row r="166" spans="1:15 16384:16384" ht="15.75" hidden="1" customHeight="1">
      <c r="A166" s="243" t="str">
        <f t="shared" si="10"/>
        <v>OK</v>
      </c>
      <c r="B166" s="419" t="str">
        <f t="shared" si="9"/>
        <v/>
      </c>
      <c r="C166" s="420" t="str">
        <f>IF(CONSOLIDA!CN163="","",CONSOLIDA!CN163)</f>
        <v/>
      </c>
      <c r="D166" s="421" t="str">
        <f>IF(CONSOLIDA!CO163="","",CONSOLIDA!CO163)</f>
        <v/>
      </c>
      <c r="E166" s="422" t="str">
        <f>IF(C166="","",IF(CONSOLIDA!DD163="",0,CONSOLIDA!DD163))</f>
        <v/>
      </c>
      <c r="F166" s="422" t="str">
        <f>IF(C166="","",IF(CONSOLIDA!CS163="",0,CONSOLIDA!CS163))</f>
        <v/>
      </c>
      <c r="G166" s="422" t="str">
        <f>IF(C166="","",IF(CONSOLIDA!CT163="",0,CONSOLIDA!CT163))</f>
        <v/>
      </c>
      <c r="H166" s="422" t="str">
        <f>IF(C166="","",IF(CONSOLIDA!DE163="",0,CONSOLIDA!DE163))</f>
        <v/>
      </c>
      <c r="I166" s="422" t="str">
        <f>IF(C166="","",IF(CONSOLIDA!CW163="",0,CONSOLIDA!CW163))</f>
        <v/>
      </c>
      <c r="J166" s="422" t="str">
        <f>IF(C166="","",IF(CONSOLIDA!CX163="",0,CONSOLIDA!CX163))</f>
        <v/>
      </c>
      <c r="K166" s="486"/>
      <c r="L166" s="490" t="str">
        <f t="shared" si="8"/>
        <v/>
      </c>
      <c r="M166" s="490" t="str">
        <f t="shared" si="11"/>
        <v/>
      </c>
      <c r="O166" s="29"/>
      <c r="XFD166" s="392"/>
    </row>
    <row r="167" spans="1:15 16384:16384" ht="15.75" hidden="1" customHeight="1">
      <c r="A167" s="243" t="str">
        <f t="shared" si="10"/>
        <v>OK</v>
      </c>
      <c r="B167" s="419" t="str">
        <f t="shared" si="9"/>
        <v/>
      </c>
      <c r="C167" s="420" t="str">
        <f>IF(CONSOLIDA!CN164="","",CONSOLIDA!CN164)</f>
        <v/>
      </c>
      <c r="D167" s="421" t="str">
        <f>IF(CONSOLIDA!CO164="","",CONSOLIDA!CO164)</f>
        <v/>
      </c>
      <c r="E167" s="422" t="str">
        <f>IF(C167="","",IF(CONSOLIDA!DD164="",0,CONSOLIDA!DD164))</f>
        <v/>
      </c>
      <c r="F167" s="422" t="str">
        <f>IF(C167="","",IF(CONSOLIDA!CS164="",0,CONSOLIDA!CS164))</f>
        <v/>
      </c>
      <c r="G167" s="422" t="str">
        <f>IF(C167="","",IF(CONSOLIDA!CT164="",0,CONSOLIDA!CT164))</f>
        <v/>
      </c>
      <c r="H167" s="422" t="str">
        <f>IF(C167="","",IF(CONSOLIDA!DE164="",0,CONSOLIDA!DE164))</f>
        <v/>
      </c>
      <c r="I167" s="422" t="str">
        <f>IF(C167="","",IF(CONSOLIDA!CW164="",0,CONSOLIDA!CW164))</f>
        <v/>
      </c>
      <c r="J167" s="422" t="str">
        <f>IF(C167="","",IF(CONSOLIDA!CX164="",0,CONSOLIDA!CX164))</f>
        <v/>
      </c>
      <c r="K167" s="486"/>
      <c r="L167" s="490" t="str">
        <f t="shared" si="8"/>
        <v/>
      </c>
      <c r="M167" s="490" t="str">
        <f t="shared" si="11"/>
        <v/>
      </c>
      <c r="O167" s="29"/>
      <c r="XFD167" s="392"/>
    </row>
    <row r="168" spans="1:15 16384:16384" ht="15.75" hidden="1" customHeight="1">
      <c r="A168" s="243" t="str">
        <f t="shared" si="10"/>
        <v>OK</v>
      </c>
      <c r="B168" s="419" t="str">
        <f t="shared" si="9"/>
        <v/>
      </c>
      <c r="C168" s="420" t="str">
        <f>IF(CONSOLIDA!CN165="","",CONSOLIDA!CN165)</f>
        <v/>
      </c>
      <c r="D168" s="421" t="str">
        <f>IF(CONSOLIDA!CO165="","",CONSOLIDA!CO165)</f>
        <v/>
      </c>
      <c r="E168" s="422" t="str">
        <f>IF(C168="","",IF(CONSOLIDA!DD165="",0,CONSOLIDA!DD165))</f>
        <v/>
      </c>
      <c r="F168" s="422" t="str">
        <f>IF(C168="","",IF(CONSOLIDA!CS165="",0,CONSOLIDA!CS165))</f>
        <v/>
      </c>
      <c r="G168" s="422" t="str">
        <f>IF(C168="","",IF(CONSOLIDA!CT165="",0,CONSOLIDA!CT165))</f>
        <v/>
      </c>
      <c r="H168" s="422" t="str">
        <f>IF(C168="","",IF(CONSOLIDA!DE165="",0,CONSOLIDA!DE165))</f>
        <v/>
      </c>
      <c r="I168" s="422" t="str">
        <f>IF(C168="","",IF(CONSOLIDA!CW165="",0,CONSOLIDA!CW165))</f>
        <v/>
      </c>
      <c r="J168" s="422" t="str">
        <f>IF(C168="","",IF(CONSOLIDA!CX165="",0,CONSOLIDA!CX165))</f>
        <v/>
      </c>
      <c r="K168" s="486"/>
      <c r="L168" s="490" t="str">
        <f t="shared" si="8"/>
        <v/>
      </c>
      <c r="M168" s="490" t="str">
        <f t="shared" si="11"/>
        <v/>
      </c>
      <c r="O168" s="29"/>
      <c r="XFD168" s="392"/>
    </row>
    <row r="169" spans="1:15 16384:16384" ht="15.75" hidden="1" customHeight="1">
      <c r="A169" s="243" t="str">
        <f t="shared" si="10"/>
        <v>OK</v>
      </c>
      <c r="B169" s="419" t="str">
        <f t="shared" si="9"/>
        <v/>
      </c>
      <c r="C169" s="420" t="str">
        <f>IF(CONSOLIDA!CN166="","",CONSOLIDA!CN166)</f>
        <v/>
      </c>
      <c r="D169" s="421" t="str">
        <f>IF(CONSOLIDA!CO166="","",CONSOLIDA!CO166)</f>
        <v/>
      </c>
      <c r="E169" s="422" t="str">
        <f>IF(C169="","",IF(CONSOLIDA!DD166="",0,CONSOLIDA!DD166))</f>
        <v/>
      </c>
      <c r="F169" s="422" t="str">
        <f>IF(C169="","",IF(CONSOLIDA!CS166="",0,CONSOLIDA!CS166))</f>
        <v/>
      </c>
      <c r="G169" s="422" t="str">
        <f>IF(C169="","",IF(CONSOLIDA!CT166="",0,CONSOLIDA!CT166))</f>
        <v/>
      </c>
      <c r="H169" s="422" t="str">
        <f>IF(C169="","",IF(CONSOLIDA!DE166="",0,CONSOLIDA!DE166))</f>
        <v/>
      </c>
      <c r="I169" s="422" t="str">
        <f>IF(C169="","",IF(CONSOLIDA!CW166="",0,CONSOLIDA!CW166))</f>
        <v/>
      </c>
      <c r="J169" s="422" t="str">
        <f>IF(C169="","",IF(CONSOLIDA!CX166="",0,CONSOLIDA!CX166))</f>
        <v/>
      </c>
      <c r="K169" s="486"/>
      <c r="L169" s="490" t="str">
        <f t="shared" si="8"/>
        <v/>
      </c>
      <c r="M169" s="490" t="str">
        <f t="shared" si="11"/>
        <v/>
      </c>
      <c r="O169" s="29"/>
      <c r="XFD169" s="392"/>
    </row>
    <row r="170" spans="1:15 16384:16384" ht="15.75" hidden="1" customHeight="1">
      <c r="A170" s="243" t="str">
        <f t="shared" si="10"/>
        <v>OK</v>
      </c>
      <c r="B170" s="419" t="str">
        <f t="shared" si="9"/>
        <v/>
      </c>
      <c r="C170" s="420" t="str">
        <f>IF(CONSOLIDA!CN167="","",CONSOLIDA!CN167)</f>
        <v/>
      </c>
      <c r="D170" s="421" t="str">
        <f>IF(CONSOLIDA!CO167="","",CONSOLIDA!CO167)</f>
        <v/>
      </c>
      <c r="E170" s="422" t="str">
        <f>IF(C170="","",IF(CONSOLIDA!DD167="",0,CONSOLIDA!DD167))</f>
        <v/>
      </c>
      <c r="F170" s="422" t="str">
        <f>IF(C170="","",IF(CONSOLIDA!CS167="",0,CONSOLIDA!CS167))</f>
        <v/>
      </c>
      <c r="G170" s="422" t="str">
        <f>IF(C170="","",IF(CONSOLIDA!CT167="",0,CONSOLIDA!CT167))</f>
        <v/>
      </c>
      <c r="H170" s="422" t="str">
        <f>IF(C170="","",IF(CONSOLIDA!DE167="",0,CONSOLIDA!DE167))</f>
        <v/>
      </c>
      <c r="I170" s="422" t="str">
        <f>IF(C170="","",IF(CONSOLIDA!CW167="",0,CONSOLIDA!CW167))</f>
        <v/>
      </c>
      <c r="J170" s="422" t="str">
        <f>IF(C170="","",IF(CONSOLIDA!CX167="",0,CONSOLIDA!CX167))</f>
        <v/>
      </c>
      <c r="K170" s="486"/>
      <c r="L170" s="490" t="str">
        <f t="shared" si="8"/>
        <v/>
      </c>
      <c r="M170" s="490" t="str">
        <f t="shared" si="11"/>
        <v/>
      </c>
      <c r="O170" s="29"/>
      <c r="XFD170" s="392"/>
    </row>
    <row r="171" spans="1:15 16384:16384" ht="15.75" hidden="1" customHeight="1">
      <c r="A171" s="243" t="str">
        <f t="shared" si="10"/>
        <v>OK</v>
      </c>
      <c r="B171" s="419" t="str">
        <f t="shared" si="9"/>
        <v/>
      </c>
      <c r="C171" s="420" t="str">
        <f>IF(CONSOLIDA!CN168="","",CONSOLIDA!CN168)</f>
        <v/>
      </c>
      <c r="D171" s="421" t="str">
        <f>IF(CONSOLIDA!CO168="","",CONSOLIDA!CO168)</f>
        <v/>
      </c>
      <c r="E171" s="422" t="str">
        <f>IF(C171="","",IF(CONSOLIDA!DD168="",0,CONSOLIDA!DD168))</f>
        <v/>
      </c>
      <c r="F171" s="422" t="str">
        <f>IF(C171="","",IF(CONSOLIDA!CS168="",0,CONSOLIDA!CS168))</f>
        <v/>
      </c>
      <c r="G171" s="422" t="str">
        <f>IF(C171="","",IF(CONSOLIDA!CT168="",0,CONSOLIDA!CT168))</f>
        <v/>
      </c>
      <c r="H171" s="422" t="str">
        <f>IF(C171="","",IF(CONSOLIDA!DE168="",0,CONSOLIDA!DE168))</f>
        <v/>
      </c>
      <c r="I171" s="422" t="str">
        <f>IF(C171="","",IF(CONSOLIDA!CW168="",0,CONSOLIDA!CW168))</f>
        <v/>
      </c>
      <c r="J171" s="422" t="str">
        <f>IF(C171="","",IF(CONSOLIDA!CX168="",0,CONSOLIDA!CX168))</f>
        <v/>
      </c>
      <c r="K171" s="486"/>
      <c r="L171" s="490" t="str">
        <f t="shared" si="8"/>
        <v/>
      </c>
      <c r="M171" s="490" t="str">
        <f t="shared" si="11"/>
        <v/>
      </c>
      <c r="O171" s="29"/>
      <c r="XFD171" s="392"/>
    </row>
    <row r="172" spans="1:15 16384:16384" ht="15.75" hidden="1" customHeight="1">
      <c r="A172" s="243" t="str">
        <f t="shared" si="10"/>
        <v>OK</v>
      </c>
      <c r="B172" s="419" t="str">
        <f t="shared" si="9"/>
        <v/>
      </c>
      <c r="C172" s="420" t="str">
        <f>IF(CONSOLIDA!CN169="","",CONSOLIDA!CN169)</f>
        <v/>
      </c>
      <c r="D172" s="421" t="str">
        <f>IF(CONSOLIDA!CO169="","",CONSOLIDA!CO169)</f>
        <v/>
      </c>
      <c r="E172" s="422" t="str">
        <f>IF(C172="","",IF(CONSOLIDA!DD169="",0,CONSOLIDA!DD169))</f>
        <v/>
      </c>
      <c r="F172" s="422" t="str">
        <f>IF(C172="","",IF(CONSOLIDA!CS169="",0,CONSOLIDA!CS169))</f>
        <v/>
      </c>
      <c r="G172" s="422" t="str">
        <f>IF(C172="","",IF(CONSOLIDA!CT169="",0,CONSOLIDA!CT169))</f>
        <v/>
      </c>
      <c r="H172" s="422" t="str">
        <f>IF(C172="","",IF(CONSOLIDA!DE169="",0,CONSOLIDA!DE169))</f>
        <v/>
      </c>
      <c r="I172" s="422" t="str">
        <f>IF(C172="","",IF(CONSOLIDA!CW169="",0,CONSOLIDA!CW169))</f>
        <v/>
      </c>
      <c r="J172" s="422" t="str">
        <f>IF(C172="","",IF(CONSOLIDA!CX169="",0,CONSOLIDA!CX169))</f>
        <v/>
      </c>
      <c r="K172" s="486"/>
      <c r="L172" s="490" t="str">
        <f t="shared" si="8"/>
        <v/>
      </c>
      <c r="M172" s="490" t="str">
        <f t="shared" si="11"/>
        <v/>
      </c>
      <c r="O172" s="29"/>
      <c r="XFD172" s="392"/>
    </row>
    <row r="173" spans="1:15 16384:16384" ht="15.75" hidden="1" customHeight="1">
      <c r="A173" s="243" t="str">
        <f t="shared" si="10"/>
        <v>OK</v>
      </c>
      <c r="B173" s="419" t="str">
        <f t="shared" si="9"/>
        <v/>
      </c>
      <c r="C173" s="420" t="str">
        <f>IF(CONSOLIDA!CN170="","",CONSOLIDA!CN170)</f>
        <v/>
      </c>
      <c r="D173" s="421" t="str">
        <f>IF(CONSOLIDA!CO170="","",CONSOLIDA!CO170)</f>
        <v/>
      </c>
      <c r="E173" s="422" t="str">
        <f>IF(C173="","",IF(CONSOLIDA!DD170="",0,CONSOLIDA!DD170))</f>
        <v/>
      </c>
      <c r="F173" s="422" t="str">
        <f>IF(C173="","",IF(CONSOLIDA!CS170="",0,CONSOLIDA!CS170))</f>
        <v/>
      </c>
      <c r="G173" s="422" t="str">
        <f>IF(C173="","",IF(CONSOLIDA!CT170="",0,CONSOLIDA!CT170))</f>
        <v/>
      </c>
      <c r="H173" s="422" t="str">
        <f>IF(C173="","",IF(CONSOLIDA!DE170="",0,CONSOLIDA!DE170))</f>
        <v/>
      </c>
      <c r="I173" s="422" t="str">
        <f>IF(C173="","",IF(CONSOLIDA!CW170="",0,CONSOLIDA!CW170))</f>
        <v/>
      </c>
      <c r="J173" s="422" t="str">
        <f>IF(C173="","",IF(CONSOLIDA!CX170="",0,CONSOLIDA!CX170))</f>
        <v/>
      </c>
      <c r="K173" s="486"/>
      <c r="L173" s="490" t="str">
        <f t="shared" si="8"/>
        <v/>
      </c>
      <c r="M173" s="490" t="str">
        <f t="shared" si="11"/>
        <v/>
      </c>
      <c r="O173" s="29"/>
      <c r="XFD173" s="392"/>
    </row>
    <row r="174" spans="1:15 16384:16384" ht="15.75" hidden="1" customHeight="1">
      <c r="A174" s="243" t="str">
        <f t="shared" si="10"/>
        <v>OK</v>
      </c>
      <c r="B174" s="419" t="str">
        <f t="shared" si="9"/>
        <v/>
      </c>
      <c r="C174" s="420" t="str">
        <f>IF(CONSOLIDA!CN171="","",CONSOLIDA!CN171)</f>
        <v/>
      </c>
      <c r="D174" s="421" t="str">
        <f>IF(CONSOLIDA!CO171="","",CONSOLIDA!CO171)</f>
        <v/>
      </c>
      <c r="E174" s="422" t="str">
        <f>IF(C174="","",IF(CONSOLIDA!DD171="",0,CONSOLIDA!DD171))</f>
        <v/>
      </c>
      <c r="F174" s="422" t="str">
        <f>IF(C174="","",IF(CONSOLIDA!CS171="",0,CONSOLIDA!CS171))</f>
        <v/>
      </c>
      <c r="G174" s="422" t="str">
        <f>IF(C174="","",IF(CONSOLIDA!CT171="",0,CONSOLIDA!CT171))</f>
        <v/>
      </c>
      <c r="H174" s="422" t="str">
        <f>IF(C174="","",IF(CONSOLIDA!DE171="",0,CONSOLIDA!DE171))</f>
        <v/>
      </c>
      <c r="I174" s="422" t="str">
        <f>IF(C174="","",IF(CONSOLIDA!CW171="",0,CONSOLIDA!CW171))</f>
        <v/>
      </c>
      <c r="J174" s="422" t="str">
        <f>IF(C174="","",IF(CONSOLIDA!CX171="",0,CONSOLIDA!CX171))</f>
        <v/>
      </c>
      <c r="K174" s="486"/>
      <c r="L174" s="490" t="str">
        <f t="shared" si="8"/>
        <v/>
      </c>
      <c r="M174" s="490" t="str">
        <f t="shared" si="11"/>
        <v/>
      </c>
      <c r="O174" s="29"/>
      <c r="XFD174" s="392"/>
    </row>
    <row r="175" spans="1:15 16384:16384" ht="15.75" hidden="1" customHeight="1">
      <c r="A175" s="243" t="str">
        <f t="shared" si="10"/>
        <v>OK</v>
      </c>
      <c r="B175" s="419" t="str">
        <f t="shared" si="9"/>
        <v/>
      </c>
      <c r="C175" s="420" t="str">
        <f>IF(CONSOLIDA!CN172="","",CONSOLIDA!CN172)</f>
        <v/>
      </c>
      <c r="D175" s="421" t="str">
        <f>IF(CONSOLIDA!CO172="","",CONSOLIDA!CO172)</f>
        <v/>
      </c>
      <c r="E175" s="422" t="str">
        <f>IF(C175="","",IF(CONSOLIDA!DD172="",0,CONSOLIDA!DD172))</f>
        <v/>
      </c>
      <c r="F175" s="422" t="str">
        <f>IF(C175="","",IF(CONSOLIDA!CS172="",0,CONSOLIDA!CS172))</f>
        <v/>
      </c>
      <c r="G175" s="422" t="str">
        <f>IF(C175="","",IF(CONSOLIDA!CT172="",0,CONSOLIDA!CT172))</f>
        <v/>
      </c>
      <c r="H175" s="422" t="str">
        <f>IF(C175="","",IF(CONSOLIDA!DE172="",0,CONSOLIDA!DE172))</f>
        <v/>
      </c>
      <c r="I175" s="422" t="str">
        <f>IF(C175="","",IF(CONSOLIDA!CW172="",0,CONSOLIDA!CW172))</f>
        <v/>
      </c>
      <c r="J175" s="422" t="str">
        <f>IF(C175="","",IF(CONSOLIDA!CX172="",0,CONSOLIDA!CX172))</f>
        <v/>
      </c>
      <c r="K175" s="486"/>
      <c r="L175" s="490" t="str">
        <f t="shared" ref="L175:L210" si="12">IF(C175="","",(E175-F175)-G175)</f>
        <v/>
      </c>
      <c r="M175" s="490" t="str">
        <f t="shared" si="11"/>
        <v/>
      </c>
      <c r="O175" s="29"/>
      <c r="XFD175" s="392"/>
    </row>
    <row r="176" spans="1:15 16384:16384" ht="15.75" hidden="1" customHeight="1">
      <c r="A176" s="243" t="str">
        <f t="shared" si="10"/>
        <v>OK</v>
      </c>
      <c r="B176" s="419" t="str">
        <f t="shared" si="9"/>
        <v/>
      </c>
      <c r="C176" s="420" t="str">
        <f>IF(CONSOLIDA!CN173="","",CONSOLIDA!CN173)</f>
        <v/>
      </c>
      <c r="D176" s="421" t="str">
        <f>IF(CONSOLIDA!CO173="","",CONSOLIDA!CO173)</f>
        <v/>
      </c>
      <c r="E176" s="422" t="str">
        <f>IF(C176="","",IF(CONSOLIDA!DD173="",0,CONSOLIDA!DD173))</f>
        <v/>
      </c>
      <c r="F176" s="422" t="str">
        <f>IF(C176="","",IF(CONSOLIDA!CS173="",0,CONSOLIDA!CS173))</f>
        <v/>
      </c>
      <c r="G176" s="422" t="str">
        <f>IF(C176="","",IF(CONSOLIDA!CT173="",0,CONSOLIDA!CT173))</f>
        <v/>
      </c>
      <c r="H176" s="422" t="str">
        <f>IF(C176="","",IF(CONSOLIDA!DE173="",0,CONSOLIDA!DE173))</f>
        <v/>
      </c>
      <c r="I176" s="422" t="str">
        <f>IF(C176="","",IF(CONSOLIDA!CW173="",0,CONSOLIDA!CW173))</f>
        <v/>
      </c>
      <c r="J176" s="422" t="str">
        <f>IF(C176="","",IF(CONSOLIDA!CX173="",0,CONSOLIDA!CX173))</f>
        <v/>
      </c>
      <c r="K176" s="486"/>
      <c r="L176" s="490" t="str">
        <f t="shared" si="12"/>
        <v/>
      </c>
      <c r="M176" s="490" t="str">
        <f t="shared" si="11"/>
        <v/>
      </c>
      <c r="O176" s="29"/>
      <c r="XFD176" s="392"/>
    </row>
    <row r="177" spans="1:15 16384:16384" ht="15.75" hidden="1" customHeight="1">
      <c r="A177" s="243" t="str">
        <f t="shared" si="10"/>
        <v>OK</v>
      </c>
      <c r="B177" s="419" t="str">
        <f t="shared" si="9"/>
        <v/>
      </c>
      <c r="C177" s="420" t="str">
        <f>IF(CONSOLIDA!CN174="","",CONSOLIDA!CN174)</f>
        <v/>
      </c>
      <c r="D177" s="421" t="str">
        <f>IF(CONSOLIDA!CO174="","",CONSOLIDA!CO174)</f>
        <v/>
      </c>
      <c r="E177" s="422" t="str">
        <f>IF(C177="","",IF(CONSOLIDA!DD174="",0,CONSOLIDA!DD174))</f>
        <v/>
      </c>
      <c r="F177" s="422" t="str">
        <f>IF(C177="","",IF(CONSOLIDA!CS174="",0,CONSOLIDA!CS174))</f>
        <v/>
      </c>
      <c r="G177" s="422" t="str">
        <f>IF(C177="","",IF(CONSOLIDA!CT174="",0,CONSOLIDA!CT174))</f>
        <v/>
      </c>
      <c r="H177" s="422" t="str">
        <f>IF(C177="","",IF(CONSOLIDA!DE174="",0,CONSOLIDA!DE174))</f>
        <v/>
      </c>
      <c r="I177" s="422" t="str">
        <f>IF(C177="","",IF(CONSOLIDA!CW174="",0,CONSOLIDA!CW174))</f>
        <v/>
      </c>
      <c r="J177" s="422" t="str">
        <f>IF(C177="","",IF(CONSOLIDA!CX174="",0,CONSOLIDA!CX174))</f>
        <v/>
      </c>
      <c r="K177" s="486"/>
      <c r="L177" s="490" t="str">
        <f t="shared" si="12"/>
        <v/>
      </c>
      <c r="M177" s="490" t="str">
        <f t="shared" si="11"/>
        <v/>
      </c>
      <c r="O177" s="29"/>
      <c r="XFD177" s="392"/>
    </row>
    <row r="178" spans="1:15 16384:16384" ht="15.75" hidden="1" customHeight="1">
      <c r="A178" s="243" t="str">
        <f t="shared" si="10"/>
        <v>OK</v>
      </c>
      <c r="B178" s="419" t="str">
        <f t="shared" si="9"/>
        <v/>
      </c>
      <c r="C178" s="420" t="str">
        <f>IF(CONSOLIDA!CN175="","",CONSOLIDA!CN175)</f>
        <v/>
      </c>
      <c r="D178" s="421" t="str">
        <f>IF(CONSOLIDA!CO175="","",CONSOLIDA!CO175)</f>
        <v/>
      </c>
      <c r="E178" s="422" t="str">
        <f>IF(C178="","",IF(CONSOLIDA!DD175="",0,CONSOLIDA!DD175))</f>
        <v/>
      </c>
      <c r="F178" s="422" t="str">
        <f>IF(C178="","",IF(CONSOLIDA!CS175="",0,CONSOLIDA!CS175))</f>
        <v/>
      </c>
      <c r="G178" s="422" t="str">
        <f>IF(C178="","",IF(CONSOLIDA!CT175="",0,CONSOLIDA!CT175))</f>
        <v/>
      </c>
      <c r="H178" s="422" t="str">
        <f>IF(C178="","",IF(CONSOLIDA!DE175="",0,CONSOLIDA!DE175))</f>
        <v/>
      </c>
      <c r="I178" s="422" t="str">
        <f>IF(C178="","",IF(CONSOLIDA!CW175="",0,CONSOLIDA!CW175))</f>
        <v/>
      </c>
      <c r="J178" s="422" t="str">
        <f>IF(C178="","",IF(CONSOLIDA!CX175="",0,CONSOLIDA!CX175))</f>
        <v/>
      </c>
      <c r="K178" s="486"/>
      <c r="L178" s="490" t="str">
        <f t="shared" si="12"/>
        <v/>
      </c>
      <c r="M178" s="490" t="str">
        <f t="shared" si="11"/>
        <v/>
      </c>
      <c r="O178" s="29"/>
      <c r="XFD178" s="392"/>
    </row>
    <row r="179" spans="1:15 16384:16384" ht="15.75" hidden="1" customHeight="1">
      <c r="A179" s="243" t="str">
        <f t="shared" si="10"/>
        <v>OK</v>
      </c>
      <c r="B179" s="419" t="str">
        <f t="shared" si="9"/>
        <v/>
      </c>
      <c r="C179" s="420" t="str">
        <f>IF(CONSOLIDA!CN176="","",CONSOLIDA!CN176)</f>
        <v/>
      </c>
      <c r="D179" s="421" t="str">
        <f>IF(CONSOLIDA!CO176="","",CONSOLIDA!CO176)</f>
        <v/>
      </c>
      <c r="E179" s="422" t="str">
        <f>IF(C179="","",IF(CONSOLIDA!DD176="",0,CONSOLIDA!DD176))</f>
        <v/>
      </c>
      <c r="F179" s="422" t="str">
        <f>IF(C179="","",IF(CONSOLIDA!CS176="",0,CONSOLIDA!CS176))</f>
        <v/>
      </c>
      <c r="G179" s="422" t="str">
        <f>IF(C179="","",IF(CONSOLIDA!CT176="",0,CONSOLIDA!CT176))</f>
        <v/>
      </c>
      <c r="H179" s="422" t="str">
        <f>IF(C179="","",IF(CONSOLIDA!DE176="",0,CONSOLIDA!DE176))</f>
        <v/>
      </c>
      <c r="I179" s="422" t="str">
        <f>IF(C179="","",IF(CONSOLIDA!CW176="",0,CONSOLIDA!CW176))</f>
        <v/>
      </c>
      <c r="J179" s="422" t="str">
        <f>IF(C179="","",IF(CONSOLIDA!CX176="",0,CONSOLIDA!CX176))</f>
        <v/>
      </c>
      <c r="K179" s="486"/>
      <c r="L179" s="490" t="str">
        <f t="shared" si="12"/>
        <v/>
      </c>
      <c r="M179" s="490" t="str">
        <f t="shared" si="11"/>
        <v/>
      </c>
      <c r="O179" s="29"/>
      <c r="XFD179" s="392"/>
    </row>
    <row r="180" spans="1:15 16384:16384" ht="15.75" hidden="1" customHeight="1">
      <c r="A180" s="243" t="str">
        <f t="shared" si="10"/>
        <v>OK</v>
      </c>
      <c r="B180" s="419" t="str">
        <f t="shared" si="9"/>
        <v/>
      </c>
      <c r="C180" s="420" t="str">
        <f>IF(CONSOLIDA!CN177="","",CONSOLIDA!CN177)</f>
        <v/>
      </c>
      <c r="D180" s="421" t="str">
        <f>IF(CONSOLIDA!CO177="","",CONSOLIDA!CO177)</f>
        <v/>
      </c>
      <c r="E180" s="422" t="str">
        <f>IF(C180="","",IF(CONSOLIDA!DD177="",0,CONSOLIDA!DD177))</f>
        <v/>
      </c>
      <c r="F180" s="422" t="str">
        <f>IF(C180="","",IF(CONSOLIDA!CS177="",0,CONSOLIDA!CS177))</f>
        <v/>
      </c>
      <c r="G180" s="422" t="str">
        <f>IF(C180="","",IF(CONSOLIDA!CT177="",0,CONSOLIDA!CT177))</f>
        <v/>
      </c>
      <c r="H180" s="422" t="str">
        <f>IF(C180="","",IF(CONSOLIDA!DE177="",0,CONSOLIDA!DE177))</f>
        <v/>
      </c>
      <c r="I180" s="422" t="str">
        <f>IF(C180="","",IF(CONSOLIDA!CW177="",0,CONSOLIDA!CW177))</f>
        <v/>
      </c>
      <c r="J180" s="422" t="str">
        <f>IF(C180="","",IF(CONSOLIDA!CX177="",0,CONSOLIDA!CX177))</f>
        <v/>
      </c>
      <c r="K180" s="486"/>
      <c r="L180" s="490" t="str">
        <f t="shared" si="12"/>
        <v/>
      </c>
      <c r="M180" s="490" t="str">
        <f t="shared" si="11"/>
        <v/>
      </c>
      <c r="O180" s="29"/>
      <c r="XFD180" s="392"/>
    </row>
    <row r="181" spans="1:15 16384:16384" ht="15.75" hidden="1" customHeight="1">
      <c r="A181" s="243" t="str">
        <f t="shared" si="10"/>
        <v>OK</v>
      </c>
      <c r="B181" s="419" t="str">
        <f t="shared" si="9"/>
        <v/>
      </c>
      <c r="C181" s="420" t="str">
        <f>IF(CONSOLIDA!CN178="","",CONSOLIDA!CN178)</f>
        <v/>
      </c>
      <c r="D181" s="421" t="str">
        <f>IF(CONSOLIDA!CO178="","",CONSOLIDA!CO178)</f>
        <v/>
      </c>
      <c r="E181" s="422" t="str">
        <f>IF(C181="","",IF(CONSOLIDA!DD178="",0,CONSOLIDA!DD178))</f>
        <v/>
      </c>
      <c r="F181" s="422" t="str">
        <f>IF(C181="","",IF(CONSOLIDA!CS178="",0,CONSOLIDA!CS178))</f>
        <v/>
      </c>
      <c r="G181" s="422" t="str">
        <f>IF(C181="","",IF(CONSOLIDA!CT178="",0,CONSOLIDA!CT178))</f>
        <v/>
      </c>
      <c r="H181" s="422" t="str">
        <f>IF(C181="","",IF(CONSOLIDA!DE178="",0,CONSOLIDA!DE178))</f>
        <v/>
      </c>
      <c r="I181" s="422" t="str">
        <f>IF(C181="","",IF(CONSOLIDA!CW178="",0,CONSOLIDA!CW178))</f>
        <v/>
      </c>
      <c r="J181" s="422" t="str">
        <f>IF(C181="","",IF(CONSOLIDA!CX178="",0,CONSOLIDA!CX178))</f>
        <v/>
      </c>
      <c r="K181" s="486"/>
      <c r="L181" s="490" t="str">
        <f t="shared" si="12"/>
        <v/>
      </c>
      <c r="M181" s="490" t="str">
        <f t="shared" si="11"/>
        <v/>
      </c>
      <c r="O181" s="29"/>
      <c r="XFD181" s="392"/>
    </row>
    <row r="182" spans="1:15 16384:16384" ht="15.75" hidden="1" customHeight="1">
      <c r="A182" s="243" t="str">
        <f t="shared" si="10"/>
        <v>OK</v>
      </c>
      <c r="B182" s="419" t="str">
        <f t="shared" si="9"/>
        <v/>
      </c>
      <c r="C182" s="420" t="str">
        <f>IF(CONSOLIDA!CN179="","",CONSOLIDA!CN179)</f>
        <v/>
      </c>
      <c r="D182" s="421" t="str">
        <f>IF(CONSOLIDA!CO179="","",CONSOLIDA!CO179)</f>
        <v/>
      </c>
      <c r="E182" s="422" t="str">
        <f>IF(C182="","",IF(CONSOLIDA!DD179="",0,CONSOLIDA!DD179))</f>
        <v/>
      </c>
      <c r="F182" s="422" t="str">
        <f>IF(C182="","",IF(CONSOLIDA!CS179="",0,CONSOLIDA!CS179))</f>
        <v/>
      </c>
      <c r="G182" s="422" t="str">
        <f>IF(C182="","",IF(CONSOLIDA!CT179="",0,CONSOLIDA!CT179))</f>
        <v/>
      </c>
      <c r="H182" s="422" t="str">
        <f>IF(C182="","",IF(CONSOLIDA!DE179="",0,CONSOLIDA!DE179))</f>
        <v/>
      </c>
      <c r="I182" s="422" t="str">
        <f>IF(C182="","",IF(CONSOLIDA!CW179="",0,CONSOLIDA!CW179))</f>
        <v/>
      </c>
      <c r="J182" s="422" t="str">
        <f>IF(C182="","",IF(CONSOLIDA!CX179="",0,CONSOLIDA!CX179))</f>
        <v/>
      </c>
      <c r="K182" s="486"/>
      <c r="L182" s="490" t="str">
        <f t="shared" si="12"/>
        <v/>
      </c>
      <c r="M182" s="490" t="str">
        <f t="shared" si="11"/>
        <v/>
      </c>
      <c r="O182" s="29"/>
      <c r="XFD182" s="392"/>
    </row>
    <row r="183" spans="1:15 16384:16384" ht="15.75" hidden="1" customHeight="1">
      <c r="A183" s="243" t="str">
        <f t="shared" si="10"/>
        <v>OK</v>
      </c>
      <c r="B183" s="419" t="str">
        <f t="shared" si="9"/>
        <v/>
      </c>
      <c r="C183" s="420" t="str">
        <f>IF(CONSOLIDA!CN180="","",CONSOLIDA!CN180)</f>
        <v/>
      </c>
      <c r="D183" s="421" t="str">
        <f>IF(CONSOLIDA!CO180="","",CONSOLIDA!CO180)</f>
        <v/>
      </c>
      <c r="E183" s="422" t="str">
        <f>IF(C183="","",IF(CONSOLIDA!DD180="",0,CONSOLIDA!DD180))</f>
        <v/>
      </c>
      <c r="F183" s="422" t="str">
        <f>IF(C183="","",IF(CONSOLIDA!CS180="",0,CONSOLIDA!CS180))</f>
        <v/>
      </c>
      <c r="G183" s="422" t="str">
        <f>IF(C183="","",IF(CONSOLIDA!CT180="",0,CONSOLIDA!CT180))</f>
        <v/>
      </c>
      <c r="H183" s="422" t="str">
        <f>IF(C183="","",IF(CONSOLIDA!DE180="",0,CONSOLIDA!DE180))</f>
        <v/>
      </c>
      <c r="I183" s="422" t="str">
        <f>IF(C183="","",IF(CONSOLIDA!CW180="",0,CONSOLIDA!CW180))</f>
        <v/>
      </c>
      <c r="J183" s="422" t="str">
        <f>IF(C183="","",IF(CONSOLIDA!CX180="",0,CONSOLIDA!CX180))</f>
        <v/>
      </c>
      <c r="K183" s="486"/>
      <c r="L183" s="490" t="str">
        <f t="shared" si="12"/>
        <v/>
      </c>
      <c r="M183" s="490" t="str">
        <f t="shared" si="11"/>
        <v/>
      </c>
      <c r="O183" s="29"/>
      <c r="XFD183" s="392"/>
    </row>
    <row r="184" spans="1:15 16384:16384" ht="15.75" hidden="1" customHeight="1">
      <c r="A184" s="243" t="str">
        <f t="shared" si="10"/>
        <v>OK</v>
      </c>
      <c r="B184" s="419" t="str">
        <f t="shared" si="9"/>
        <v/>
      </c>
      <c r="C184" s="420" t="str">
        <f>IF(CONSOLIDA!CN181="","",CONSOLIDA!CN181)</f>
        <v/>
      </c>
      <c r="D184" s="421" t="str">
        <f>IF(CONSOLIDA!CO181="","",CONSOLIDA!CO181)</f>
        <v/>
      </c>
      <c r="E184" s="422" t="str">
        <f>IF(C184="","",IF(CONSOLIDA!DD181="",0,CONSOLIDA!DD181))</f>
        <v/>
      </c>
      <c r="F184" s="422" t="str">
        <f>IF(C184="","",IF(CONSOLIDA!CS181="",0,CONSOLIDA!CS181))</f>
        <v/>
      </c>
      <c r="G184" s="422" t="str">
        <f>IF(C184="","",IF(CONSOLIDA!CT181="",0,CONSOLIDA!CT181))</f>
        <v/>
      </c>
      <c r="H184" s="422" t="str">
        <f>IF(C184="","",IF(CONSOLIDA!DE181="",0,CONSOLIDA!DE181))</f>
        <v/>
      </c>
      <c r="I184" s="422" t="str">
        <f>IF(C184="","",IF(CONSOLIDA!CW181="",0,CONSOLIDA!CW181))</f>
        <v/>
      </c>
      <c r="J184" s="422" t="str">
        <f>IF(C184="","",IF(CONSOLIDA!CX181="",0,CONSOLIDA!CX181))</f>
        <v/>
      </c>
      <c r="K184" s="486"/>
      <c r="L184" s="490" t="str">
        <f t="shared" si="12"/>
        <v/>
      </c>
      <c r="M184" s="490" t="str">
        <f t="shared" si="11"/>
        <v/>
      </c>
    </row>
    <row r="185" spans="1:15 16384:16384" ht="15.75" hidden="1" customHeight="1">
      <c r="A185" s="243" t="str">
        <f t="shared" si="10"/>
        <v>OK</v>
      </c>
      <c r="B185" s="419" t="str">
        <f t="shared" si="9"/>
        <v/>
      </c>
      <c r="C185" s="420" t="str">
        <f>IF(CONSOLIDA!CN182="","",CONSOLIDA!CN182)</f>
        <v/>
      </c>
      <c r="D185" s="421" t="str">
        <f>IF(CONSOLIDA!CO182="","",CONSOLIDA!CO182)</f>
        <v/>
      </c>
      <c r="E185" s="422" t="str">
        <f>IF(C185="","",IF(CONSOLIDA!DD182="",0,CONSOLIDA!DD182))</f>
        <v/>
      </c>
      <c r="F185" s="422" t="str">
        <f>IF(C185="","",IF(CONSOLIDA!CS182="",0,CONSOLIDA!CS182))</f>
        <v/>
      </c>
      <c r="G185" s="422" t="str">
        <f>IF(C185="","",IF(CONSOLIDA!CT182="",0,CONSOLIDA!CT182))</f>
        <v/>
      </c>
      <c r="H185" s="422" t="str">
        <f>IF(C185="","",IF(CONSOLIDA!DE182="",0,CONSOLIDA!DE182))</f>
        <v/>
      </c>
      <c r="I185" s="422" t="str">
        <f>IF(C185="","",IF(CONSOLIDA!CW182="",0,CONSOLIDA!CW182))</f>
        <v/>
      </c>
      <c r="J185" s="422" t="str">
        <f>IF(C185="","",IF(CONSOLIDA!CX182="",0,CONSOLIDA!CX182))</f>
        <v/>
      </c>
      <c r="K185" s="486"/>
      <c r="L185" s="490" t="str">
        <f t="shared" si="12"/>
        <v/>
      </c>
      <c r="M185" s="490" t="str">
        <f t="shared" si="11"/>
        <v/>
      </c>
    </row>
    <row r="186" spans="1:15 16384:16384" ht="15.75" hidden="1" customHeight="1">
      <c r="A186" s="243" t="str">
        <f t="shared" si="10"/>
        <v>OK</v>
      </c>
      <c r="B186" s="419" t="str">
        <f t="shared" si="9"/>
        <v/>
      </c>
      <c r="C186" s="420" t="str">
        <f>IF(CONSOLIDA!CN183="","",CONSOLIDA!CN183)</f>
        <v/>
      </c>
      <c r="D186" s="421" t="str">
        <f>IF(CONSOLIDA!CO183="","",CONSOLIDA!CO183)</f>
        <v/>
      </c>
      <c r="E186" s="422" t="str">
        <f>IF(C186="","",IF(CONSOLIDA!DD183="",0,CONSOLIDA!DD183))</f>
        <v/>
      </c>
      <c r="F186" s="422" t="str">
        <f>IF(C186="","",IF(CONSOLIDA!CS183="",0,CONSOLIDA!CS183))</f>
        <v/>
      </c>
      <c r="G186" s="422" t="str">
        <f>IF(C186="","",IF(CONSOLIDA!CT183="",0,CONSOLIDA!CT183))</f>
        <v/>
      </c>
      <c r="H186" s="422" t="str">
        <f>IF(C186="","",IF(CONSOLIDA!DE183="",0,CONSOLIDA!DE183))</f>
        <v/>
      </c>
      <c r="I186" s="422" t="str">
        <f>IF(C186="","",IF(CONSOLIDA!CW183="",0,CONSOLIDA!CW183))</f>
        <v/>
      </c>
      <c r="J186" s="422" t="str">
        <f>IF(C186="","",IF(CONSOLIDA!CX183="",0,CONSOLIDA!CX183))</f>
        <v/>
      </c>
      <c r="K186" s="486"/>
      <c r="L186" s="490" t="str">
        <f t="shared" si="12"/>
        <v/>
      </c>
      <c r="M186" s="490" t="str">
        <f t="shared" si="11"/>
        <v/>
      </c>
    </row>
    <row r="187" spans="1:15 16384:16384" ht="15.75" hidden="1" customHeight="1">
      <c r="A187" s="243" t="str">
        <f t="shared" si="10"/>
        <v>OK</v>
      </c>
      <c r="B187" s="419" t="str">
        <f t="shared" si="9"/>
        <v/>
      </c>
      <c r="C187" s="420" t="str">
        <f>IF(CONSOLIDA!CN184="","",CONSOLIDA!CN184)</f>
        <v/>
      </c>
      <c r="D187" s="421" t="str">
        <f>IF(CONSOLIDA!CO184="","",CONSOLIDA!CO184)</f>
        <v/>
      </c>
      <c r="E187" s="422" t="str">
        <f>IF(C187="","",IF(CONSOLIDA!DD184="",0,CONSOLIDA!DD184))</f>
        <v/>
      </c>
      <c r="F187" s="422" t="str">
        <f>IF(C187="","",IF(CONSOLIDA!CS184="",0,CONSOLIDA!CS184))</f>
        <v/>
      </c>
      <c r="G187" s="422" t="str">
        <f>IF(C187="","",IF(CONSOLIDA!CT184="",0,CONSOLIDA!CT184))</f>
        <v/>
      </c>
      <c r="H187" s="422" t="str">
        <f>IF(C187="","",IF(CONSOLIDA!DE184="",0,CONSOLIDA!DE184))</f>
        <v/>
      </c>
      <c r="I187" s="422" t="str">
        <f>IF(C187="","",IF(CONSOLIDA!CW184="",0,CONSOLIDA!CW184))</f>
        <v/>
      </c>
      <c r="J187" s="422" t="str">
        <f>IF(C187="","",IF(CONSOLIDA!CX184="",0,CONSOLIDA!CX184))</f>
        <v/>
      </c>
      <c r="K187" s="486"/>
      <c r="L187" s="490" t="str">
        <f t="shared" si="12"/>
        <v/>
      </c>
      <c r="M187" s="490" t="str">
        <f t="shared" si="11"/>
        <v/>
      </c>
    </row>
    <row r="188" spans="1:15 16384:16384" ht="15.75" hidden="1" customHeight="1">
      <c r="A188" s="243" t="str">
        <f t="shared" si="10"/>
        <v>OK</v>
      </c>
      <c r="B188" s="419" t="str">
        <f t="shared" si="9"/>
        <v/>
      </c>
      <c r="C188" s="420" t="str">
        <f>IF(CONSOLIDA!CN185="","",CONSOLIDA!CN185)</f>
        <v/>
      </c>
      <c r="D188" s="421" t="str">
        <f>IF(CONSOLIDA!CO185="","",CONSOLIDA!CO185)</f>
        <v/>
      </c>
      <c r="E188" s="422" t="str">
        <f>IF(C188="","",IF(CONSOLIDA!DD185="",0,CONSOLIDA!DD185))</f>
        <v/>
      </c>
      <c r="F188" s="422" t="str">
        <f>IF(C188="","",IF(CONSOLIDA!CS185="",0,CONSOLIDA!CS185))</f>
        <v/>
      </c>
      <c r="G188" s="422" t="str">
        <f>IF(C188="","",IF(CONSOLIDA!CT185="",0,CONSOLIDA!CT185))</f>
        <v/>
      </c>
      <c r="H188" s="422" t="str">
        <f>IF(C188="","",IF(CONSOLIDA!DE185="",0,CONSOLIDA!DE185))</f>
        <v/>
      </c>
      <c r="I188" s="422" t="str">
        <f>IF(C188="","",IF(CONSOLIDA!CW185="",0,CONSOLIDA!CW185))</f>
        <v/>
      </c>
      <c r="J188" s="422" t="str">
        <f>IF(C188="","",IF(CONSOLIDA!CX185="",0,CONSOLIDA!CX185))</f>
        <v/>
      </c>
      <c r="K188" s="486"/>
      <c r="L188" s="490" t="str">
        <f t="shared" si="12"/>
        <v/>
      </c>
      <c r="M188" s="490" t="str">
        <f t="shared" si="11"/>
        <v/>
      </c>
    </row>
    <row r="189" spans="1:15 16384:16384" ht="15.75" hidden="1" customHeight="1">
      <c r="A189" s="243" t="str">
        <f t="shared" si="10"/>
        <v>OK</v>
      </c>
      <c r="B189" s="419" t="str">
        <f t="shared" si="9"/>
        <v/>
      </c>
      <c r="C189" s="420" t="str">
        <f>IF(CONSOLIDA!CN186="","",CONSOLIDA!CN186)</f>
        <v/>
      </c>
      <c r="D189" s="421" t="str">
        <f>IF(CONSOLIDA!CO186="","",CONSOLIDA!CO186)</f>
        <v/>
      </c>
      <c r="E189" s="422" t="str">
        <f>IF(C189="","",IF(CONSOLIDA!DD186="",0,CONSOLIDA!DD186))</f>
        <v/>
      </c>
      <c r="F189" s="422" t="str">
        <f>IF(C189="","",IF(CONSOLIDA!CS186="",0,CONSOLIDA!CS186))</f>
        <v/>
      </c>
      <c r="G189" s="422" t="str">
        <f>IF(C189="","",IF(CONSOLIDA!CT186="",0,CONSOLIDA!CT186))</f>
        <v/>
      </c>
      <c r="H189" s="422" t="str">
        <f>IF(C189="","",IF(CONSOLIDA!DE186="",0,CONSOLIDA!DE186))</f>
        <v/>
      </c>
      <c r="I189" s="422" t="str">
        <f>IF(C189="","",IF(CONSOLIDA!CW186="",0,CONSOLIDA!CW186))</f>
        <v/>
      </c>
      <c r="J189" s="422" t="str">
        <f>IF(C189="","",IF(CONSOLIDA!CX186="",0,CONSOLIDA!CX186))</f>
        <v/>
      </c>
      <c r="K189" s="486"/>
      <c r="L189" s="490" t="str">
        <f t="shared" si="12"/>
        <v/>
      </c>
      <c r="M189" s="490" t="str">
        <f t="shared" si="11"/>
        <v/>
      </c>
    </row>
    <row r="190" spans="1:15 16384:16384" ht="15.75" hidden="1" customHeight="1">
      <c r="A190" s="243" t="str">
        <f t="shared" si="10"/>
        <v>OK</v>
      </c>
      <c r="B190" s="419" t="str">
        <f t="shared" si="9"/>
        <v/>
      </c>
      <c r="C190" s="420" t="str">
        <f>IF(CONSOLIDA!CN187="","",CONSOLIDA!CN187)</f>
        <v/>
      </c>
      <c r="D190" s="421" t="str">
        <f>IF(CONSOLIDA!CO187="","",CONSOLIDA!CO187)</f>
        <v/>
      </c>
      <c r="E190" s="422" t="str">
        <f>IF(C190="","",IF(CONSOLIDA!DD187="",0,CONSOLIDA!DD187))</f>
        <v/>
      </c>
      <c r="F190" s="422" t="str">
        <f>IF(C190="","",IF(CONSOLIDA!CS187="",0,CONSOLIDA!CS187))</f>
        <v/>
      </c>
      <c r="G190" s="422" t="str">
        <f>IF(C190="","",IF(CONSOLIDA!CT187="",0,CONSOLIDA!CT187))</f>
        <v/>
      </c>
      <c r="H190" s="422" t="str">
        <f>IF(C190="","",IF(CONSOLIDA!DE187="",0,CONSOLIDA!DE187))</f>
        <v/>
      </c>
      <c r="I190" s="422" t="str">
        <f>IF(C190="","",IF(CONSOLIDA!CW187="",0,CONSOLIDA!CW187))</f>
        <v/>
      </c>
      <c r="J190" s="422" t="str">
        <f>IF(C190="","",IF(CONSOLIDA!CX187="",0,CONSOLIDA!CX187))</f>
        <v/>
      </c>
      <c r="K190" s="486"/>
      <c r="L190" s="490" t="str">
        <f t="shared" si="12"/>
        <v/>
      </c>
      <c r="M190" s="490" t="str">
        <f t="shared" si="11"/>
        <v/>
      </c>
    </row>
    <row r="191" spans="1:15 16384:16384" ht="15.75" hidden="1" customHeight="1">
      <c r="A191" s="243" t="str">
        <f t="shared" si="10"/>
        <v>OK</v>
      </c>
      <c r="B191" s="419" t="str">
        <f t="shared" si="9"/>
        <v/>
      </c>
      <c r="C191" s="420" t="str">
        <f>IF(CONSOLIDA!CN188="","",CONSOLIDA!CN188)</f>
        <v/>
      </c>
      <c r="D191" s="421" t="str">
        <f>IF(CONSOLIDA!CO188="","",CONSOLIDA!CO188)</f>
        <v/>
      </c>
      <c r="E191" s="422" t="str">
        <f>IF(C191="","",IF(CONSOLIDA!DD188="",0,CONSOLIDA!DD188))</f>
        <v/>
      </c>
      <c r="F191" s="422" t="str">
        <f>IF(C191="","",IF(CONSOLIDA!CS188="",0,CONSOLIDA!CS188))</f>
        <v/>
      </c>
      <c r="G191" s="422" t="str">
        <f>IF(C191="","",IF(CONSOLIDA!CT188="",0,CONSOLIDA!CT188))</f>
        <v/>
      </c>
      <c r="H191" s="422" t="str">
        <f>IF(C191="","",IF(CONSOLIDA!DE188="",0,CONSOLIDA!DE188))</f>
        <v/>
      </c>
      <c r="I191" s="422" t="str">
        <f>IF(C191="","",IF(CONSOLIDA!CW188="",0,CONSOLIDA!CW188))</f>
        <v/>
      </c>
      <c r="J191" s="422" t="str">
        <f>IF(C191="","",IF(CONSOLIDA!CX188="",0,CONSOLIDA!CX188))</f>
        <v/>
      </c>
      <c r="K191" s="486"/>
      <c r="L191" s="490" t="str">
        <f t="shared" si="12"/>
        <v/>
      </c>
      <c r="M191" s="490" t="str">
        <f t="shared" si="11"/>
        <v/>
      </c>
    </row>
    <row r="192" spans="1:15 16384:16384" ht="15.75" hidden="1" customHeight="1">
      <c r="A192" s="243" t="str">
        <f t="shared" si="10"/>
        <v>OK</v>
      </c>
      <c r="B192" s="419" t="str">
        <f t="shared" si="9"/>
        <v/>
      </c>
      <c r="C192" s="420" t="str">
        <f>IF(CONSOLIDA!CN189="","",CONSOLIDA!CN189)</f>
        <v/>
      </c>
      <c r="D192" s="421" t="str">
        <f>IF(CONSOLIDA!CO189="","",CONSOLIDA!CO189)</f>
        <v/>
      </c>
      <c r="E192" s="422" t="str">
        <f>IF(C192="","",IF(CONSOLIDA!DD189="",0,CONSOLIDA!DD189))</f>
        <v/>
      </c>
      <c r="F192" s="422" t="str">
        <f>IF(C192="","",IF(CONSOLIDA!CS189="",0,CONSOLIDA!CS189))</f>
        <v/>
      </c>
      <c r="G192" s="422" t="str">
        <f>IF(C192="","",IF(CONSOLIDA!CT189="",0,CONSOLIDA!CT189))</f>
        <v/>
      </c>
      <c r="H192" s="422" t="str">
        <f>IF(C192="","",IF(CONSOLIDA!DE189="",0,CONSOLIDA!DE189))</f>
        <v/>
      </c>
      <c r="I192" s="422" t="str">
        <f>IF(C192="","",IF(CONSOLIDA!CW189="",0,CONSOLIDA!CW189))</f>
        <v/>
      </c>
      <c r="J192" s="422" t="str">
        <f>IF(C192="","",IF(CONSOLIDA!CX189="",0,CONSOLIDA!CX189))</f>
        <v/>
      </c>
      <c r="K192" s="486"/>
      <c r="L192" s="490" t="str">
        <f t="shared" si="12"/>
        <v/>
      </c>
      <c r="M192" s="490" t="str">
        <f t="shared" si="11"/>
        <v/>
      </c>
    </row>
    <row r="193" spans="1:13" ht="15.75" hidden="1" customHeight="1">
      <c r="A193" s="243" t="str">
        <f t="shared" si="10"/>
        <v>OK</v>
      </c>
      <c r="B193" s="419" t="str">
        <f t="shared" si="9"/>
        <v/>
      </c>
      <c r="C193" s="420" t="str">
        <f>IF(CONSOLIDA!CN190="","",CONSOLIDA!CN190)</f>
        <v/>
      </c>
      <c r="D193" s="421" t="str">
        <f>IF(CONSOLIDA!CO190="","",CONSOLIDA!CO190)</f>
        <v/>
      </c>
      <c r="E193" s="422" t="str">
        <f>IF(C193="","",IF(CONSOLIDA!DD190="",0,CONSOLIDA!DD190))</f>
        <v/>
      </c>
      <c r="F193" s="422" t="str">
        <f>IF(C193="","",IF(CONSOLIDA!CS190="",0,CONSOLIDA!CS190))</f>
        <v/>
      </c>
      <c r="G193" s="422" t="str">
        <f>IF(C193="","",IF(CONSOLIDA!CT190="",0,CONSOLIDA!CT190))</f>
        <v/>
      </c>
      <c r="H193" s="422" t="str">
        <f>IF(C193="","",IF(CONSOLIDA!DE190="",0,CONSOLIDA!DE190))</f>
        <v/>
      </c>
      <c r="I193" s="422" t="str">
        <f>IF(C193="","",IF(CONSOLIDA!CW190="",0,CONSOLIDA!CW190))</f>
        <v/>
      </c>
      <c r="J193" s="422" t="str">
        <f>IF(C193="","",IF(CONSOLIDA!CX190="",0,CONSOLIDA!CX190))</f>
        <v/>
      </c>
      <c r="K193" s="486"/>
      <c r="L193" s="490" t="str">
        <f t="shared" si="12"/>
        <v/>
      </c>
      <c r="M193" s="490" t="str">
        <f t="shared" si="11"/>
        <v/>
      </c>
    </row>
    <row r="194" spans="1:13" ht="15.75" hidden="1" customHeight="1">
      <c r="A194" s="243" t="str">
        <f t="shared" si="10"/>
        <v>OK</v>
      </c>
      <c r="B194" s="419" t="str">
        <f t="shared" si="9"/>
        <v/>
      </c>
      <c r="C194" s="420" t="str">
        <f>IF(CONSOLIDA!CN191="","",CONSOLIDA!CN191)</f>
        <v/>
      </c>
      <c r="D194" s="421" t="str">
        <f>IF(CONSOLIDA!CO191="","",CONSOLIDA!CO191)</f>
        <v/>
      </c>
      <c r="E194" s="422" t="str">
        <f>IF(C194="","",IF(CONSOLIDA!DD191="",0,CONSOLIDA!DD191))</f>
        <v/>
      </c>
      <c r="F194" s="422" t="str">
        <f>IF(C194="","",IF(CONSOLIDA!CS191="",0,CONSOLIDA!CS191))</f>
        <v/>
      </c>
      <c r="G194" s="422" t="str">
        <f>IF(C194="","",IF(CONSOLIDA!CT191="",0,CONSOLIDA!CT191))</f>
        <v/>
      </c>
      <c r="H194" s="422" t="str">
        <f>IF(C194="","",IF(CONSOLIDA!DE191="",0,CONSOLIDA!DE191))</f>
        <v/>
      </c>
      <c r="I194" s="422" t="str">
        <f>IF(C194="","",IF(CONSOLIDA!CW191="",0,CONSOLIDA!CW191))</f>
        <v/>
      </c>
      <c r="J194" s="422" t="str">
        <f>IF(C194="","",IF(CONSOLIDA!CX191="",0,CONSOLIDA!CX191))</f>
        <v/>
      </c>
      <c r="K194" s="486"/>
      <c r="L194" s="490" t="str">
        <f t="shared" si="12"/>
        <v/>
      </c>
      <c r="M194" s="490" t="str">
        <f t="shared" si="11"/>
        <v/>
      </c>
    </row>
    <row r="195" spans="1:13" ht="15.75" hidden="1" customHeight="1">
      <c r="A195" s="243" t="str">
        <f t="shared" si="10"/>
        <v>OK</v>
      </c>
      <c r="B195" s="419" t="str">
        <f t="shared" si="9"/>
        <v/>
      </c>
      <c r="C195" s="420" t="str">
        <f>IF(CONSOLIDA!CN192="","",CONSOLIDA!CN192)</f>
        <v/>
      </c>
      <c r="D195" s="421" t="str">
        <f>IF(CONSOLIDA!CO192="","",CONSOLIDA!CO192)</f>
        <v/>
      </c>
      <c r="E195" s="422" t="str">
        <f>IF(C195="","",IF(CONSOLIDA!DD192="",0,CONSOLIDA!DD192))</f>
        <v/>
      </c>
      <c r="F195" s="422" t="str">
        <f>IF(C195="","",IF(CONSOLIDA!CS192="",0,CONSOLIDA!CS192))</f>
        <v/>
      </c>
      <c r="G195" s="422" t="str">
        <f>IF(C195="","",IF(CONSOLIDA!CT192="",0,CONSOLIDA!CT192))</f>
        <v/>
      </c>
      <c r="H195" s="422" t="str">
        <f>IF(C195="","",IF(CONSOLIDA!DE192="",0,CONSOLIDA!DE192))</f>
        <v/>
      </c>
      <c r="I195" s="422" t="str">
        <f>IF(C195="","",IF(CONSOLIDA!CW192="",0,CONSOLIDA!CW192))</f>
        <v/>
      </c>
      <c r="J195" s="422" t="str">
        <f>IF(C195="","",IF(CONSOLIDA!CX192="",0,CONSOLIDA!CX192))</f>
        <v/>
      </c>
      <c r="K195" s="486"/>
      <c r="L195" s="490" t="str">
        <f t="shared" si="12"/>
        <v/>
      </c>
      <c r="M195" s="490" t="str">
        <f t="shared" si="11"/>
        <v/>
      </c>
    </row>
    <row r="196" spans="1:13" ht="15.75" hidden="1" customHeight="1">
      <c r="A196" s="243" t="str">
        <f t="shared" si="10"/>
        <v>OK</v>
      </c>
      <c r="B196" s="419" t="str">
        <f t="shared" si="9"/>
        <v/>
      </c>
      <c r="C196" s="420" t="str">
        <f>IF(CONSOLIDA!CN193="","",CONSOLIDA!CN193)</f>
        <v/>
      </c>
      <c r="D196" s="421" t="str">
        <f>IF(CONSOLIDA!CO193="","",CONSOLIDA!CO193)</f>
        <v/>
      </c>
      <c r="E196" s="422" t="str">
        <f>IF(C196="","",IF(CONSOLIDA!DD193="",0,CONSOLIDA!DD193))</f>
        <v/>
      </c>
      <c r="F196" s="422" t="str">
        <f>IF(C196="","",IF(CONSOLIDA!CS193="",0,CONSOLIDA!CS193))</f>
        <v/>
      </c>
      <c r="G196" s="422" t="str">
        <f>IF(C196="","",IF(CONSOLIDA!CT193="",0,CONSOLIDA!CT193))</f>
        <v/>
      </c>
      <c r="H196" s="422" t="str">
        <f>IF(C196="","",IF(CONSOLIDA!DE193="",0,CONSOLIDA!DE193))</f>
        <v/>
      </c>
      <c r="I196" s="422" t="str">
        <f>IF(C196="","",IF(CONSOLIDA!CW193="",0,CONSOLIDA!CW193))</f>
        <v/>
      </c>
      <c r="J196" s="422" t="str">
        <f>IF(C196="","",IF(CONSOLIDA!CX193="",0,CONSOLIDA!CX193))</f>
        <v/>
      </c>
      <c r="K196" s="486"/>
      <c r="L196" s="490" t="str">
        <f t="shared" si="12"/>
        <v/>
      </c>
      <c r="M196" s="490" t="str">
        <f t="shared" si="11"/>
        <v/>
      </c>
    </row>
    <row r="197" spans="1:13" ht="15.75" hidden="1" customHeight="1">
      <c r="A197" s="243" t="str">
        <f t="shared" si="10"/>
        <v>OK</v>
      </c>
      <c r="B197" s="419" t="str">
        <f t="shared" si="9"/>
        <v/>
      </c>
      <c r="C197" s="420" t="str">
        <f>IF(CONSOLIDA!CN194="","",CONSOLIDA!CN194)</f>
        <v/>
      </c>
      <c r="D197" s="421" t="str">
        <f>IF(CONSOLIDA!CO194="","",CONSOLIDA!CO194)</f>
        <v/>
      </c>
      <c r="E197" s="422" t="str">
        <f>IF(C197="","",IF(CONSOLIDA!DD194="",0,CONSOLIDA!DD194))</f>
        <v/>
      </c>
      <c r="F197" s="422" t="str">
        <f>IF(C197="","",IF(CONSOLIDA!CS194="",0,CONSOLIDA!CS194))</f>
        <v/>
      </c>
      <c r="G197" s="422" t="str">
        <f>IF(C197="","",IF(CONSOLIDA!CT194="",0,CONSOLIDA!CT194))</f>
        <v/>
      </c>
      <c r="H197" s="422" t="str">
        <f>IF(C197="","",IF(CONSOLIDA!DE194="",0,CONSOLIDA!DE194))</f>
        <v/>
      </c>
      <c r="I197" s="422" t="str">
        <f>IF(C197="","",IF(CONSOLIDA!CW194="",0,CONSOLIDA!CW194))</f>
        <v/>
      </c>
      <c r="J197" s="422" t="str">
        <f>IF(C197="","",IF(CONSOLIDA!CX194="",0,CONSOLIDA!CX194))</f>
        <v/>
      </c>
      <c r="K197" s="486"/>
      <c r="L197" s="490" t="str">
        <f t="shared" si="12"/>
        <v/>
      </c>
      <c r="M197" s="490" t="str">
        <f t="shared" si="11"/>
        <v/>
      </c>
    </row>
    <row r="198" spans="1:13" ht="15.75" hidden="1" customHeight="1">
      <c r="A198" s="243" t="str">
        <f t="shared" si="10"/>
        <v>OK</v>
      </c>
      <c r="B198" s="419" t="str">
        <f t="shared" si="9"/>
        <v/>
      </c>
      <c r="C198" s="420" t="str">
        <f>IF(CONSOLIDA!CN195="","",CONSOLIDA!CN195)</f>
        <v/>
      </c>
      <c r="D198" s="421" t="str">
        <f>IF(CONSOLIDA!CO195="","",CONSOLIDA!CO195)</f>
        <v/>
      </c>
      <c r="E198" s="422" t="str">
        <f>IF(C198="","",IF(CONSOLIDA!DD195="",0,CONSOLIDA!DD195))</f>
        <v/>
      </c>
      <c r="F198" s="422" t="str">
        <f>IF(C198="","",IF(CONSOLIDA!CS195="",0,CONSOLIDA!CS195))</f>
        <v/>
      </c>
      <c r="G198" s="422" t="str">
        <f>IF(C198="","",IF(CONSOLIDA!CT195="",0,CONSOLIDA!CT195))</f>
        <v/>
      </c>
      <c r="H198" s="422" t="str">
        <f>IF(C198="","",IF(CONSOLIDA!DE195="",0,CONSOLIDA!DE195))</f>
        <v/>
      </c>
      <c r="I198" s="422" t="str">
        <f>IF(C198="","",IF(CONSOLIDA!CW195="",0,CONSOLIDA!CW195))</f>
        <v/>
      </c>
      <c r="J198" s="422" t="str">
        <f>IF(C198="","",IF(CONSOLIDA!CX195="",0,CONSOLIDA!CX195))</f>
        <v/>
      </c>
      <c r="K198" s="486"/>
      <c r="L198" s="490" t="str">
        <f t="shared" si="12"/>
        <v/>
      </c>
      <c r="M198" s="490" t="str">
        <f t="shared" si="11"/>
        <v/>
      </c>
    </row>
    <row r="199" spans="1:13" ht="15.75" hidden="1" customHeight="1">
      <c r="A199" s="243" t="str">
        <f t="shared" si="10"/>
        <v>OK</v>
      </c>
      <c r="B199" s="419" t="str">
        <f t="shared" ref="B199:B210" si="13">IF(C199="","",B198+1)</f>
        <v/>
      </c>
      <c r="C199" s="420" t="str">
        <f>IF(CONSOLIDA!CN196="","",CONSOLIDA!CN196)</f>
        <v/>
      </c>
      <c r="D199" s="421" t="str">
        <f>IF(CONSOLIDA!CO196="","",CONSOLIDA!CO196)</f>
        <v/>
      </c>
      <c r="E199" s="422" t="str">
        <f>IF(C199="","",IF(CONSOLIDA!DD196="",0,CONSOLIDA!DD196))</f>
        <v/>
      </c>
      <c r="F199" s="422" t="str">
        <f>IF(C199="","",IF(CONSOLIDA!CS196="",0,CONSOLIDA!CS196))</f>
        <v/>
      </c>
      <c r="G199" s="422" t="str">
        <f>IF(C199="","",IF(CONSOLIDA!CT196="",0,CONSOLIDA!CT196))</f>
        <v/>
      </c>
      <c r="H199" s="422" t="str">
        <f>IF(C199="","",IF(CONSOLIDA!DE196="",0,CONSOLIDA!DE196))</f>
        <v/>
      </c>
      <c r="I199" s="422" t="str">
        <f>IF(C199="","",IF(CONSOLIDA!CW196="",0,CONSOLIDA!CW196))</f>
        <v/>
      </c>
      <c r="J199" s="422" t="str">
        <f>IF(C199="","",IF(CONSOLIDA!CX196="",0,CONSOLIDA!CX196))</f>
        <v/>
      </c>
      <c r="K199" s="486"/>
      <c r="L199" s="490" t="str">
        <f t="shared" si="12"/>
        <v/>
      </c>
      <c r="M199" s="490" t="str">
        <f t="shared" si="11"/>
        <v/>
      </c>
    </row>
    <row r="200" spans="1:13" ht="15.75" hidden="1" customHeight="1">
      <c r="A200" s="243" t="str">
        <f t="shared" ref="A200:A210" si="14">IF(D200="","OK","")</f>
        <v>OK</v>
      </c>
      <c r="B200" s="419" t="str">
        <f t="shared" si="13"/>
        <v/>
      </c>
      <c r="C200" s="420" t="str">
        <f>IF(CONSOLIDA!CN197="","",CONSOLIDA!CN197)</f>
        <v/>
      </c>
      <c r="D200" s="421" t="str">
        <f>IF(CONSOLIDA!CO197="","",CONSOLIDA!CO197)</f>
        <v/>
      </c>
      <c r="E200" s="422" t="str">
        <f>IF(C200="","",IF(CONSOLIDA!DD197="",0,CONSOLIDA!DD197))</f>
        <v/>
      </c>
      <c r="F200" s="422" t="str">
        <f>IF(C200="","",IF(CONSOLIDA!CS197="",0,CONSOLIDA!CS197))</f>
        <v/>
      </c>
      <c r="G200" s="422" t="str">
        <f>IF(C200="","",IF(CONSOLIDA!CT197="",0,CONSOLIDA!CT197))</f>
        <v/>
      </c>
      <c r="H200" s="422" t="str">
        <f>IF(C200="","",IF(CONSOLIDA!DE197="",0,CONSOLIDA!DE197))</f>
        <v/>
      </c>
      <c r="I200" s="422" t="str">
        <f>IF(C200="","",IF(CONSOLIDA!CW197="",0,CONSOLIDA!CW197))</f>
        <v/>
      </c>
      <c r="J200" s="422" t="str">
        <f>IF(C200="","",IF(CONSOLIDA!CX197="",0,CONSOLIDA!CX197))</f>
        <v/>
      </c>
      <c r="K200" s="486"/>
      <c r="L200" s="490" t="str">
        <f t="shared" si="12"/>
        <v/>
      </c>
      <c r="M200" s="490" t="str">
        <f t="shared" ref="M200:M210" si="15">IF(C200="","",(H200-I200)-J200)</f>
        <v/>
      </c>
    </row>
    <row r="201" spans="1:13" ht="15.75" hidden="1" customHeight="1">
      <c r="A201" s="243" t="str">
        <f t="shared" si="14"/>
        <v>OK</v>
      </c>
      <c r="B201" s="419" t="str">
        <f t="shared" si="13"/>
        <v/>
      </c>
      <c r="C201" s="420" t="str">
        <f>IF(CONSOLIDA!CN198="","",CONSOLIDA!CN198)</f>
        <v/>
      </c>
      <c r="D201" s="421" t="str">
        <f>IF(CONSOLIDA!CO198="","",CONSOLIDA!CO198)</f>
        <v/>
      </c>
      <c r="E201" s="422" t="str">
        <f>IF(C201="","",IF(CONSOLIDA!DD198="",0,CONSOLIDA!DD198))</f>
        <v/>
      </c>
      <c r="F201" s="422" t="str">
        <f>IF(C201="","",IF(CONSOLIDA!CS198="",0,CONSOLIDA!CS198))</f>
        <v/>
      </c>
      <c r="G201" s="422" t="str">
        <f>IF(C201="","",IF(CONSOLIDA!CT198="",0,CONSOLIDA!CT198))</f>
        <v/>
      </c>
      <c r="H201" s="422" t="str">
        <f>IF(C201="","",IF(CONSOLIDA!DE198="",0,CONSOLIDA!DE198))</f>
        <v/>
      </c>
      <c r="I201" s="422" t="str">
        <f>IF(C201="","",IF(CONSOLIDA!CW198="",0,CONSOLIDA!CW198))</f>
        <v/>
      </c>
      <c r="J201" s="422" t="str">
        <f>IF(C201="","",IF(CONSOLIDA!CX198="",0,CONSOLIDA!CX198))</f>
        <v/>
      </c>
      <c r="K201" s="486"/>
      <c r="L201" s="490" t="str">
        <f t="shared" si="12"/>
        <v/>
      </c>
      <c r="M201" s="490" t="str">
        <f t="shared" si="15"/>
        <v/>
      </c>
    </row>
    <row r="202" spans="1:13" ht="15.75" hidden="1" customHeight="1">
      <c r="A202" s="243" t="str">
        <f t="shared" si="14"/>
        <v>OK</v>
      </c>
      <c r="B202" s="419" t="str">
        <f t="shared" si="13"/>
        <v/>
      </c>
      <c r="C202" s="420" t="str">
        <f>IF(CONSOLIDA!CN199="","",CONSOLIDA!CN199)</f>
        <v/>
      </c>
      <c r="D202" s="421" t="str">
        <f>IF(CONSOLIDA!CO199="","",CONSOLIDA!CO199)</f>
        <v/>
      </c>
      <c r="E202" s="422" t="str">
        <f>IF(C202="","",IF(CONSOLIDA!DD199="",0,CONSOLIDA!DD199))</f>
        <v/>
      </c>
      <c r="F202" s="422" t="str">
        <f>IF(C202="","",IF(CONSOLIDA!CS199="",0,CONSOLIDA!CS199))</f>
        <v/>
      </c>
      <c r="G202" s="422" t="str">
        <f>IF(C202="","",IF(CONSOLIDA!CT199="",0,CONSOLIDA!CT199))</f>
        <v/>
      </c>
      <c r="H202" s="422" t="str">
        <f>IF(C202="","",IF(CONSOLIDA!DE199="",0,CONSOLIDA!DE199))</f>
        <v/>
      </c>
      <c r="I202" s="422" t="str">
        <f>IF(C202="","",IF(CONSOLIDA!CW199="",0,CONSOLIDA!CW199))</f>
        <v/>
      </c>
      <c r="J202" s="422" t="str">
        <f>IF(C202="","",IF(CONSOLIDA!CX199="",0,CONSOLIDA!CX199))</f>
        <v/>
      </c>
      <c r="K202" s="486"/>
      <c r="L202" s="490" t="str">
        <f t="shared" si="12"/>
        <v/>
      </c>
      <c r="M202" s="490" t="str">
        <f t="shared" si="15"/>
        <v/>
      </c>
    </row>
    <row r="203" spans="1:13" ht="15.75" hidden="1" customHeight="1">
      <c r="A203" s="243" t="str">
        <f t="shared" si="14"/>
        <v>OK</v>
      </c>
      <c r="B203" s="419" t="str">
        <f t="shared" si="13"/>
        <v/>
      </c>
      <c r="C203" s="420" t="str">
        <f>IF(CONSOLIDA!CN200="","",CONSOLIDA!CN200)</f>
        <v/>
      </c>
      <c r="D203" s="421" t="str">
        <f>IF(CONSOLIDA!CO200="","",CONSOLIDA!CO200)</f>
        <v/>
      </c>
      <c r="E203" s="422" t="str">
        <f>IF(C203="","",IF(CONSOLIDA!DD200="",0,CONSOLIDA!DD200))</f>
        <v/>
      </c>
      <c r="F203" s="422" t="str">
        <f>IF(C203="","",IF(CONSOLIDA!CS200="",0,CONSOLIDA!CS200))</f>
        <v/>
      </c>
      <c r="G203" s="422" t="str">
        <f>IF(C203="","",IF(CONSOLIDA!CT200="",0,CONSOLIDA!CT200))</f>
        <v/>
      </c>
      <c r="H203" s="422" t="str">
        <f>IF(C203="","",IF(CONSOLIDA!DE200="",0,CONSOLIDA!DE200))</f>
        <v/>
      </c>
      <c r="I203" s="422" t="str">
        <f>IF(C203="","",IF(CONSOLIDA!CW200="",0,CONSOLIDA!CW200))</f>
        <v/>
      </c>
      <c r="J203" s="422" t="str">
        <f>IF(C203="","",IF(CONSOLIDA!CX200="",0,CONSOLIDA!CX200))</f>
        <v/>
      </c>
      <c r="K203" s="486"/>
      <c r="L203" s="490" t="str">
        <f t="shared" si="12"/>
        <v/>
      </c>
      <c r="M203" s="490" t="str">
        <f t="shared" si="15"/>
        <v/>
      </c>
    </row>
    <row r="204" spans="1:13" ht="15.75" hidden="1" customHeight="1">
      <c r="A204" s="243" t="str">
        <f t="shared" si="14"/>
        <v>OK</v>
      </c>
      <c r="B204" s="419" t="str">
        <f t="shared" si="13"/>
        <v/>
      </c>
      <c r="C204" s="420" t="str">
        <f>IF(CONSOLIDA!CN201="","",CONSOLIDA!CN201)</f>
        <v/>
      </c>
      <c r="D204" s="421" t="str">
        <f>IF(CONSOLIDA!CO201="","",CONSOLIDA!CO201)</f>
        <v/>
      </c>
      <c r="E204" s="422" t="str">
        <f>IF(C204="","",IF(CONSOLIDA!DD201="",0,CONSOLIDA!DD201))</f>
        <v/>
      </c>
      <c r="F204" s="422" t="str">
        <f>IF(C204="","",IF(CONSOLIDA!CS201="",0,CONSOLIDA!CS201))</f>
        <v/>
      </c>
      <c r="G204" s="422" t="str">
        <f>IF(C204="","",IF(CONSOLIDA!CT201="",0,CONSOLIDA!CT201))</f>
        <v/>
      </c>
      <c r="H204" s="422" t="str">
        <f>IF(C204="","",IF(CONSOLIDA!DE201="",0,CONSOLIDA!DE201))</f>
        <v/>
      </c>
      <c r="I204" s="422" t="str">
        <f>IF(C204="","",IF(CONSOLIDA!CW201="",0,CONSOLIDA!CW201))</f>
        <v/>
      </c>
      <c r="J204" s="422" t="str">
        <f>IF(C204="","",IF(CONSOLIDA!CX201="",0,CONSOLIDA!CX201))</f>
        <v/>
      </c>
      <c r="K204" s="486"/>
      <c r="L204" s="490" t="str">
        <f t="shared" si="12"/>
        <v/>
      </c>
      <c r="M204" s="490" t="str">
        <f t="shared" si="15"/>
        <v/>
      </c>
    </row>
    <row r="205" spans="1:13" ht="15.75" hidden="1" customHeight="1">
      <c r="A205" s="243" t="str">
        <f t="shared" si="14"/>
        <v>OK</v>
      </c>
      <c r="B205" s="419" t="str">
        <f t="shared" si="13"/>
        <v/>
      </c>
      <c r="C205" s="420" t="str">
        <f>IF(CONSOLIDA!CN202="","",CONSOLIDA!CN202)</f>
        <v/>
      </c>
      <c r="D205" s="421" t="str">
        <f>IF(CONSOLIDA!CO202="","",CONSOLIDA!CO202)</f>
        <v/>
      </c>
      <c r="E205" s="422" t="str">
        <f>IF(C205="","",IF(CONSOLIDA!DD202="",0,CONSOLIDA!DD202))</f>
        <v/>
      </c>
      <c r="F205" s="422" t="str">
        <f>IF(C205="","",IF(CONSOLIDA!CS202="",0,CONSOLIDA!CS202))</f>
        <v/>
      </c>
      <c r="G205" s="422" t="str">
        <f>IF(C205="","",IF(CONSOLIDA!CT202="",0,CONSOLIDA!CT202))</f>
        <v/>
      </c>
      <c r="H205" s="422" t="str">
        <f>IF(C205="","",IF(CONSOLIDA!DE202="",0,CONSOLIDA!DE202))</f>
        <v/>
      </c>
      <c r="I205" s="422" t="str">
        <f>IF(C205="","",IF(CONSOLIDA!CW202="",0,CONSOLIDA!CW202))</f>
        <v/>
      </c>
      <c r="J205" s="422" t="str">
        <f>IF(C205="","",IF(CONSOLIDA!CX202="",0,CONSOLIDA!CX202))</f>
        <v/>
      </c>
      <c r="K205" s="486"/>
      <c r="L205" s="490" t="str">
        <f t="shared" si="12"/>
        <v/>
      </c>
      <c r="M205" s="490" t="str">
        <f t="shared" si="15"/>
        <v/>
      </c>
    </row>
    <row r="206" spans="1:13" ht="15.75" hidden="1" customHeight="1">
      <c r="A206" s="243" t="str">
        <f t="shared" si="14"/>
        <v>OK</v>
      </c>
      <c r="B206" s="419" t="str">
        <f t="shared" si="13"/>
        <v/>
      </c>
      <c r="C206" s="420" t="str">
        <f>IF(CONSOLIDA!CN203="","",CONSOLIDA!CN203)</f>
        <v/>
      </c>
      <c r="D206" s="421" t="str">
        <f>IF(CONSOLIDA!CO203="","",CONSOLIDA!CO203)</f>
        <v/>
      </c>
      <c r="E206" s="422" t="str">
        <f>IF(C206="","",IF(CONSOLIDA!DD203="",0,CONSOLIDA!DD203))</f>
        <v/>
      </c>
      <c r="F206" s="422" t="str">
        <f>IF(C206="","",IF(CONSOLIDA!CS203="",0,CONSOLIDA!CS203))</f>
        <v/>
      </c>
      <c r="G206" s="422" t="str">
        <f>IF(C206="","",IF(CONSOLIDA!CT203="",0,CONSOLIDA!CT203))</f>
        <v/>
      </c>
      <c r="H206" s="422" t="str">
        <f>IF(C206="","",IF(CONSOLIDA!DE203="",0,CONSOLIDA!DE203))</f>
        <v/>
      </c>
      <c r="I206" s="422" t="str">
        <f>IF(C206="","",IF(CONSOLIDA!CW203="",0,CONSOLIDA!CW203))</f>
        <v/>
      </c>
      <c r="J206" s="422" t="str">
        <f>IF(C206="","",IF(CONSOLIDA!CX203="",0,CONSOLIDA!CX203))</f>
        <v/>
      </c>
      <c r="K206" s="486"/>
      <c r="L206" s="490" t="str">
        <f t="shared" si="12"/>
        <v/>
      </c>
      <c r="M206" s="490" t="str">
        <f t="shared" si="15"/>
        <v/>
      </c>
    </row>
    <row r="207" spans="1:13" ht="15.75" hidden="1" customHeight="1">
      <c r="A207" s="243" t="str">
        <f t="shared" si="14"/>
        <v>OK</v>
      </c>
      <c r="B207" s="419" t="str">
        <f t="shared" si="13"/>
        <v/>
      </c>
      <c r="C207" s="420" t="str">
        <f>IF(CONSOLIDA!CN204="","",CONSOLIDA!CN204)</f>
        <v/>
      </c>
      <c r="D207" s="421" t="str">
        <f>IF(CONSOLIDA!CO204="","",CONSOLIDA!CO204)</f>
        <v/>
      </c>
      <c r="E207" s="422" t="str">
        <f>IF(C207="","",IF(CONSOLIDA!DD204="",0,CONSOLIDA!DD204))</f>
        <v/>
      </c>
      <c r="F207" s="422" t="str">
        <f>IF(C207="","",IF(CONSOLIDA!CS204="",0,CONSOLIDA!CS204))</f>
        <v/>
      </c>
      <c r="G207" s="422" t="str">
        <f>IF(C207="","",IF(CONSOLIDA!CT204="",0,CONSOLIDA!CT204))</f>
        <v/>
      </c>
      <c r="H207" s="422" t="str">
        <f>IF(C207="","",IF(CONSOLIDA!DE204="",0,CONSOLIDA!DE204))</f>
        <v/>
      </c>
      <c r="I207" s="422" t="str">
        <f>IF(C207="","",IF(CONSOLIDA!CW204="",0,CONSOLIDA!CW204))</f>
        <v/>
      </c>
      <c r="J207" s="422" t="str">
        <f>IF(C207="","",IF(CONSOLIDA!CX204="",0,CONSOLIDA!CX204))</f>
        <v/>
      </c>
      <c r="K207" s="486"/>
      <c r="L207" s="490" t="str">
        <f t="shared" si="12"/>
        <v/>
      </c>
      <c r="M207" s="490" t="str">
        <f t="shared" si="15"/>
        <v/>
      </c>
    </row>
    <row r="208" spans="1:13" ht="15.75" hidden="1" customHeight="1">
      <c r="A208" s="243" t="str">
        <f t="shared" si="14"/>
        <v>OK</v>
      </c>
      <c r="B208" s="419" t="str">
        <f t="shared" si="13"/>
        <v/>
      </c>
      <c r="C208" s="420" t="str">
        <f>IF(CONSOLIDA!CN205="","",CONSOLIDA!CN205)</f>
        <v/>
      </c>
      <c r="D208" s="421" t="str">
        <f>IF(CONSOLIDA!CO205="","",CONSOLIDA!CO205)</f>
        <v/>
      </c>
      <c r="E208" s="422" t="str">
        <f>IF(C208="","",IF(CONSOLIDA!DD205="",0,CONSOLIDA!DD205))</f>
        <v/>
      </c>
      <c r="F208" s="422" t="str">
        <f>IF(C208="","",IF(CONSOLIDA!CS205="",0,CONSOLIDA!CS205))</f>
        <v/>
      </c>
      <c r="G208" s="422" t="str">
        <f>IF(C208="","",IF(CONSOLIDA!CT205="",0,CONSOLIDA!CT205))</f>
        <v/>
      </c>
      <c r="H208" s="422" t="str">
        <f>IF(C208="","",IF(CONSOLIDA!DE205="",0,CONSOLIDA!DE205))</f>
        <v/>
      </c>
      <c r="I208" s="422" t="str">
        <f>IF(C208="","",IF(CONSOLIDA!CW205="",0,CONSOLIDA!CW205))</f>
        <v/>
      </c>
      <c r="J208" s="422" t="str">
        <f>IF(C208="","",IF(CONSOLIDA!CX205="",0,CONSOLIDA!CX205))</f>
        <v/>
      </c>
      <c r="K208" s="486"/>
      <c r="L208" s="490" t="str">
        <f t="shared" si="12"/>
        <v/>
      </c>
      <c r="M208" s="490" t="str">
        <f t="shared" si="15"/>
        <v/>
      </c>
    </row>
    <row r="209" spans="1:13" ht="15.75" hidden="1" customHeight="1">
      <c r="A209" s="243" t="str">
        <f t="shared" si="14"/>
        <v>OK</v>
      </c>
      <c r="B209" s="419" t="str">
        <f t="shared" si="13"/>
        <v/>
      </c>
      <c r="C209" s="420" t="str">
        <f>IF(CONSOLIDA!CN206="","",CONSOLIDA!CN206)</f>
        <v/>
      </c>
      <c r="D209" s="421" t="str">
        <f>IF(CONSOLIDA!CO206="","",CONSOLIDA!CO206)</f>
        <v/>
      </c>
      <c r="E209" s="422" t="str">
        <f>IF(C209="","",IF(CONSOLIDA!DD206="",0,CONSOLIDA!DD206))</f>
        <v/>
      </c>
      <c r="F209" s="422" t="str">
        <f>IF(C209="","",IF(CONSOLIDA!CS206="",0,CONSOLIDA!CS206))</f>
        <v/>
      </c>
      <c r="G209" s="422" t="str">
        <f>IF(C209="","",IF(CONSOLIDA!CT206="",0,CONSOLIDA!CT206))</f>
        <v/>
      </c>
      <c r="H209" s="422" t="str">
        <f>IF(C209="","",IF(CONSOLIDA!DE206="",0,CONSOLIDA!DE206))</f>
        <v/>
      </c>
      <c r="I209" s="422" t="str">
        <f>IF(C209="","",IF(CONSOLIDA!CW206="",0,CONSOLIDA!CW206))</f>
        <v/>
      </c>
      <c r="J209" s="422" t="str">
        <f>IF(C209="","",IF(CONSOLIDA!CX206="",0,CONSOLIDA!CX206))</f>
        <v/>
      </c>
      <c r="K209" s="486"/>
      <c r="L209" s="490" t="str">
        <f t="shared" si="12"/>
        <v/>
      </c>
      <c r="M209" s="490" t="str">
        <f t="shared" si="15"/>
        <v/>
      </c>
    </row>
    <row r="210" spans="1:13" ht="15.75" hidden="1" customHeight="1">
      <c r="A210" s="243" t="str">
        <f t="shared" si="14"/>
        <v>OK</v>
      </c>
      <c r="B210" s="419" t="str">
        <f t="shared" si="13"/>
        <v/>
      </c>
      <c r="C210" s="420" t="str">
        <f>IF(CONSOLIDA!CN207="","",CONSOLIDA!CN207)</f>
        <v/>
      </c>
      <c r="D210" s="421" t="str">
        <f>IF(CONSOLIDA!CO207="","",CONSOLIDA!CO207)</f>
        <v/>
      </c>
      <c r="E210" s="422" t="str">
        <f>IF(C210="","",IF(CONSOLIDA!DD207="",0,CONSOLIDA!DD207))</f>
        <v/>
      </c>
      <c r="F210" s="422" t="str">
        <f>IF(C210="","",IF(CONSOLIDA!CS207="",0,CONSOLIDA!CS207))</f>
        <v/>
      </c>
      <c r="G210" s="422" t="str">
        <f>IF(C210="","",IF(CONSOLIDA!CT207="",0,CONSOLIDA!CT207))</f>
        <v/>
      </c>
      <c r="H210" s="422" t="str">
        <f>IF(C210="","",IF(CONSOLIDA!DE207="",0,CONSOLIDA!DE207))</f>
        <v/>
      </c>
      <c r="I210" s="422" t="str">
        <f>IF(C210="","",IF(CONSOLIDA!CW207="",0,CONSOLIDA!CW207))</f>
        <v/>
      </c>
      <c r="J210" s="422" t="str">
        <f>IF(C210="","",IF(CONSOLIDA!CX207="",0,CONSOLIDA!CX207))</f>
        <v/>
      </c>
      <c r="K210" s="486"/>
      <c r="L210" s="490" t="str">
        <f t="shared" si="12"/>
        <v/>
      </c>
      <c r="M210" s="490" t="str">
        <f t="shared" si="15"/>
        <v/>
      </c>
    </row>
  </sheetData>
  <sheetProtection password="F326" sheet="1" objects="1" scenarios="1" formatRows="0"/>
  <mergeCells count="9">
    <mergeCell ref="L5:M5"/>
    <mergeCell ref="L4:M4"/>
    <mergeCell ref="C5:D6"/>
    <mergeCell ref="B2:J2"/>
    <mergeCell ref="B3:J3"/>
    <mergeCell ref="B4:J4"/>
    <mergeCell ref="B5:B6"/>
    <mergeCell ref="E5:G5"/>
    <mergeCell ref="H5:J5"/>
  </mergeCells>
  <phoneticPr fontId="7" type="noConversion"/>
  <printOptions horizontalCentered="1"/>
  <pageMargins left="0.23622047244094491" right="0.19685039370078741" top="0.19685039370078741" bottom="0.15748031496062992" header="0.19685039370078741" footer="0.15748031496062992"/>
  <pageSetup paperSize="9" scale="7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K206"/>
  <sheetViews>
    <sheetView showRowColHeaders="0" workbookViewId="0">
      <selection activeCell="I12" sqref="I12"/>
    </sheetView>
  </sheetViews>
  <sheetFormatPr defaultColWidth="0" defaultRowHeight="0" customHeight="1" zeroHeight="1"/>
  <cols>
    <col min="1" max="1" width="8.140625" style="401" customWidth="1"/>
    <col min="2" max="3" width="7.5703125" style="401" customWidth="1"/>
    <col min="4" max="4" width="50.7109375" style="401" customWidth="1"/>
    <col min="5" max="9" width="12.85546875" style="401" customWidth="1"/>
    <col min="10" max="10" width="8.140625" style="401" customWidth="1"/>
    <col min="11" max="11" width="0" hidden="1" customWidth="1"/>
    <col min="12" max="16384" width="9.140625" hidden="1"/>
  </cols>
  <sheetData>
    <row r="1" spans="2:10" ht="20.25"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392"/>
    </row>
    <row r="2" spans="2:10" ht="20.25">
      <c r="B2" s="1190" t="s">
        <v>546</v>
      </c>
      <c r="C2" s="1190"/>
      <c r="D2" s="1190"/>
      <c r="E2" s="1190"/>
      <c r="F2" s="1190"/>
      <c r="G2" s="1190"/>
      <c r="H2" s="1190"/>
      <c r="I2" s="1190"/>
      <c r="J2" s="392"/>
    </row>
    <row r="3" spans="2:10" ht="40.5" customHeight="1" thickBot="1"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392"/>
    </row>
    <row r="4" spans="2:10" ht="12.75"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609" t="s">
        <v>412</v>
      </c>
      <c r="J4" s="392"/>
    </row>
    <row r="5" spans="2:10" ht="13.5" thickBot="1">
      <c r="B5" s="1192" t="s">
        <v>69</v>
      </c>
      <c r="C5" s="1192"/>
      <c r="D5" s="1192"/>
      <c r="E5" s="581">
        <f>SUM(E8:E204)</f>
        <v>16500</v>
      </c>
      <c r="F5" s="582">
        <f>SUM(F8:F204)</f>
        <v>0</v>
      </c>
      <c r="G5" s="582">
        <f>SUM(G8:G204)</f>
        <v>0</v>
      </c>
      <c r="H5" s="583">
        <f>SUM(H8:H204)</f>
        <v>16500</v>
      </c>
      <c r="I5" s="610">
        <f>SUM(I8:I204)</f>
        <v>0</v>
      </c>
      <c r="J5" s="392"/>
    </row>
    <row r="6" spans="2:10" ht="13.5" thickBot="1">
      <c r="B6" s="392"/>
      <c r="C6" s="392"/>
      <c r="D6" s="392"/>
      <c r="E6" s="392"/>
      <c r="F6" s="392"/>
      <c r="G6" s="392"/>
      <c r="H6" s="392"/>
      <c r="I6" s="392"/>
      <c r="J6" s="392"/>
    </row>
    <row r="7" spans="2:10" ht="13.5" thickBot="1">
      <c r="B7" s="586" t="s">
        <v>326</v>
      </c>
      <c r="C7" s="587" t="s">
        <v>224</v>
      </c>
      <c r="D7" s="588" t="s">
        <v>413</v>
      </c>
      <c r="E7" s="591" t="s">
        <v>410</v>
      </c>
      <c r="F7" s="587" t="s">
        <v>8</v>
      </c>
      <c r="G7" s="587" t="s">
        <v>411</v>
      </c>
      <c r="H7" s="588" t="s">
        <v>11</v>
      </c>
      <c r="I7" s="612" t="s">
        <v>412</v>
      </c>
      <c r="J7" s="392"/>
    </row>
    <row r="8" spans="2:10" ht="12.75"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5">
        <f>[1]MOD_2_transporte!$C$15</f>
        <v>2000</v>
      </c>
      <c r="F8" s="643">
        <f>[1]MOD_2_transporte!$G$15</f>
        <v>0</v>
      </c>
      <c r="G8" s="643">
        <f>[1]MOD_2_transporte!$P$15</f>
        <v>0</v>
      </c>
      <c r="H8" s="644">
        <f t="shared" ref="H8:H12" si="0">(E8+F8)-G8</f>
        <v>2000</v>
      </c>
      <c r="I8" s="646">
        <f>[1]MENU!$Y$83</f>
        <v>0</v>
      </c>
      <c r="J8" s="392"/>
    </row>
    <row r="9" spans="2:10" ht="12.75"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3">
        <f>[2]MOD_2_transporte!$C$15</f>
        <v>6000</v>
      </c>
      <c r="F9" s="559">
        <f>[2]MOD_2_transporte!$G$15</f>
        <v>0</v>
      </c>
      <c r="G9" s="559">
        <f>[2]MOD_2_transporte!$P$15</f>
        <v>0</v>
      </c>
      <c r="H9" s="597">
        <f t="shared" si="0"/>
        <v>6000</v>
      </c>
      <c r="I9" s="614">
        <f>[2]MENU!$Y$83</f>
        <v>0</v>
      </c>
      <c r="J9" s="392"/>
    </row>
    <row r="10" spans="2:10" ht="12.75">
      <c r="B10" s="604">
        <f t="shared" ref="B10:B73" si="1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3">
        <f>[3]MOD_2_transporte!$C$15</f>
        <v>3500</v>
      </c>
      <c r="F10" s="559">
        <f>[3]MOD_2_transporte!$G$15</f>
        <v>0</v>
      </c>
      <c r="G10" s="559">
        <f>[3]MOD_2_transporte!$P$15</f>
        <v>0</v>
      </c>
      <c r="H10" s="597">
        <f t="shared" si="0"/>
        <v>3500</v>
      </c>
      <c r="I10" s="614">
        <f>[3]MENU!$Y$83</f>
        <v>0</v>
      </c>
      <c r="J10" s="392"/>
    </row>
    <row r="11" spans="2:10" ht="12.75">
      <c r="B11" s="604">
        <f t="shared" si="1"/>
        <v>4</v>
      </c>
      <c r="C11" s="558">
        <f>[4]Dados!$E$3</f>
        <v>19490</v>
      </c>
      <c r="D11" s="605" t="str">
        <f>[4]Dados!$E$69</f>
        <v>EMEI - CAMPO LIMPO VI</v>
      </c>
      <c r="E11" s="593">
        <f>[4]MOD_2_transporte!$C$15</f>
        <v>5000</v>
      </c>
      <c r="F11" s="559">
        <f>[4]MOD_2_transporte!$G$15</f>
        <v>0</v>
      </c>
      <c r="G11" s="559">
        <f>[4]MOD_2_transporte!$P$15</f>
        <v>0</v>
      </c>
      <c r="H11" s="597">
        <f t="shared" si="0"/>
        <v>5000</v>
      </c>
      <c r="I11" s="614">
        <f>[4]MENU!$Y$83</f>
        <v>0</v>
      </c>
      <c r="J11" s="392"/>
    </row>
    <row r="12" spans="2:10" ht="13.5" thickBot="1">
      <c r="B12" s="606">
        <f t="shared" si="1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603">
        <f>[5]MOD_2_transporte!$C$15</f>
        <v>0</v>
      </c>
      <c r="F12" s="599">
        <f>[5]MOD_2_transporte!$G$15</f>
        <v>0</v>
      </c>
      <c r="G12" s="599">
        <f>[5]MOD_2_transporte!$P$15</f>
        <v>0</v>
      </c>
      <c r="H12" s="600">
        <f t="shared" si="0"/>
        <v>0</v>
      </c>
      <c r="I12" s="615">
        <f>[5]MENU!$Y$83</f>
        <v>0</v>
      </c>
      <c r="J12" s="392"/>
    </row>
    <row r="13" spans="2:10" ht="12.75" hidden="1">
      <c r="B13" s="639" t="str">
        <f t="shared" si="1"/>
        <v/>
      </c>
      <c r="C13" s="640"/>
      <c r="D13" s="641"/>
      <c r="E13" s="592"/>
      <c r="F13" s="584"/>
      <c r="G13" s="584"/>
      <c r="H13" s="595"/>
      <c r="I13" s="613"/>
      <c r="J13" s="392"/>
    </row>
    <row r="14" spans="2:10" ht="12.75" hidden="1">
      <c r="B14" s="604" t="str">
        <f t="shared" si="1"/>
        <v/>
      </c>
      <c r="C14" s="558"/>
      <c r="D14" s="605"/>
      <c r="E14" s="593"/>
      <c r="F14" s="559"/>
      <c r="G14" s="559"/>
      <c r="H14" s="597"/>
      <c r="I14" s="614"/>
      <c r="J14" s="392"/>
    </row>
    <row r="15" spans="2:10" ht="12.75" hidden="1">
      <c r="B15" s="604" t="str">
        <f t="shared" si="1"/>
        <v/>
      </c>
      <c r="C15" s="558"/>
      <c r="D15" s="605"/>
      <c r="E15" s="593"/>
      <c r="F15" s="559"/>
      <c r="G15" s="559"/>
      <c r="H15" s="597"/>
      <c r="I15" s="614"/>
      <c r="J15" s="392"/>
    </row>
    <row r="16" spans="2:10" ht="12.75" hidden="1">
      <c r="B16" s="604" t="str">
        <f t="shared" si="1"/>
        <v/>
      </c>
      <c r="C16" s="558"/>
      <c r="D16" s="605"/>
      <c r="E16" s="593"/>
      <c r="F16" s="559"/>
      <c r="G16" s="559"/>
      <c r="H16" s="597"/>
      <c r="I16" s="614"/>
      <c r="J16" s="392"/>
    </row>
    <row r="17" spans="2:10" ht="12.75" hidden="1">
      <c r="B17" s="604" t="str">
        <f t="shared" si="1"/>
        <v/>
      </c>
      <c r="C17" s="558"/>
      <c r="D17" s="605"/>
      <c r="E17" s="593"/>
      <c r="F17" s="559"/>
      <c r="G17" s="559"/>
      <c r="H17" s="597"/>
      <c r="I17" s="614"/>
      <c r="J17" s="392"/>
    </row>
    <row r="18" spans="2:10" ht="12.75" hidden="1">
      <c r="B18" s="604" t="str">
        <f t="shared" si="1"/>
        <v/>
      </c>
      <c r="C18" s="558"/>
      <c r="D18" s="605"/>
      <c r="E18" s="593"/>
      <c r="F18" s="559"/>
      <c r="G18" s="559"/>
      <c r="H18" s="597"/>
      <c r="I18" s="614"/>
      <c r="J18" s="392"/>
    </row>
    <row r="19" spans="2:10" ht="12.75" hidden="1">
      <c r="B19" s="604" t="str">
        <f t="shared" si="1"/>
        <v/>
      </c>
      <c r="C19" s="558"/>
      <c r="D19" s="605"/>
      <c r="E19" s="593"/>
      <c r="F19" s="559"/>
      <c r="G19" s="559"/>
      <c r="H19" s="597"/>
      <c r="I19" s="614"/>
      <c r="J19" s="392"/>
    </row>
    <row r="20" spans="2:10" ht="12.75" hidden="1">
      <c r="B20" s="604" t="str">
        <f t="shared" si="1"/>
        <v/>
      </c>
      <c r="C20" s="558"/>
      <c r="D20" s="605"/>
      <c r="E20" s="593"/>
      <c r="F20" s="559"/>
      <c r="G20" s="559"/>
      <c r="H20" s="597"/>
      <c r="I20" s="614"/>
      <c r="J20" s="392"/>
    </row>
    <row r="21" spans="2:10" ht="12.75" hidden="1">
      <c r="B21" s="604" t="str">
        <f t="shared" si="1"/>
        <v/>
      </c>
      <c r="C21" s="558"/>
      <c r="D21" s="605"/>
      <c r="E21" s="593"/>
      <c r="F21" s="559"/>
      <c r="G21" s="559"/>
      <c r="H21" s="597"/>
      <c r="I21" s="614"/>
      <c r="J21" s="392"/>
    </row>
    <row r="22" spans="2:10" ht="12.75" hidden="1">
      <c r="B22" s="604" t="str">
        <f t="shared" si="1"/>
        <v/>
      </c>
      <c r="C22" s="558"/>
      <c r="D22" s="605"/>
      <c r="E22" s="593"/>
      <c r="F22" s="559"/>
      <c r="G22" s="559"/>
      <c r="H22" s="597"/>
      <c r="I22" s="614"/>
      <c r="J22" s="392"/>
    </row>
    <row r="23" spans="2:10" ht="12.75" hidden="1">
      <c r="B23" s="604" t="str">
        <f t="shared" si="1"/>
        <v/>
      </c>
      <c r="C23" s="558"/>
      <c r="D23" s="605"/>
      <c r="E23" s="593"/>
      <c r="F23" s="559"/>
      <c r="G23" s="559"/>
      <c r="H23" s="597"/>
      <c r="I23" s="614"/>
      <c r="J23" s="392"/>
    </row>
    <row r="24" spans="2:10" ht="12.75" hidden="1">
      <c r="B24" s="604" t="str">
        <f t="shared" si="1"/>
        <v/>
      </c>
      <c r="C24" s="558"/>
      <c r="D24" s="605"/>
      <c r="E24" s="593"/>
      <c r="F24" s="559"/>
      <c r="G24" s="559"/>
      <c r="H24" s="597"/>
      <c r="I24" s="614"/>
      <c r="J24" s="392"/>
    </row>
    <row r="25" spans="2:10" ht="12.75" hidden="1">
      <c r="B25" s="604" t="str">
        <f t="shared" si="1"/>
        <v/>
      </c>
      <c r="C25" s="558"/>
      <c r="D25" s="605"/>
      <c r="E25" s="593"/>
      <c r="F25" s="559"/>
      <c r="G25" s="559"/>
      <c r="H25" s="597"/>
      <c r="I25" s="614"/>
      <c r="J25" s="392"/>
    </row>
    <row r="26" spans="2:10" ht="12.75" hidden="1">
      <c r="B26" s="604" t="str">
        <f t="shared" si="1"/>
        <v/>
      </c>
      <c r="C26" s="558"/>
      <c r="D26" s="605"/>
      <c r="E26" s="593"/>
      <c r="F26" s="559"/>
      <c r="G26" s="559"/>
      <c r="H26" s="597"/>
      <c r="I26" s="614"/>
      <c r="J26" s="392"/>
    </row>
    <row r="27" spans="2:10" ht="12.75" hidden="1">
      <c r="B27" s="604" t="str">
        <f t="shared" si="1"/>
        <v/>
      </c>
      <c r="C27" s="558"/>
      <c r="D27" s="605"/>
      <c r="E27" s="593"/>
      <c r="F27" s="559"/>
      <c r="G27" s="559"/>
      <c r="H27" s="597"/>
      <c r="I27" s="614"/>
      <c r="J27" s="392"/>
    </row>
    <row r="28" spans="2:10" ht="12.75" hidden="1">
      <c r="B28" s="604" t="str">
        <f t="shared" si="1"/>
        <v/>
      </c>
      <c r="C28" s="558"/>
      <c r="D28" s="605"/>
      <c r="E28" s="593"/>
      <c r="F28" s="559"/>
      <c r="G28" s="559"/>
      <c r="H28" s="597"/>
      <c r="I28" s="614"/>
      <c r="J28" s="392"/>
    </row>
    <row r="29" spans="2:10" ht="12.75" hidden="1">
      <c r="B29" s="604" t="str">
        <f t="shared" si="1"/>
        <v/>
      </c>
      <c r="C29" s="558"/>
      <c r="D29" s="605"/>
      <c r="E29" s="593"/>
      <c r="F29" s="559"/>
      <c r="G29" s="559"/>
      <c r="H29" s="597"/>
      <c r="I29" s="614"/>
      <c r="J29" s="392"/>
    </row>
    <row r="30" spans="2:10" ht="12.75" hidden="1">
      <c r="B30" s="604" t="str">
        <f t="shared" si="1"/>
        <v/>
      </c>
      <c r="C30" s="558"/>
      <c r="D30" s="605"/>
      <c r="E30" s="593"/>
      <c r="F30" s="559"/>
      <c r="G30" s="559"/>
      <c r="H30" s="597"/>
      <c r="I30" s="614"/>
      <c r="J30" s="392"/>
    </row>
    <row r="31" spans="2:10" ht="12.75" hidden="1">
      <c r="B31" s="604" t="str">
        <f t="shared" si="1"/>
        <v/>
      </c>
      <c r="C31" s="558"/>
      <c r="D31" s="605"/>
      <c r="E31" s="593"/>
      <c r="F31" s="559"/>
      <c r="G31" s="559"/>
      <c r="H31" s="597"/>
      <c r="I31" s="614"/>
      <c r="J31" s="392"/>
    </row>
    <row r="32" spans="2:10" ht="12.75" hidden="1">
      <c r="B32" s="604" t="str">
        <f t="shared" si="1"/>
        <v/>
      </c>
      <c r="C32" s="558"/>
      <c r="D32" s="605"/>
      <c r="E32" s="593"/>
      <c r="F32" s="559"/>
      <c r="G32" s="559"/>
      <c r="H32" s="597"/>
      <c r="I32" s="614"/>
      <c r="J32" s="392"/>
    </row>
    <row r="33" spans="2:10" ht="12.75" hidden="1">
      <c r="B33" s="604" t="str">
        <f t="shared" si="1"/>
        <v/>
      </c>
      <c r="C33" s="558"/>
      <c r="D33" s="605"/>
      <c r="E33" s="593"/>
      <c r="F33" s="559"/>
      <c r="G33" s="559"/>
      <c r="H33" s="597"/>
      <c r="I33" s="614"/>
      <c r="J33" s="392"/>
    </row>
    <row r="34" spans="2:10" ht="12.75" hidden="1">
      <c r="B34" s="604" t="str">
        <f t="shared" si="1"/>
        <v/>
      </c>
      <c r="C34" s="558"/>
      <c r="D34" s="605"/>
      <c r="E34" s="593"/>
      <c r="F34" s="559"/>
      <c r="G34" s="559"/>
      <c r="H34" s="597"/>
      <c r="I34" s="614"/>
      <c r="J34" s="392"/>
    </row>
    <row r="35" spans="2:10" ht="12.75" hidden="1">
      <c r="B35" s="604" t="str">
        <f t="shared" si="1"/>
        <v/>
      </c>
      <c r="C35" s="558"/>
      <c r="D35" s="605"/>
      <c r="E35" s="593"/>
      <c r="F35" s="559"/>
      <c r="G35" s="559"/>
      <c r="H35" s="597"/>
      <c r="I35" s="614"/>
      <c r="J35" s="392"/>
    </row>
    <row r="36" spans="2:10" ht="12.75" hidden="1">
      <c r="B36" s="604" t="str">
        <f t="shared" si="1"/>
        <v/>
      </c>
      <c r="C36" s="558"/>
      <c r="D36" s="605"/>
      <c r="E36" s="593"/>
      <c r="F36" s="559"/>
      <c r="G36" s="559"/>
      <c r="H36" s="597"/>
      <c r="I36" s="614"/>
      <c r="J36" s="392"/>
    </row>
    <row r="37" spans="2:10" ht="12.75" hidden="1">
      <c r="B37" s="604" t="str">
        <f t="shared" si="1"/>
        <v/>
      </c>
      <c r="C37" s="558"/>
      <c r="D37" s="605"/>
      <c r="E37" s="593"/>
      <c r="F37" s="559"/>
      <c r="G37" s="559"/>
      <c r="H37" s="597"/>
      <c r="I37" s="614"/>
      <c r="J37" s="392"/>
    </row>
    <row r="38" spans="2:10" ht="12.75" hidden="1">
      <c r="B38" s="604" t="str">
        <f t="shared" si="1"/>
        <v/>
      </c>
      <c r="C38" s="558"/>
      <c r="D38" s="605"/>
      <c r="E38" s="593"/>
      <c r="F38" s="559"/>
      <c r="G38" s="559"/>
      <c r="H38" s="597"/>
      <c r="I38" s="614"/>
      <c r="J38" s="392"/>
    </row>
    <row r="39" spans="2:10" ht="12.75" hidden="1">
      <c r="B39" s="604" t="str">
        <f t="shared" si="1"/>
        <v/>
      </c>
      <c r="C39" s="558"/>
      <c r="D39" s="605"/>
      <c r="E39" s="593"/>
      <c r="F39" s="559"/>
      <c r="G39" s="559"/>
      <c r="H39" s="597"/>
      <c r="I39" s="614"/>
      <c r="J39" s="392"/>
    </row>
    <row r="40" spans="2:10" ht="12.75" hidden="1">
      <c r="B40" s="604" t="str">
        <f t="shared" si="1"/>
        <v/>
      </c>
      <c r="C40" s="558"/>
      <c r="D40" s="605"/>
      <c r="E40" s="593"/>
      <c r="F40" s="559"/>
      <c r="G40" s="559"/>
      <c r="H40" s="597"/>
      <c r="I40" s="614"/>
      <c r="J40" s="392"/>
    </row>
    <row r="41" spans="2:10" ht="12.75" hidden="1">
      <c r="B41" s="604" t="str">
        <f t="shared" si="1"/>
        <v/>
      </c>
      <c r="C41" s="558"/>
      <c r="D41" s="605"/>
      <c r="E41" s="593"/>
      <c r="F41" s="559"/>
      <c r="G41" s="559"/>
      <c r="H41" s="597"/>
      <c r="I41" s="614"/>
      <c r="J41" s="392"/>
    </row>
    <row r="42" spans="2:10" ht="12.75" hidden="1">
      <c r="B42" s="604" t="str">
        <f t="shared" si="1"/>
        <v/>
      </c>
      <c r="C42" s="558"/>
      <c r="D42" s="605"/>
      <c r="E42" s="593"/>
      <c r="F42" s="559"/>
      <c r="G42" s="559"/>
      <c r="H42" s="597"/>
      <c r="I42" s="614"/>
      <c r="J42" s="392"/>
    </row>
    <row r="43" spans="2:10" ht="12.75" hidden="1">
      <c r="B43" s="604" t="str">
        <f t="shared" si="1"/>
        <v/>
      </c>
      <c r="C43" s="558"/>
      <c r="D43" s="605"/>
      <c r="E43" s="593"/>
      <c r="F43" s="559"/>
      <c r="G43" s="559"/>
      <c r="H43" s="597"/>
      <c r="I43" s="614"/>
      <c r="J43" s="392"/>
    </row>
    <row r="44" spans="2:10" ht="12.75" hidden="1">
      <c r="B44" s="604" t="str">
        <f t="shared" si="1"/>
        <v/>
      </c>
      <c r="C44" s="558"/>
      <c r="D44" s="605"/>
      <c r="E44" s="593"/>
      <c r="F44" s="559"/>
      <c r="G44" s="559"/>
      <c r="H44" s="597"/>
      <c r="I44" s="614"/>
      <c r="J44" s="392"/>
    </row>
    <row r="45" spans="2:10" ht="12.75" hidden="1">
      <c r="B45" s="604" t="str">
        <f t="shared" si="1"/>
        <v/>
      </c>
      <c r="C45" s="558"/>
      <c r="D45" s="605"/>
      <c r="E45" s="593"/>
      <c r="F45" s="559"/>
      <c r="G45" s="559"/>
      <c r="H45" s="597"/>
      <c r="I45" s="614"/>
      <c r="J45" s="392"/>
    </row>
    <row r="46" spans="2:10" ht="12.75" hidden="1">
      <c r="B46" s="604" t="str">
        <f t="shared" si="1"/>
        <v/>
      </c>
      <c r="C46" s="558"/>
      <c r="D46" s="605"/>
      <c r="E46" s="593"/>
      <c r="F46" s="559"/>
      <c r="G46" s="559"/>
      <c r="H46" s="650"/>
      <c r="I46" s="651"/>
      <c r="J46" s="392"/>
    </row>
    <row r="47" spans="2:10" ht="12.75" hidden="1">
      <c r="B47" s="604" t="str">
        <f t="shared" si="1"/>
        <v/>
      </c>
      <c r="C47" s="558"/>
      <c r="D47" s="605"/>
      <c r="E47" s="593"/>
      <c r="F47" s="559"/>
      <c r="G47" s="559"/>
      <c r="H47" s="597"/>
      <c r="I47" s="614"/>
      <c r="J47" s="392"/>
    </row>
    <row r="48" spans="2:10" ht="12.75" hidden="1">
      <c r="B48" s="604" t="str">
        <f t="shared" si="1"/>
        <v/>
      </c>
      <c r="C48" s="558"/>
      <c r="D48" s="605"/>
      <c r="E48" s="593"/>
      <c r="F48" s="559"/>
      <c r="G48" s="559"/>
      <c r="H48" s="597"/>
      <c r="I48" s="614"/>
      <c r="J48" s="392"/>
    </row>
    <row r="49" spans="2:10" ht="12.75" hidden="1">
      <c r="B49" s="604" t="str">
        <f t="shared" si="1"/>
        <v/>
      </c>
      <c r="C49" s="558"/>
      <c r="D49" s="605"/>
      <c r="E49" s="593"/>
      <c r="F49" s="559"/>
      <c r="G49" s="559"/>
      <c r="H49" s="597"/>
      <c r="I49" s="614"/>
      <c r="J49" s="392"/>
    </row>
    <row r="50" spans="2:10" ht="12.75" hidden="1">
      <c r="B50" s="604" t="str">
        <f t="shared" si="1"/>
        <v/>
      </c>
      <c r="C50" s="558"/>
      <c r="D50" s="605"/>
      <c r="E50" s="593"/>
      <c r="F50" s="559"/>
      <c r="G50" s="559"/>
      <c r="H50" s="597"/>
      <c r="I50" s="614"/>
      <c r="J50" s="392"/>
    </row>
    <row r="51" spans="2:10" ht="12.75" hidden="1">
      <c r="B51" s="604" t="str">
        <f t="shared" si="1"/>
        <v/>
      </c>
      <c r="C51" s="558"/>
      <c r="D51" s="605"/>
      <c r="E51" s="593"/>
      <c r="F51" s="559"/>
      <c r="G51" s="559"/>
      <c r="H51" s="597"/>
      <c r="I51" s="614"/>
      <c r="J51" s="392"/>
    </row>
    <row r="52" spans="2:10" ht="12.75" hidden="1">
      <c r="B52" s="604" t="str">
        <f t="shared" si="1"/>
        <v/>
      </c>
      <c r="C52" s="558"/>
      <c r="D52" s="605"/>
      <c r="E52" s="593"/>
      <c r="F52" s="559"/>
      <c r="G52" s="559"/>
      <c r="H52" s="597"/>
      <c r="I52" s="614"/>
      <c r="J52" s="392"/>
    </row>
    <row r="53" spans="2:10" ht="12.75" hidden="1">
      <c r="B53" s="604" t="str">
        <f t="shared" si="1"/>
        <v/>
      </c>
      <c r="C53" s="558"/>
      <c r="D53" s="605"/>
      <c r="E53" s="593"/>
      <c r="F53" s="559"/>
      <c r="G53" s="559"/>
      <c r="H53" s="597"/>
      <c r="I53" s="614"/>
      <c r="J53" s="392"/>
    </row>
    <row r="54" spans="2:10" ht="12.75" hidden="1">
      <c r="B54" s="604" t="str">
        <f t="shared" si="1"/>
        <v/>
      </c>
      <c r="C54" s="558"/>
      <c r="D54" s="605"/>
      <c r="E54" s="593"/>
      <c r="F54" s="559"/>
      <c r="G54" s="559"/>
      <c r="H54" s="597"/>
      <c r="I54" s="614"/>
      <c r="J54" s="392"/>
    </row>
    <row r="55" spans="2:10" ht="12.75" hidden="1">
      <c r="B55" s="604" t="str">
        <f t="shared" si="1"/>
        <v/>
      </c>
      <c r="C55" s="558"/>
      <c r="D55" s="605"/>
      <c r="E55" s="593"/>
      <c r="F55" s="559"/>
      <c r="G55" s="559"/>
      <c r="H55" s="597"/>
      <c r="I55" s="614"/>
      <c r="J55" s="392"/>
    </row>
    <row r="56" spans="2:10" ht="12.75" hidden="1">
      <c r="B56" s="604" t="str">
        <f t="shared" si="1"/>
        <v/>
      </c>
      <c r="C56" s="558"/>
      <c r="D56" s="605"/>
      <c r="E56" s="593"/>
      <c r="F56" s="559"/>
      <c r="G56" s="559"/>
      <c r="H56" s="597"/>
      <c r="I56" s="614"/>
      <c r="J56" s="392"/>
    </row>
    <row r="57" spans="2:10" ht="12.75" hidden="1">
      <c r="B57" s="604" t="str">
        <f t="shared" si="1"/>
        <v/>
      </c>
      <c r="C57" s="558"/>
      <c r="D57" s="605"/>
      <c r="E57" s="593"/>
      <c r="F57" s="559"/>
      <c r="G57" s="559"/>
      <c r="H57" s="597"/>
      <c r="I57" s="614"/>
      <c r="J57" s="392"/>
    </row>
    <row r="58" spans="2:10" ht="12.75" hidden="1">
      <c r="B58" s="604" t="str">
        <f t="shared" si="1"/>
        <v/>
      </c>
      <c r="C58" s="558"/>
      <c r="D58" s="605"/>
      <c r="E58" s="593"/>
      <c r="F58" s="559"/>
      <c r="G58" s="559"/>
      <c r="H58" s="597"/>
      <c r="I58" s="614"/>
      <c r="J58" s="392"/>
    </row>
    <row r="59" spans="2:10" ht="12.75" hidden="1">
      <c r="B59" s="604" t="str">
        <f t="shared" si="1"/>
        <v/>
      </c>
      <c r="C59" s="558"/>
      <c r="D59" s="605"/>
      <c r="E59" s="593"/>
      <c r="F59" s="559"/>
      <c r="G59" s="559"/>
      <c r="H59" s="597"/>
      <c r="I59" s="614"/>
      <c r="J59" s="392"/>
    </row>
    <row r="60" spans="2:10" ht="12.75" hidden="1">
      <c r="B60" s="604" t="str">
        <f t="shared" si="1"/>
        <v/>
      </c>
      <c r="C60" s="558"/>
      <c r="D60" s="605"/>
      <c r="E60" s="593"/>
      <c r="F60" s="559"/>
      <c r="G60" s="559"/>
      <c r="H60" s="597"/>
      <c r="I60" s="614"/>
      <c r="J60" s="392"/>
    </row>
    <row r="61" spans="2:10" ht="12.75" hidden="1">
      <c r="B61" s="604" t="str">
        <f t="shared" si="1"/>
        <v/>
      </c>
      <c r="C61" s="558"/>
      <c r="D61" s="605"/>
      <c r="E61" s="593"/>
      <c r="F61" s="559"/>
      <c r="G61" s="559"/>
      <c r="H61" s="597"/>
      <c r="I61" s="614"/>
      <c r="J61" s="392"/>
    </row>
    <row r="62" spans="2:10" ht="12.75" hidden="1">
      <c r="B62" s="604" t="str">
        <f t="shared" si="1"/>
        <v/>
      </c>
      <c r="C62" s="558"/>
      <c r="D62" s="605"/>
      <c r="E62" s="593"/>
      <c r="F62" s="559"/>
      <c r="G62" s="559"/>
      <c r="H62" s="597"/>
      <c r="I62" s="614"/>
      <c r="J62" s="392"/>
    </row>
    <row r="63" spans="2:10" ht="12.75" hidden="1">
      <c r="B63" s="604" t="str">
        <f t="shared" si="1"/>
        <v/>
      </c>
      <c r="C63" s="558"/>
      <c r="D63" s="605"/>
      <c r="E63" s="593"/>
      <c r="F63" s="559"/>
      <c r="G63" s="559"/>
      <c r="H63" s="597"/>
      <c r="I63" s="614"/>
      <c r="J63" s="392"/>
    </row>
    <row r="64" spans="2:10" ht="12.75" hidden="1">
      <c r="B64" s="604" t="str">
        <f t="shared" si="1"/>
        <v/>
      </c>
      <c r="C64" s="558"/>
      <c r="D64" s="605"/>
      <c r="E64" s="593"/>
      <c r="F64" s="559"/>
      <c r="G64" s="559"/>
      <c r="H64" s="597"/>
      <c r="I64" s="614"/>
      <c r="J64" s="392"/>
    </row>
    <row r="65" spans="2:10" ht="12.75" hidden="1">
      <c r="B65" s="604" t="str">
        <f t="shared" si="1"/>
        <v/>
      </c>
      <c r="C65" s="558"/>
      <c r="D65" s="605"/>
      <c r="E65" s="593"/>
      <c r="F65" s="559"/>
      <c r="G65" s="559"/>
      <c r="H65" s="597"/>
      <c r="I65" s="614"/>
      <c r="J65" s="392"/>
    </row>
    <row r="66" spans="2:10" ht="12.75" hidden="1">
      <c r="B66" s="604" t="str">
        <f t="shared" si="1"/>
        <v/>
      </c>
      <c r="C66" s="558"/>
      <c r="D66" s="605"/>
      <c r="E66" s="593"/>
      <c r="F66" s="559"/>
      <c r="G66" s="559"/>
      <c r="H66" s="597"/>
      <c r="I66" s="614"/>
      <c r="J66" s="392"/>
    </row>
    <row r="67" spans="2:10" ht="12.75" hidden="1">
      <c r="B67" s="604" t="str">
        <f t="shared" si="1"/>
        <v/>
      </c>
      <c r="C67" s="558"/>
      <c r="D67" s="605"/>
      <c r="E67" s="593"/>
      <c r="F67" s="559"/>
      <c r="G67" s="559"/>
      <c r="H67" s="597"/>
      <c r="I67" s="614"/>
      <c r="J67" s="392"/>
    </row>
    <row r="68" spans="2:10" ht="12.75" hidden="1">
      <c r="B68" s="604" t="str">
        <f t="shared" si="1"/>
        <v/>
      </c>
      <c r="C68" s="558"/>
      <c r="D68" s="605"/>
      <c r="E68" s="593"/>
      <c r="F68" s="559"/>
      <c r="G68" s="559"/>
      <c r="H68" s="597"/>
      <c r="I68" s="614"/>
      <c r="J68" s="392"/>
    </row>
    <row r="69" spans="2:10" ht="12.75" hidden="1">
      <c r="B69" s="604" t="str">
        <f t="shared" si="1"/>
        <v/>
      </c>
      <c r="C69" s="558"/>
      <c r="D69" s="605"/>
      <c r="E69" s="593"/>
      <c r="F69" s="559"/>
      <c r="G69" s="559"/>
      <c r="H69" s="597"/>
      <c r="I69" s="614"/>
      <c r="J69" s="392"/>
    </row>
    <row r="70" spans="2:10" ht="12.75" hidden="1">
      <c r="B70" s="604" t="str">
        <f t="shared" si="1"/>
        <v/>
      </c>
      <c r="C70" s="558"/>
      <c r="D70" s="605"/>
      <c r="E70" s="593"/>
      <c r="F70" s="559"/>
      <c r="G70" s="559"/>
      <c r="H70" s="597"/>
      <c r="I70" s="614"/>
      <c r="J70" s="392"/>
    </row>
    <row r="71" spans="2:10" ht="12.75" hidden="1">
      <c r="B71" s="604" t="str">
        <f t="shared" si="1"/>
        <v/>
      </c>
      <c r="C71" s="558"/>
      <c r="D71" s="605"/>
      <c r="E71" s="593"/>
      <c r="F71" s="559"/>
      <c r="G71" s="559"/>
      <c r="H71" s="597"/>
      <c r="I71" s="614"/>
      <c r="J71" s="392"/>
    </row>
    <row r="72" spans="2:10" ht="12.75" hidden="1">
      <c r="B72" s="604" t="str">
        <f t="shared" si="1"/>
        <v/>
      </c>
      <c r="C72" s="558"/>
      <c r="D72" s="605"/>
      <c r="E72" s="593"/>
      <c r="F72" s="559"/>
      <c r="G72" s="559"/>
      <c r="H72" s="597"/>
      <c r="I72" s="614"/>
      <c r="J72" s="392"/>
    </row>
    <row r="73" spans="2:10" ht="12.75" hidden="1">
      <c r="B73" s="604" t="str">
        <f t="shared" si="1"/>
        <v/>
      </c>
      <c r="C73" s="558"/>
      <c r="D73" s="605"/>
      <c r="E73" s="593"/>
      <c r="F73" s="559"/>
      <c r="G73" s="559"/>
      <c r="H73" s="597"/>
      <c r="I73" s="614"/>
      <c r="J73" s="392"/>
    </row>
    <row r="74" spans="2:10" ht="12.75" hidden="1">
      <c r="B74" s="604" t="str">
        <f t="shared" ref="B74:B137" si="2">IF(C74="","",B73+1)</f>
        <v/>
      </c>
      <c r="C74" s="558"/>
      <c r="D74" s="605"/>
      <c r="E74" s="593"/>
      <c r="F74" s="559"/>
      <c r="G74" s="559"/>
      <c r="H74" s="597"/>
      <c r="I74" s="614"/>
      <c r="J74" s="392"/>
    </row>
    <row r="75" spans="2:10" ht="12.75" hidden="1">
      <c r="B75" s="604" t="str">
        <f t="shared" si="2"/>
        <v/>
      </c>
      <c r="C75" s="558"/>
      <c r="D75" s="605"/>
      <c r="E75" s="593"/>
      <c r="F75" s="559"/>
      <c r="G75" s="559"/>
      <c r="H75" s="597"/>
      <c r="I75" s="614"/>
      <c r="J75" s="392"/>
    </row>
    <row r="76" spans="2:10" ht="12.75" hidden="1">
      <c r="B76" s="604" t="str">
        <f t="shared" si="2"/>
        <v/>
      </c>
      <c r="C76" s="558"/>
      <c r="D76" s="605"/>
      <c r="E76" s="593"/>
      <c r="F76" s="559"/>
      <c r="G76" s="559"/>
      <c r="H76" s="597"/>
      <c r="I76" s="614"/>
      <c r="J76" s="392"/>
    </row>
    <row r="77" spans="2:10" ht="12.75" hidden="1">
      <c r="B77" s="604" t="str">
        <f t="shared" si="2"/>
        <v/>
      </c>
      <c r="C77" s="558"/>
      <c r="D77" s="605"/>
      <c r="E77" s="593"/>
      <c r="F77" s="559"/>
      <c r="G77" s="559"/>
      <c r="H77" s="597"/>
      <c r="I77" s="614"/>
      <c r="J77" s="392"/>
    </row>
    <row r="78" spans="2:10" ht="12.75" hidden="1">
      <c r="B78" s="604" t="str">
        <f t="shared" si="2"/>
        <v/>
      </c>
      <c r="C78" s="558"/>
      <c r="D78" s="605"/>
      <c r="E78" s="593"/>
      <c r="F78" s="559"/>
      <c r="G78" s="559"/>
      <c r="H78" s="597"/>
      <c r="I78" s="614"/>
      <c r="J78" s="392"/>
    </row>
    <row r="79" spans="2:10" ht="12.75" hidden="1">
      <c r="B79" s="604" t="str">
        <f t="shared" si="2"/>
        <v/>
      </c>
      <c r="C79" s="558"/>
      <c r="D79" s="605"/>
      <c r="E79" s="593"/>
      <c r="F79" s="559"/>
      <c r="G79" s="559"/>
      <c r="H79" s="597"/>
      <c r="I79" s="614"/>
      <c r="J79" s="392"/>
    </row>
    <row r="80" spans="2:10" ht="12.75" hidden="1">
      <c r="B80" s="604" t="str">
        <f t="shared" si="2"/>
        <v/>
      </c>
      <c r="C80" s="558"/>
      <c r="D80" s="605"/>
      <c r="E80" s="593"/>
      <c r="F80" s="559"/>
      <c r="G80" s="559"/>
      <c r="H80" s="597"/>
      <c r="I80" s="614"/>
      <c r="J80" s="392"/>
    </row>
    <row r="81" spans="2:10" ht="12.75" hidden="1">
      <c r="B81" s="604" t="str">
        <f t="shared" si="2"/>
        <v/>
      </c>
      <c r="C81" s="558"/>
      <c r="D81" s="605"/>
      <c r="E81" s="593"/>
      <c r="F81" s="559"/>
      <c r="G81" s="559"/>
      <c r="H81" s="597"/>
      <c r="I81" s="614"/>
      <c r="J81" s="392"/>
    </row>
    <row r="82" spans="2:10" ht="12.75" hidden="1">
      <c r="B82" s="604" t="str">
        <f t="shared" si="2"/>
        <v/>
      </c>
      <c r="C82" s="558"/>
      <c r="D82" s="605"/>
      <c r="E82" s="593"/>
      <c r="F82" s="559"/>
      <c r="G82" s="559"/>
      <c r="H82" s="597"/>
      <c r="I82" s="614"/>
      <c r="J82" s="392"/>
    </row>
    <row r="83" spans="2:10" ht="12.75" hidden="1">
      <c r="B83" s="604" t="str">
        <f t="shared" si="2"/>
        <v/>
      </c>
      <c r="C83" s="558"/>
      <c r="D83" s="605"/>
      <c r="E83" s="593"/>
      <c r="F83" s="559"/>
      <c r="G83" s="559"/>
      <c r="H83" s="597"/>
      <c r="I83" s="614"/>
      <c r="J83" s="392"/>
    </row>
    <row r="84" spans="2:10" ht="12.75" hidden="1">
      <c r="B84" s="604" t="str">
        <f t="shared" si="2"/>
        <v/>
      </c>
      <c r="C84" s="558"/>
      <c r="D84" s="605"/>
      <c r="E84" s="593"/>
      <c r="F84" s="559"/>
      <c r="G84" s="559"/>
      <c r="H84" s="597"/>
      <c r="I84" s="614"/>
      <c r="J84" s="392"/>
    </row>
    <row r="85" spans="2:10" ht="12.75" hidden="1">
      <c r="B85" s="604" t="str">
        <f t="shared" si="2"/>
        <v/>
      </c>
      <c r="C85" s="558"/>
      <c r="D85" s="605"/>
      <c r="E85" s="593"/>
      <c r="F85" s="559"/>
      <c r="G85" s="559"/>
      <c r="H85" s="597"/>
      <c r="I85" s="614"/>
      <c r="J85" s="392"/>
    </row>
    <row r="86" spans="2:10" ht="12.75" hidden="1">
      <c r="B86" s="604" t="str">
        <f t="shared" si="2"/>
        <v/>
      </c>
      <c r="C86" s="558"/>
      <c r="D86" s="605"/>
      <c r="E86" s="593"/>
      <c r="F86" s="559"/>
      <c r="G86" s="559"/>
      <c r="H86" s="597"/>
      <c r="I86" s="614"/>
      <c r="J86" s="392"/>
    </row>
    <row r="87" spans="2:10" ht="12.75" hidden="1">
      <c r="B87" s="604" t="str">
        <f t="shared" si="2"/>
        <v/>
      </c>
      <c r="C87" s="558"/>
      <c r="D87" s="605"/>
      <c r="E87" s="593"/>
      <c r="F87" s="559"/>
      <c r="G87" s="559"/>
      <c r="H87" s="597"/>
      <c r="I87" s="614"/>
      <c r="J87" s="392"/>
    </row>
    <row r="88" spans="2:10" ht="12.75" hidden="1">
      <c r="B88" s="604" t="str">
        <f t="shared" si="2"/>
        <v/>
      </c>
      <c r="C88" s="558"/>
      <c r="D88" s="605"/>
      <c r="E88" s="593"/>
      <c r="F88" s="559"/>
      <c r="G88" s="559"/>
      <c r="H88" s="597"/>
      <c r="I88" s="614"/>
      <c r="J88" s="392"/>
    </row>
    <row r="89" spans="2:10" ht="12.75" hidden="1">
      <c r="B89" s="604" t="str">
        <f t="shared" si="2"/>
        <v/>
      </c>
      <c r="C89" s="558"/>
      <c r="D89" s="605"/>
      <c r="E89" s="593"/>
      <c r="F89" s="559"/>
      <c r="G89" s="559"/>
      <c r="H89" s="597"/>
      <c r="I89" s="614"/>
      <c r="J89" s="392"/>
    </row>
    <row r="90" spans="2:10" ht="12.75" hidden="1">
      <c r="B90" s="604" t="str">
        <f t="shared" si="2"/>
        <v/>
      </c>
      <c r="C90" s="558"/>
      <c r="D90" s="605"/>
      <c r="E90" s="593"/>
      <c r="F90" s="559"/>
      <c r="G90" s="559"/>
      <c r="H90" s="597"/>
      <c r="I90" s="614"/>
      <c r="J90" s="392"/>
    </row>
    <row r="91" spans="2:10" ht="12.75" hidden="1">
      <c r="B91" s="604" t="str">
        <f t="shared" si="2"/>
        <v/>
      </c>
      <c r="C91" s="558"/>
      <c r="D91" s="605"/>
      <c r="E91" s="593"/>
      <c r="F91" s="559"/>
      <c r="G91" s="559"/>
      <c r="H91" s="597"/>
      <c r="I91" s="614"/>
      <c r="J91" s="392"/>
    </row>
    <row r="92" spans="2:10" ht="12.75" hidden="1">
      <c r="B92" s="604" t="str">
        <f t="shared" si="2"/>
        <v/>
      </c>
      <c r="C92" s="558"/>
      <c r="D92" s="605"/>
      <c r="E92" s="593"/>
      <c r="F92" s="559"/>
      <c r="G92" s="559"/>
      <c r="H92" s="597"/>
      <c r="I92" s="614"/>
      <c r="J92" s="392"/>
    </row>
    <row r="93" spans="2:10" ht="12.75" hidden="1">
      <c r="B93" s="604" t="str">
        <f t="shared" si="2"/>
        <v/>
      </c>
      <c r="C93" s="558"/>
      <c r="D93" s="605"/>
      <c r="E93" s="593"/>
      <c r="F93" s="559"/>
      <c r="G93" s="559"/>
      <c r="H93" s="597"/>
      <c r="I93" s="614"/>
      <c r="J93" s="392"/>
    </row>
    <row r="94" spans="2:10" ht="12.75" hidden="1">
      <c r="B94" s="604" t="str">
        <f t="shared" si="2"/>
        <v/>
      </c>
      <c r="C94" s="558"/>
      <c r="D94" s="605"/>
      <c r="E94" s="593"/>
      <c r="F94" s="559"/>
      <c r="G94" s="559"/>
      <c r="H94" s="597"/>
      <c r="I94" s="614"/>
      <c r="J94" s="392"/>
    </row>
    <row r="95" spans="2:10" ht="12.75" hidden="1">
      <c r="B95" s="604" t="str">
        <f t="shared" si="2"/>
        <v/>
      </c>
      <c r="C95" s="558"/>
      <c r="D95" s="605"/>
      <c r="E95" s="593"/>
      <c r="F95" s="559"/>
      <c r="G95" s="559"/>
      <c r="H95" s="597"/>
      <c r="I95" s="614"/>
      <c r="J95" s="392"/>
    </row>
    <row r="96" spans="2:10" ht="12.75" hidden="1">
      <c r="B96" s="604" t="str">
        <f t="shared" si="2"/>
        <v/>
      </c>
      <c r="C96" s="558"/>
      <c r="D96" s="605"/>
      <c r="E96" s="593"/>
      <c r="F96" s="559"/>
      <c r="G96" s="559"/>
      <c r="H96" s="597"/>
      <c r="I96" s="614"/>
      <c r="J96" s="392"/>
    </row>
    <row r="97" spans="2:10" ht="12.75" hidden="1">
      <c r="B97" s="604" t="str">
        <f t="shared" si="2"/>
        <v/>
      </c>
      <c r="C97" s="558"/>
      <c r="D97" s="605"/>
      <c r="E97" s="593"/>
      <c r="F97" s="559"/>
      <c r="G97" s="559"/>
      <c r="H97" s="597"/>
      <c r="I97" s="614"/>
      <c r="J97" s="392"/>
    </row>
    <row r="98" spans="2:10" ht="12.75" hidden="1">
      <c r="B98" s="604" t="str">
        <f t="shared" si="2"/>
        <v/>
      </c>
      <c r="C98" s="558"/>
      <c r="D98" s="605"/>
      <c r="E98" s="593"/>
      <c r="F98" s="559"/>
      <c r="G98" s="559"/>
      <c r="H98" s="597"/>
      <c r="I98" s="614"/>
      <c r="J98" s="392"/>
    </row>
    <row r="99" spans="2:10" ht="12.75" hidden="1">
      <c r="B99" s="604" t="str">
        <f t="shared" si="2"/>
        <v/>
      </c>
      <c r="C99" s="558"/>
      <c r="D99" s="605"/>
      <c r="E99" s="593"/>
      <c r="F99" s="559"/>
      <c r="G99" s="559"/>
      <c r="H99" s="597"/>
      <c r="I99" s="614"/>
      <c r="J99" s="392"/>
    </row>
    <row r="100" spans="2:10" ht="12.75" hidden="1">
      <c r="B100" s="604" t="str">
        <f t="shared" si="2"/>
        <v/>
      </c>
      <c r="C100" s="558"/>
      <c r="D100" s="605"/>
      <c r="E100" s="593"/>
      <c r="F100" s="559"/>
      <c r="G100" s="559"/>
      <c r="H100" s="597"/>
      <c r="I100" s="614"/>
      <c r="J100" s="392"/>
    </row>
    <row r="101" spans="2:10" ht="12.75" hidden="1">
      <c r="B101" s="604" t="str">
        <f t="shared" si="2"/>
        <v/>
      </c>
      <c r="C101" s="558"/>
      <c r="D101" s="605"/>
      <c r="E101" s="593"/>
      <c r="F101" s="559"/>
      <c r="G101" s="559"/>
      <c r="H101" s="597"/>
      <c r="I101" s="614"/>
      <c r="J101" s="392"/>
    </row>
    <row r="102" spans="2:10" ht="12.75" hidden="1">
      <c r="B102" s="604" t="str">
        <f t="shared" si="2"/>
        <v/>
      </c>
      <c r="C102" s="558"/>
      <c r="D102" s="605"/>
      <c r="E102" s="593"/>
      <c r="F102" s="559"/>
      <c r="G102" s="559"/>
      <c r="H102" s="597"/>
      <c r="I102" s="614"/>
      <c r="J102" s="392"/>
    </row>
    <row r="103" spans="2:10" ht="12.75" hidden="1">
      <c r="B103" s="604" t="str">
        <f t="shared" si="2"/>
        <v/>
      </c>
      <c r="C103" s="558"/>
      <c r="D103" s="605"/>
      <c r="E103" s="593"/>
      <c r="F103" s="559"/>
      <c r="G103" s="559"/>
      <c r="H103" s="597"/>
      <c r="I103" s="614"/>
      <c r="J103" s="392"/>
    </row>
    <row r="104" spans="2:10" ht="12.75" hidden="1">
      <c r="B104" s="604" t="str">
        <f t="shared" si="2"/>
        <v/>
      </c>
      <c r="C104" s="558"/>
      <c r="D104" s="605"/>
      <c r="E104" s="593"/>
      <c r="F104" s="559"/>
      <c r="G104" s="559"/>
      <c r="H104" s="597"/>
      <c r="I104" s="614"/>
      <c r="J104" s="392"/>
    </row>
    <row r="105" spans="2:10" ht="12.75" hidden="1">
      <c r="B105" s="604" t="str">
        <f t="shared" si="2"/>
        <v/>
      </c>
      <c r="C105" s="558"/>
      <c r="D105" s="605"/>
      <c r="E105" s="593"/>
      <c r="F105" s="559"/>
      <c r="G105" s="559"/>
      <c r="H105" s="597"/>
      <c r="I105" s="614"/>
      <c r="J105" s="392"/>
    </row>
    <row r="106" spans="2:10" ht="12.75" hidden="1">
      <c r="B106" s="604" t="str">
        <f t="shared" si="2"/>
        <v/>
      </c>
      <c r="C106" s="558"/>
      <c r="D106" s="605"/>
      <c r="E106" s="593"/>
      <c r="F106" s="559"/>
      <c r="G106" s="559"/>
      <c r="H106" s="597"/>
      <c r="I106" s="614"/>
      <c r="J106" s="392"/>
    </row>
    <row r="107" spans="2:10" ht="12.75" hidden="1">
      <c r="B107" s="604" t="str">
        <f t="shared" si="2"/>
        <v/>
      </c>
      <c r="C107" s="558"/>
      <c r="D107" s="605"/>
      <c r="E107" s="593"/>
      <c r="F107" s="559"/>
      <c r="G107" s="559"/>
      <c r="H107" s="597"/>
      <c r="I107" s="614"/>
      <c r="J107" s="392"/>
    </row>
    <row r="108" spans="2:10" ht="12.75" hidden="1">
      <c r="B108" s="604" t="str">
        <f t="shared" si="2"/>
        <v/>
      </c>
      <c r="C108" s="558"/>
      <c r="D108" s="605"/>
      <c r="E108" s="593"/>
      <c r="F108" s="559"/>
      <c r="G108" s="559"/>
      <c r="H108" s="597"/>
      <c r="I108" s="614"/>
      <c r="J108" s="392"/>
    </row>
    <row r="109" spans="2:10" ht="12.75" hidden="1">
      <c r="B109" s="604" t="str">
        <f t="shared" si="2"/>
        <v/>
      </c>
      <c r="C109" s="558"/>
      <c r="D109" s="605"/>
      <c r="E109" s="593"/>
      <c r="F109" s="559"/>
      <c r="G109" s="559"/>
      <c r="H109" s="597"/>
      <c r="I109" s="614"/>
      <c r="J109" s="392"/>
    </row>
    <row r="110" spans="2:10" ht="12.75" hidden="1">
      <c r="B110" s="604" t="str">
        <f t="shared" si="2"/>
        <v/>
      </c>
      <c r="C110" s="558"/>
      <c r="D110" s="605"/>
      <c r="E110" s="593"/>
      <c r="F110" s="559"/>
      <c r="G110" s="559"/>
      <c r="H110" s="597"/>
      <c r="I110" s="614"/>
      <c r="J110" s="392"/>
    </row>
    <row r="111" spans="2:10" ht="12.75" hidden="1">
      <c r="B111" s="604" t="str">
        <f t="shared" si="2"/>
        <v/>
      </c>
      <c r="C111" s="558"/>
      <c r="D111" s="605"/>
      <c r="E111" s="593"/>
      <c r="F111" s="559"/>
      <c r="G111" s="559"/>
      <c r="H111" s="597"/>
      <c r="I111" s="614"/>
      <c r="J111" s="392"/>
    </row>
    <row r="112" spans="2:10" ht="12.75" hidden="1">
      <c r="B112" s="604" t="str">
        <f t="shared" si="2"/>
        <v/>
      </c>
      <c r="C112" s="558"/>
      <c r="D112" s="605"/>
      <c r="E112" s="593"/>
      <c r="F112" s="559"/>
      <c r="G112" s="559"/>
      <c r="H112" s="597"/>
      <c r="I112" s="614"/>
      <c r="J112" s="392"/>
    </row>
    <row r="113" spans="2:10" ht="12.75" hidden="1">
      <c r="B113" s="604" t="str">
        <f t="shared" si="2"/>
        <v/>
      </c>
      <c r="C113" s="558"/>
      <c r="D113" s="605"/>
      <c r="E113" s="593"/>
      <c r="F113" s="559"/>
      <c r="G113" s="559"/>
      <c r="H113" s="597"/>
      <c r="I113" s="614"/>
      <c r="J113" s="392"/>
    </row>
    <row r="114" spans="2:10" ht="12.75" hidden="1">
      <c r="B114" s="604" t="str">
        <f t="shared" si="2"/>
        <v/>
      </c>
      <c r="C114" s="558"/>
      <c r="D114" s="605"/>
      <c r="E114" s="593"/>
      <c r="F114" s="559"/>
      <c r="G114" s="559"/>
      <c r="H114" s="597"/>
      <c r="I114" s="614"/>
      <c r="J114" s="392"/>
    </row>
    <row r="115" spans="2:10" ht="12.75" hidden="1">
      <c r="B115" s="604" t="str">
        <f t="shared" si="2"/>
        <v/>
      </c>
      <c r="C115" s="558"/>
      <c r="D115" s="605"/>
      <c r="E115" s="593"/>
      <c r="F115" s="559"/>
      <c r="G115" s="559"/>
      <c r="H115" s="597"/>
      <c r="I115" s="614"/>
      <c r="J115" s="392"/>
    </row>
    <row r="116" spans="2:10" ht="12.75" hidden="1">
      <c r="B116" s="604" t="str">
        <f t="shared" si="2"/>
        <v/>
      </c>
      <c r="C116" s="558"/>
      <c r="D116" s="605"/>
      <c r="E116" s="593"/>
      <c r="F116" s="559"/>
      <c r="G116" s="559"/>
      <c r="H116" s="597"/>
      <c r="I116" s="614"/>
      <c r="J116" s="392"/>
    </row>
    <row r="117" spans="2:10" ht="12.75" hidden="1">
      <c r="B117" s="604" t="str">
        <f t="shared" si="2"/>
        <v/>
      </c>
      <c r="C117" s="558"/>
      <c r="D117" s="605"/>
      <c r="E117" s="593"/>
      <c r="F117" s="559"/>
      <c r="G117" s="559"/>
      <c r="H117" s="597"/>
      <c r="I117" s="614"/>
      <c r="J117" s="392"/>
    </row>
    <row r="118" spans="2:10" ht="12.75" hidden="1">
      <c r="B118" s="604" t="str">
        <f t="shared" si="2"/>
        <v/>
      </c>
      <c r="C118" s="558"/>
      <c r="D118" s="605"/>
      <c r="E118" s="593"/>
      <c r="F118" s="559"/>
      <c r="G118" s="559"/>
      <c r="H118" s="597"/>
      <c r="I118" s="614"/>
      <c r="J118" s="392"/>
    </row>
    <row r="119" spans="2:10" ht="12.75" hidden="1">
      <c r="B119" s="604" t="str">
        <f t="shared" si="2"/>
        <v/>
      </c>
      <c r="C119" s="558"/>
      <c r="D119" s="605"/>
      <c r="E119" s="593"/>
      <c r="F119" s="559"/>
      <c r="G119" s="559"/>
      <c r="H119" s="597"/>
      <c r="I119" s="614"/>
      <c r="J119" s="392"/>
    </row>
    <row r="120" spans="2:10" ht="12.75" hidden="1">
      <c r="B120" s="604" t="str">
        <f t="shared" si="2"/>
        <v/>
      </c>
      <c r="C120" s="558"/>
      <c r="D120" s="605"/>
      <c r="E120" s="593"/>
      <c r="F120" s="559"/>
      <c r="G120" s="559"/>
      <c r="H120" s="597"/>
      <c r="I120" s="614"/>
      <c r="J120" s="392"/>
    </row>
    <row r="121" spans="2:10" ht="12.75" hidden="1">
      <c r="B121" s="604" t="str">
        <f t="shared" si="2"/>
        <v/>
      </c>
      <c r="C121" s="558"/>
      <c r="D121" s="605"/>
      <c r="E121" s="593"/>
      <c r="F121" s="559"/>
      <c r="G121" s="559"/>
      <c r="H121" s="597"/>
      <c r="I121" s="614"/>
      <c r="J121" s="392"/>
    </row>
    <row r="122" spans="2:10" ht="12.75" hidden="1">
      <c r="B122" s="604" t="str">
        <f t="shared" si="2"/>
        <v/>
      </c>
      <c r="C122" s="558"/>
      <c r="D122" s="605"/>
      <c r="E122" s="593"/>
      <c r="F122" s="559"/>
      <c r="G122" s="559"/>
      <c r="H122" s="597"/>
      <c r="I122" s="614"/>
      <c r="J122" s="392"/>
    </row>
    <row r="123" spans="2:10" ht="12.75" hidden="1">
      <c r="B123" s="604" t="str">
        <f t="shared" si="2"/>
        <v/>
      </c>
      <c r="C123" s="558"/>
      <c r="D123" s="605"/>
      <c r="E123" s="593"/>
      <c r="F123" s="559"/>
      <c r="G123" s="559"/>
      <c r="H123" s="597"/>
      <c r="I123" s="614"/>
      <c r="J123" s="392"/>
    </row>
    <row r="124" spans="2:10" ht="12.75" hidden="1">
      <c r="B124" s="604" t="str">
        <f t="shared" si="2"/>
        <v/>
      </c>
      <c r="C124" s="558"/>
      <c r="D124" s="605"/>
      <c r="E124" s="593"/>
      <c r="F124" s="559"/>
      <c r="G124" s="559"/>
      <c r="H124" s="597"/>
      <c r="I124" s="614"/>
      <c r="J124" s="392"/>
    </row>
    <row r="125" spans="2:10" ht="12.75" hidden="1">
      <c r="B125" s="604" t="str">
        <f t="shared" si="2"/>
        <v/>
      </c>
      <c r="C125" s="558"/>
      <c r="D125" s="605"/>
      <c r="E125" s="593"/>
      <c r="F125" s="559"/>
      <c r="G125" s="559"/>
      <c r="H125" s="597"/>
      <c r="I125" s="614"/>
      <c r="J125" s="392"/>
    </row>
    <row r="126" spans="2:10" ht="12.75" hidden="1">
      <c r="B126" s="604" t="str">
        <f t="shared" si="2"/>
        <v/>
      </c>
      <c r="C126" s="558"/>
      <c r="D126" s="605"/>
      <c r="E126" s="593"/>
      <c r="F126" s="559"/>
      <c r="G126" s="559"/>
      <c r="H126" s="597"/>
      <c r="I126" s="614"/>
      <c r="J126" s="392"/>
    </row>
    <row r="127" spans="2:10" ht="12.75" hidden="1">
      <c r="B127" s="604" t="str">
        <f t="shared" si="2"/>
        <v/>
      </c>
      <c r="C127" s="558"/>
      <c r="D127" s="605"/>
      <c r="E127" s="593"/>
      <c r="F127" s="559"/>
      <c r="G127" s="559"/>
      <c r="H127" s="597"/>
      <c r="I127" s="614"/>
      <c r="J127" s="392"/>
    </row>
    <row r="128" spans="2:10" ht="12.75" hidden="1">
      <c r="B128" s="604" t="str">
        <f t="shared" si="2"/>
        <v/>
      </c>
      <c r="C128" s="558"/>
      <c r="D128" s="605"/>
      <c r="E128" s="593"/>
      <c r="F128" s="559"/>
      <c r="G128" s="559"/>
      <c r="H128" s="597"/>
      <c r="I128" s="614"/>
      <c r="J128" s="392"/>
    </row>
    <row r="129" spans="2:10" ht="12.75" hidden="1">
      <c r="B129" s="604" t="str">
        <f t="shared" si="2"/>
        <v/>
      </c>
      <c r="C129" s="558"/>
      <c r="D129" s="605"/>
      <c r="E129" s="593"/>
      <c r="F129" s="559"/>
      <c r="G129" s="559"/>
      <c r="H129" s="597"/>
      <c r="I129" s="614"/>
      <c r="J129" s="392"/>
    </row>
    <row r="130" spans="2:10" ht="12.75" hidden="1">
      <c r="B130" s="604" t="str">
        <f t="shared" si="2"/>
        <v/>
      </c>
      <c r="C130" s="558"/>
      <c r="D130" s="605"/>
      <c r="E130" s="593"/>
      <c r="F130" s="559"/>
      <c r="G130" s="559"/>
      <c r="H130" s="597"/>
      <c r="I130" s="614"/>
      <c r="J130" s="392"/>
    </row>
    <row r="131" spans="2:10" ht="12.75" hidden="1">
      <c r="B131" s="604" t="str">
        <f t="shared" si="2"/>
        <v/>
      </c>
      <c r="C131" s="558"/>
      <c r="D131" s="605"/>
      <c r="E131" s="593"/>
      <c r="F131" s="559"/>
      <c r="G131" s="559"/>
      <c r="H131" s="597"/>
      <c r="I131" s="614"/>
      <c r="J131" s="392"/>
    </row>
    <row r="132" spans="2:10" ht="12.75" hidden="1">
      <c r="B132" s="604" t="str">
        <f t="shared" si="2"/>
        <v/>
      </c>
      <c r="C132" s="558"/>
      <c r="D132" s="605"/>
      <c r="E132" s="593"/>
      <c r="F132" s="559"/>
      <c r="G132" s="559"/>
      <c r="H132" s="597"/>
      <c r="I132" s="614"/>
      <c r="J132" s="392"/>
    </row>
    <row r="133" spans="2:10" ht="12.75" hidden="1">
      <c r="B133" s="604" t="str">
        <f t="shared" si="2"/>
        <v/>
      </c>
      <c r="C133" s="558"/>
      <c r="D133" s="605"/>
      <c r="E133" s="593"/>
      <c r="F133" s="559"/>
      <c r="G133" s="559"/>
      <c r="H133" s="597"/>
      <c r="I133" s="614"/>
      <c r="J133" s="392"/>
    </row>
    <row r="134" spans="2:10" ht="12.75" hidden="1">
      <c r="B134" s="604" t="str">
        <f t="shared" si="2"/>
        <v/>
      </c>
      <c r="C134" s="558"/>
      <c r="D134" s="605"/>
      <c r="E134" s="593"/>
      <c r="F134" s="559"/>
      <c r="G134" s="559"/>
      <c r="H134" s="597"/>
      <c r="I134" s="614"/>
      <c r="J134" s="392"/>
    </row>
    <row r="135" spans="2:10" ht="12.75" hidden="1">
      <c r="B135" s="604" t="str">
        <f t="shared" si="2"/>
        <v/>
      </c>
      <c r="C135" s="558"/>
      <c r="D135" s="605"/>
      <c r="E135" s="593"/>
      <c r="F135" s="559"/>
      <c r="G135" s="559"/>
      <c r="H135" s="597"/>
      <c r="I135" s="614"/>
      <c r="J135" s="392"/>
    </row>
    <row r="136" spans="2:10" ht="12.75" hidden="1">
      <c r="B136" s="604" t="str">
        <f t="shared" si="2"/>
        <v/>
      </c>
      <c r="C136" s="558"/>
      <c r="D136" s="605"/>
      <c r="E136" s="593"/>
      <c r="F136" s="559"/>
      <c r="G136" s="559"/>
      <c r="H136" s="597"/>
      <c r="I136" s="614"/>
      <c r="J136" s="392"/>
    </row>
    <row r="137" spans="2:10" ht="12.75" hidden="1">
      <c r="B137" s="604" t="str">
        <f t="shared" si="2"/>
        <v/>
      </c>
      <c r="C137" s="558"/>
      <c r="D137" s="605"/>
      <c r="E137" s="593"/>
      <c r="F137" s="559"/>
      <c r="G137" s="559"/>
      <c r="H137" s="597"/>
      <c r="I137" s="614"/>
      <c r="J137" s="392"/>
    </row>
    <row r="138" spans="2:10" ht="12.75" hidden="1">
      <c r="B138" s="604" t="str">
        <f t="shared" ref="B138:B201" si="3">IF(C138="","",B137+1)</f>
        <v/>
      </c>
      <c r="C138" s="558"/>
      <c r="D138" s="605"/>
      <c r="E138" s="593"/>
      <c r="F138" s="559"/>
      <c r="G138" s="559"/>
      <c r="H138" s="597"/>
      <c r="I138" s="614"/>
      <c r="J138" s="392"/>
    </row>
    <row r="139" spans="2:10" ht="12.75" hidden="1">
      <c r="B139" s="604" t="str">
        <f t="shared" si="3"/>
        <v/>
      </c>
      <c r="C139" s="558"/>
      <c r="D139" s="605"/>
      <c r="E139" s="593"/>
      <c r="F139" s="559"/>
      <c r="G139" s="559"/>
      <c r="H139" s="597"/>
      <c r="I139" s="614"/>
      <c r="J139" s="392"/>
    </row>
    <row r="140" spans="2:10" ht="12.75" hidden="1">
      <c r="B140" s="604" t="str">
        <f t="shared" si="3"/>
        <v/>
      </c>
      <c r="C140" s="558"/>
      <c r="D140" s="605"/>
      <c r="E140" s="593"/>
      <c r="F140" s="559"/>
      <c r="G140" s="559"/>
      <c r="H140" s="597"/>
      <c r="I140" s="614"/>
      <c r="J140" s="392"/>
    </row>
    <row r="141" spans="2:10" ht="12.75" hidden="1">
      <c r="B141" s="604" t="str">
        <f t="shared" si="3"/>
        <v/>
      </c>
      <c r="C141" s="558"/>
      <c r="D141" s="605"/>
      <c r="E141" s="593"/>
      <c r="F141" s="559"/>
      <c r="G141" s="559"/>
      <c r="H141" s="597"/>
      <c r="I141" s="614"/>
      <c r="J141" s="392"/>
    </row>
    <row r="142" spans="2:10" ht="12.75" hidden="1">
      <c r="B142" s="604" t="str">
        <f t="shared" si="3"/>
        <v/>
      </c>
      <c r="C142" s="558"/>
      <c r="D142" s="605"/>
      <c r="E142" s="593"/>
      <c r="F142" s="559"/>
      <c r="G142" s="559"/>
      <c r="H142" s="597"/>
      <c r="I142" s="614"/>
      <c r="J142" s="392"/>
    </row>
    <row r="143" spans="2:10" ht="12.75" hidden="1">
      <c r="B143" s="604" t="str">
        <f t="shared" si="3"/>
        <v/>
      </c>
      <c r="C143" s="558"/>
      <c r="D143" s="605"/>
      <c r="E143" s="593"/>
      <c r="F143" s="559"/>
      <c r="G143" s="559"/>
      <c r="H143" s="597"/>
      <c r="I143" s="614"/>
      <c r="J143" s="392"/>
    </row>
    <row r="144" spans="2:10" ht="12.75" hidden="1">
      <c r="B144" s="604" t="str">
        <f t="shared" si="3"/>
        <v/>
      </c>
      <c r="C144" s="558"/>
      <c r="D144" s="605"/>
      <c r="E144" s="593"/>
      <c r="F144" s="559"/>
      <c r="G144" s="559"/>
      <c r="H144" s="597"/>
      <c r="I144" s="614"/>
      <c r="J144" s="392"/>
    </row>
    <row r="145" spans="2:10" ht="12.75" hidden="1">
      <c r="B145" s="604" t="str">
        <f t="shared" si="3"/>
        <v/>
      </c>
      <c r="C145" s="558"/>
      <c r="D145" s="605"/>
      <c r="E145" s="593"/>
      <c r="F145" s="559"/>
      <c r="G145" s="559"/>
      <c r="H145" s="597"/>
      <c r="I145" s="614"/>
      <c r="J145" s="392"/>
    </row>
    <row r="146" spans="2:10" ht="12.75" hidden="1">
      <c r="B146" s="604" t="str">
        <f t="shared" si="3"/>
        <v/>
      </c>
      <c r="C146" s="558"/>
      <c r="D146" s="605"/>
      <c r="E146" s="593"/>
      <c r="F146" s="559"/>
      <c r="G146" s="559"/>
      <c r="H146" s="597"/>
      <c r="I146" s="614"/>
      <c r="J146" s="392"/>
    </row>
    <row r="147" spans="2:10" ht="12.75" hidden="1">
      <c r="B147" s="604" t="str">
        <f t="shared" si="3"/>
        <v/>
      </c>
      <c r="C147" s="558"/>
      <c r="D147" s="605"/>
      <c r="E147" s="593"/>
      <c r="F147" s="559"/>
      <c r="G147" s="559"/>
      <c r="H147" s="597"/>
      <c r="I147" s="614"/>
      <c r="J147" s="392"/>
    </row>
    <row r="148" spans="2:10" ht="12.75" hidden="1">
      <c r="B148" s="604" t="str">
        <f t="shared" si="3"/>
        <v/>
      </c>
      <c r="C148" s="558"/>
      <c r="D148" s="605"/>
      <c r="E148" s="593"/>
      <c r="F148" s="559"/>
      <c r="G148" s="559"/>
      <c r="H148" s="597"/>
      <c r="I148" s="614"/>
      <c r="J148" s="392"/>
    </row>
    <row r="149" spans="2:10" ht="12.75" hidden="1">
      <c r="B149" s="604" t="str">
        <f t="shared" si="3"/>
        <v/>
      </c>
      <c r="C149" s="558"/>
      <c r="D149" s="605"/>
      <c r="E149" s="593"/>
      <c r="F149" s="559"/>
      <c r="G149" s="559"/>
      <c r="H149" s="597"/>
      <c r="I149" s="614"/>
      <c r="J149" s="392"/>
    </row>
    <row r="150" spans="2:10" ht="12.75" hidden="1">
      <c r="B150" s="604" t="str">
        <f t="shared" si="3"/>
        <v/>
      </c>
      <c r="C150" s="558"/>
      <c r="D150" s="605"/>
      <c r="E150" s="593"/>
      <c r="F150" s="559"/>
      <c r="G150" s="559"/>
      <c r="H150" s="597"/>
      <c r="I150" s="614"/>
      <c r="J150" s="392"/>
    </row>
    <row r="151" spans="2:10" ht="12.75" hidden="1">
      <c r="B151" s="604" t="str">
        <f t="shared" si="3"/>
        <v/>
      </c>
      <c r="C151" s="558"/>
      <c r="D151" s="605"/>
      <c r="E151" s="593"/>
      <c r="F151" s="559"/>
      <c r="G151" s="559"/>
      <c r="H151" s="597"/>
      <c r="I151" s="614"/>
      <c r="J151" s="392"/>
    </row>
    <row r="152" spans="2:10" ht="12.75" hidden="1">
      <c r="B152" s="604" t="str">
        <f t="shared" si="3"/>
        <v/>
      </c>
      <c r="C152" s="558"/>
      <c r="D152" s="605"/>
      <c r="E152" s="593"/>
      <c r="F152" s="559"/>
      <c r="G152" s="559"/>
      <c r="H152" s="597"/>
      <c r="I152" s="614"/>
      <c r="J152" s="392"/>
    </row>
    <row r="153" spans="2:10" ht="12.75" hidden="1">
      <c r="B153" s="604" t="str">
        <f t="shared" si="3"/>
        <v/>
      </c>
      <c r="C153" s="558"/>
      <c r="D153" s="605"/>
      <c r="E153" s="593"/>
      <c r="F153" s="559"/>
      <c r="G153" s="559"/>
      <c r="H153" s="597"/>
      <c r="I153" s="614"/>
      <c r="J153" s="392"/>
    </row>
    <row r="154" spans="2:10" ht="12.75" hidden="1">
      <c r="B154" s="604" t="str">
        <f t="shared" si="3"/>
        <v/>
      </c>
      <c r="C154" s="558"/>
      <c r="D154" s="605"/>
      <c r="E154" s="593"/>
      <c r="F154" s="559"/>
      <c r="G154" s="559"/>
      <c r="H154" s="597"/>
      <c r="I154" s="614"/>
      <c r="J154" s="392"/>
    </row>
    <row r="155" spans="2:10" ht="12.75" hidden="1">
      <c r="B155" s="604" t="str">
        <f t="shared" si="3"/>
        <v/>
      </c>
      <c r="C155" s="558"/>
      <c r="D155" s="605"/>
      <c r="E155" s="593"/>
      <c r="F155" s="559"/>
      <c r="G155" s="559"/>
      <c r="H155" s="597"/>
      <c r="I155" s="614"/>
      <c r="J155" s="392"/>
    </row>
    <row r="156" spans="2:10" ht="12.75" hidden="1">
      <c r="B156" s="604" t="str">
        <f t="shared" si="3"/>
        <v/>
      </c>
      <c r="C156" s="558"/>
      <c r="D156" s="605"/>
      <c r="E156" s="593"/>
      <c r="F156" s="559"/>
      <c r="G156" s="559"/>
      <c r="H156" s="597"/>
      <c r="I156" s="614"/>
      <c r="J156" s="392"/>
    </row>
    <row r="157" spans="2:10" ht="12.75" hidden="1">
      <c r="B157" s="604" t="str">
        <f t="shared" si="3"/>
        <v/>
      </c>
      <c r="C157" s="558"/>
      <c r="D157" s="605"/>
      <c r="E157" s="593"/>
      <c r="F157" s="559"/>
      <c r="G157" s="559"/>
      <c r="H157" s="597"/>
      <c r="I157" s="614"/>
      <c r="J157" s="392"/>
    </row>
    <row r="158" spans="2:10" ht="12.75" hidden="1">
      <c r="B158" s="604" t="str">
        <f t="shared" si="3"/>
        <v/>
      </c>
      <c r="C158" s="558"/>
      <c r="D158" s="605"/>
      <c r="E158" s="593"/>
      <c r="F158" s="559"/>
      <c r="G158" s="559"/>
      <c r="H158" s="597"/>
      <c r="I158" s="614"/>
      <c r="J158" s="392"/>
    </row>
    <row r="159" spans="2:10" ht="12.75" hidden="1">
      <c r="B159" s="604" t="str">
        <f t="shared" si="3"/>
        <v/>
      </c>
      <c r="C159" s="558"/>
      <c r="D159" s="605"/>
      <c r="E159" s="593"/>
      <c r="F159" s="559"/>
      <c r="G159" s="559"/>
      <c r="H159" s="597"/>
      <c r="I159" s="614"/>
      <c r="J159" s="392"/>
    </row>
    <row r="160" spans="2:10" ht="12.75" hidden="1">
      <c r="B160" s="604" t="str">
        <f t="shared" si="3"/>
        <v/>
      </c>
      <c r="C160" s="558"/>
      <c r="D160" s="605"/>
      <c r="E160" s="593"/>
      <c r="F160" s="559"/>
      <c r="G160" s="559"/>
      <c r="H160" s="597"/>
      <c r="I160" s="614"/>
      <c r="J160" s="392"/>
    </row>
    <row r="161" spans="2:10" ht="12.75" hidden="1">
      <c r="B161" s="604" t="str">
        <f t="shared" si="3"/>
        <v/>
      </c>
      <c r="C161" s="558"/>
      <c r="D161" s="605"/>
      <c r="E161" s="593"/>
      <c r="F161" s="559"/>
      <c r="G161" s="559"/>
      <c r="H161" s="597"/>
      <c r="I161" s="614"/>
      <c r="J161" s="392"/>
    </row>
    <row r="162" spans="2:10" ht="12.75" hidden="1">
      <c r="B162" s="604" t="str">
        <f t="shared" si="3"/>
        <v/>
      </c>
      <c r="C162" s="558"/>
      <c r="D162" s="605"/>
      <c r="E162" s="593"/>
      <c r="F162" s="559"/>
      <c r="G162" s="559"/>
      <c r="H162" s="597"/>
      <c r="I162" s="614"/>
      <c r="J162" s="392"/>
    </row>
    <row r="163" spans="2:10" ht="12.75" hidden="1">
      <c r="B163" s="604" t="str">
        <f t="shared" si="3"/>
        <v/>
      </c>
      <c r="C163" s="558"/>
      <c r="D163" s="605"/>
      <c r="E163" s="593"/>
      <c r="F163" s="559"/>
      <c r="G163" s="559"/>
      <c r="H163" s="597"/>
      <c r="I163" s="614"/>
      <c r="J163" s="392"/>
    </row>
    <row r="164" spans="2:10" ht="12.75" hidden="1">
      <c r="B164" s="604" t="str">
        <f t="shared" si="3"/>
        <v/>
      </c>
      <c r="C164" s="558"/>
      <c r="D164" s="605"/>
      <c r="E164" s="593"/>
      <c r="F164" s="559"/>
      <c r="G164" s="559"/>
      <c r="H164" s="597"/>
      <c r="I164" s="614"/>
      <c r="J164" s="392"/>
    </row>
    <row r="165" spans="2:10" ht="12.75" hidden="1">
      <c r="B165" s="604" t="str">
        <f t="shared" si="3"/>
        <v/>
      </c>
      <c r="C165" s="558"/>
      <c r="D165" s="605"/>
      <c r="E165" s="593"/>
      <c r="F165" s="559"/>
      <c r="G165" s="559"/>
      <c r="H165" s="597"/>
      <c r="I165" s="614"/>
      <c r="J165" s="392"/>
    </row>
    <row r="166" spans="2:10" ht="12.75" hidden="1">
      <c r="B166" s="604" t="str">
        <f t="shared" si="3"/>
        <v/>
      </c>
      <c r="C166" s="558"/>
      <c r="D166" s="605"/>
      <c r="E166" s="593"/>
      <c r="F166" s="559"/>
      <c r="G166" s="559"/>
      <c r="H166" s="597"/>
      <c r="I166" s="614"/>
      <c r="J166" s="392"/>
    </row>
    <row r="167" spans="2:10" ht="12.75" hidden="1">
      <c r="B167" s="604" t="str">
        <f t="shared" si="3"/>
        <v/>
      </c>
      <c r="C167" s="558"/>
      <c r="D167" s="605"/>
      <c r="E167" s="593"/>
      <c r="F167" s="559"/>
      <c r="G167" s="559"/>
      <c r="H167" s="597"/>
      <c r="I167" s="614"/>
      <c r="J167" s="392"/>
    </row>
    <row r="168" spans="2:10" ht="12.75" hidden="1">
      <c r="B168" s="604" t="str">
        <f t="shared" si="3"/>
        <v/>
      </c>
      <c r="C168" s="558"/>
      <c r="D168" s="605"/>
      <c r="E168" s="593"/>
      <c r="F168" s="559"/>
      <c r="G168" s="559"/>
      <c r="H168" s="597"/>
      <c r="I168" s="614"/>
      <c r="J168" s="392"/>
    </row>
    <row r="169" spans="2:10" ht="12.75" hidden="1">
      <c r="B169" s="604" t="str">
        <f t="shared" si="3"/>
        <v/>
      </c>
      <c r="C169" s="558"/>
      <c r="D169" s="605"/>
      <c r="E169" s="593"/>
      <c r="F169" s="559"/>
      <c r="G169" s="559"/>
      <c r="H169" s="597"/>
      <c r="I169" s="614"/>
      <c r="J169" s="392"/>
    </row>
    <row r="170" spans="2:10" ht="12.75" hidden="1">
      <c r="B170" s="604" t="str">
        <f t="shared" si="3"/>
        <v/>
      </c>
      <c r="C170" s="558"/>
      <c r="D170" s="605"/>
      <c r="E170" s="593"/>
      <c r="F170" s="559"/>
      <c r="G170" s="559"/>
      <c r="H170" s="597"/>
      <c r="I170" s="614"/>
      <c r="J170" s="392"/>
    </row>
    <row r="171" spans="2:10" ht="12.75" hidden="1">
      <c r="B171" s="604" t="str">
        <f t="shared" si="3"/>
        <v/>
      </c>
      <c r="C171" s="558"/>
      <c r="D171" s="605"/>
      <c r="E171" s="593"/>
      <c r="F171" s="559"/>
      <c r="G171" s="559"/>
      <c r="H171" s="597"/>
      <c r="I171" s="614"/>
      <c r="J171" s="392"/>
    </row>
    <row r="172" spans="2:10" ht="12.75" hidden="1">
      <c r="B172" s="604" t="str">
        <f t="shared" si="3"/>
        <v/>
      </c>
      <c r="C172" s="558"/>
      <c r="D172" s="605"/>
      <c r="E172" s="593"/>
      <c r="F172" s="559"/>
      <c r="G172" s="559"/>
      <c r="H172" s="597"/>
      <c r="I172" s="614"/>
      <c r="J172" s="392"/>
    </row>
    <row r="173" spans="2:10" ht="12.75" hidden="1">
      <c r="B173" s="604" t="str">
        <f t="shared" si="3"/>
        <v/>
      </c>
      <c r="C173" s="558"/>
      <c r="D173" s="605"/>
      <c r="E173" s="593"/>
      <c r="F173" s="559"/>
      <c r="G173" s="559"/>
      <c r="H173" s="597"/>
      <c r="I173" s="614"/>
      <c r="J173" s="392"/>
    </row>
    <row r="174" spans="2:10" ht="12.75" hidden="1">
      <c r="B174" s="604" t="str">
        <f t="shared" si="3"/>
        <v/>
      </c>
      <c r="C174" s="558"/>
      <c r="D174" s="605"/>
      <c r="E174" s="593"/>
      <c r="F174" s="559"/>
      <c r="G174" s="559"/>
      <c r="H174" s="597"/>
      <c r="I174" s="614"/>
      <c r="J174" s="392"/>
    </row>
    <row r="175" spans="2:10" ht="12.75" hidden="1">
      <c r="B175" s="604" t="str">
        <f t="shared" si="3"/>
        <v/>
      </c>
      <c r="C175" s="558"/>
      <c r="D175" s="605"/>
      <c r="E175" s="593"/>
      <c r="F175" s="559"/>
      <c r="G175" s="559"/>
      <c r="H175" s="597"/>
      <c r="I175" s="614"/>
      <c r="J175" s="392"/>
    </row>
    <row r="176" spans="2:10" ht="12.75" hidden="1">
      <c r="B176" s="604" t="str">
        <f t="shared" si="3"/>
        <v/>
      </c>
      <c r="C176" s="558"/>
      <c r="D176" s="605"/>
      <c r="E176" s="593"/>
      <c r="F176" s="559"/>
      <c r="G176" s="559"/>
      <c r="H176" s="597"/>
      <c r="I176" s="614"/>
      <c r="J176" s="392"/>
    </row>
    <row r="177" spans="2:10" ht="12.75" hidden="1">
      <c r="B177" s="604" t="str">
        <f t="shared" si="3"/>
        <v/>
      </c>
      <c r="C177" s="558"/>
      <c r="D177" s="605"/>
      <c r="E177" s="593"/>
      <c r="F177" s="559"/>
      <c r="G177" s="559"/>
      <c r="H177" s="597"/>
      <c r="I177" s="614"/>
      <c r="J177" s="392"/>
    </row>
    <row r="178" spans="2:10" ht="12.75" hidden="1">
      <c r="B178" s="604" t="str">
        <f t="shared" si="3"/>
        <v/>
      </c>
      <c r="C178" s="558"/>
      <c r="D178" s="605"/>
      <c r="E178" s="593"/>
      <c r="F178" s="559"/>
      <c r="G178" s="559"/>
      <c r="H178" s="597"/>
      <c r="I178" s="614"/>
      <c r="J178" s="392"/>
    </row>
    <row r="179" spans="2:10" ht="12.75" hidden="1">
      <c r="B179" s="604" t="str">
        <f t="shared" si="3"/>
        <v/>
      </c>
      <c r="C179" s="558"/>
      <c r="D179" s="605"/>
      <c r="E179" s="593"/>
      <c r="F179" s="559"/>
      <c r="G179" s="559"/>
      <c r="H179" s="597"/>
      <c r="I179" s="614"/>
      <c r="J179" s="392"/>
    </row>
    <row r="180" spans="2:10" ht="12.75" hidden="1">
      <c r="B180" s="604" t="str">
        <f t="shared" si="3"/>
        <v/>
      </c>
      <c r="C180" s="558"/>
      <c r="D180" s="605"/>
      <c r="E180" s="593"/>
      <c r="F180" s="559"/>
      <c r="G180" s="559"/>
      <c r="H180" s="597"/>
      <c r="I180" s="614"/>
      <c r="J180" s="392"/>
    </row>
    <row r="181" spans="2:10" ht="12.75" hidden="1">
      <c r="B181" s="604" t="str">
        <f t="shared" si="3"/>
        <v/>
      </c>
      <c r="C181" s="558"/>
      <c r="D181" s="605"/>
      <c r="E181" s="593"/>
      <c r="F181" s="559"/>
      <c r="G181" s="559"/>
      <c r="H181" s="597"/>
      <c r="I181" s="614"/>
      <c r="J181" s="392"/>
    </row>
    <row r="182" spans="2:10" ht="12.75" hidden="1">
      <c r="B182" s="604" t="str">
        <f t="shared" si="3"/>
        <v/>
      </c>
      <c r="C182" s="558"/>
      <c r="D182" s="605"/>
      <c r="E182" s="593"/>
      <c r="F182" s="559"/>
      <c r="G182" s="559"/>
      <c r="H182" s="597"/>
      <c r="I182" s="614"/>
      <c r="J182" s="392"/>
    </row>
    <row r="183" spans="2:10" ht="12.75" hidden="1">
      <c r="B183" s="604" t="str">
        <f t="shared" si="3"/>
        <v/>
      </c>
      <c r="C183" s="558"/>
      <c r="D183" s="605"/>
      <c r="E183" s="593"/>
      <c r="F183" s="559"/>
      <c r="G183" s="559"/>
      <c r="H183" s="597"/>
      <c r="I183" s="614"/>
      <c r="J183" s="392"/>
    </row>
    <row r="184" spans="2:10" ht="12.75" hidden="1">
      <c r="B184" s="604" t="str">
        <f t="shared" si="3"/>
        <v/>
      </c>
      <c r="C184" s="558"/>
      <c r="D184" s="605"/>
      <c r="E184" s="593"/>
      <c r="F184" s="559"/>
      <c r="G184" s="559"/>
      <c r="H184" s="597"/>
      <c r="I184" s="614"/>
      <c r="J184" s="392"/>
    </row>
    <row r="185" spans="2:10" ht="12.75" hidden="1">
      <c r="B185" s="604" t="str">
        <f t="shared" si="3"/>
        <v/>
      </c>
      <c r="C185" s="558"/>
      <c r="D185" s="605"/>
      <c r="E185" s="593"/>
      <c r="F185" s="559"/>
      <c r="G185" s="559"/>
      <c r="H185" s="597"/>
      <c r="I185" s="614"/>
      <c r="J185" s="392"/>
    </row>
    <row r="186" spans="2:10" ht="12.75" hidden="1">
      <c r="B186" s="604" t="str">
        <f t="shared" si="3"/>
        <v/>
      </c>
      <c r="C186" s="558"/>
      <c r="D186" s="605"/>
      <c r="E186" s="593"/>
      <c r="F186" s="559"/>
      <c r="G186" s="559"/>
      <c r="H186" s="597"/>
      <c r="I186" s="614"/>
      <c r="J186" s="392"/>
    </row>
    <row r="187" spans="2:10" ht="12.75" hidden="1">
      <c r="B187" s="604" t="str">
        <f t="shared" si="3"/>
        <v/>
      </c>
      <c r="C187" s="558"/>
      <c r="D187" s="605"/>
      <c r="E187" s="593"/>
      <c r="F187" s="559"/>
      <c r="G187" s="559"/>
      <c r="H187" s="597"/>
      <c r="I187" s="614"/>
      <c r="J187" s="392"/>
    </row>
    <row r="188" spans="2:10" ht="12.75" hidden="1">
      <c r="B188" s="604" t="str">
        <f t="shared" si="3"/>
        <v/>
      </c>
      <c r="C188" s="558"/>
      <c r="D188" s="605"/>
      <c r="E188" s="593"/>
      <c r="F188" s="559"/>
      <c r="G188" s="559"/>
      <c r="H188" s="597"/>
      <c r="I188" s="614"/>
      <c r="J188" s="392"/>
    </row>
    <row r="189" spans="2:10" ht="12.75" hidden="1">
      <c r="B189" s="604" t="str">
        <f t="shared" si="3"/>
        <v/>
      </c>
      <c r="C189" s="558"/>
      <c r="D189" s="605"/>
      <c r="E189" s="593"/>
      <c r="F189" s="559"/>
      <c r="G189" s="559"/>
      <c r="H189" s="597"/>
      <c r="I189" s="614"/>
      <c r="J189" s="392"/>
    </row>
    <row r="190" spans="2:10" ht="12.75" hidden="1">
      <c r="B190" s="604" t="str">
        <f t="shared" si="3"/>
        <v/>
      </c>
      <c r="C190" s="558"/>
      <c r="D190" s="605"/>
      <c r="E190" s="593"/>
      <c r="F190" s="559"/>
      <c r="G190" s="559"/>
      <c r="H190" s="597"/>
      <c r="I190" s="614"/>
      <c r="J190" s="392"/>
    </row>
    <row r="191" spans="2:10" ht="12.75" hidden="1">
      <c r="B191" s="604" t="str">
        <f t="shared" si="3"/>
        <v/>
      </c>
      <c r="C191" s="558"/>
      <c r="D191" s="605"/>
      <c r="E191" s="593"/>
      <c r="F191" s="559"/>
      <c r="G191" s="559"/>
      <c r="H191" s="597"/>
      <c r="I191" s="614"/>
      <c r="J191" s="392"/>
    </row>
    <row r="192" spans="2:10" ht="12.75" hidden="1">
      <c r="B192" s="604" t="str">
        <f t="shared" si="3"/>
        <v/>
      </c>
      <c r="C192" s="558"/>
      <c r="D192" s="605"/>
      <c r="E192" s="593"/>
      <c r="F192" s="559"/>
      <c r="G192" s="559"/>
      <c r="H192" s="597"/>
      <c r="I192" s="614"/>
      <c r="J192" s="392"/>
    </row>
    <row r="193" spans="2:10" ht="12.75" hidden="1">
      <c r="B193" s="604" t="str">
        <f t="shared" si="3"/>
        <v/>
      </c>
      <c r="C193" s="558"/>
      <c r="D193" s="605"/>
      <c r="E193" s="593"/>
      <c r="F193" s="559"/>
      <c r="G193" s="559"/>
      <c r="H193" s="597"/>
      <c r="I193" s="614"/>
      <c r="J193" s="392"/>
    </row>
    <row r="194" spans="2:10" ht="12.75" hidden="1">
      <c r="B194" s="604" t="str">
        <f t="shared" si="3"/>
        <v/>
      </c>
      <c r="C194" s="558"/>
      <c r="D194" s="605"/>
      <c r="E194" s="593"/>
      <c r="F194" s="559"/>
      <c r="G194" s="559"/>
      <c r="H194" s="597"/>
      <c r="I194" s="614"/>
      <c r="J194" s="392"/>
    </row>
    <row r="195" spans="2:10" ht="12.75" hidden="1">
      <c r="B195" s="604" t="str">
        <f t="shared" si="3"/>
        <v/>
      </c>
      <c r="C195" s="558"/>
      <c r="D195" s="605"/>
      <c r="E195" s="593"/>
      <c r="F195" s="559"/>
      <c r="G195" s="559"/>
      <c r="H195" s="597"/>
      <c r="I195" s="614"/>
      <c r="J195" s="392"/>
    </row>
    <row r="196" spans="2:10" ht="12.75" hidden="1">
      <c r="B196" s="604" t="str">
        <f t="shared" si="3"/>
        <v/>
      </c>
      <c r="C196" s="558"/>
      <c r="D196" s="605"/>
      <c r="E196" s="593"/>
      <c r="F196" s="559"/>
      <c r="G196" s="559"/>
      <c r="H196" s="597"/>
      <c r="I196" s="614"/>
      <c r="J196" s="392"/>
    </row>
    <row r="197" spans="2:10" ht="12.75" hidden="1">
      <c r="B197" s="604" t="str">
        <f t="shared" si="3"/>
        <v/>
      </c>
      <c r="C197" s="558"/>
      <c r="D197" s="605"/>
      <c r="E197" s="593"/>
      <c r="F197" s="559"/>
      <c r="G197" s="559"/>
      <c r="H197" s="597"/>
      <c r="I197" s="614"/>
      <c r="J197" s="392"/>
    </row>
    <row r="198" spans="2:10" ht="12.75" hidden="1">
      <c r="B198" s="604" t="str">
        <f t="shared" si="3"/>
        <v/>
      </c>
      <c r="C198" s="558"/>
      <c r="D198" s="605"/>
      <c r="E198" s="593"/>
      <c r="F198" s="559"/>
      <c r="G198" s="559"/>
      <c r="H198" s="597"/>
      <c r="I198" s="614"/>
      <c r="J198" s="392"/>
    </row>
    <row r="199" spans="2:10" ht="12.75" hidden="1">
      <c r="B199" s="604" t="str">
        <f t="shared" si="3"/>
        <v/>
      </c>
      <c r="C199" s="558"/>
      <c r="D199" s="605"/>
      <c r="E199" s="593"/>
      <c r="F199" s="559"/>
      <c r="G199" s="559"/>
      <c r="H199" s="597"/>
      <c r="I199" s="614"/>
      <c r="J199" s="392"/>
    </row>
    <row r="200" spans="2:10" ht="12.75" hidden="1">
      <c r="B200" s="604" t="str">
        <f t="shared" si="3"/>
        <v/>
      </c>
      <c r="C200" s="558"/>
      <c r="D200" s="605"/>
      <c r="E200" s="593"/>
      <c r="F200" s="559"/>
      <c r="G200" s="559"/>
      <c r="H200" s="597"/>
      <c r="I200" s="614"/>
    </row>
    <row r="201" spans="2:10" ht="12.75" hidden="1">
      <c r="B201" s="604" t="str">
        <f t="shared" si="3"/>
        <v/>
      </c>
      <c r="C201" s="558"/>
      <c r="D201" s="605"/>
      <c r="E201" s="593"/>
      <c r="F201" s="559"/>
      <c r="G201" s="559"/>
      <c r="H201" s="597"/>
      <c r="I201" s="614"/>
    </row>
    <row r="202" spans="2:10" ht="12.75" hidden="1">
      <c r="B202" s="604" t="str">
        <f t="shared" ref="B202:B205" si="4">IF(C202="","",B201+1)</f>
        <v/>
      </c>
      <c r="C202" s="558"/>
      <c r="D202" s="605"/>
      <c r="E202" s="593"/>
      <c r="F202" s="559"/>
      <c r="G202" s="559"/>
      <c r="H202" s="597"/>
      <c r="I202" s="614"/>
    </row>
    <row r="203" spans="2:10" ht="12.75" hidden="1">
      <c r="B203" s="604" t="str">
        <f t="shared" si="4"/>
        <v/>
      </c>
      <c r="C203" s="558"/>
      <c r="D203" s="605"/>
      <c r="E203" s="593"/>
      <c r="F203" s="559"/>
      <c r="G203" s="559"/>
      <c r="H203" s="597"/>
      <c r="I203" s="614"/>
    </row>
    <row r="204" spans="2:10" ht="12.75" hidden="1">
      <c r="B204" s="604" t="str">
        <f t="shared" si="4"/>
        <v/>
      </c>
      <c r="C204" s="558"/>
      <c r="D204" s="605"/>
      <c r="E204" s="593"/>
      <c r="F204" s="559"/>
      <c r="G204" s="559"/>
      <c r="H204" s="597"/>
      <c r="I204" s="614"/>
    </row>
    <row r="205" spans="2:10" ht="13.5" hidden="1" thickBot="1">
      <c r="B205" s="606" t="str">
        <f t="shared" si="4"/>
        <v/>
      </c>
      <c r="C205" s="607"/>
      <c r="D205" s="608"/>
      <c r="E205" s="603"/>
      <c r="F205" s="599"/>
      <c r="G205" s="599"/>
      <c r="H205" s="600"/>
      <c r="I205" s="615"/>
      <c r="J205"/>
    </row>
    <row r="206" spans="2:10" ht="12.75" customHeight="1"/>
  </sheetData>
  <mergeCells count="4">
    <mergeCell ref="B1:I1"/>
    <mergeCell ref="B2:I2"/>
    <mergeCell ref="B3:I3"/>
    <mergeCell ref="B5:D5"/>
  </mergeCells>
  <conditionalFormatting sqref="H8:H204">
    <cfRule type="cellIs" dxfId="12" priority="2" operator="lessThan">
      <formula>0</formula>
    </cfRule>
  </conditionalFormatting>
  <conditionalFormatting sqref="H205">
    <cfRule type="cellIs" dxfId="11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K207"/>
  <sheetViews>
    <sheetView showRowColHeaders="0" workbookViewId="0">
      <selection activeCell="I12" sqref="I12"/>
    </sheetView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392"/>
    </row>
    <row r="2" spans="1:10" ht="20.25">
      <c r="A2" s="401"/>
      <c r="B2" s="1190" t="s">
        <v>557</v>
      </c>
      <c r="C2" s="1190"/>
      <c r="D2" s="1190"/>
      <c r="E2" s="1190"/>
      <c r="F2" s="1190"/>
      <c r="G2" s="1190"/>
      <c r="H2" s="1190"/>
      <c r="I2" s="1190"/>
      <c r="J2" s="392"/>
    </row>
    <row r="3" spans="1:10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392"/>
    </row>
    <row r="4" spans="1:10" ht="12.75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609" t="s">
        <v>412</v>
      </c>
      <c r="J4" s="392"/>
    </row>
    <row r="5" spans="1:10" ht="13.5" thickBot="1">
      <c r="A5" s="401"/>
      <c r="B5" s="1192" t="s">
        <v>69</v>
      </c>
      <c r="C5" s="1192"/>
      <c r="D5" s="1192"/>
      <c r="E5" s="581">
        <f>SUM(E8:E204)</f>
        <v>0</v>
      </c>
      <c r="F5" s="582">
        <f>SUM(F8:F204)</f>
        <v>120000</v>
      </c>
      <c r="G5" s="582">
        <f>SUM(G8:G204)</f>
        <v>0</v>
      </c>
      <c r="H5" s="583">
        <f>SUM(H8:H204)</f>
        <v>120000</v>
      </c>
      <c r="I5" s="610">
        <f>SUM(I8:I204)</f>
        <v>0</v>
      </c>
      <c r="J5" s="392"/>
    </row>
    <row r="6" spans="1:10" ht="13.5" thickBot="1">
      <c r="A6" s="401"/>
      <c r="B6" s="392"/>
      <c r="C6" s="392"/>
      <c r="D6" s="392"/>
      <c r="E6" s="392"/>
      <c r="F6" s="392"/>
      <c r="G6" s="392"/>
      <c r="H6" s="392"/>
      <c r="I6" s="392"/>
      <c r="J6" s="392"/>
    </row>
    <row r="7" spans="1:10" ht="13.5" thickBot="1">
      <c r="A7" s="401"/>
      <c r="B7" s="586" t="s">
        <v>326</v>
      </c>
      <c r="C7" s="587" t="s">
        <v>224</v>
      </c>
      <c r="D7" s="588" t="s">
        <v>413</v>
      </c>
      <c r="E7" s="591" t="s">
        <v>410</v>
      </c>
      <c r="F7" s="587" t="s">
        <v>8</v>
      </c>
      <c r="G7" s="587" t="s">
        <v>411</v>
      </c>
      <c r="H7" s="588" t="s">
        <v>11</v>
      </c>
      <c r="I7" s="612" t="s">
        <v>412</v>
      </c>
      <c r="J7" s="392"/>
    </row>
    <row r="8" spans="1:10" ht="12.75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5">
        <f>[1]MOD_2_formacao!$C$15</f>
        <v>0</v>
      </c>
      <c r="F8" s="643">
        <f>[1]MOD_2_formacao!$G$15</f>
        <v>30000</v>
      </c>
      <c r="G8" s="643">
        <f>[1]MOD_2_formacao!$P$15</f>
        <v>0</v>
      </c>
      <c r="H8" s="644">
        <f t="shared" ref="H8:H12" si="0">(E8+F8)-G8</f>
        <v>30000</v>
      </c>
      <c r="I8" s="646">
        <f>[1]MENU!$AB$83</f>
        <v>0</v>
      </c>
      <c r="J8" s="392"/>
    </row>
    <row r="9" spans="1:10" ht="12.75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3">
        <f>[2]MOD_2_formacao!$C$15</f>
        <v>0</v>
      </c>
      <c r="F9" s="559">
        <f>[2]MOD_2_formacao!$G$15</f>
        <v>30000</v>
      </c>
      <c r="G9" s="559">
        <f>[2]MOD_2_formacao!$P$15</f>
        <v>0</v>
      </c>
      <c r="H9" s="597">
        <f t="shared" si="0"/>
        <v>30000</v>
      </c>
      <c r="I9" s="614">
        <f>[2]MENU!$AB$83</f>
        <v>0</v>
      </c>
      <c r="J9" s="392"/>
    </row>
    <row r="10" spans="1:10" ht="12.75">
      <c r="A10" s="401"/>
      <c r="B10" s="604">
        <f t="shared" ref="B10:B73" si="1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3">
        <f>[3]MOD_2_formacao!$C$15</f>
        <v>0</v>
      </c>
      <c r="F10" s="559">
        <f>[3]MOD_2_formacao!$G$15</f>
        <v>30000</v>
      </c>
      <c r="G10" s="559">
        <f>[3]MOD_2_formacao!$P$15</f>
        <v>0</v>
      </c>
      <c r="H10" s="597">
        <f t="shared" si="0"/>
        <v>30000</v>
      </c>
      <c r="I10" s="614">
        <f>[3]MENU!$AB$83</f>
        <v>0</v>
      </c>
      <c r="J10" s="392"/>
    </row>
    <row r="11" spans="1:10" ht="12.75">
      <c r="A11" s="401"/>
      <c r="B11" s="604">
        <f t="shared" si="1"/>
        <v>4</v>
      </c>
      <c r="C11" s="558">
        <f>[4]Dados!$E$3</f>
        <v>19490</v>
      </c>
      <c r="D11" s="605" t="str">
        <f>[4]Dados!$E$69</f>
        <v>EMEI - CAMPO LIMPO VI</v>
      </c>
      <c r="E11" s="593">
        <f>[4]MOD_2_formacao!$C$15</f>
        <v>0</v>
      </c>
      <c r="F11" s="559">
        <f>[4]MOD_2_formacao!$G$15</f>
        <v>30000</v>
      </c>
      <c r="G11" s="559">
        <f>[4]MOD_2_formacao!$P$15</f>
        <v>0</v>
      </c>
      <c r="H11" s="597">
        <f t="shared" si="0"/>
        <v>30000</v>
      </c>
      <c r="I11" s="614">
        <f>[4]MENU!$AB$83</f>
        <v>0</v>
      </c>
      <c r="J11" s="392"/>
    </row>
    <row r="12" spans="1:10" ht="13.5" thickBot="1">
      <c r="A12" s="401"/>
      <c r="B12" s="606">
        <f t="shared" si="1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603">
        <f>[5]MOD_2_formacao!$C$15</f>
        <v>0</v>
      </c>
      <c r="F12" s="599">
        <f>[5]MOD_2_formacao!$G$15</f>
        <v>0</v>
      </c>
      <c r="G12" s="599">
        <f>[5]MOD_2_formacao!$P$15</f>
        <v>0</v>
      </c>
      <c r="H12" s="600">
        <f t="shared" si="0"/>
        <v>0</v>
      </c>
      <c r="I12" s="615">
        <f>[5]MENU!$AB$83</f>
        <v>0</v>
      </c>
      <c r="J12" s="392"/>
    </row>
    <row r="13" spans="1:10" ht="12.75" hidden="1">
      <c r="A13" s="401"/>
      <c r="B13" s="639" t="str">
        <f t="shared" si="1"/>
        <v/>
      </c>
      <c r="C13" s="640"/>
      <c r="D13" s="641"/>
      <c r="E13" s="592"/>
      <c r="F13" s="584"/>
      <c r="G13" s="584"/>
      <c r="H13" s="595"/>
      <c r="I13" s="613"/>
      <c r="J13" s="392"/>
    </row>
    <row r="14" spans="1:10" ht="12.75" hidden="1">
      <c r="A14" s="401"/>
      <c r="B14" s="604" t="str">
        <f t="shared" si="1"/>
        <v/>
      </c>
      <c r="C14" s="558"/>
      <c r="D14" s="605"/>
      <c r="E14" s="593"/>
      <c r="F14" s="559"/>
      <c r="G14" s="559"/>
      <c r="H14" s="597"/>
      <c r="I14" s="614"/>
      <c r="J14" s="392"/>
    </row>
    <row r="15" spans="1:10" ht="12.75" hidden="1">
      <c r="A15" s="401"/>
      <c r="B15" s="604" t="str">
        <f t="shared" si="1"/>
        <v/>
      </c>
      <c r="C15" s="558"/>
      <c r="D15" s="605"/>
      <c r="E15" s="593"/>
      <c r="F15" s="559"/>
      <c r="G15" s="559"/>
      <c r="H15" s="597"/>
      <c r="I15" s="614"/>
      <c r="J15" s="392"/>
    </row>
    <row r="16" spans="1:10" ht="12.75" hidden="1">
      <c r="A16" s="401"/>
      <c r="B16" s="604" t="str">
        <f t="shared" si="1"/>
        <v/>
      </c>
      <c r="C16" s="558"/>
      <c r="D16" s="605"/>
      <c r="E16" s="593"/>
      <c r="F16" s="559"/>
      <c r="G16" s="559"/>
      <c r="H16" s="597"/>
      <c r="I16" s="614"/>
      <c r="J16" s="392"/>
    </row>
    <row r="17" spans="1:10" ht="12.75" hidden="1">
      <c r="A17" s="401"/>
      <c r="B17" s="604" t="str">
        <f t="shared" si="1"/>
        <v/>
      </c>
      <c r="C17" s="558"/>
      <c r="D17" s="605"/>
      <c r="E17" s="593"/>
      <c r="F17" s="559"/>
      <c r="G17" s="559"/>
      <c r="H17" s="597"/>
      <c r="I17" s="614"/>
      <c r="J17" s="392"/>
    </row>
    <row r="18" spans="1:10" ht="12.75" hidden="1">
      <c r="A18" s="401"/>
      <c r="B18" s="604" t="str">
        <f t="shared" si="1"/>
        <v/>
      </c>
      <c r="C18" s="558"/>
      <c r="D18" s="605"/>
      <c r="E18" s="593"/>
      <c r="F18" s="559"/>
      <c r="G18" s="559"/>
      <c r="H18" s="597"/>
      <c r="I18" s="614"/>
      <c r="J18" s="392"/>
    </row>
    <row r="19" spans="1:10" ht="12.75" hidden="1">
      <c r="A19" s="401"/>
      <c r="B19" s="604" t="str">
        <f t="shared" si="1"/>
        <v/>
      </c>
      <c r="C19" s="558"/>
      <c r="D19" s="605"/>
      <c r="E19" s="593"/>
      <c r="F19" s="559"/>
      <c r="G19" s="559"/>
      <c r="H19" s="597"/>
      <c r="I19" s="614"/>
      <c r="J19" s="392"/>
    </row>
    <row r="20" spans="1:10" ht="12.75" hidden="1">
      <c r="A20" s="401"/>
      <c r="B20" s="604" t="str">
        <f t="shared" si="1"/>
        <v/>
      </c>
      <c r="C20" s="558"/>
      <c r="D20" s="605"/>
      <c r="E20" s="593"/>
      <c r="F20" s="559"/>
      <c r="G20" s="559"/>
      <c r="H20" s="597"/>
      <c r="I20" s="614"/>
      <c r="J20" s="392"/>
    </row>
    <row r="21" spans="1:10" ht="12.75" hidden="1">
      <c r="A21" s="401"/>
      <c r="B21" s="604" t="str">
        <f t="shared" si="1"/>
        <v/>
      </c>
      <c r="C21" s="558"/>
      <c r="D21" s="605"/>
      <c r="E21" s="593"/>
      <c r="F21" s="559"/>
      <c r="G21" s="559"/>
      <c r="H21" s="597"/>
      <c r="I21" s="614"/>
      <c r="J21" s="392"/>
    </row>
    <row r="22" spans="1:10" ht="12.75" hidden="1">
      <c r="A22" s="401"/>
      <c r="B22" s="604" t="str">
        <f t="shared" si="1"/>
        <v/>
      </c>
      <c r="C22" s="558"/>
      <c r="D22" s="605"/>
      <c r="E22" s="593"/>
      <c r="F22" s="559"/>
      <c r="G22" s="559"/>
      <c r="H22" s="597"/>
      <c r="I22" s="614"/>
      <c r="J22" s="392"/>
    </row>
    <row r="23" spans="1:10" ht="12.75" hidden="1">
      <c r="A23" s="401"/>
      <c r="B23" s="604" t="str">
        <f t="shared" si="1"/>
        <v/>
      </c>
      <c r="C23" s="558"/>
      <c r="D23" s="605"/>
      <c r="E23" s="593"/>
      <c r="F23" s="559"/>
      <c r="G23" s="559"/>
      <c r="H23" s="597"/>
      <c r="I23" s="614"/>
      <c r="J23" s="392"/>
    </row>
    <row r="24" spans="1:10" ht="12.75" hidden="1">
      <c r="A24" s="401"/>
      <c r="B24" s="604" t="str">
        <f t="shared" si="1"/>
        <v/>
      </c>
      <c r="C24" s="558"/>
      <c r="D24" s="605"/>
      <c r="E24" s="593"/>
      <c r="F24" s="559"/>
      <c r="G24" s="559"/>
      <c r="H24" s="597"/>
      <c r="I24" s="614"/>
      <c r="J24" s="392"/>
    </row>
    <row r="25" spans="1:10" ht="12.75" hidden="1">
      <c r="A25" s="401"/>
      <c r="B25" s="604" t="str">
        <f t="shared" si="1"/>
        <v/>
      </c>
      <c r="C25" s="558"/>
      <c r="D25" s="605"/>
      <c r="E25" s="593"/>
      <c r="F25" s="559"/>
      <c r="G25" s="559"/>
      <c r="H25" s="597"/>
      <c r="I25" s="614"/>
      <c r="J25" s="392"/>
    </row>
    <row r="26" spans="1:10" ht="12.75" hidden="1">
      <c r="A26" s="401"/>
      <c r="B26" s="604" t="str">
        <f t="shared" si="1"/>
        <v/>
      </c>
      <c r="C26" s="558"/>
      <c r="D26" s="605"/>
      <c r="E26" s="593"/>
      <c r="F26" s="559"/>
      <c r="G26" s="559"/>
      <c r="H26" s="597"/>
      <c r="I26" s="614"/>
      <c r="J26" s="392"/>
    </row>
    <row r="27" spans="1:10" ht="12.75" hidden="1">
      <c r="A27" s="401"/>
      <c r="B27" s="604" t="str">
        <f t="shared" si="1"/>
        <v/>
      </c>
      <c r="C27" s="558"/>
      <c r="D27" s="605"/>
      <c r="E27" s="593"/>
      <c r="F27" s="559"/>
      <c r="G27" s="559"/>
      <c r="H27" s="597"/>
      <c r="I27" s="614"/>
      <c r="J27" s="392"/>
    </row>
    <row r="28" spans="1:10" ht="12.75" hidden="1">
      <c r="A28" s="401"/>
      <c r="B28" s="604" t="str">
        <f t="shared" si="1"/>
        <v/>
      </c>
      <c r="C28" s="558"/>
      <c r="D28" s="605"/>
      <c r="E28" s="593"/>
      <c r="F28" s="559"/>
      <c r="G28" s="559"/>
      <c r="H28" s="597"/>
      <c r="I28" s="614"/>
      <c r="J28" s="392"/>
    </row>
    <row r="29" spans="1:10" ht="12.75" hidden="1">
      <c r="A29" s="401"/>
      <c r="B29" s="604" t="str">
        <f t="shared" si="1"/>
        <v/>
      </c>
      <c r="C29" s="558"/>
      <c r="D29" s="605"/>
      <c r="E29" s="593"/>
      <c r="F29" s="559"/>
      <c r="G29" s="559"/>
      <c r="H29" s="597"/>
      <c r="I29" s="614"/>
      <c r="J29" s="392"/>
    </row>
    <row r="30" spans="1:10" ht="12.75" hidden="1">
      <c r="A30" s="401"/>
      <c r="B30" s="604" t="str">
        <f t="shared" si="1"/>
        <v/>
      </c>
      <c r="C30" s="558"/>
      <c r="D30" s="605"/>
      <c r="E30" s="593"/>
      <c r="F30" s="559"/>
      <c r="G30" s="559"/>
      <c r="H30" s="597"/>
      <c r="I30" s="614"/>
      <c r="J30" s="392"/>
    </row>
    <row r="31" spans="1:10" ht="12.75" hidden="1">
      <c r="A31" s="401"/>
      <c r="B31" s="604" t="str">
        <f t="shared" si="1"/>
        <v/>
      </c>
      <c r="C31" s="558"/>
      <c r="D31" s="605"/>
      <c r="E31" s="593"/>
      <c r="F31" s="559"/>
      <c r="G31" s="559"/>
      <c r="H31" s="597"/>
      <c r="I31" s="614"/>
      <c r="J31" s="392"/>
    </row>
    <row r="32" spans="1:10" ht="12.75" hidden="1">
      <c r="A32" s="401"/>
      <c r="B32" s="604" t="str">
        <f t="shared" si="1"/>
        <v/>
      </c>
      <c r="C32" s="558"/>
      <c r="D32" s="605"/>
      <c r="E32" s="593"/>
      <c r="F32" s="559"/>
      <c r="G32" s="559"/>
      <c r="H32" s="597"/>
      <c r="I32" s="614"/>
      <c r="J32" s="392"/>
    </row>
    <row r="33" spans="1:10" ht="12.75" hidden="1">
      <c r="A33" s="401"/>
      <c r="B33" s="604" t="str">
        <f t="shared" si="1"/>
        <v/>
      </c>
      <c r="C33" s="558"/>
      <c r="D33" s="605"/>
      <c r="E33" s="593"/>
      <c r="F33" s="559"/>
      <c r="G33" s="559"/>
      <c r="H33" s="597"/>
      <c r="I33" s="614"/>
      <c r="J33" s="392"/>
    </row>
    <row r="34" spans="1:10" ht="12.75" hidden="1">
      <c r="A34" s="401"/>
      <c r="B34" s="604" t="str">
        <f t="shared" si="1"/>
        <v/>
      </c>
      <c r="C34" s="558"/>
      <c r="D34" s="605"/>
      <c r="E34" s="593"/>
      <c r="F34" s="559"/>
      <c r="G34" s="559"/>
      <c r="H34" s="597"/>
      <c r="I34" s="614"/>
      <c r="J34" s="392"/>
    </row>
    <row r="35" spans="1:10" ht="12.75" hidden="1">
      <c r="A35" s="401"/>
      <c r="B35" s="604" t="str">
        <f t="shared" si="1"/>
        <v/>
      </c>
      <c r="C35" s="558"/>
      <c r="D35" s="605"/>
      <c r="E35" s="593"/>
      <c r="F35" s="559"/>
      <c r="G35" s="559"/>
      <c r="H35" s="597"/>
      <c r="I35" s="614"/>
      <c r="J35" s="392"/>
    </row>
    <row r="36" spans="1:10" ht="12.75" hidden="1">
      <c r="A36" s="401"/>
      <c r="B36" s="604" t="str">
        <f t="shared" si="1"/>
        <v/>
      </c>
      <c r="C36" s="558"/>
      <c r="D36" s="605"/>
      <c r="E36" s="593"/>
      <c r="F36" s="559"/>
      <c r="G36" s="559"/>
      <c r="H36" s="597"/>
      <c r="I36" s="614"/>
      <c r="J36" s="392"/>
    </row>
    <row r="37" spans="1:10" ht="12.75" hidden="1">
      <c r="A37" s="401"/>
      <c r="B37" s="604" t="str">
        <f t="shared" si="1"/>
        <v/>
      </c>
      <c r="C37" s="558"/>
      <c r="D37" s="605"/>
      <c r="E37" s="593"/>
      <c r="F37" s="559"/>
      <c r="G37" s="559"/>
      <c r="H37" s="597"/>
      <c r="I37" s="614"/>
      <c r="J37" s="392"/>
    </row>
    <row r="38" spans="1:10" ht="12.75" hidden="1">
      <c r="A38" s="401"/>
      <c r="B38" s="604" t="str">
        <f t="shared" si="1"/>
        <v/>
      </c>
      <c r="C38" s="558"/>
      <c r="D38" s="605"/>
      <c r="E38" s="593"/>
      <c r="F38" s="559"/>
      <c r="G38" s="559"/>
      <c r="H38" s="597"/>
      <c r="I38" s="614"/>
      <c r="J38" s="392"/>
    </row>
    <row r="39" spans="1:10" ht="12.75" hidden="1">
      <c r="A39" s="401"/>
      <c r="B39" s="604" t="str">
        <f t="shared" si="1"/>
        <v/>
      </c>
      <c r="C39" s="558"/>
      <c r="D39" s="605"/>
      <c r="E39" s="593"/>
      <c r="F39" s="559"/>
      <c r="G39" s="559"/>
      <c r="H39" s="597"/>
      <c r="I39" s="614"/>
      <c r="J39" s="392"/>
    </row>
    <row r="40" spans="1:10" ht="12.75" hidden="1">
      <c r="A40" s="401"/>
      <c r="B40" s="604" t="str">
        <f t="shared" si="1"/>
        <v/>
      </c>
      <c r="C40" s="558"/>
      <c r="D40" s="605"/>
      <c r="E40" s="593"/>
      <c r="F40" s="559"/>
      <c r="G40" s="559"/>
      <c r="H40" s="597"/>
      <c r="I40" s="614"/>
      <c r="J40" s="392"/>
    </row>
    <row r="41" spans="1:10" ht="12.75" hidden="1">
      <c r="A41" s="401"/>
      <c r="B41" s="604" t="str">
        <f t="shared" si="1"/>
        <v/>
      </c>
      <c r="C41" s="558"/>
      <c r="D41" s="605"/>
      <c r="E41" s="593"/>
      <c r="F41" s="559"/>
      <c r="G41" s="559"/>
      <c r="H41" s="597"/>
      <c r="I41" s="614"/>
      <c r="J41" s="392"/>
    </row>
    <row r="42" spans="1:10" ht="12.75" hidden="1">
      <c r="A42" s="401"/>
      <c r="B42" s="604" t="str">
        <f t="shared" si="1"/>
        <v/>
      </c>
      <c r="C42" s="558"/>
      <c r="D42" s="605"/>
      <c r="E42" s="593"/>
      <c r="F42" s="559"/>
      <c r="G42" s="559"/>
      <c r="H42" s="597"/>
      <c r="I42" s="614"/>
      <c r="J42" s="392"/>
    </row>
    <row r="43" spans="1:10" ht="12.75" hidden="1">
      <c r="A43" s="401"/>
      <c r="B43" s="604" t="str">
        <f t="shared" si="1"/>
        <v/>
      </c>
      <c r="C43" s="558"/>
      <c r="D43" s="605"/>
      <c r="E43" s="593"/>
      <c r="F43" s="559"/>
      <c r="G43" s="559"/>
      <c r="H43" s="597"/>
      <c r="I43" s="614"/>
      <c r="J43" s="392"/>
    </row>
    <row r="44" spans="1:10" ht="12.75" hidden="1">
      <c r="A44" s="401"/>
      <c r="B44" s="604" t="str">
        <f t="shared" si="1"/>
        <v/>
      </c>
      <c r="C44" s="558"/>
      <c r="D44" s="605"/>
      <c r="E44" s="593"/>
      <c r="F44" s="559"/>
      <c r="G44" s="559"/>
      <c r="H44" s="597"/>
      <c r="I44" s="614"/>
      <c r="J44" s="392"/>
    </row>
    <row r="45" spans="1:10" ht="12.75" hidden="1">
      <c r="A45" s="401"/>
      <c r="B45" s="604" t="str">
        <f t="shared" si="1"/>
        <v/>
      </c>
      <c r="C45" s="558"/>
      <c r="D45" s="605"/>
      <c r="E45" s="593"/>
      <c r="F45" s="559"/>
      <c r="G45" s="559"/>
      <c r="H45" s="597"/>
      <c r="I45" s="614"/>
      <c r="J45" s="392"/>
    </row>
    <row r="46" spans="1:10" ht="12.75" hidden="1">
      <c r="A46" s="401"/>
      <c r="B46" s="604" t="str">
        <f t="shared" si="1"/>
        <v/>
      </c>
      <c r="C46" s="558"/>
      <c r="D46" s="605"/>
      <c r="E46" s="593"/>
      <c r="F46" s="559"/>
      <c r="G46" s="559"/>
      <c r="H46" s="650"/>
      <c r="I46" s="651"/>
      <c r="J46" s="392"/>
    </row>
    <row r="47" spans="1:10" ht="12.75" hidden="1">
      <c r="A47" s="401"/>
      <c r="B47" s="604" t="str">
        <f t="shared" si="1"/>
        <v/>
      </c>
      <c r="C47" s="558"/>
      <c r="D47" s="605"/>
      <c r="E47" s="593"/>
      <c r="F47" s="559"/>
      <c r="G47" s="559"/>
      <c r="H47" s="597"/>
      <c r="I47" s="614"/>
      <c r="J47" s="392"/>
    </row>
    <row r="48" spans="1:10" ht="12.75" hidden="1">
      <c r="A48" s="401"/>
      <c r="B48" s="604" t="str">
        <f t="shared" si="1"/>
        <v/>
      </c>
      <c r="C48" s="558"/>
      <c r="D48" s="605"/>
      <c r="E48" s="593"/>
      <c r="F48" s="559"/>
      <c r="G48" s="559"/>
      <c r="H48" s="597"/>
      <c r="I48" s="614"/>
      <c r="J48" s="392"/>
    </row>
    <row r="49" spans="1:10" ht="12.75" hidden="1">
      <c r="A49" s="401"/>
      <c r="B49" s="604" t="str">
        <f t="shared" si="1"/>
        <v/>
      </c>
      <c r="C49" s="558"/>
      <c r="D49" s="605"/>
      <c r="E49" s="593"/>
      <c r="F49" s="559"/>
      <c r="G49" s="559"/>
      <c r="H49" s="597"/>
      <c r="I49" s="614"/>
      <c r="J49" s="392"/>
    </row>
    <row r="50" spans="1:10" ht="12.75" hidden="1">
      <c r="A50" s="401"/>
      <c r="B50" s="604" t="str">
        <f t="shared" si="1"/>
        <v/>
      </c>
      <c r="C50" s="558"/>
      <c r="D50" s="605"/>
      <c r="E50" s="593"/>
      <c r="F50" s="559"/>
      <c r="G50" s="559"/>
      <c r="H50" s="597"/>
      <c r="I50" s="614"/>
      <c r="J50" s="392"/>
    </row>
    <row r="51" spans="1:10" ht="12.75" hidden="1">
      <c r="A51" s="401"/>
      <c r="B51" s="604" t="str">
        <f t="shared" si="1"/>
        <v/>
      </c>
      <c r="C51" s="558"/>
      <c r="D51" s="605"/>
      <c r="E51" s="593"/>
      <c r="F51" s="559"/>
      <c r="G51" s="559"/>
      <c r="H51" s="597"/>
      <c r="I51" s="614"/>
      <c r="J51" s="392"/>
    </row>
    <row r="52" spans="1:10" ht="12.75" hidden="1">
      <c r="A52" s="401"/>
      <c r="B52" s="604" t="str">
        <f t="shared" si="1"/>
        <v/>
      </c>
      <c r="C52" s="558"/>
      <c r="D52" s="605"/>
      <c r="E52" s="593"/>
      <c r="F52" s="559"/>
      <c r="G52" s="559"/>
      <c r="H52" s="597"/>
      <c r="I52" s="614"/>
      <c r="J52" s="392"/>
    </row>
    <row r="53" spans="1:10" ht="12.75" hidden="1">
      <c r="A53" s="401"/>
      <c r="B53" s="604" t="str">
        <f t="shared" si="1"/>
        <v/>
      </c>
      <c r="C53" s="558"/>
      <c r="D53" s="605"/>
      <c r="E53" s="593"/>
      <c r="F53" s="559"/>
      <c r="G53" s="559"/>
      <c r="H53" s="597"/>
      <c r="I53" s="614"/>
      <c r="J53" s="392"/>
    </row>
    <row r="54" spans="1:10" ht="12.75" hidden="1">
      <c r="A54" s="401"/>
      <c r="B54" s="604" t="str">
        <f t="shared" si="1"/>
        <v/>
      </c>
      <c r="C54" s="558"/>
      <c r="D54" s="605"/>
      <c r="E54" s="593"/>
      <c r="F54" s="559"/>
      <c r="G54" s="559"/>
      <c r="H54" s="597"/>
      <c r="I54" s="614"/>
      <c r="J54" s="392"/>
    </row>
    <row r="55" spans="1:10" ht="12.75" hidden="1">
      <c r="A55" s="401"/>
      <c r="B55" s="604" t="str">
        <f t="shared" si="1"/>
        <v/>
      </c>
      <c r="C55" s="558"/>
      <c r="D55" s="605"/>
      <c r="E55" s="593"/>
      <c r="F55" s="559"/>
      <c r="G55" s="559"/>
      <c r="H55" s="597"/>
      <c r="I55" s="614"/>
      <c r="J55" s="392"/>
    </row>
    <row r="56" spans="1:10" ht="12.75" hidden="1">
      <c r="A56" s="401"/>
      <c r="B56" s="604" t="str">
        <f t="shared" si="1"/>
        <v/>
      </c>
      <c r="C56" s="558"/>
      <c r="D56" s="605"/>
      <c r="E56" s="593"/>
      <c r="F56" s="559"/>
      <c r="G56" s="559"/>
      <c r="H56" s="597"/>
      <c r="I56" s="614"/>
      <c r="J56" s="392"/>
    </row>
    <row r="57" spans="1:10" ht="12.75" hidden="1">
      <c r="A57" s="401"/>
      <c r="B57" s="604" t="str">
        <f t="shared" si="1"/>
        <v/>
      </c>
      <c r="C57" s="558"/>
      <c r="D57" s="605"/>
      <c r="E57" s="593"/>
      <c r="F57" s="559"/>
      <c r="G57" s="559"/>
      <c r="H57" s="597"/>
      <c r="I57" s="614"/>
      <c r="J57" s="392"/>
    </row>
    <row r="58" spans="1:10" ht="12.75" hidden="1">
      <c r="A58" s="401"/>
      <c r="B58" s="604" t="str">
        <f t="shared" si="1"/>
        <v/>
      </c>
      <c r="C58" s="558"/>
      <c r="D58" s="605"/>
      <c r="E58" s="593"/>
      <c r="F58" s="559"/>
      <c r="G58" s="559"/>
      <c r="H58" s="597"/>
      <c r="I58" s="614"/>
      <c r="J58" s="392"/>
    </row>
    <row r="59" spans="1:10" ht="12.75" hidden="1">
      <c r="A59" s="401"/>
      <c r="B59" s="604" t="str">
        <f t="shared" si="1"/>
        <v/>
      </c>
      <c r="C59" s="558"/>
      <c r="D59" s="605"/>
      <c r="E59" s="593"/>
      <c r="F59" s="559"/>
      <c r="G59" s="559"/>
      <c r="H59" s="597"/>
      <c r="I59" s="614"/>
      <c r="J59" s="392"/>
    </row>
    <row r="60" spans="1:10" ht="12.75" hidden="1">
      <c r="A60" s="401"/>
      <c r="B60" s="604" t="str">
        <f t="shared" si="1"/>
        <v/>
      </c>
      <c r="C60" s="558"/>
      <c r="D60" s="605"/>
      <c r="E60" s="593"/>
      <c r="F60" s="559"/>
      <c r="G60" s="559"/>
      <c r="H60" s="597"/>
      <c r="I60" s="614"/>
      <c r="J60" s="392"/>
    </row>
    <row r="61" spans="1:10" ht="12.75" hidden="1">
      <c r="A61" s="401"/>
      <c r="B61" s="604" t="str">
        <f t="shared" si="1"/>
        <v/>
      </c>
      <c r="C61" s="558"/>
      <c r="D61" s="605"/>
      <c r="E61" s="593"/>
      <c r="F61" s="559"/>
      <c r="G61" s="559"/>
      <c r="H61" s="597"/>
      <c r="I61" s="614"/>
      <c r="J61" s="392"/>
    </row>
    <row r="62" spans="1:10" ht="12.75" hidden="1">
      <c r="A62" s="401"/>
      <c r="B62" s="604" t="str">
        <f t="shared" si="1"/>
        <v/>
      </c>
      <c r="C62" s="558"/>
      <c r="D62" s="605"/>
      <c r="E62" s="593"/>
      <c r="F62" s="559"/>
      <c r="G62" s="559"/>
      <c r="H62" s="597"/>
      <c r="I62" s="614"/>
      <c r="J62" s="392"/>
    </row>
    <row r="63" spans="1:10" ht="12.75" hidden="1">
      <c r="A63" s="401"/>
      <c r="B63" s="604" t="str">
        <f t="shared" si="1"/>
        <v/>
      </c>
      <c r="C63" s="558"/>
      <c r="D63" s="605"/>
      <c r="E63" s="593"/>
      <c r="F63" s="559"/>
      <c r="G63" s="559"/>
      <c r="H63" s="597"/>
      <c r="I63" s="614"/>
      <c r="J63" s="392"/>
    </row>
    <row r="64" spans="1:10" ht="12.75" hidden="1">
      <c r="A64" s="401"/>
      <c r="B64" s="604" t="str">
        <f t="shared" si="1"/>
        <v/>
      </c>
      <c r="C64" s="558"/>
      <c r="D64" s="605"/>
      <c r="E64" s="593"/>
      <c r="F64" s="559"/>
      <c r="G64" s="559"/>
      <c r="H64" s="597"/>
      <c r="I64" s="614"/>
      <c r="J64" s="392"/>
    </row>
    <row r="65" spans="1:10" ht="12.75" hidden="1">
      <c r="A65" s="401"/>
      <c r="B65" s="604" t="str">
        <f t="shared" si="1"/>
        <v/>
      </c>
      <c r="C65" s="558"/>
      <c r="D65" s="605"/>
      <c r="E65" s="593"/>
      <c r="F65" s="559"/>
      <c r="G65" s="559"/>
      <c r="H65" s="597"/>
      <c r="I65" s="614"/>
      <c r="J65" s="392"/>
    </row>
    <row r="66" spans="1:10" ht="12.75" hidden="1">
      <c r="A66" s="401"/>
      <c r="B66" s="604" t="str">
        <f t="shared" si="1"/>
        <v/>
      </c>
      <c r="C66" s="558"/>
      <c r="D66" s="605"/>
      <c r="E66" s="593"/>
      <c r="F66" s="559"/>
      <c r="G66" s="559"/>
      <c r="H66" s="597"/>
      <c r="I66" s="614"/>
      <c r="J66" s="392"/>
    </row>
    <row r="67" spans="1:10" ht="12.75" hidden="1">
      <c r="A67" s="401"/>
      <c r="B67" s="604" t="str">
        <f t="shared" si="1"/>
        <v/>
      </c>
      <c r="C67" s="558"/>
      <c r="D67" s="605"/>
      <c r="E67" s="593"/>
      <c r="F67" s="559"/>
      <c r="G67" s="559"/>
      <c r="H67" s="597"/>
      <c r="I67" s="614"/>
      <c r="J67" s="392"/>
    </row>
    <row r="68" spans="1:10" ht="12.75" hidden="1">
      <c r="A68" s="401"/>
      <c r="B68" s="604" t="str">
        <f t="shared" si="1"/>
        <v/>
      </c>
      <c r="C68" s="558"/>
      <c r="D68" s="605"/>
      <c r="E68" s="593"/>
      <c r="F68" s="559"/>
      <c r="G68" s="559"/>
      <c r="H68" s="597"/>
      <c r="I68" s="614"/>
      <c r="J68" s="392"/>
    </row>
    <row r="69" spans="1:10" ht="12.75" hidden="1">
      <c r="A69" s="401"/>
      <c r="B69" s="604" t="str">
        <f t="shared" si="1"/>
        <v/>
      </c>
      <c r="C69" s="558"/>
      <c r="D69" s="605"/>
      <c r="E69" s="593"/>
      <c r="F69" s="559"/>
      <c r="G69" s="559"/>
      <c r="H69" s="597"/>
      <c r="I69" s="614"/>
      <c r="J69" s="392"/>
    </row>
    <row r="70" spans="1:10" ht="12.75" hidden="1">
      <c r="A70" s="401"/>
      <c r="B70" s="604" t="str">
        <f t="shared" si="1"/>
        <v/>
      </c>
      <c r="C70" s="558"/>
      <c r="D70" s="605"/>
      <c r="E70" s="593"/>
      <c r="F70" s="559"/>
      <c r="G70" s="559"/>
      <c r="H70" s="597"/>
      <c r="I70" s="614"/>
      <c r="J70" s="392"/>
    </row>
    <row r="71" spans="1:10" ht="12.75" hidden="1">
      <c r="A71" s="401"/>
      <c r="B71" s="604" t="str">
        <f t="shared" si="1"/>
        <v/>
      </c>
      <c r="C71" s="558"/>
      <c r="D71" s="605"/>
      <c r="E71" s="593"/>
      <c r="F71" s="559"/>
      <c r="G71" s="559"/>
      <c r="H71" s="597"/>
      <c r="I71" s="614"/>
      <c r="J71" s="392"/>
    </row>
    <row r="72" spans="1:10" ht="12.75" hidden="1">
      <c r="A72" s="401"/>
      <c r="B72" s="604" t="str">
        <f t="shared" si="1"/>
        <v/>
      </c>
      <c r="C72" s="558"/>
      <c r="D72" s="605"/>
      <c r="E72" s="593"/>
      <c r="F72" s="559"/>
      <c r="G72" s="559"/>
      <c r="H72" s="597"/>
      <c r="I72" s="614"/>
      <c r="J72" s="392"/>
    </row>
    <row r="73" spans="1:10" ht="12.75" hidden="1">
      <c r="A73" s="401"/>
      <c r="B73" s="604" t="str">
        <f t="shared" si="1"/>
        <v/>
      </c>
      <c r="C73" s="558"/>
      <c r="D73" s="605"/>
      <c r="E73" s="593"/>
      <c r="F73" s="559"/>
      <c r="G73" s="559"/>
      <c r="H73" s="597"/>
      <c r="I73" s="614"/>
      <c r="J73" s="392"/>
    </row>
    <row r="74" spans="1:10" ht="12.75" hidden="1">
      <c r="A74" s="401"/>
      <c r="B74" s="604" t="str">
        <f t="shared" ref="B74:B137" si="2">IF(C74="","",B73+1)</f>
        <v/>
      </c>
      <c r="C74" s="558"/>
      <c r="D74" s="605"/>
      <c r="E74" s="593"/>
      <c r="F74" s="559"/>
      <c r="G74" s="559"/>
      <c r="H74" s="597"/>
      <c r="I74" s="614"/>
      <c r="J74" s="392"/>
    </row>
    <row r="75" spans="1:10" ht="12.75" hidden="1">
      <c r="A75" s="401"/>
      <c r="B75" s="604" t="str">
        <f t="shared" si="2"/>
        <v/>
      </c>
      <c r="C75" s="558"/>
      <c r="D75" s="605"/>
      <c r="E75" s="593"/>
      <c r="F75" s="559"/>
      <c r="G75" s="559"/>
      <c r="H75" s="597"/>
      <c r="I75" s="614"/>
      <c r="J75" s="392"/>
    </row>
    <row r="76" spans="1:10" ht="12.75" hidden="1">
      <c r="A76" s="401"/>
      <c r="B76" s="604" t="str">
        <f t="shared" si="2"/>
        <v/>
      </c>
      <c r="C76" s="558"/>
      <c r="D76" s="605"/>
      <c r="E76" s="593"/>
      <c r="F76" s="559"/>
      <c r="G76" s="559"/>
      <c r="H76" s="597"/>
      <c r="I76" s="614"/>
      <c r="J76" s="392"/>
    </row>
    <row r="77" spans="1:10" ht="12.75" hidden="1">
      <c r="A77" s="401"/>
      <c r="B77" s="604" t="str">
        <f t="shared" si="2"/>
        <v/>
      </c>
      <c r="C77" s="558"/>
      <c r="D77" s="605"/>
      <c r="E77" s="593"/>
      <c r="F77" s="559"/>
      <c r="G77" s="559"/>
      <c r="H77" s="597"/>
      <c r="I77" s="614"/>
      <c r="J77" s="392"/>
    </row>
    <row r="78" spans="1:10" ht="12.75" hidden="1">
      <c r="A78" s="401"/>
      <c r="B78" s="604" t="str">
        <f t="shared" si="2"/>
        <v/>
      </c>
      <c r="C78" s="558"/>
      <c r="D78" s="605"/>
      <c r="E78" s="593"/>
      <c r="F78" s="559"/>
      <c r="G78" s="559"/>
      <c r="H78" s="597"/>
      <c r="I78" s="614"/>
      <c r="J78" s="392"/>
    </row>
    <row r="79" spans="1:10" ht="12.75" hidden="1">
      <c r="A79" s="401"/>
      <c r="B79" s="604" t="str">
        <f t="shared" si="2"/>
        <v/>
      </c>
      <c r="C79" s="558"/>
      <c r="D79" s="605"/>
      <c r="E79" s="593"/>
      <c r="F79" s="559"/>
      <c r="G79" s="559"/>
      <c r="H79" s="597"/>
      <c r="I79" s="614"/>
      <c r="J79" s="392"/>
    </row>
    <row r="80" spans="1:10" ht="12.75" hidden="1">
      <c r="A80" s="401"/>
      <c r="B80" s="604" t="str">
        <f t="shared" si="2"/>
        <v/>
      </c>
      <c r="C80" s="558"/>
      <c r="D80" s="605"/>
      <c r="E80" s="593"/>
      <c r="F80" s="559"/>
      <c r="G80" s="559"/>
      <c r="H80" s="597"/>
      <c r="I80" s="614"/>
      <c r="J80" s="392"/>
    </row>
    <row r="81" spans="1:10" ht="12.75" hidden="1">
      <c r="A81" s="401"/>
      <c r="B81" s="604" t="str">
        <f t="shared" si="2"/>
        <v/>
      </c>
      <c r="C81" s="558"/>
      <c r="D81" s="605"/>
      <c r="E81" s="593"/>
      <c r="F81" s="559"/>
      <c r="G81" s="559"/>
      <c r="H81" s="597"/>
      <c r="I81" s="614"/>
      <c r="J81" s="392"/>
    </row>
    <row r="82" spans="1:10" ht="12.75" hidden="1">
      <c r="A82" s="401"/>
      <c r="B82" s="604" t="str">
        <f t="shared" si="2"/>
        <v/>
      </c>
      <c r="C82" s="558"/>
      <c r="D82" s="605"/>
      <c r="E82" s="593"/>
      <c r="F82" s="559"/>
      <c r="G82" s="559"/>
      <c r="H82" s="597"/>
      <c r="I82" s="614"/>
      <c r="J82" s="392"/>
    </row>
    <row r="83" spans="1:10" ht="12.75" hidden="1">
      <c r="A83" s="401"/>
      <c r="B83" s="604" t="str">
        <f t="shared" si="2"/>
        <v/>
      </c>
      <c r="C83" s="558"/>
      <c r="D83" s="605"/>
      <c r="E83" s="593"/>
      <c r="F83" s="559"/>
      <c r="G83" s="559"/>
      <c r="H83" s="597"/>
      <c r="I83" s="614"/>
      <c r="J83" s="392"/>
    </row>
    <row r="84" spans="1:10" ht="12.75" hidden="1">
      <c r="A84" s="401"/>
      <c r="B84" s="604" t="str">
        <f t="shared" si="2"/>
        <v/>
      </c>
      <c r="C84" s="558"/>
      <c r="D84" s="605"/>
      <c r="E84" s="593"/>
      <c r="F84" s="559"/>
      <c r="G84" s="559"/>
      <c r="H84" s="597"/>
      <c r="I84" s="614"/>
      <c r="J84" s="392"/>
    </row>
    <row r="85" spans="1:10" ht="12.75" hidden="1">
      <c r="A85" s="401"/>
      <c r="B85" s="604" t="str">
        <f t="shared" si="2"/>
        <v/>
      </c>
      <c r="C85" s="558"/>
      <c r="D85" s="605"/>
      <c r="E85" s="593"/>
      <c r="F85" s="559"/>
      <c r="G85" s="559"/>
      <c r="H85" s="597"/>
      <c r="I85" s="614"/>
      <c r="J85" s="392"/>
    </row>
    <row r="86" spans="1:10" ht="12.75" hidden="1">
      <c r="A86" s="401"/>
      <c r="B86" s="604" t="str">
        <f t="shared" si="2"/>
        <v/>
      </c>
      <c r="C86" s="558"/>
      <c r="D86" s="605"/>
      <c r="E86" s="593"/>
      <c r="F86" s="559"/>
      <c r="G86" s="559"/>
      <c r="H86" s="597"/>
      <c r="I86" s="614"/>
      <c r="J86" s="392"/>
    </row>
    <row r="87" spans="1:10" ht="12.75" hidden="1">
      <c r="A87" s="401"/>
      <c r="B87" s="604" t="str">
        <f t="shared" si="2"/>
        <v/>
      </c>
      <c r="C87" s="558"/>
      <c r="D87" s="605"/>
      <c r="E87" s="593"/>
      <c r="F87" s="559"/>
      <c r="G87" s="559"/>
      <c r="H87" s="597"/>
      <c r="I87" s="614"/>
      <c r="J87" s="392"/>
    </row>
    <row r="88" spans="1:10" ht="12.75" hidden="1">
      <c r="A88" s="401"/>
      <c r="B88" s="604" t="str">
        <f t="shared" si="2"/>
        <v/>
      </c>
      <c r="C88" s="558"/>
      <c r="D88" s="605"/>
      <c r="E88" s="593"/>
      <c r="F88" s="559"/>
      <c r="G88" s="559"/>
      <c r="H88" s="597"/>
      <c r="I88" s="614"/>
      <c r="J88" s="392"/>
    </row>
    <row r="89" spans="1:10" ht="12.75" hidden="1">
      <c r="A89" s="401"/>
      <c r="B89" s="604" t="str">
        <f t="shared" si="2"/>
        <v/>
      </c>
      <c r="C89" s="558"/>
      <c r="D89" s="605"/>
      <c r="E89" s="593"/>
      <c r="F89" s="559"/>
      <c r="G89" s="559"/>
      <c r="H89" s="597"/>
      <c r="I89" s="614"/>
      <c r="J89" s="392"/>
    </row>
    <row r="90" spans="1:10" ht="12.75" hidden="1">
      <c r="A90" s="401"/>
      <c r="B90" s="604" t="str">
        <f t="shared" si="2"/>
        <v/>
      </c>
      <c r="C90" s="558"/>
      <c r="D90" s="605"/>
      <c r="E90" s="593"/>
      <c r="F90" s="559"/>
      <c r="G90" s="559"/>
      <c r="H90" s="597"/>
      <c r="I90" s="614"/>
      <c r="J90" s="392"/>
    </row>
    <row r="91" spans="1:10" ht="12.75" hidden="1">
      <c r="A91" s="401"/>
      <c r="B91" s="604" t="str">
        <f t="shared" si="2"/>
        <v/>
      </c>
      <c r="C91" s="558"/>
      <c r="D91" s="605"/>
      <c r="E91" s="593"/>
      <c r="F91" s="559"/>
      <c r="G91" s="559"/>
      <c r="H91" s="597"/>
      <c r="I91" s="614"/>
      <c r="J91" s="392"/>
    </row>
    <row r="92" spans="1:10" ht="12.75" hidden="1">
      <c r="A92" s="401"/>
      <c r="B92" s="604" t="str">
        <f t="shared" si="2"/>
        <v/>
      </c>
      <c r="C92" s="558"/>
      <c r="D92" s="605"/>
      <c r="E92" s="593"/>
      <c r="F92" s="559"/>
      <c r="G92" s="559"/>
      <c r="H92" s="597"/>
      <c r="I92" s="614"/>
      <c r="J92" s="392"/>
    </row>
    <row r="93" spans="1:10" ht="12.75" hidden="1">
      <c r="A93" s="401"/>
      <c r="B93" s="604" t="str">
        <f t="shared" si="2"/>
        <v/>
      </c>
      <c r="C93" s="558"/>
      <c r="D93" s="605"/>
      <c r="E93" s="593"/>
      <c r="F93" s="559"/>
      <c r="G93" s="559"/>
      <c r="H93" s="597"/>
      <c r="I93" s="614"/>
      <c r="J93" s="392"/>
    </row>
    <row r="94" spans="1:10" ht="12.75" hidden="1">
      <c r="A94" s="401"/>
      <c r="B94" s="604" t="str">
        <f t="shared" si="2"/>
        <v/>
      </c>
      <c r="C94" s="558"/>
      <c r="D94" s="605"/>
      <c r="E94" s="593"/>
      <c r="F94" s="559"/>
      <c r="G94" s="559"/>
      <c r="H94" s="597"/>
      <c r="I94" s="614"/>
      <c r="J94" s="392"/>
    </row>
    <row r="95" spans="1:10" ht="12.75" hidden="1">
      <c r="A95" s="401"/>
      <c r="B95" s="604" t="str">
        <f t="shared" si="2"/>
        <v/>
      </c>
      <c r="C95" s="558"/>
      <c r="D95" s="605"/>
      <c r="E95" s="593"/>
      <c r="F95" s="559"/>
      <c r="G95" s="559"/>
      <c r="H95" s="597"/>
      <c r="I95" s="614"/>
      <c r="J95" s="392"/>
    </row>
    <row r="96" spans="1:10" ht="12.75" hidden="1">
      <c r="A96" s="401"/>
      <c r="B96" s="604" t="str">
        <f t="shared" si="2"/>
        <v/>
      </c>
      <c r="C96" s="558"/>
      <c r="D96" s="605"/>
      <c r="E96" s="593"/>
      <c r="F96" s="559"/>
      <c r="G96" s="559"/>
      <c r="H96" s="597"/>
      <c r="I96" s="614"/>
      <c r="J96" s="392"/>
    </row>
    <row r="97" spans="1:10" ht="12.75" hidden="1">
      <c r="A97" s="401"/>
      <c r="B97" s="604" t="str">
        <f t="shared" si="2"/>
        <v/>
      </c>
      <c r="C97" s="558"/>
      <c r="D97" s="605"/>
      <c r="E97" s="593"/>
      <c r="F97" s="559"/>
      <c r="G97" s="559"/>
      <c r="H97" s="597"/>
      <c r="I97" s="614"/>
      <c r="J97" s="392"/>
    </row>
    <row r="98" spans="1:10" ht="12.75" hidden="1">
      <c r="A98" s="401"/>
      <c r="B98" s="604" t="str">
        <f t="shared" si="2"/>
        <v/>
      </c>
      <c r="C98" s="558"/>
      <c r="D98" s="605"/>
      <c r="E98" s="593"/>
      <c r="F98" s="559"/>
      <c r="G98" s="559"/>
      <c r="H98" s="597"/>
      <c r="I98" s="614"/>
      <c r="J98" s="392"/>
    </row>
    <row r="99" spans="1:10" ht="12.75" hidden="1">
      <c r="A99" s="401"/>
      <c r="B99" s="604" t="str">
        <f t="shared" si="2"/>
        <v/>
      </c>
      <c r="C99" s="558"/>
      <c r="D99" s="605"/>
      <c r="E99" s="593"/>
      <c r="F99" s="559"/>
      <c r="G99" s="559"/>
      <c r="H99" s="597"/>
      <c r="I99" s="614"/>
      <c r="J99" s="392"/>
    </row>
    <row r="100" spans="1:10" ht="12.75" hidden="1">
      <c r="A100" s="401"/>
      <c r="B100" s="604" t="str">
        <f t="shared" si="2"/>
        <v/>
      </c>
      <c r="C100" s="558"/>
      <c r="D100" s="605"/>
      <c r="E100" s="593"/>
      <c r="F100" s="559"/>
      <c r="G100" s="559"/>
      <c r="H100" s="597"/>
      <c r="I100" s="614"/>
      <c r="J100" s="392"/>
    </row>
    <row r="101" spans="1:10" ht="12.75" hidden="1">
      <c r="A101" s="401"/>
      <c r="B101" s="604" t="str">
        <f t="shared" si="2"/>
        <v/>
      </c>
      <c r="C101" s="558"/>
      <c r="D101" s="605"/>
      <c r="E101" s="593"/>
      <c r="F101" s="559"/>
      <c r="G101" s="559"/>
      <c r="H101" s="597"/>
      <c r="I101" s="614"/>
      <c r="J101" s="392"/>
    </row>
    <row r="102" spans="1:10" ht="12.75" hidden="1">
      <c r="A102" s="401"/>
      <c r="B102" s="604" t="str">
        <f t="shared" si="2"/>
        <v/>
      </c>
      <c r="C102" s="558"/>
      <c r="D102" s="605"/>
      <c r="E102" s="593"/>
      <c r="F102" s="559"/>
      <c r="G102" s="559"/>
      <c r="H102" s="597"/>
      <c r="I102" s="614"/>
      <c r="J102" s="392"/>
    </row>
    <row r="103" spans="1:10" ht="12.75" hidden="1">
      <c r="A103" s="401"/>
      <c r="B103" s="604" t="str">
        <f t="shared" si="2"/>
        <v/>
      </c>
      <c r="C103" s="558"/>
      <c r="D103" s="605"/>
      <c r="E103" s="593"/>
      <c r="F103" s="559"/>
      <c r="G103" s="559"/>
      <c r="H103" s="597"/>
      <c r="I103" s="614"/>
      <c r="J103" s="392"/>
    </row>
    <row r="104" spans="1:10" ht="12.75" hidden="1">
      <c r="A104" s="401"/>
      <c r="B104" s="604" t="str">
        <f t="shared" si="2"/>
        <v/>
      </c>
      <c r="C104" s="558"/>
      <c r="D104" s="605"/>
      <c r="E104" s="593"/>
      <c r="F104" s="559"/>
      <c r="G104" s="559"/>
      <c r="H104" s="597"/>
      <c r="I104" s="614"/>
      <c r="J104" s="392"/>
    </row>
    <row r="105" spans="1:10" ht="12.75" hidden="1">
      <c r="A105" s="401"/>
      <c r="B105" s="604" t="str">
        <f t="shared" si="2"/>
        <v/>
      </c>
      <c r="C105" s="558"/>
      <c r="D105" s="605"/>
      <c r="E105" s="593"/>
      <c r="F105" s="559"/>
      <c r="G105" s="559"/>
      <c r="H105" s="597"/>
      <c r="I105" s="614"/>
      <c r="J105" s="392"/>
    </row>
    <row r="106" spans="1:10" ht="12.75" hidden="1">
      <c r="A106" s="401"/>
      <c r="B106" s="604" t="str">
        <f t="shared" si="2"/>
        <v/>
      </c>
      <c r="C106" s="558"/>
      <c r="D106" s="605"/>
      <c r="E106" s="593"/>
      <c r="F106" s="559"/>
      <c r="G106" s="559"/>
      <c r="H106" s="597"/>
      <c r="I106" s="614"/>
      <c r="J106" s="392"/>
    </row>
    <row r="107" spans="1:10" ht="12.75" hidden="1">
      <c r="A107" s="401"/>
      <c r="B107" s="604" t="str">
        <f t="shared" si="2"/>
        <v/>
      </c>
      <c r="C107" s="558"/>
      <c r="D107" s="605"/>
      <c r="E107" s="593"/>
      <c r="F107" s="559"/>
      <c r="G107" s="559"/>
      <c r="H107" s="597"/>
      <c r="I107" s="614"/>
      <c r="J107" s="392"/>
    </row>
    <row r="108" spans="1:10" ht="12.75" hidden="1">
      <c r="A108" s="401"/>
      <c r="B108" s="604" t="str">
        <f t="shared" si="2"/>
        <v/>
      </c>
      <c r="C108" s="558"/>
      <c r="D108" s="605"/>
      <c r="E108" s="593"/>
      <c r="F108" s="559"/>
      <c r="G108" s="559"/>
      <c r="H108" s="597"/>
      <c r="I108" s="614"/>
      <c r="J108" s="392"/>
    </row>
    <row r="109" spans="1:10" ht="12.75" hidden="1">
      <c r="A109" s="401"/>
      <c r="B109" s="604" t="str">
        <f t="shared" si="2"/>
        <v/>
      </c>
      <c r="C109" s="558"/>
      <c r="D109" s="605"/>
      <c r="E109" s="593"/>
      <c r="F109" s="559"/>
      <c r="G109" s="559"/>
      <c r="H109" s="597"/>
      <c r="I109" s="614"/>
      <c r="J109" s="392"/>
    </row>
    <row r="110" spans="1:10" ht="12.75" hidden="1">
      <c r="A110" s="401"/>
      <c r="B110" s="604" t="str">
        <f t="shared" si="2"/>
        <v/>
      </c>
      <c r="C110" s="558"/>
      <c r="D110" s="605"/>
      <c r="E110" s="593"/>
      <c r="F110" s="559"/>
      <c r="G110" s="559"/>
      <c r="H110" s="597"/>
      <c r="I110" s="614"/>
      <c r="J110" s="392"/>
    </row>
    <row r="111" spans="1:10" ht="12.75" hidden="1">
      <c r="A111" s="401"/>
      <c r="B111" s="604" t="str">
        <f t="shared" si="2"/>
        <v/>
      </c>
      <c r="C111" s="558"/>
      <c r="D111" s="605"/>
      <c r="E111" s="593"/>
      <c r="F111" s="559"/>
      <c r="G111" s="559"/>
      <c r="H111" s="597"/>
      <c r="I111" s="614"/>
      <c r="J111" s="392"/>
    </row>
    <row r="112" spans="1:10" ht="12.75" hidden="1">
      <c r="A112" s="401"/>
      <c r="B112" s="604" t="str">
        <f t="shared" si="2"/>
        <v/>
      </c>
      <c r="C112" s="558"/>
      <c r="D112" s="605"/>
      <c r="E112" s="593"/>
      <c r="F112" s="559"/>
      <c r="G112" s="559"/>
      <c r="H112" s="597"/>
      <c r="I112" s="614"/>
      <c r="J112" s="392"/>
    </row>
    <row r="113" spans="1:10" ht="12.75" hidden="1">
      <c r="A113" s="401"/>
      <c r="B113" s="604" t="str">
        <f t="shared" si="2"/>
        <v/>
      </c>
      <c r="C113" s="558"/>
      <c r="D113" s="605"/>
      <c r="E113" s="593"/>
      <c r="F113" s="559"/>
      <c r="G113" s="559"/>
      <c r="H113" s="597"/>
      <c r="I113" s="614"/>
      <c r="J113" s="392"/>
    </row>
    <row r="114" spans="1:10" ht="12.75" hidden="1">
      <c r="A114" s="401"/>
      <c r="B114" s="604" t="str">
        <f t="shared" si="2"/>
        <v/>
      </c>
      <c r="C114" s="558"/>
      <c r="D114" s="605"/>
      <c r="E114" s="593"/>
      <c r="F114" s="559"/>
      <c r="G114" s="559"/>
      <c r="H114" s="597"/>
      <c r="I114" s="614"/>
      <c r="J114" s="392"/>
    </row>
    <row r="115" spans="1:10" ht="12.75" hidden="1">
      <c r="A115" s="401"/>
      <c r="B115" s="604" t="str">
        <f t="shared" si="2"/>
        <v/>
      </c>
      <c r="C115" s="558"/>
      <c r="D115" s="605"/>
      <c r="E115" s="593"/>
      <c r="F115" s="559"/>
      <c r="G115" s="559"/>
      <c r="H115" s="597"/>
      <c r="I115" s="614"/>
      <c r="J115" s="392"/>
    </row>
    <row r="116" spans="1:10" ht="12.75" hidden="1">
      <c r="A116" s="401"/>
      <c r="B116" s="604" t="str">
        <f t="shared" si="2"/>
        <v/>
      </c>
      <c r="C116" s="558"/>
      <c r="D116" s="605"/>
      <c r="E116" s="593"/>
      <c r="F116" s="559"/>
      <c r="G116" s="559"/>
      <c r="H116" s="597"/>
      <c r="I116" s="614"/>
      <c r="J116" s="392"/>
    </row>
    <row r="117" spans="1:10" ht="12.75" hidden="1">
      <c r="A117" s="401"/>
      <c r="B117" s="604" t="str">
        <f t="shared" si="2"/>
        <v/>
      </c>
      <c r="C117" s="558"/>
      <c r="D117" s="605"/>
      <c r="E117" s="593"/>
      <c r="F117" s="559"/>
      <c r="G117" s="559"/>
      <c r="H117" s="597"/>
      <c r="I117" s="614"/>
      <c r="J117" s="392"/>
    </row>
    <row r="118" spans="1:10" ht="12.75" hidden="1">
      <c r="A118" s="401"/>
      <c r="B118" s="604" t="str">
        <f t="shared" si="2"/>
        <v/>
      </c>
      <c r="C118" s="558"/>
      <c r="D118" s="605"/>
      <c r="E118" s="593"/>
      <c r="F118" s="559"/>
      <c r="G118" s="559"/>
      <c r="H118" s="597"/>
      <c r="I118" s="614"/>
      <c r="J118" s="392"/>
    </row>
    <row r="119" spans="1:10" ht="12.75" hidden="1">
      <c r="A119" s="401"/>
      <c r="B119" s="604" t="str">
        <f t="shared" si="2"/>
        <v/>
      </c>
      <c r="C119" s="558"/>
      <c r="D119" s="605"/>
      <c r="E119" s="593"/>
      <c r="F119" s="559"/>
      <c r="G119" s="559"/>
      <c r="H119" s="597"/>
      <c r="I119" s="614"/>
      <c r="J119" s="392"/>
    </row>
    <row r="120" spans="1:10" ht="12.75" hidden="1">
      <c r="A120" s="401"/>
      <c r="B120" s="604" t="str">
        <f t="shared" si="2"/>
        <v/>
      </c>
      <c r="C120" s="558"/>
      <c r="D120" s="605"/>
      <c r="E120" s="593"/>
      <c r="F120" s="559"/>
      <c r="G120" s="559"/>
      <c r="H120" s="597"/>
      <c r="I120" s="614"/>
      <c r="J120" s="392"/>
    </row>
    <row r="121" spans="1:10" ht="12.75" hidden="1">
      <c r="A121" s="401"/>
      <c r="B121" s="604" t="str">
        <f t="shared" si="2"/>
        <v/>
      </c>
      <c r="C121" s="558"/>
      <c r="D121" s="605"/>
      <c r="E121" s="593"/>
      <c r="F121" s="559"/>
      <c r="G121" s="559"/>
      <c r="H121" s="597"/>
      <c r="I121" s="614"/>
      <c r="J121" s="392"/>
    </row>
    <row r="122" spans="1:10" ht="12.75" hidden="1">
      <c r="A122" s="401"/>
      <c r="B122" s="604" t="str">
        <f t="shared" si="2"/>
        <v/>
      </c>
      <c r="C122" s="558"/>
      <c r="D122" s="605"/>
      <c r="E122" s="593"/>
      <c r="F122" s="559"/>
      <c r="G122" s="559"/>
      <c r="H122" s="597"/>
      <c r="I122" s="614"/>
      <c r="J122" s="392"/>
    </row>
    <row r="123" spans="1:10" ht="12.75" hidden="1">
      <c r="A123" s="401"/>
      <c r="B123" s="604" t="str">
        <f t="shared" si="2"/>
        <v/>
      </c>
      <c r="C123" s="558"/>
      <c r="D123" s="605"/>
      <c r="E123" s="593"/>
      <c r="F123" s="559"/>
      <c r="G123" s="559"/>
      <c r="H123" s="597"/>
      <c r="I123" s="614"/>
      <c r="J123" s="392"/>
    </row>
    <row r="124" spans="1:10" ht="12.75" hidden="1">
      <c r="A124" s="401"/>
      <c r="B124" s="604" t="str">
        <f t="shared" si="2"/>
        <v/>
      </c>
      <c r="C124" s="558"/>
      <c r="D124" s="605"/>
      <c r="E124" s="593"/>
      <c r="F124" s="559"/>
      <c r="G124" s="559"/>
      <c r="H124" s="597"/>
      <c r="I124" s="614"/>
      <c r="J124" s="392"/>
    </row>
    <row r="125" spans="1:10" ht="12.75" hidden="1">
      <c r="A125" s="401"/>
      <c r="B125" s="604" t="str">
        <f t="shared" si="2"/>
        <v/>
      </c>
      <c r="C125" s="558"/>
      <c r="D125" s="605"/>
      <c r="E125" s="593"/>
      <c r="F125" s="559"/>
      <c r="G125" s="559"/>
      <c r="H125" s="597"/>
      <c r="I125" s="614"/>
      <c r="J125" s="392"/>
    </row>
    <row r="126" spans="1:10" ht="12.75" hidden="1">
      <c r="A126" s="401"/>
      <c r="B126" s="604" t="str">
        <f t="shared" si="2"/>
        <v/>
      </c>
      <c r="C126" s="558"/>
      <c r="D126" s="605"/>
      <c r="E126" s="593"/>
      <c r="F126" s="559"/>
      <c r="G126" s="559"/>
      <c r="H126" s="597"/>
      <c r="I126" s="614"/>
      <c r="J126" s="392"/>
    </row>
    <row r="127" spans="1:10" ht="12.75" hidden="1">
      <c r="A127" s="401"/>
      <c r="B127" s="604" t="str">
        <f t="shared" si="2"/>
        <v/>
      </c>
      <c r="C127" s="558"/>
      <c r="D127" s="605"/>
      <c r="E127" s="593"/>
      <c r="F127" s="559"/>
      <c r="G127" s="559"/>
      <c r="H127" s="597"/>
      <c r="I127" s="614"/>
      <c r="J127" s="392"/>
    </row>
    <row r="128" spans="1:10" ht="12.75" hidden="1">
      <c r="A128" s="401"/>
      <c r="B128" s="604" t="str">
        <f t="shared" si="2"/>
        <v/>
      </c>
      <c r="C128" s="558"/>
      <c r="D128" s="605"/>
      <c r="E128" s="593"/>
      <c r="F128" s="559"/>
      <c r="G128" s="559"/>
      <c r="H128" s="597"/>
      <c r="I128" s="614"/>
      <c r="J128" s="392"/>
    </row>
    <row r="129" spans="1:10" ht="12.75" hidden="1">
      <c r="A129" s="401"/>
      <c r="B129" s="604" t="str">
        <f t="shared" si="2"/>
        <v/>
      </c>
      <c r="C129" s="558"/>
      <c r="D129" s="605"/>
      <c r="E129" s="593"/>
      <c r="F129" s="559"/>
      <c r="G129" s="559"/>
      <c r="H129" s="597"/>
      <c r="I129" s="614"/>
      <c r="J129" s="392"/>
    </row>
    <row r="130" spans="1:10" ht="12.75" hidden="1">
      <c r="A130" s="401"/>
      <c r="B130" s="604" t="str">
        <f t="shared" si="2"/>
        <v/>
      </c>
      <c r="C130" s="558"/>
      <c r="D130" s="605"/>
      <c r="E130" s="593"/>
      <c r="F130" s="559"/>
      <c r="G130" s="559"/>
      <c r="H130" s="597"/>
      <c r="I130" s="614"/>
      <c r="J130" s="392"/>
    </row>
    <row r="131" spans="1:10" ht="12.75" hidden="1">
      <c r="A131" s="401"/>
      <c r="B131" s="604" t="str">
        <f t="shared" si="2"/>
        <v/>
      </c>
      <c r="C131" s="558"/>
      <c r="D131" s="605"/>
      <c r="E131" s="593"/>
      <c r="F131" s="559"/>
      <c r="G131" s="559"/>
      <c r="H131" s="597"/>
      <c r="I131" s="614"/>
      <c r="J131" s="392"/>
    </row>
    <row r="132" spans="1:10" ht="12.75" hidden="1">
      <c r="A132" s="401"/>
      <c r="B132" s="604" t="str">
        <f t="shared" si="2"/>
        <v/>
      </c>
      <c r="C132" s="558"/>
      <c r="D132" s="605"/>
      <c r="E132" s="593"/>
      <c r="F132" s="559"/>
      <c r="G132" s="559"/>
      <c r="H132" s="597"/>
      <c r="I132" s="614"/>
      <c r="J132" s="392"/>
    </row>
    <row r="133" spans="1:10" ht="12.75" hidden="1">
      <c r="A133" s="401"/>
      <c r="B133" s="604" t="str">
        <f t="shared" si="2"/>
        <v/>
      </c>
      <c r="C133" s="558"/>
      <c r="D133" s="605"/>
      <c r="E133" s="593"/>
      <c r="F133" s="559"/>
      <c r="G133" s="559"/>
      <c r="H133" s="597"/>
      <c r="I133" s="614"/>
      <c r="J133" s="392"/>
    </row>
    <row r="134" spans="1:10" ht="12.75" hidden="1">
      <c r="A134" s="401"/>
      <c r="B134" s="604" t="str">
        <f t="shared" si="2"/>
        <v/>
      </c>
      <c r="C134" s="558"/>
      <c r="D134" s="605"/>
      <c r="E134" s="593"/>
      <c r="F134" s="559"/>
      <c r="G134" s="559"/>
      <c r="H134" s="597"/>
      <c r="I134" s="614"/>
      <c r="J134" s="392"/>
    </row>
    <row r="135" spans="1:10" ht="12.75" hidden="1">
      <c r="A135" s="401"/>
      <c r="B135" s="604" t="str">
        <f t="shared" si="2"/>
        <v/>
      </c>
      <c r="C135" s="558"/>
      <c r="D135" s="605"/>
      <c r="E135" s="593"/>
      <c r="F135" s="559"/>
      <c r="G135" s="559"/>
      <c r="H135" s="597"/>
      <c r="I135" s="614"/>
      <c r="J135" s="392"/>
    </row>
    <row r="136" spans="1:10" ht="12.75" hidden="1">
      <c r="A136" s="401"/>
      <c r="B136" s="604" t="str">
        <f t="shared" si="2"/>
        <v/>
      </c>
      <c r="C136" s="558"/>
      <c r="D136" s="605"/>
      <c r="E136" s="593"/>
      <c r="F136" s="559"/>
      <c r="G136" s="559"/>
      <c r="H136" s="597"/>
      <c r="I136" s="614"/>
      <c r="J136" s="392"/>
    </row>
    <row r="137" spans="1:10" ht="12.75" hidden="1">
      <c r="A137" s="401"/>
      <c r="B137" s="604" t="str">
        <f t="shared" si="2"/>
        <v/>
      </c>
      <c r="C137" s="558"/>
      <c r="D137" s="605"/>
      <c r="E137" s="593"/>
      <c r="F137" s="559"/>
      <c r="G137" s="559"/>
      <c r="H137" s="597"/>
      <c r="I137" s="614"/>
      <c r="J137" s="392"/>
    </row>
    <row r="138" spans="1:10" ht="12.75" hidden="1">
      <c r="A138" s="401"/>
      <c r="B138" s="604" t="str">
        <f t="shared" ref="B138:B201" si="3">IF(C138="","",B137+1)</f>
        <v/>
      </c>
      <c r="C138" s="558"/>
      <c r="D138" s="605"/>
      <c r="E138" s="593"/>
      <c r="F138" s="559"/>
      <c r="G138" s="559"/>
      <c r="H138" s="597"/>
      <c r="I138" s="614"/>
      <c r="J138" s="392"/>
    </row>
    <row r="139" spans="1:10" ht="12.75" hidden="1">
      <c r="A139" s="401"/>
      <c r="B139" s="604" t="str">
        <f t="shared" si="3"/>
        <v/>
      </c>
      <c r="C139" s="558"/>
      <c r="D139" s="605"/>
      <c r="E139" s="593"/>
      <c r="F139" s="559"/>
      <c r="G139" s="559"/>
      <c r="H139" s="597"/>
      <c r="I139" s="614"/>
      <c r="J139" s="392"/>
    </row>
    <row r="140" spans="1:10" ht="12.75" hidden="1">
      <c r="A140" s="401"/>
      <c r="B140" s="604" t="str">
        <f t="shared" si="3"/>
        <v/>
      </c>
      <c r="C140" s="558"/>
      <c r="D140" s="605"/>
      <c r="E140" s="593"/>
      <c r="F140" s="559"/>
      <c r="G140" s="559"/>
      <c r="H140" s="597"/>
      <c r="I140" s="614"/>
      <c r="J140" s="392"/>
    </row>
    <row r="141" spans="1:10" ht="12.75" hidden="1">
      <c r="A141" s="401"/>
      <c r="B141" s="604" t="str">
        <f t="shared" si="3"/>
        <v/>
      </c>
      <c r="C141" s="558"/>
      <c r="D141" s="605"/>
      <c r="E141" s="593"/>
      <c r="F141" s="559"/>
      <c r="G141" s="559"/>
      <c r="H141" s="597"/>
      <c r="I141" s="614"/>
      <c r="J141" s="392"/>
    </row>
    <row r="142" spans="1:10" ht="12.75" hidden="1">
      <c r="A142" s="401"/>
      <c r="B142" s="604" t="str">
        <f t="shared" si="3"/>
        <v/>
      </c>
      <c r="C142" s="558"/>
      <c r="D142" s="605"/>
      <c r="E142" s="593"/>
      <c r="F142" s="559"/>
      <c r="G142" s="559"/>
      <c r="H142" s="597"/>
      <c r="I142" s="614"/>
      <c r="J142" s="392"/>
    </row>
    <row r="143" spans="1:10" ht="12.75" hidden="1">
      <c r="A143" s="401"/>
      <c r="B143" s="604" t="str">
        <f t="shared" si="3"/>
        <v/>
      </c>
      <c r="C143" s="558"/>
      <c r="D143" s="605"/>
      <c r="E143" s="593"/>
      <c r="F143" s="559"/>
      <c r="G143" s="559"/>
      <c r="H143" s="597"/>
      <c r="I143" s="614"/>
      <c r="J143" s="392"/>
    </row>
    <row r="144" spans="1:10" ht="12.75" hidden="1">
      <c r="A144" s="401"/>
      <c r="B144" s="604" t="str">
        <f t="shared" si="3"/>
        <v/>
      </c>
      <c r="C144" s="558"/>
      <c r="D144" s="605"/>
      <c r="E144" s="593"/>
      <c r="F144" s="559"/>
      <c r="G144" s="559"/>
      <c r="H144" s="597"/>
      <c r="I144" s="614"/>
      <c r="J144" s="392"/>
    </row>
    <row r="145" spans="1:10" ht="12.75" hidden="1">
      <c r="A145" s="401"/>
      <c r="B145" s="604" t="str">
        <f t="shared" si="3"/>
        <v/>
      </c>
      <c r="C145" s="558"/>
      <c r="D145" s="605"/>
      <c r="E145" s="593"/>
      <c r="F145" s="559"/>
      <c r="G145" s="559"/>
      <c r="H145" s="597"/>
      <c r="I145" s="614"/>
      <c r="J145" s="392"/>
    </row>
    <row r="146" spans="1:10" ht="12.75" hidden="1">
      <c r="A146" s="401"/>
      <c r="B146" s="604" t="str">
        <f t="shared" si="3"/>
        <v/>
      </c>
      <c r="C146" s="558"/>
      <c r="D146" s="605"/>
      <c r="E146" s="593"/>
      <c r="F146" s="559"/>
      <c r="G146" s="559"/>
      <c r="H146" s="597"/>
      <c r="I146" s="614"/>
      <c r="J146" s="392"/>
    </row>
    <row r="147" spans="1:10" ht="12.75" hidden="1">
      <c r="A147" s="401"/>
      <c r="B147" s="604" t="str">
        <f t="shared" si="3"/>
        <v/>
      </c>
      <c r="C147" s="558"/>
      <c r="D147" s="605"/>
      <c r="E147" s="593"/>
      <c r="F147" s="559"/>
      <c r="G147" s="559"/>
      <c r="H147" s="597"/>
      <c r="I147" s="614"/>
      <c r="J147" s="392"/>
    </row>
    <row r="148" spans="1:10" ht="12.75" hidden="1">
      <c r="A148" s="401"/>
      <c r="B148" s="604" t="str">
        <f t="shared" si="3"/>
        <v/>
      </c>
      <c r="C148" s="558"/>
      <c r="D148" s="605"/>
      <c r="E148" s="593"/>
      <c r="F148" s="559"/>
      <c r="G148" s="559"/>
      <c r="H148" s="597"/>
      <c r="I148" s="614"/>
      <c r="J148" s="392"/>
    </row>
    <row r="149" spans="1:10" ht="12.75" hidden="1">
      <c r="A149" s="401"/>
      <c r="B149" s="604" t="str">
        <f t="shared" si="3"/>
        <v/>
      </c>
      <c r="C149" s="558"/>
      <c r="D149" s="605"/>
      <c r="E149" s="593"/>
      <c r="F149" s="559"/>
      <c r="G149" s="559"/>
      <c r="H149" s="597"/>
      <c r="I149" s="614"/>
      <c r="J149" s="392"/>
    </row>
    <row r="150" spans="1:10" ht="12.75" hidden="1">
      <c r="A150" s="401"/>
      <c r="B150" s="604" t="str">
        <f t="shared" si="3"/>
        <v/>
      </c>
      <c r="C150" s="558"/>
      <c r="D150" s="605"/>
      <c r="E150" s="593"/>
      <c r="F150" s="559"/>
      <c r="G150" s="559"/>
      <c r="H150" s="597"/>
      <c r="I150" s="614"/>
      <c r="J150" s="392"/>
    </row>
    <row r="151" spans="1:10" ht="12.75" hidden="1">
      <c r="A151" s="401"/>
      <c r="B151" s="604" t="str">
        <f t="shared" si="3"/>
        <v/>
      </c>
      <c r="C151" s="558"/>
      <c r="D151" s="605"/>
      <c r="E151" s="593"/>
      <c r="F151" s="559"/>
      <c r="G151" s="559"/>
      <c r="H151" s="597"/>
      <c r="I151" s="614"/>
      <c r="J151" s="392"/>
    </row>
    <row r="152" spans="1:10" ht="12.75" hidden="1">
      <c r="A152" s="401"/>
      <c r="B152" s="604" t="str">
        <f t="shared" si="3"/>
        <v/>
      </c>
      <c r="C152" s="558"/>
      <c r="D152" s="605"/>
      <c r="E152" s="593"/>
      <c r="F152" s="559"/>
      <c r="G152" s="559"/>
      <c r="H152" s="597"/>
      <c r="I152" s="614"/>
      <c r="J152" s="392"/>
    </row>
    <row r="153" spans="1:10" ht="12.75" hidden="1">
      <c r="A153" s="401"/>
      <c r="B153" s="604" t="str">
        <f t="shared" si="3"/>
        <v/>
      </c>
      <c r="C153" s="558"/>
      <c r="D153" s="605"/>
      <c r="E153" s="593"/>
      <c r="F153" s="559"/>
      <c r="G153" s="559"/>
      <c r="H153" s="597"/>
      <c r="I153" s="614"/>
      <c r="J153" s="392"/>
    </row>
    <row r="154" spans="1:10" ht="12.75" hidden="1">
      <c r="A154" s="401"/>
      <c r="B154" s="604" t="str">
        <f t="shared" si="3"/>
        <v/>
      </c>
      <c r="C154" s="558"/>
      <c r="D154" s="605"/>
      <c r="E154" s="593"/>
      <c r="F154" s="559"/>
      <c r="G154" s="559"/>
      <c r="H154" s="597"/>
      <c r="I154" s="614"/>
      <c r="J154" s="392"/>
    </row>
    <row r="155" spans="1:10" ht="12.75" hidden="1">
      <c r="A155" s="401"/>
      <c r="B155" s="604" t="str">
        <f t="shared" si="3"/>
        <v/>
      </c>
      <c r="C155" s="558"/>
      <c r="D155" s="605"/>
      <c r="E155" s="593"/>
      <c r="F155" s="559"/>
      <c r="G155" s="559"/>
      <c r="H155" s="597"/>
      <c r="I155" s="614"/>
      <c r="J155" s="392"/>
    </row>
    <row r="156" spans="1:10" ht="12.75" hidden="1">
      <c r="A156" s="401"/>
      <c r="B156" s="604" t="str">
        <f t="shared" si="3"/>
        <v/>
      </c>
      <c r="C156" s="558"/>
      <c r="D156" s="605"/>
      <c r="E156" s="593"/>
      <c r="F156" s="559"/>
      <c r="G156" s="559"/>
      <c r="H156" s="597"/>
      <c r="I156" s="614"/>
      <c r="J156" s="392"/>
    </row>
    <row r="157" spans="1:10" ht="12.75" hidden="1">
      <c r="A157" s="401"/>
      <c r="B157" s="604" t="str">
        <f t="shared" si="3"/>
        <v/>
      </c>
      <c r="C157" s="558"/>
      <c r="D157" s="605"/>
      <c r="E157" s="593"/>
      <c r="F157" s="559"/>
      <c r="G157" s="559"/>
      <c r="H157" s="597"/>
      <c r="I157" s="614"/>
      <c r="J157" s="392"/>
    </row>
    <row r="158" spans="1:10" ht="12.75" hidden="1">
      <c r="A158" s="401"/>
      <c r="B158" s="604" t="str">
        <f t="shared" si="3"/>
        <v/>
      </c>
      <c r="C158" s="558"/>
      <c r="D158" s="605"/>
      <c r="E158" s="593"/>
      <c r="F158" s="559"/>
      <c r="G158" s="559"/>
      <c r="H158" s="597"/>
      <c r="I158" s="614"/>
      <c r="J158" s="392"/>
    </row>
    <row r="159" spans="1:10" ht="12.75" hidden="1">
      <c r="A159" s="401"/>
      <c r="B159" s="604" t="str">
        <f t="shared" si="3"/>
        <v/>
      </c>
      <c r="C159" s="558"/>
      <c r="D159" s="605"/>
      <c r="E159" s="593"/>
      <c r="F159" s="559"/>
      <c r="G159" s="559"/>
      <c r="H159" s="597"/>
      <c r="I159" s="614"/>
      <c r="J159" s="392"/>
    </row>
    <row r="160" spans="1:10" ht="12.75" hidden="1">
      <c r="A160" s="401"/>
      <c r="B160" s="604" t="str">
        <f t="shared" si="3"/>
        <v/>
      </c>
      <c r="C160" s="558"/>
      <c r="D160" s="605"/>
      <c r="E160" s="593"/>
      <c r="F160" s="559"/>
      <c r="G160" s="559"/>
      <c r="H160" s="597"/>
      <c r="I160" s="614"/>
      <c r="J160" s="392"/>
    </row>
    <row r="161" spans="1:10" ht="12.75" hidden="1">
      <c r="A161" s="401"/>
      <c r="B161" s="604" t="str">
        <f t="shared" si="3"/>
        <v/>
      </c>
      <c r="C161" s="558"/>
      <c r="D161" s="605"/>
      <c r="E161" s="593"/>
      <c r="F161" s="559"/>
      <c r="G161" s="559"/>
      <c r="H161" s="597"/>
      <c r="I161" s="614"/>
      <c r="J161" s="392"/>
    </row>
    <row r="162" spans="1:10" ht="12.75" hidden="1">
      <c r="A162" s="401"/>
      <c r="B162" s="604" t="str">
        <f t="shared" si="3"/>
        <v/>
      </c>
      <c r="C162" s="558"/>
      <c r="D162" s="605"/>
      <c r="E162" s="593"/>
      <c r="F162" s="559"/>
      <c r="G162" s="559"/>
      <c r="H162" s="597"/>
      <c r="I162" s="614"/>
      <c r="J162" s="392"/>
    </row>
    <row r="163" spans="1:10" ht="12.75" hidden="1">
      <c r="A163" s="401"/>
      <c r="B163" s="604" t="str">
        <f t="shared" si="3"/>
        <v/>
      </c>
      <c r="C163" s="558"/>
      <c r="D163" s="605"/>
      <c r="E163" s="593"/>
      <c r="F163" s="559"/>
      <c r="G163" s="559"/>
      <c r="H163" s="597"/>
      <c r="I163" s="614"/>
      <c r="J163" s="392"/>
    </row>
    <row r="164" spans="1:10" ht="12.75" hidden="1">
      <c r="A164" s="401"/>
      <c r="B164" s="604" t="str">
        <f t="shared" si="3"/>
        <v/>
      </c>
      <c r="C164" s="558"/>
      <c r="D164" s="605"/>
      <c r="E164" s="593"/>
      <c r="F164" s="559"/>
      <c r="G164" s="559"/>
      <c r="H164" s="597"/>
      <c r="I164" s="614"/>
      <c r="J164" s="392"/>
    </row>
    <row r="165" spans="1:10" ht="12.75" hidden="1">
      <c r="A165" s="401"/>
      <c r="B165" s="604" t="str">
        <f t="shared" si="3"/>
        <v/>
      </c>
      <c r="C165" s="558"/>
      <c r="D165" s="605"/>
      <c r="E165" s="593"/>
      <c r="F165" s="559"/>
      <c r="G165" s="559"/>
      <c r="H165" s="597"/>
      <c r="I165" s="614"/>
      <c r="J165" s="392"/>
    </row>
    <row r="166" spans="1:10" ht="12.75" hidden="1">
      <c r="A166" s="401"/>
      <c r="B166" s="604" t="str">
        <f t="shared" si="3"/>
        <v/>
      </c>
      <c r="C166" s="558"/>
      <c r="D166" s="605"/>
      <c r="E166" s="593"/>
      <c r="F166" s="559"/>
      <c r="G166" s="559"/>
      <c r="H166" s="597"/>
      <c r="I166" s="614"/>
      <c r="J166" s="392"/>
    </row>
    <row r="167" spans="1:10" ht="12.75" hidden="1">
      <c r="A167" s="401"/>
      <c r="B167" s="604" t="str">
        <f t="shared" si="3"/>
        <v/>
      </c>
      <c r="C167" s="558"/>
      <c r="D167" s="605"/>
      <c r="E167" s="593"/>
      <c r="F167" s="559"/>
      <c r="G167" s="559"/>
      <c r="H167" s="597"/>
      <c r="I167" s="614"/>
      <c r="J167" s="392"/>
    </row>
    <row r="168" spans="1:10" ht="12.75" hidden="1">
      <c r="A168" s="401"/>
      <c r="B168" s="604" t="str">
        <f t="shared" si="3"/>
        <v/>
      </c>
      <c r="C168" s="558"/>
      <c r="D168" s="605"/>
      <c r="E168" s="593"/>
      <c r="F168" s="559"/>
      <c r="G168" s="559"/>
      <c r="H168" s="597"/>
      <c r="I168" s="614"/>
      <c r="J168" s="392"/>
    </row>
    <row r="169" spans="1:10" ht="12.75" hidden="1">
      <c r="A169" s="401"/>
      <c r="B169" s="604" t="str">
        <f t="shared" si="3"/>
        <v/>
      </c>
      <c r="C169" s="558"/>
      <c r="D169" s="605"/>
      <c r="E169" s="593"/>
      <c r="F169" s="559"/>
      <c r="G169" s="559"/>
      <c r="H169" s="597"/>
      <c r="I169" s="614"/>
      <c r="J169" s="392"/>
    </row>
    <row r="170" spans="1:10" ht="12.75" hidden="1">
      <c r="A170" s="401"/>
      <c r="B170" s="604" t="str">
        <f t="shared" si="3"/>
        <v/>
      </c>
      <c r="C170" s="558"/>
      <c r="D170" s="605"/>
      <c r="E170" s="593"/>
      <c r="F170" s="559"/>
      <c r="G170" s="559"/>
      <c r="H170" s="597"/>
      <c r="I170" s="614"/>
      <c r="J170" s="392"/>
    </row>
    <row r="171" spans="1:10" ht="12.75" hidden="1">
      <c r="A171" s="401"/>
      <c r="B171" s="604" t="str">
        <f t="shared" si="3"/>
        <v/>
      </c>
      <c r="C171" s="558"/>
      <c r="D171" s="605"/>
      <c r="E171" s="593"/>
      <c r="F171" s="559"/>
      <c r="G171" s="559"/>
      <c r="H171" s="597"/>
      <c r="I171" s="614"/>
      <c r="J171" s="392"/>
    </row>
    <row r="172" spans="1:10" ht="12.75" hidden="1">
      <c r="A172" s="401"/>
      <c r="B172" s="604" t="str">
        <f t="shared" si="3"/>
        <v/>
      </c>
      <c r="C172" s="558"/>
      <c r="D172" s="605"/>
      <c r="E172" s="593"/>
      <c r="F172" s="559"/>
      <c r="G172" s="559"/>
      <c r="H172" s="597"/>
      <c r="I172" s="614"/>
      <c r="J172" s="392"/>
    </row>
    <row r="173" spans="1:10" ht="12.75" hidden="1">
      <c r="A173" s="401"/>
      <c r="B173" s="604" t="str">
        <f t="shared" si="3"/>
        <v/>
      </c>
      <c r="C173" s="558"/>
      <c r="D173" s="605"/>
      <c r="E173" s="593"/>
      <c r="F173" s="559"/>
      <c r="G173" s="559"/>
      <c r="H173" s="597"/>
      <c r="I173" s="614"/>
      <c r="J173" s="392"/>
    </row>
    <row r="174" spans="1:10" ht="12.75" hidden="1">
      <c r="A174" s="401"/>
      <c r="B174" s="604" t="str">
        <f t="shared" si="3"/>
        <v/>
      </c>
      <c r="C174" s="558"/>
      <c r="D174" s="605"/>
      <c r="E174" s="593"/>
      <c r="F174" s="559"/>
      <c r="G174" s="559"/>
      <c r="H174" s="597"/>
      <c r="I174" s="614"/>
      <c r="J174" s="392"/>
    </row>
    <row r="175" spans="1:10" ht="12.75" hidden="1">
      <c r="A175" s="401"/>
      <c r="B175" s="604" t="str">
        <f t="shared" si="3"/>
        <v/>
      </c>
      <c r="C175" s="558"/>
      <c r="D175" s="605"/>
      <c r="E175" s="593"/>
      <c r="F175" s="559"/>
      <c r="G175" s="559"/>
      <c r="H175" s="597"/>
      <c r="I175" s="614"/>
      <c r="J175" s="392"/>
    </row>
    <row r="176" spans="1:10" ht="12.75" hidden="1">
      <c r="A176" s="401"/>
      <c r="B176" s="604" t="str">
        <f t="shared" si="3"/>
        <v/>
      </c>
      <c r="C176" s="558"/>
      <c r="D176" s="605"/>
      <c r="E176" s="593"/>
      <c r="F176" s="559"/>
      <c r="G176" s="559"/>
      <c r="H176" s="597"/>
      <c r="I176" s="614"/>
      <c r="J176" s="392"/>
    </row>
    <row r="177" spans="1:10" ht="12.75" hidden="1">
      <c r="A177" s="401"/>
      <c r="B177" s="604" t="str">
        <f t="shared" si="3"/>
        <v/>
      </c>
      <c r="C177" s="558"/>
      <c r="D177" s="605"/>
      <c r="E177" s="593"/>
      <c r="F177" s="559"/>
      <c r="G177" s="559"/>
      <c r="H177" s="597"/>
      <c r="I177" s="614"/>
      <c r="J177" s="392"/>
    </row>
    <row r="178" spans="1:10" ht="12.75" hidden="1">
      <c r="A178" s="401"/>
      <c r="B178" s="604" t="str">
        <f t="shared" si="3"/>
        <v/>
      </c>
      <c r="C178" s="558"/>
      <c r="D178" s="605"/>
      <c r="E178" s="593"/>
      <c r="F178" s="559"/>
      <c r="G178" s="559"/>
      <c r="H178" s="597"/>
      <c r="I178" s="614"/>
      <c r="J178" s="392"/>
    </row>
    <row r="179" spans="1:10" ht="12.75" hidden="1">
      <c r="A179" s="401"/>
      <c r="B179" s="604" t="str">
        <f t="shared" si="3"/>
        <v/>
      </c>
      <c r="C179" s="558"/>
      <c r="D179" s="605"/>
      <c r="E179" s="593"/>
      <c r="F179" s="559"/>
      <c r="G179" s="559"/>
      <c r="H179" s="597"/>
      <c r="I179" s="614"/>
      <c r="J179" s="392"/>
    </row>
    <row r="180" spans="1:10" ht="12.75" hidden="1">
      <c r="A180" s="401"/>
      <c r="B180" s="604" t="str">
        <f t="shared" si="3"/>
        <v/>
      </c>
      <c r="C180" s="558"/>
      <c r="D180" s="605"/>
      <c r="E180" s="593"/>
      <c r="F180" s="559"/>
      <c r="G180" s="559"/>
      <c r="H180" s="597"/>
      <c r="I180" s="614"/>
      <c r="J180" s="392"/>
    </row>
    <row r="181" spans="1:10" ht="12.75" hidden="1">
      <c r="A181" s="401"/>
      <c r="B181" s="604" t="str">
        <f t="shared" si="3"/>
        <v/>
      </c>
      <c r="C181" s="558"/>
      <c r="D181" s="605"/>
      <c r="E181" s="593"/>
      <c r="F181" s="559"/>
      <c r="G181" s="559"/>
      <c r="H181" s="597"/>
      <c r="I181" s="614"/>
      <c r="J181" s="392"/>
    </row>
    <row r="182" spans="1:10" ht="12.75" hidden="1">
      <c r="A182" s="401"/>
      <c r="B182" s="604" t="str">
        <f t="shared" si="3"/>
        <v/>
      </c>
      <c r="C182" s="558"/>
      <c r="D182" s="605"/>
      <c r="E182" s="593"/>
      <c r="F182" s="559"/>
      <c r="G182" s="559"/>
      <c r="H182" s="597"/>
      <c r="I182" s="614"/>
      <c r="J182" s="392"/>
    </row>
    <row r="183" spans="1:10" ht="12.75" hidden="1">
      <c r="A183" s="401"/>
      <c r="B183" s="604" t="str">
        <f t="shared" si="3"/>
        <v/>
      </c>
      <c r="C183" s="558"/>
      <c r="D183" s="605"/>
      <c r="E183" s="593"/>
      <c r="F183" s="559"/>
      <c r="G183" s="559"/>
      <c r="H183" s="597"/>
      <c r="I183" s="614"/>
      <c r="J183" s="392"/>
    </row>
    <row r="184" spans="1:10" ht="12.75" hidden="1">
      <c r="A184" s="401"/>
      <c r="B184" s="604" t="str">
        <f t="shared" si="3"/>
        <v/>
      </c>
      <c r="C184" s="558"/>
      <c r="D184" s="605"/>
      <c r="E184" s="593"/>
      <c r="F184" s="559"/>
      <c r="G184" s="559"/>
      <c r="H184" s="597"/>
      <c r="I184" s="614"/>
      <c r="J184" s="392"/>
    </row>
    <row r="185" spans="1:10" ht="12.75" hidden="1">
      <c r="A185" s="401"/>
      <c r="B185" s="604" t="str">
        <f t="shared" si="3"/>
        <v/>
      </c>
      <c r="C185" s="558"/>
      <c r="D185" s="605"/>
      <c r="E185" s="593"/>
      <c r="F185" s="559"/>
      <c r="G185" s="559"/>
      <c r="H185" s="597"/>
      <c r="I185" s="614"/>
      <c r="J185" s="392"/>
    </row>
    <row r="186" spans="1:10" ht="12.75" hidden="1">
      <c r="A186" s="401"/>
      <c r="B186" s="604" t="str">
        <f t="shared" si="3"/>
        <v/>
      </c>
      <c r="C186" s="558"/>
      <c r="D186" s="605"/>
      <c r="E186" s="593"/>
      <c r="F186" s="559"/>
      <c r="G186" s="559"/>
      <c r="H186" s="597"/>
      <c r="I186" s="614"/>
      <c r="J186" s="392"/>
    </row>
    <row r="187" spans="1:10" ht="12.75" hidden="1">
      <c r="A187" s="401"/>
      <c r="B187" s="604" t="str">
        <f t="shared" si="3"/>
        <v/>
      </c>
      <c r="C187" s="558"/>
      <c r="D187" s="605"/>
      <c r="E187" s="593"/>
      <c r="F187" s="559"/>
      <c r="G187" s="559"/>
      <c r="H187" s="597"/>
      <c r="I187" s="614"/>
      <c r="J187" s="392"/>
    </row>
    <row r="188" spans="1:10" ht="12.75" hidden="1">
      <c r="A188" s="401"/>
      <c r="B188" s="604" t="str">
        <f t="shared" si="3"/>
        <v/>
      </c>
      <c r="C188" s="558"/>
      <c r="D188" s="605"/>
      <c r="E188" s="593"/>
      <c r="F188" s="559"/>
      <c r="G188" s="559"/>
      <c r="H188" s="597"/>
      <c r="I188" s="614"/>
      <c r="J188" s="392"/>
    </row>
    <row r="189" spans="1:10" ht="12.75" hidden="1">
      <c r="A189" s="401"/>
      <c r="B189" s="604" t="str">
        <f t="shared" si="3"/>
        <v/>
      </c>
      <c r="C189" s="558"/>
      <c r="D189" s="605"/>
      <c r="E189" s="593"/>
      <c r="F189" s="559"/>
      <c r="G189" s="559"/>
      <c r="H189" s="597"/>
      <c r="I189" s="614"/>
      <c r="J189" s="392"/>
    </row>
    <row r="190" spans="1:10" ht="12.75" hidden="1">
      <c r="A190" s="401"/>
      <c r="B190" s="604" t="str">
        <f t="shared" si="3"/>
        <v/>
      </c>
      <c r="C190" s="558"/>
      <c r="D190" s="605"/>
      <c r="E190" s="593"/>
      <c r="F190" s="559"/>
      <c r="G190" s="559"/>
      <c r="H190" s="597"/>
      <c r="I190" s="614"/>
      <c r="J190" s="392"/>
    </row>
    <row r="191" spans="1:10" ht="12.75" hidden="1">
      <c r="A191" s="401"/>
      <c r="B191" s="604" t="str">
        <f t="shared" si="3"/>
        <v/>
      </c>
      <c r="C191" s="558"/>
      <c r="D191" s="605"/>
      <c r="E191" s="593"/>
      <c r="F191" s="559"/>
      <c r="G191" s="559"/>
      <c r="H191" s="597"/>
      <c r="I191" s="614"/>
      <c r="J191" s="392"/>
    </row>
    <row r="192" spans="1:10" ht="12.75" hidden="1">
      <c r="A192" s="401"/>
      <c r="B192" s="604" t="str">
        <f t="shared" si="3"/>
        <v/>
      </c>
      <c r="C192" s="558"/>
      <c r="D192" s="605"/>
      <c r="E192" s="593"/>
      <c r="F192" s="559"/>
      <c r="G192" s="559"/>
      <c r="H192" s="597"/>
      <c r="I192" s="614"/>
      <c r="J192" s="392"/>
    </row>
    <row r="193" spans="1:10" ht="12.75" hidden="1">
      <c r="A193" s="401"/>
      <c r="B193" s="604" t="str">
        <f t="shared" si="3"/>
        <v/>
      </c>
      <c r="C193" s="558"/>
      <c r="D193" s="605"/>
      <c r="E193" s="593"/>
      <c r="F193" s="559"/>
      <c r="G193" s="559"/>
      <c r="H193" s="597"/>
      <c r="I193" s="614"/>
      <c r="J193" s="392"/>
    </row>
    <row r="194" spans="1:10" ht="12.75" hidden="1">
      <c r="A194" s="401"/>
      <c r="B194" s="604" t="str">
        <f t="shared" si="3"/>
        <v/>
      </c>
      <c r="C194" s="558"/>
      <c r="D194" s="605"/>
      <c r="E194" s="593"/>
      <c r="F194" s="559"/>
      <c r="G194" s="559"/>
      <c r="H194" s="597"/>
      <c r="I194" s="614"/>
      <c r="J194" s="392"/>
    </row>
    <row r="195" spans="1:10" ht="12.75" hidden="1">
      <c r="A195" s="401"/>
      <c r="B195" s="604" t="str">
        <f t="shared" si="3"/>
        <v/>
      </c>
      <c r="C195" s="558"/>
      <c r="D195" s="605"/>
      <c r="E195" s="593"/>
      <c r="F195" s="559"/>
      <c r="G195" s="559"/>
      <c r="H195" s="597"/>
      <c r="I195" s="614"/>
      <c r="J195" s="392"/>
    </row>
    <row r="196" spans="1:10" ht="12.75" hidden="1">
      <c r="A196" s="401"/>
      <c r="B196" s="604" t="str">
        <f t="shared" si="3"/>
        <v/>
      </c>
      <c r="C196" s="558"/>
      <c r="D196" s="605"/>
      <c r="E196" s="593"/>
      <c r="F196" s="559"/>
      <c r="G196" s="559"/>
      <c r="H196" s="597"/>
      <c r="I196" s="614"/>
      <c r="J196" s="392"/>
    </row>
    <row r="197" spans="1:10" ht="12.75" hidden="1">
      <c r="A197" s="401"/>
      <c r="B197" s="604" t="str">
        <f t="shared" si="3"/>
        <v/>
      </c>
      <c r="C197" s="558"/>
      <c r="D197" s="605"/>
      <c r="E197" s="593"/>
      <c r="F197" s="559"/>
      <c r="G197" s="559"/>
      <c r="H197" s="597"/>
      <c r="I197" s="614"/>
      <c r="J197" s="392"/>
    </row>
    <row r="198" spans="1:10" ht="12.75" hidden="1">
      <c r="A198" s="401"/>
      <c r="B198" s="604" t="str">
        <f t="shared" si="3"/>
        <v/>
      </c>
      <c r="C198" s="558"/>
      <c r="D198" s="605"/>
      <c r="E198" s="593"/>
      <c r="F198" s="559"/>
      <c r="G198" s="559"/>
      <c r="H198" s="597"/>
      <c r="I198" s="614"/>
      <c r="J198" s="392"/>
    </row>
    <row r="199" spans="1:10" ht="12.75" hidden="1">
      <c r="A199" s="401"/>
      <c r="B199" s="604" t="str">
        <f t="shared" si="3"/>
        <v/>
      </c>
      <c r="C199" s="558"/>
      <c r="D199" s="605"/>
      <c r="E199" s="593"/>
      <c r="F199" s="559"/>
      <c r="G199" s="559"/>
      <c r="H199" s="597"/>
      <c r="I199" s="614"/>
      <c r="J199" s="392"/>
    </row>
    <row r="200" spans="1:10" ht="12.75" hidden="1">
      <c r="A200" s="401"/>
      <c r="B200" s="604" t="str">
        <f t="shared" si="3"/>
        <v/>
      </c>
      <c r="C200" s="558"/>
      <c r="D200" s="605"/>
      <c r="E200" s="593"/>
      <c r="F200" s="559"/>
      <c r="G200" s="559"/>
      <c r="H200" s="597"/>
      <c r="I200" s="614"/>
      <c r="J200" s="401"/>
    </row>
    <row r="201" spans="1:10" ht="12.75" hidden="1">
      <c r="A201" s="401"/>
      <c r="B201" s="604" t="str">
        <f t="shared" si="3"/>
        <v/>
      </c>
      <c r="C201" s="558"/>
      <c r="D201" s="605"/>
      <c r="E201" s="593"/>
      <c r="F201" s="559"/>
      <c r="G201" s="559"/>
      <c r="H201" s="597"/>
      <c r="I201" s="614"/>
      <c r="J201" s="401"/>
    </row>
    <row r="202" spans="1:10" ht="12.75" hidden="1">
      <c r="A202" s="401"/>
      <c r="B202" s="604" t="str">
        <f t="shared" ref="B202:B205" si="4">IF(C202="","",B201+1)</f>
        <v/>
      </c>
      <c r="C202" s="558"/>
      <c r="D202" s="605"/>
      <c r="E202" s="593"/>
      <c r="F202" s="559"/>
      <c r="G202" s="559"/>
      <c r="H202" s="597"/>
      <c r="I202" s="614"/>
      <c r="J202" s="401"/>
    </row>
    <row r="203" spans="1:10" ht="12.75" hidden="1">
      <c r="A203" s="401"/>
      <c r="B203" s="604" t="str">
        <f t="shared" si="4"/>
        <v/>
      </c>
      <c r="C203" s="558"/>
      <c r="D203" s="605"/>
      <c r="E203" s="593"/>
      <c r="F203" s="559"/>
      <c r="G203" s="559"/>
      <c r="H203" s="597"/>
      <c r="I203" s="614"/>
      <c r="J203" s="401"/>
    </row>
    <row r="204" spans="1:10" ht="12.75" hidden="1">
      <c r="A204" s="401"/>
      <c r="B204" s="604" t="str">
        <f t="shared" si="4"/>
        <v/>
      </c>
      <c r="C204" s="558"/>
      <c r="D204" s="605"/>
      <c r="E204" s="593"/>
      <c r="F204" s="559"/>
      <c r="G204" s="559"/>
      <c r="H204" s="597"/>
      <c r="I204" s="614"/>
      <c r="J204" s="401"/>
    </row>
    <row r="205" spans="1:10" ht="13.5" hidden="1" thickBot="1">
      <c r="A205" s="401"/>
      <c r="B205" s="606" t="str">
        <f t="shared" si="4"/>
        <v/>
      </c>
      <c r="C205" s="607"/>
      <c r="D205" s="608"/>
      <c r="E205" s="603"/>
      <c r="F205" s="599"/>
      <c r="G205" s="599"/>
      <c r="H205" s="600"/>
      <c r="I205" s="615"/>
    </row>
    <row r="206" spans="1:10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</row>
    <row r="207" spans="1:10" ht="12.75" hidden="1" customHeight="1"/>
  </sheetData>
  <mergeCells count="4">
    <mergeCell ref="B1:I1"/>
    <mergeCell ref="B2:I2"/>
    <mergeCell ref="B3:I3"/>
    <mergeCell ref="B5:D5"/>
  </mergeCells>
  <conditionalFormatting sqref="H8:H204">
    <cfRule type="cellIs" dxfId="10" priority="2" operator="lessThan">
      <formula>0</formula>
    </cfRule>
  </conditionalFormatting>
  <conditionalFormatting sqref="H205">
    <cfRule type="cellIs" dxfId="9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K207"/>
  <sheetViews>
    <sheetView showRowColHeaders="0" workbookViewId="0">
      <selection activeCell="I12" sqref="I12"/>
    </sheetView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392"/>
    </row>
    <row r="2" spans="1:10" ht="20.25">
      <c r="A2" s="401"/>
      <c r="B2" s="1190" t="s">
        <v>558</v>
      </c>
      <c r="C2" s="1190"/>
      <c r="D2" s="1190"/>
      <c r="E2" s="1190"/>
      <c r="F2" s="1190"/>
      <c r="G2" s="1190"/>
      <c r="H2" s="1190"/>
      <c r="I2" s="1190"/>
      <c r="J2" s="392"/>
    </row>
    <row r="3" spans="1:10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392"/>
    </row>
    <row r="4" spans="1:10" ht="12.75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609" t="s">
        <v>412</v>
      </c>
      <c r="J4" s="392"/>
    </row>
    <row r="5" spans="1:10" ht="13.5" thickBot="1">
      <c r="A5" s="401"/>
      <c r="B5" s="1192" t="s">
        <v>69</v>
      </c>
      <c r="C5" s="1192"/>
      <c r="D5" s="1192"/>
      <c r="E5" s="581">
        <f>SUM(E8:E204)</f>
        <v>0</v>
      </c>
      <c r="F5" s="582">
        <f>SUM(F8:F204)</f>
        <v>44000</v>
      </c>
      <c r="G5" s="582">
        <f>SUM(G8:G204)</f>
        <v>0</v>
      </c>
      <c r="H5" s="583">
        <f>SUM(H8:H204)</f>
        <v>44000</v>
      </c>
      <c r="I5" s="610">
        <f>SUM(I8:I204)</f>
        <v>0</v>
      </c>
      <c r="J5" s="392"/>
    </row>
    <row r="6" spans="1:10" ht="13.5" thickBot="1">
      <c r="A6" s="401"/>
      <c r="B6" s="392"/>
      <c r="C6" s="392"/>
      <c r="D6" s="392"/>
      <c r="E6" s="392"/>
      <c r="F6" s="392"/>
      <c r="G6" s="392"/>
      <c r="H6" s="392"/>
      <c r="I6" s="392"/>
      <c r="J6" s="392"/>
    </row>
    <row r="7" spans="1:10" ht="13.5" thickBot="1">
      <c r="A7" s="401"/>
      <c r="B7" s="586" t="s">
        <v>326</v>
      </c>
      <c r="C7" s="587" t="s">
        <v>224</v>
      </c>
      <c r="D7" s="588" t="s">
        <v>413</v>
      </c>
      <c r="E7" s="591" t="s">
        <v>410</v>
      </c>
      <c r="F7" s="587" t="s">
        <v>8</v>
      </c>
      <c r="G7" s="587" t="s">
        <v>411</v>
      </c>
      <c r="H7" s="588" t="s">
        <v>11</v>
      </c>
      <c r="I7" s="612" t="s">
        <v>412</v>
      </c>
      <c r="J7" s="392"/>
    </row>
    <row r="8" spans="1:10" ht="12.75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5">
        <f>[1]MOD_2_mais_escola!$C$15</f>
        <v>0</v>
      </c>
      <c r="F8" s="643">
        <f>[1]MOD_2_mais_escola!$G$15</f>
        <v>0</v>
      </c>
      <c r="G8" s="643">
        <f>[1]MOD_2_mais_escola!$P$15</f>
        <v>0</v>
      </c>
      <c r="H8" s="644">
        <f t="shared" ref="H8:H12" si="0">(E8+F8)-G8</f>
        <v>0</v>
      </c>
      <c r="I8" s="646">
        <f>[1]MENU!$AC$83</f>
        <v>0</v>
      </c>
      <c r="J8" s="392"/>
    </row>
    <row r="9" spans="1:10" ht="12.75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3">
        <f>[2]MOD_2_mais_escola!$C$15</f>
        <v>0</v>
      </c>
      <c r="F9" s="559">
        <f>[2]MOD_2_mais_escola!$G$15</f>
        <v>22000</v>
      </c>
      <c r="G9" s="559">
        <f>[2]MOD_2_mais_escola!$P$15</f>
        <v>0</v>
      </c>
      <c r="H9" s="597">
        <f t="shared" si="0"/>
        <v>22000</v>
      </c>
      <c r="I9" s="614">
        <f>[2]MENU!$AC$83</f>
        <v>0</v>
      </c>
      <c r="J9" s="392"/>
    </row>
    <row r="10" spans="1:10" ht="12.75">
      <c r="A10" s="401"/>
      <c r="B10" s="604">
        <f t="shared" ref="B10:B73" si="1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3">
        <f>[3]MOD_2_mais_escola!$C$15</f>
        <v>0</v>
      </c>
      <c r="F10" s="559">
        <f>[3]MOD_2_mais_escola!$G$15</f>
        <v>22000</v>
      </c>
      <c r="G10" s="559">
        <f>[3]MOD_2_mais_escola!$P$15</f>
        <v>0</v>
      </c>
      <c r="H10" s="597">
        <f t="shared" si="0"/>
        <v>22000</v>
      </c>
      <c r="I10" s="614">
        <f>[3]MENU!$AC$83</f>
        <v>0</v>
      </c>
      <c r="J10" s="392"/>
    </row>
    <row r="11" spans="1:10" ht="12.75">
      <c r="A11" s="401"/>
      <c r="B11" s="604">
        <f t="shared" si="1"/>
        <v>4</v>
      </c>
      <c r="C11" s="558">
        <f>[4]Dados!$E$3</f>
        <v>19490</v>
      </c>
      <c r="D11" s="605" t="str">
        <f>[4]Dados!$E$69</f>
        <v>EMEI - CAMPO LIMPO VI</v>
      </c>
      <c r="E11" s="593">
        <f>[4]MOD_2_mais_escola!$C$15</f>
        <v>0</v>
      </c>
      <c r="F11" s="559">
        <f>[4]MOD_2_mais_escola!$G$15</f>
        <v>0</v>
      </c>
      <c r="G11" s="559">
        <f>[4]MOD_2_mais_escola!$P$15</f>
        <v>0</v>
      </c>
      <c r="H11" s="597">
        <f t="shared" si="0"/>
        <v>0</v>
      </c>
      <c r="I11" s="614">
        <f>[4]MENU!$AC$83</f>
        <v>0</v>
      </c>
      <c r="J11" s="392"/>
    </row>
    <row r="12" spans="1:10" ht="13.5" thickBot="1">
      <c r="A12" s="401"/>
      <c r="B12" s="606">
        <f t="shared" si="1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603">
        <f>[5]MOD_2_mais_escola!$C$15</f>
        <v>0</v>
      </c>
      <c r="F12" s="599">
        <f>[5]MOD_2_mais_escola!$G$15</f>
        <v>0</v>
      </c>
      <c r="G12" s="599">
        <f>[5]MOD_2_mais_escola!$P$15</f>
        <v>0</v>
      </c>
      <c r="H12" s="600">
        <f t="shared" si="0"/>
        <v>0</v>
      </c>
      <c r="I12" s="615">
        <f>[5]MENU!$AC$83</f>
        <v>0</v>
      </c>
      <c r="J12" s="392"/>
    </row>
    <row r="13" spans="1:10" ht="12.75" hidden="1">
      <c r="A13" s="401"/>
      <c r="B13" s="639" t="str">
        <f t="shared" si="1"/>
        <v/>
      </c>
      <c r="C13" s="640"/>
      <c r="D13" s="641"/>
      <c r="E13" s="592"/>
      <c r="F13" s="584"/>
      <c r="G13" s="584"/>
      <c r="H13" s="595"/>
      <c r="I13" s="613"/>
      <c r="J13" s="392"/>
    </row>
    <row r="14" spans="1:10" ht="12.75" hidden="1">
      <c r="A14" s="401"/>
      <c r="B14" s="604" t="str">
        <f t="shared" si="1"/>
        <v/>
      </c>
      <c r="C14" s="558"/>
      <c r="D14" s="605"/>
      <c r="E14" s="593"/>
      <c r="F14" s="559"/>
      <c r="G14" s="559"/>
      <c r="H14" s="597"/>
      <c r="I14" s="614"/>
      <c r="J14" s="392"/>
    </row>
    <row r="15" spans="1:10" ht="12.75" hidden="1">
      <c r="A15" s="401"/>
      <c r="B15" s="604" t="str">
        <f t="shared" si="1"/>
        <v/>
      </c>
      <c r="C15" s="558"/>
      <c r="D15" s="605"/>
      <c r="E15" s="593"/>
      <c r="F15" s="559"/>
      <c r="G15" s="559"/>
      <c r="H15" s="597"/>
      <c r="I15" s="614"/>
      <c r="J15" s="392"/>
    </row>
    <row r="16" spans="1:10" ht="12.75" hidden="1">
      <c r="A16" s="401"/>
      <c r="B16" s="604" t="str">
        <f t="shared" si="1"/>
        <v/>
      </c>
      <c r="C16" s="558"/>
      <c r="D16" s="605"/>
      <c r="E16" s="593"/>
      <c r="F16" s="559"/>
      <c r="G16" s="559"/>
      <c r="H16" s="597"/>
      <c r="I16" s="614"/>
      <c r="J16" s="392"/>
    </row>
    <row r="17" spans="1:10" ht="12.75" hidden="1">
      <c r="A17" s="401"/>
      <c r="B17" s="604" t="str">
        <f t="shared" si="1"/>
        <v/>
      </c>
      <c r="C17" s="558"/>
      <c r="D17" s="605"/>
      <c r="E17" s="593"/>
      <c r="F17" s="559"/>
      <c r="G17" s="559"/>
      <c r="H17" s="597"/>
      <c r="I17" s="614"/>
      <c r="J17" s="392"/>
    </row>
    <row r="18" spans="1:10" ht="12.75" hidden="1">
      <c r="A18" s="401"/>
      <c r="B18" s="604" t="str">
        <f t="shared" si="1"/>
        <v/>
      </c>
      <c r="C18" s="558"/>
      <c r="D18" s="605"/>
      <c r="E18" s="593"/>
      <c r="F18" s="559"/>
      <c r="G18" s="559"/>
      <c r="H18" s="597"/>
      <c r="I18" s="614"/>
      <c r="J18" s="392"/>
    </row>
    <row r="19" spans="1:10" ht="12.75" hidden="1">
      <c r="A19" s="401"/>
      <c r="B19" s="604" t="str">
        <f t="shared" si="1"/>
        <v/>
      </c>
      <c r="C19" s="558"/>
      <c r="D19" s="605"/>
      <c r="E19" s="593"/>
      <c r="F19" s="559"/>
      <c r="G19" s="559"/>
      <c r="H19" s="597"/>
      <c r="I19" s="614"/>
      <c r="J19" s="392"/>
    </row>
    <row r="20" spans="1:10" ht="12.75" hidden="1">
      <c r="A20" s="401"/>
      <c r="B20" s="604" t="str">
        <f t="shared" si="1"/>
        <v/>
      </c>
      <c r="C20" s="558"/>
      <c r="D20" s="605"/>
      <c r="E20" s="593"/>
      <c r="F20" s="559"/>
      <c r="G20" s="559"/>
      <c r="H20" s="597"/>
      <c r="I20" s="614"/>
      <c r="J20" s="392"/>
    </row>
    <row r="21" spans="1:10" ht="12.75" hidden="1">
      <c r="A21" s="401"/>
      <c r="B21" s="604" t="str">
        <f t="shared" si="1"/>
        <v/>
      </c>
      <c r="C21" s="558"/>
      <c r="D21" s="605"/>
      <c r="E21" s="593"/>
      <c r="F21" s="559"/>
      <c r="G21" s="559"/>
      <c r="H21" s="597"/>
      <c r="I21" s="614"/>
      <c r="J21" s="392"/>
    </row>
    <row r="22" spans="1:10" ht="12.75" hidden="1">
      <c r="A22" s="401"/>
      <c r="B22" s="604" t="str">
        <f t="shared" si="1"/>
        <v/>
      </c>
      <c r="C22" s="558"/>
      <c r="D22" s="605"/>
      <c r="E22" s="593"/>
      <c r="F22" s="559"/>
      <c r="G22" s="559"/>
      <c r="H22" s="597"/>
      <c r="I22" s="614"/>
      <c r="J22" s="392"/>
    </row>
    <row r="23" spans="1:10" ht="12.75" hidden="1">
      <c r="A23" s="401"/>
      <c r="B23" s="604" t="str">
        <f t="shared" si="1"/>
        <v/>
      </c>
      <c r="C23" s="558"/>
      <c r="D23" s="605"/>
      <c r="E23" s="593"/>
      <c r="F23" s="559"/>
      <c r="G23" s="559"/>
      <c r="H23" s="597"/>
      <c r="I23" s="614"/>
      <c r="J23" s="392"/>
    </row>
    <row r="24" spans="1:10" ht="12.75" hidden="1">
      <c r="A24" s="401"/>
      <c r="B24" s="604" t="str">
        <f t="shared" si="1"/>
        <v/>
      </c>
      <c r="C24" s="558"/>
      <c r="D24" s="605"/>
      <c r="E24" s="593"/>
      <c r="F24" s="559"/>
      <c r="G24" s="559"/>
      <c r="H24" s="597"/>
      <c r="I24" s="614"/>
      <c r="J24" s="392"/>
    </row>
    <row r="25" spans="1:10" ht="12.75" hidden="1">
      <c r="A25" s="401"/>
      <c r="B25" s="604" t="str">
        <f t="shared" si="1"/>
        <v/>
      </c>
      <c r="C25" s="558"/>
      <c r="D25" s="605"/>
      <c r="E25" s="593"/>
      <c r="F25" s="559"/>
      <c r="G25" s="559"/>
      <c r="H25" s="597"/>
      <c r="I25" s="614"/>
      <c r="J25" s="392"/>
    </row>
    <row r="26" spans="1:10" ht="12.75" hidden="1">
      <c r="A26" s="401"/>
      <c r="B26" s="604" t="str">
        <f t="shared" si="1"/>
        <v/>
      </c>
      <c r="C26" s="558"/>
      <c r="D26" s="605"/>
      <c r="E26" s="593"/>
      <c r="F26" s="559"/>
      <c r="G26" s="559"/>
      <c r="H26" s="597"/>
      <c r="I26" s="614"/>
      <c r="J26" s="392"/>
    </row>
    <row r="27" spans="1:10" ht="12.75" hidden="1">
      <c r="A27" s="401"/>
      <c r="B27" s="604" t="str">
        <f t="shared" si="1"/>
        <v/>
      </c>
      <c r="C27" s="558"/>
      <c r="D27" s="605"/>
      <c r="E27" s="593"/>
      <c r="F27" s="559"/>
      <c r="G27" s="559"/>
      <c r="H27" s="597"/>
      <c r="I27" s="614"/>
      <c r="J27" s="392"/>
    </row>
    <row r="28" spans="1:10" ht="12.75" hidden="1">
      <c r="A28" s="401"/>
      <c r="B28" s="604" t="str">
        <f t="shared" si="1"/>
        <v/>
      </c>
      <c r="C28" s="558"/>
      <c r="D28" s="605"/>
      <c r="E28" s="593"/>
      <c r="F28" s="559"/>
      <c r="G28" s="559"/>
      <c r="H28" s="597"/>
      <c r="I28" s="614"/>
      <c r="J28" s="392"/>
    </row>
    <row r="29" spans="1:10" ht="12.75" hidden="1">
      <c r="A29" s="401"/>
      <c r="B29" s="604" t="str">
        <f t="shared" si="1"/>
        <v/>
      </c>
      <c r="C29" s="558"/>
      <c r="D29" s="605"/>
      <c r="E29" s="593"/>
      <c r="F29" s="559"/>
      <c r="G29" s="559"/>
      <c r="H29" s="597"/>
      <c r="I29" s="614"/>
      <c r="J29" s="392"/>
    </row>
    <row r="30" spans="1:10" ht="12.75" hidden="1">
      <c r="A30" s="401"/>
      <c r="B30" s="604" t="str">
        <f t="shared" si="1"/>
        <v/>
      </c>
      <c r="C30" s="558"/>
      <c r="D30" s="605"/>
      <c r="E30" s="593"/>
      <c r="F30" s="559"/>
      <c r="G30" s="559"/>
      <c r="H30" s="597"/>
      <c r="I30" s="614"/>
      <c r="J30" s="392"/>
    </row>
    <row r="31" spans="1:10" ht="12.75" hidden="1">
      <c r="A31" s="401"/>
      <c r="B31" s="604" t="str">
        <f t="shared" si="1"/>
        <v/>
      </c>
      <c r="C31" s="558"/>
      <c r="D31" s="605"/>
      <c r="E31" s="593"/>
      <c r="F31" s="559"/>
      <c r="G31" s="559"/>
      <c r="H31" s="597"/>
      <c r="I31" s="614"/>
      <c r="J31" s="392"/>
    </row>
    <row r="32" spans="1:10" ht="12.75" hidden="1">
      <c r="A32" s="401"/>
      <c r="B32" s="604" t="str">
        <f t="shared" si="1"/>
        <v/>
      </c>
      <c r="C32" s="558"/>
      <c r="D32" s="605"/>
      <c r="E32" s="593"/>
      <c r="F32" s="559"/>
      <c r="G32" s="559"/>
      <c r="H32" s="597"/>
      <c r="I32" s="614"/>
      <c r="J32" s="392"/>
    </row>
    <row r="33" spans="1:10" ht="12.75" hidden="1">
      <c r="A33" s="401"/>
      <c r="B33" s="604" t="str">
        <f t="shared" si="1"/>
        <v/>
      </c>
      <c r="C33" s="558"/>
      <c r="D33" s="605"/>
      <c r="E33" s="593"/>
      <c r="F33" s="559"/>
      <c r="G33" s="559"/>
      <c r="H33" s="597"/>
      <c r="I33" s="614"/>
      <c r="J33" s="392"/>
    </row>
    <row r="34" spans="1:10" ht="12.75" hidden="1">
      <c r="A34" s="401"/>
      <c r="B34" s="604" t="str">
        <f t="shared" si="1"/>
        <v/>
      </c>
      <c r="C34" s="558"/>
      <c r="D34" s="605"/>
      <c r="E34" s="593"/>
      <c r="F34" s="559"/>
      <c r="G34" s="559"/>
      <c r="H34" s="597"/>
      <c r="I34" s="614"/>
      <c r="J34" s="392"/>
    </row>
    <row r="35" spans="1:10" ht="12.75" hidden="1">
      <c r="A35" s="401"/>
      <c r="B35" s="604" t="str">
        <f t="shared" si="1"/>
        <v/>
      </c>
      <c r="C35" s="558"/>
      <c r="D35" s="605"/>
      <c r="E35" s="593"/>
      <c r="F35" s="559"/>
      <c r="G35" s="559"/>
      <c r="H35" s="597"/>
      <c r="I35" s="614"/>
      <c r="J35" s="392"/>
    </row>
    <row r="36" spans="1:10" ht="12.75" hidden="1">
      <c r="A36" s="401"/>
      <c r="B36" s="604" t="str">
        <f t="shared" si="1"/>
        <v/>
      </c>
      <c r="C36" s="558"/>
      <c r="D36" s="605"/>
      <c r="E36" s="593"/>
      <c r="F36" s="559"/>
      <c r="G36" s="559"/>
      <c r="H36" s="597"/>
      <c r="I36" s="614"/>
      <c r="J36" s="392"/>
    </row>
    <row r="37" spans="1:10" ht="12.75" hidden="1">
      <c r="A37" s="401"/>
      <c r="B37" s="604" t="str">
        <f t="shared" si="1"/>
        <v/>
      </c>
      <c r="C37" s="558"/>
      <c r="D37" s="605"/>
      <c r="E37" s="593"/>
      <c r="F37" s="559"/>
      <c r="G37" s="559"/>
      <c r="H37" s="597"/>
      <c r="I37" s="614"/>
      <c r="J37" s="392"/>
    </row>
    <row r="38" spans="1:10" ht="12.75" hidden="1">
      <c r="A38" s="401"/>
      <c r="B38" s="604" t="str">
        <f t="shared" si="1"/>
        <v/>
      </c>
      <c r="C38" s="558"/>
      <c r="D38" s="605"/>
      <c r="E38" s="593"/>
      <c r="F38" s="559"/>
      <c r="G38" s="559"/>
      <c r="H38" s="597"/>
      <c r="I38" s="614"/>
      <c r="J38" s="392"/>
    </row>
    <row r="39" spans="1:10" ht="12.75" hidden="1">
      <c r="A39" s="401"/>
      <c r="B39" s="604" t="str">
        <f t="shared" si="1"/>
        <v/>
      </c>
      <c r="C39" s="558"/>
      <c r="D39" s="605"/>
      <c r="E39" s="593"/>
      <c r="F39" s="559"/>
      <c r="G39" s="559"/>
      <c r="H39" s="597"/>
      <c r="I39" s="614"/>
      <c r="J39" s="392"/>
    </row>
    <row r="40" spans="1:10" ht="12.75" hidden="1">
      <c r="A40" s="401"/>
      <c r="B40" s="604" t="str">
        <f t="shared" si="1"/>
        <v/>
      </c>
      <c r="C40" s="558"/>
      <c r="D40" s="605"/>
      <c r="E40" s="593"/>
      <c r="F40" s="559"/>
      <c r="G40" s="559"/>
      <c r="H40" s="597"/>
      <c r="I40" s="614"/>
      <c r="J40" s="392"/>
    </row>
    <row r="41" spans="1:10" ht="12.75" hidden="1">
      <c r="A41" s="401"/>
      <c r="B41" s="604" t="str">
        <f t="shared" si="1"/>
        <v/>
      </c>
      <c r="C41" s="558"/>
      <c r="D41" s="605"/>
      <c r="E41" s="593"/>
      <c r="F41" s="559"/>
      <c r="G41" s="559"/>
      <c r="H41" s="597"/>
      <c r="I41" s="614"/>
      <c r="J41" s="392"/>
    </row>
    <row r="42" spans="1:10" ht="12.75" hidden="1">
      <c r="A42" s="401"/>
      <c r="B42" s="604" t="str">
        <f t="shared" si="1"/>
        <v/>
      </c>
      <c r="C42" s="558"/>
      <c r="D42" s="605"/>
      <c r="E42" s="593"/>
      <c r="F42" s="559"/>
      <c r="G42" s="559"/>
      <c r="H42" s="597"/>
      <c r="I42" s="614"/>
      <c r="J42" s="392"/>
    </row>
    <row r="43" spans="1:10" ht="12.75" hidden="1">
      <c r="A43" s="401"/>
      <c r="B43" s="604" t="str">
        <f t="shared" si="1"/>
        <v/>
      </c>
      <c r="C43" s="558"/>
      <c r="D43" s="605"/>
      <c r="E43" s="593"/>
      <c r="F43" s="559"/>
      <c r="G43" s="559"/>
      <c r="H43" s="597"/>
      <c r="I43" s="614"/>
      <c r="J43" s="392"/>
    </row>
    <row r="44" spans="1:10" ht="12.75" hidden="1">
      <c r="A44" s="401"/>
      <c r="B44" s="604" t="str">
        <f t="shared" si="1"/>
        <v/>
      </c>
      <c r="C44" s="558"/>
      <c r="D44" s="605"/>
      <c r="E44" s="593"/>
      <c r="F44" s="559"/>
      <c r="G44" s="559"/>
      <c r="H44" s="597"/>
      <c r="I44" s="614"/>
      <c r="J44" s="392"/>
    </row>
    <row r="45" spans="1:10" ht="12.75" hidden="1">
      <c r="A45" s="401"/>
      <c r="B45" s="604" t="str">
        <f t="shared" si="1"/>
        <v/>
      </c>
      <c r="C45" s="558"/>
      <c r="D45" s="605"/>
      <c r="E45" s="593"/>
      <c r="F45" s="559"/>
      <c r="G45" s="559"/>
      <c r="H45" s="597"/>
      <c r="I45" s="614"/>
      <c r="J45" s="392"/>
    </row>
    <row r="46" spans="1:10" ht="12.75" hidden="1">
      <c r="A46" s="401"/>
      <c r="B46" s="604" t="str">
        <f t="shared" si="1"/>
        <v/>
      </c>
      <c r="C46" s="558"/>
      <c r="D46" s="605"/>
      <c r="E46" s="593"/>
      <c r="F46" s="559"/>
      <c r="G46" s="559"/>
      <c r="H46" s="650"/>
      <c r="I46" s="651"/>
      <c r="J46" s="392"/>
    </row>
    <row r="47" spans="1:10" ht="12.75" hidden="1">
      <c r="A47" s="401"/>
      <c r="B47" s="604" t="str">
        <f t="shared" si="1"/>
        <v/>
      </c>
      <c r="C47" s="558"/>
      <c r="D47" s="605"/>
      <c r="E47" s="593"/>
      <c r="F47" s="559"/>
      <c r="G47" s="559"/>
      <c r="H47" s="597"/>
      <c r="I47" s="614"/>
      <c r="J47" s="392"/>
    </row>
    <row r="48" spans="1:10" ht="12.75" hidden="1">
      <c r="A48" s="401"/>
      <c r="B48" s="604" t="str">
        <f t="shared" si="1"/>
        <v/>
      </c>
      <c r="C48" s="558"/>
      <c r="D48" s="605"/>
      <c r="E48" s="593"/>
      <c r="F48" s="559"/>
      <c r="G48" s="559"/>
      <c r="H48" s="597"/>
      <c r="I48" s="614"/>
      <c r="J48" s="392"/>
    </row>
    <row r="49" spans="1:10" ht="12.75" hidden="1">
      <c r="A49" s="401"/>
      <c r="B49" s="604" t="str">
        <f t="shared" si="1"/>
        <v/>
      </c>
      <c r="C49" s="558"/>
      <c r="D49" s="605"/>
      <c r="E49" s="593"/>
      <c r="F49" s="559"/>
      <c r="G49" s="559"/>
      <c r="H49" s="597"/>
      <c r="I49" s="614"/>
      <c r="J49" s="392"/>
    </row>
    <row r="50" spans="1:10" ht="12.75" hidden="1">
      <c r="A50" s="401"/>
      <c r="B50" s="604" t="str">
        <f t="shared" si="1"/>
        <v/>
      </c>
      <c r="C50" s="558"/>
      <c r="D50" s="605"/>
      <c r="E50" s="593"/>
      <c r="F50" s="559"/>
      <c r="G50" s="559"/>
      <c r="H50" s="597"/>
      <c r="I50" s="614"/>
      <c r="J50" s="392"/>
    </row>
    <row r="51" spans="1:10" ht="12.75" hidden="1">
      <c r="A51" s="401"/>
      <c r="B51" s="604" t="str">
        <f t="shared" si="1"/>
        <v/>
      </c>
      <c r="C51" s="558"/>
      <c r="D51" s="605"/>
      <c r="E51" s="593"/>
      <c r="F51" s="559"/>
      <c r="G51" s="559"/>
      <c r="H51" s="597"/>
      <c r="I51" s="614"/>
      <c r="J51" s="392"/>
    </row>
    <row r="52" spans="1:10" ht="12.75" hidden="1">
      <c r="A52" s="401"/>
      <c r="B52" s="604" t="str">
        <f t="shared" si="1"/>
        <v/>
      </c>
      <c r="C52" s="558"/>
      <c r="D52" s="605"/>
      <c r="E52" s="593"/>
      <c r="F52" s="559"/>
      <c r="G52" s="559"/>
      <c r="H52" s="597"/>
      <c r="I52" s="614"/>
      <c r="J52" s="392"/>
    </row>
    <row r="53" spans="1:10" ht="12.75" hidden="1">
      <c r="A53" s="401"/>
      <c r="B53" s="604" t="str">
        <f t="shared" si="1"/>
        <v/>
      </c>
      <c r="C53" s="558"/>
      <c r="D53" s="605"/>
      <c r="E53" s="593"/>
      <c r="F53" s="559"/>
      <c r="G53" s="559"/>
      <c r="H53" s="597"/>
      <c r="I53" s="614"/>
      <c r="J53" s="392"/>
    </row>
    <row r="54" spans="1:10" ht="12.75" hidden="1">
      <c r="A54" s="401"/>
      <c r="B54" s="604" t="str">
        <f t="shared" si="1"/>
        <v/>
      </c>
      <c r="C54" s="558"/>
      <c r="D54" s="605"/>
      <c r="E54" s="593"/>
      <c r="F54" s="559"/>
      <c r="G54" s="559"/>
      <c r="H54" s="597"/>
      <c r="I54" s="614"/>
      <c r="J54" s="392"/>
    </row>
    <row r="55" spans="1:10" ht="12.75" hidden="1">
      <c r="A55" s="401"/>
      <c r="B55" s="604" t="str">
        <f t="shared" si="1"/>
        <v/>
      </c>
      <c r="C55" s="558"/>
      <c r="D55" s="605"/>
      <c r="E55" s="593"/>
      <c r="F55" s="559"/>
      <c r="G55" s="559"/>
      <c r="H55" s="597"/>
      <c r="I55" s="614"/>
      <c r="J55" s="392"/>
    </row>
    <row r="56" spans="1:10" ht="12.75" hidden="1">
      <c r="A56" s="401"/>
      <c r="B56" s="604" t="str">
        <f t="shared" si="1"/>
        <v/>
      </c>
      <c r="C56" s="558"/>
      <c r="D56" s="605"/>
      <c r="E56" s="593"/>
      <c r="F56" s="559"/>
      <c r="G56" s="559"/>
      <c r="H56" s="597"/>
      <c r="I56" s="614"/>
      <c r="J56" s="392"/>
    </row>
    <row r="57" spans="1:10" ht="12.75" hidden="1">
      <c r="A57" s="401"/>
      <c r="B57" s="604" t="str">
        <f t="shared" si="1"/>
        <v/>
      </c>
      <c r="C57" s="558"/>
      <c r="D57" s="605"/>
      <c r="E57" s="593"/>
      <c r="F57" s="559"/>
      <c r="G57" s="559"/>
      <c r="H57" s="597"/>
      <c r="I57" s="614"/>
      <c r="J57" s="392"/>
    </row>
    <row r="58" spans="1:10" ht="12.75" hidden="1">
      <c r="A58" s="401"/>
      <c r="B58" s="604" t="str">
        <f t="shared" si="1"/>
        <v/>
      </c>
      <c r="C58" s="558"/>
      <c r="D58" s="605"/>
      <c r="E58" s="593"/>
      <c r="F58" s="559"/>
      <c r="G58" s="559"/>
      <c r="H58" s="597"/>
      <c r="I58" s="614"/>
      <c r="J58" s="392"/>
    </row>
    <row r="59" spans="1:10" ht="12.75" hidden="1">
      <c r="A59" s="401"/>
      <c r="B59" s="604" t="str">
        <f t="shared" si="1"/>
        <v/>
      </c>
      <c r="C59" s="558"/>
      <c r="D59" s="605"/>
      <c r="E59" s="593"/>
      <c r="F59" s="559"/>
      <c r="G59" s="559"/>
      <c r="H59" s="597"/>
      <c r="I59" s="614"/>
      <c r="J59" s="392"/>
    </row>
    <row r="60" spans="1:10" ht="12.75" hidden="1">
      <c r="A60" s="401"/>
      <c r="B60" s="604" t="str">
        <f t="shared" si="1"/>
        <v/>
      </c>
      <c r="C60" s="558"/>
      <c r="D60" s="605"/>
      <c r="E60" s="593"/>
      <c r="F60" s="559"/>
      <c r="G60" s="559"/>
      <c r="H60" s="597"/>
      <c r="I60" s="614"/>
      <c r="J60" s="392"/>
    </row>
    <row r="61" spans="1:10" ht="12.75" hidden="1">
      <c r="A61" s="401"/>
      <c r="B61" s="604" t="str">
        <f t="shared" si="1"/>
        <v/>
      </c>
      <c r="C61" s="558"/>
      <c r="D61" s="605"/>
      <c r="E61" s="593"/>
      <c r="F61" s="559"/>
      <c r="G61" s="559"/>
      <c r="H61" s="597"/>
      <c r="I61" s="614"/>
      <c r="J61" s="392"/>
    </row>
    <row r="62" spans="1:10" ht="12.75" hidden="1">
      <c r="A62" s="401"/>
      <c r="B62" s="604" t="str">
        <f t="shared" si="1"/>
        <v/>
      </c>
      <c r="C62" s="558"/>
      <c r="D62" s="605"/>
      <c r="E62" s="593"/>
      <c r="F62" s="559"/>
      <c r="G62" s="559"/>
      <c r="H62" s="597"/>
      <c r="I62" s="614"/>
      <c r="J62" s="392"/>
    </row>
    <row r="63" spans="1:10" ht="12.75" hidden="1">
      <c r="A63" s="401"/>
      <c r="B63" s="604" t="str">
        <f t="shared" si="1"/>
        <v/>
      </c>
      <c r="C63" s="558"/>
      <c r="D63" s="605"/>
      <c r="E63" s="593"/>
      <c r="F63" s="559"/>
      <c r="G63" s="559"/>
      <c r="H63" s="597"/>
      <c r="I63" s="614"/>
      <c r="J63" s="392"/>
    </row>
    <row r="64" spans="1:10" ht="12.75" hidden="1">
      <c r="A64" s="401"/>
      <c r="B64" s="604" t="str">
        <f t="shared" si="1"/>
        <v/>
      </c>
      <c r="C64" s="558"/>
      <c r="D64" s="605"/>
      <c r="E64" s="593"/>
      <c r="F64" s="559"/>
      <c r="G64" s="559"/>
      <c r="H64" s="597"/>
      <c r="I64" s="614"/>
      <c r="J64" s="392"/>
    </row>
    <row r="65" spans="1:10" ht="12.75" hidden="1">
      <c r="A65" s="401"/>
      <c r="B65" s="604" t="str">
        <f t="shared" si="1"/>
        <v/>
      </c>
      <c r="C65" s="558"/>
      <c r="D65" s="605"/>
      <c r="E65" s="593"/>
      <c r="F65" s="559"/>
      <c r="G65" s="559"/>
      <c r="H65" s="597"/>
      <c r="I65" s="614"/>
      <c r="J65" s="392"/>
    </row>
    <row r="66" spans="1:10" ht="12.75" hidden="1">
      <c r="A66" s="401"/>
      <c r="B66" s="604" t="str">
        <f t="shared" si="1"/>
        <v/>
      </c>
      <c r="C66" s="558"/>
      <c r="D66" s="605"/>
      <c r="E66" s="593"/>
      <c r="F66" s="559"/>
      <c r="G66" s="559"/>
      <c r="H66" s="597"/>
      <c r="I66" s="614"/>
      <c r="J66" s="392"/>
    </row>
    <row r="67" spans="1:10" ht="12.75" hidden="1">
      <c r="A67" s="401"/>
      <c r="B67" s="604" t="str">
        <f t="shared" si="1"/>
        <v/>
      </c>
      <c r="C67" s="558"/>
      <c r="D67" s="605"/>
      <c r="E67" s="593"/>
      <c r="F67" s="559"/>
      <c r="G67" s="559"/>
      <c r="H67" s="597"/>
      <c r="I67" s="614"/>
      <c r="J67" s="392"/>
    </row>
    <row r="68" spans="1:10" ht="12.75" hidden="1">
      <c r="A68" s="401"/>
      <c r="B68" s="604" t="str">
        <f t="shared" si="1"/>
        <v/>
      </c>
      <c r="C68" s="558"/>
      <c r="D68" s="605"/>
      <c r="E68" s="593"/>
      <c r="F68" s="559"/>
      <c r="G68" s="559"/>
      <c r="H68" s="597"/>
      <c r="I68" s="614"/>
      <c r="J68" s="392"/>
    </row>
    <row r="69" spans="1:10" ht="12.75" hidden="1">
      <c r="A69" s="401"/>
      <c r="B69" s="604" t="str">
        <f t="shared" si="1"/>
        <v/>
      </c>
      <c r="C69" s="558"/>
      <c r="D69" s="605"/>
      <c r="E69" s="593"/>
      <c r="F69" s="559"/>
      <c r="G69" s="559"/>
      <c r="H69" s="597"/>
      <c r="I69" s="614"/>
      <c r="J69" s="392"/>
    </row>
    <row r="70" spans="1:10" ht="12.75" hidden="1">
      <c r="A70" s="401"/>
      <c r="B70" s="604" t="str">
        <f t="shared" si="1"/>
        <v/>
      </c>
      <c r="C70" s="558"/>
      <c r="D70" s="605"/>
      <c r="E70" s="593"/>
      <c r="F70" s="559"/>
      <c r="G70" s="559"/>
      <c r="H70" s="597"/>
      <c r="I70" s="614"/>
      <c r="J70" s="392"/>
    </row>
    <row r="71" spans="1:10" ht="12.75" hidden="1">
      <c r="A71" s="401"/>
      <c r="B71" s="604" t="str">
        <f t="shared" si="1"/>
        <v/>
      </c>
      <c r="C71" s="558"/>
      <c r="D71" s="605"/>
      <c r="E71" s="593"/>
      <c r="F71" s="559"/>
      <c r="G71" s="559"/>
      <c r="H71" s="597"/>
      <c r="I71" s="614"/>
      <c r="J71" s="392"/>
    </row>
    <row r="72" spans="1:10" ht="12.75" hidden="1">
      <c r="A72" s="401"/>
      <c r="B72" s="604" t="str">
        <f t="shared" si="1"/>
        <v/>
      </c>
      <c r="C72" s="558"/>
      <c r="D72" s="605"/>
      <c r="E72" s="593"/>
      <c r="F72" s="559"/>
      <c r="G72" s="559"/>
      <c r="H72" s="597"/>
      <c r="I72" s="614"/>
      <c r="J72" s="392"/>
    </row>
    <row r="73" spans="1:10" ht="12.75" hidden="1">
      <c r="A73" s="401"/>
      <c r="B73" s="604" t="str">
        <f t="shared" si="1"/>
        <v/>
      </c>
      <c r="C73" s="558"/>
      <c r="D73" s="605"/>
      <c r="E73" s="593"/>
      <c r="F73" s="559"/>
      <c r="G73" s="559"/>
      <c r="H73" s="597"/>
      <c r="I73" s="614"/>
      <c r="J73" s="392"/>
    </row>
    <row r="74" spans="1:10" ht="12.75" hidden="1">
      <c r="A74" s="401"/>
      <c r="B74" s="604" t="str">
        <f t="shared" ref="B74:B137" si="2">IF(C74="","",B73+1)</f>
        <v/>
      </c>
      <c r="C74" s="558"/>
      <c r="D74" s="605"/>
      <c r="E74" s="593"/>
      <c r="F74" s="559"/>
      <c r="G74" s="559"/>
      <c r="H74" s="597"/>
      <c r="I74" s="614"/>
      <c r="J74" s="392"/>
    </row>
    <row r="75" spans="1:10" ht="12.75" hidden="1">
      <c r="A75" s="401"/>
      <c r="B75" s="604" t="str">
        <f t="shared" si="2"/>
        <v/>
      </c>
      <c r="C75" s="558"/>
      <c r="D75" s="605"/>
      <c r="E75" s="593"/>
      <c r="F75" s="559"/>
      <c r="G75" s="559"/>
      <c r="H75" s="597"/>
      <c r="I75" s="614"/>
      <c r="J75" s="392"/>
    </row>
    <row r="76" spans="1:10" ht="12.75" hidden="1">
      <c r="A76" s="401"/>
      <c r="B76" s="604" t="str">
        <f t="shared" si="2"/>
        <v/>
      </c>
      <c r="C76" s="558"/>
      <c r="D76" s="605"/>
      <c r="E76" s="593"/>
      <c r="F76" s="559"/>
      <c r="G76" s="559"/>
      <c r="H76" s="597"/>
      <c r="I76" s="614"/>
      <c r="J76" s="392"/>
    </row>
    <row r="77" spans="1:10" ht="12.75" hidden="1">
      <c r="A77" s="401"/>
      <c r="B77" s="604" t="str">
        <f t="shared" si="2"/>
        <v/>
      </c>
      <c r="C77" s="558"/>
      <c r="D77" s="605"/>
      <c r="E77" s="593"/>
      <c r="F77" s="559"/>
      <c r="G77" s="559"/>
      <c r="H77" s="597"/>
      <c r="I77" s="614"/>
      <c r="J77" s="392"/>
    </row>
    <row r="78" spans="1:10" ht="12.75" hidden="1">
      <c r="A78" s="401"/>
      <c r="B78" s="604" t="str">
        <f t="shared" si="2"/>
        <v/>
      </c>
      <c r="C78" s="558"/>
      <c r="D78" s="605"/>
      <c r="E78" s="593"/>
      <c r="F78" s="559"/>
      <c r="G78" s="559"/>
      <c r="H78" s="597"/>
      <c r="I78" s="614"/>
      <c r="J78" s="392"/>
    </row>
    <row r="79" spans="1:10" ht="12.75" hidden="1">
      <c r="A79" s="401"/>
      <c r="B79" s="604" t="str">
        <f t="shared" si="2"/>
        <v/>
      </c>
      <c r="C79" s="558"/>
      <c r="D79" s="605"/>
      <c r="E79" s="593"/>
      <c r="F79" s="559"/>
      <c r="G79" s="559"/>
      <c r="H79" s="597"/>
      <c r="I79" s="614"/>
      <c r="J79" s="392"/>
    </row>
    <row r="80" spans="1:10" ht="12.75" hidden="1">
      <c r="A80" s="401"/>
      <c r="B80" s="604" t="str">
        <f t="shared" si="2"/>
        <v/>
      </c>
      <c r="C80" s="558"/>
      <c r="D80" s="605"/>
      <c r="E80" s="593"/>
      <c r="F80" s="559"/>
      <c r="G80" s="559"/>
      <c r="H80" s="597"/>
      <c r="I80" s="614"/>
      <c r="J80" s="392"/>
    </row>
    <row r="81" spans="1:10" ht="12.75" hidden="1">
      <c r="A81" s="401"/>
      <c r="B81" s="604" t="str">
        <f t="shared" si="2"/>
        <v/>
      </c>
      <c r="C81" s="558"/>
      <c r="D81" s="605"/>
      <c r="E81" s="593"/>
      <c r="F81" s="559"/>
      <c r="G81" s="559"/>
      <c r="H81" s="597"/>
      <c r="I81" s="614"/>
      <c r="J81" s="392"/>
    </row>
    <row r="82" spans="1:10" ht="12.75" hidden="1">
      <c r="A82" s="401"/>
      <c r="B82" s="604" t="str">
        <f t="shared" si="2"/>
        <v/>
      </c>
      <c r="C82" s="558"/>
      <c r="D82" s="605"/>
      <c r="E82" s="593"/>
      <c r="F82" s="559"/>
      <c r="G82" s="559"/>
      <c r="H82" s="597"/>
      <c r="I82" s="614"/>
      <c r="J82" s="392"/>
    </row>
    <row r="83" spans="1:10" ht="12.75" hidden="1">
      <c r="A83" s="401"/>
      <c r="B83" s="604" t="str">
        <f t="shared" si="2"/>
        <v/>
      </c>
      <c r="C83" s="558"/>
      <c r="D83" s="605"/>
      <c r="E83" s="593"/>
      <c r="F83" s="559"/>
      <c r="G83" s="559"/>
      <c r="H83" s="597"/>
      <c r="I83" s="614"/>
      <c r="J83" s="392"/>
    </row>
    <row r="84" spans="1:10" ht="12.75" hidden="1">
      <c r="A84" s="401"/>
      <c r="B84" s="604" t="str">
        <f t="shared" si="2"/>
        <v/>
      </c>
      <c r="C84" s="558"/>
      <c r="D84" s="605"/>
      <c r="E84" s="593"/>
      <c r="F84" s="559"/>
      <c r="G84" s="559"/>
      <c r="H84" s="597"/>
      <c r="I84" s="614"/>
      <c r="J84" s="392"/>
    </row>
    <row r="85" spans="1:10" ht="12.75" hidden="1">
      <c r="A85" s="401"/>
      <c r="B85" s="604" t="str">
        <f t="shared" si="2"/>
        <v/>
      </c>
      <c r="C85" s="558"/>
      <c r="D85" s="605"/>
      <c r="E85" s="593"/>
      <c r="F85" s="559"/>
      <c r="G85" s="559"/>
      <c r="H85" s="597"/>
      <c r="I85" s="614"/>
      <c r="J85" s="392"/>
    </row>
    <row r="86" spans="1:10" ht="12.75" hidden="1">
      <c r="A86" s="401"/>
      <c r="B86" s="604" t="str">
        <f t="shared" si="2"/>
        <v/>
      </c>
      <c r="C86" s="558"/>
      <c r="D86" s="605"/>
      <c r="E86" s="593"/>
      <c r="F86" s="559"/>
      <c r="G86" s="559"/>
      <c r="H86" s="597"/>
      <c r="I86" s="614"/>
      <c r="J86" s="392"/>
    </row>
    <row r="87" spans="1:10" ht="12.75" hidden="1">
      <c r="A87" s="401"/>
      <c r="B87" s="604" t="str">
        <f t="shared" si="2"/>
        <v/>
      </c>
      <c r="C87" s="558"/>
      <c r="D87" s="605"/>
      <c r="E87" s="593"/>
      <c r="F87" s="559"/>
      <c r="G87" s="559"/>
      <c r="H87" s="597"/>
      <c r="I87" s="614"/>
      <c r="J87" s="392"/>
    </row>
    <row r="88" spans="1:10" ht="12.75" hidden="1">
      <c r="A88" s="401"/>
      <c r="B88" s="604" t="str">
        <f t="shared" si="2"/>
        <v/>
      </c>
      <c r="C88" s="558"/>
      <c r="D88" s="605"/>
      <c r="E88" s="593"/>
      <c r="F88" s="559"/>
      <c r="G88" s="559"/>
      <c r="H88" s="597"/>
      <c r="I88" s="614"/>
      <c r="J88" s="392"/>
    </row>
    <row r="89" spans="1:10" ht="12.75" hidden="1">
      <c r="A89" s="401"/>
      <c r="B89" s="604" t="str">
        <f t="shared" si="2"/>
        <v/>
      </c>
      <c r="C89" s="558"/>
      <c r="D89" s="605"/>
      <c r="E89" s="593"/>
      <c r="F89" s="559"/>
      <c r="G89" s="559"/>
      <c r="H89" s="597"/>
      <c r="I89" s="614"/>
      <c r="J89" s="392"/>
    </row>
    <row r="90" spans="1:10" ht="12.75" hidden="1">
      <c r="A90" s="401"/>
      <c r="B90" s="604" t="str">
        <f t="shared" si="2"/>
        <v/>
      </c>
      <c r="C90" s="558"/>
      <c r="D90" s="605"/>
      <c r="E90" s="593"/>
      <c r="F90" s="559"/>
      <c r="G90" s="559"/>
      <c r="H90" s="597"/>
      <c r="I90" s="614"/>
      <c r="J90" s="392"/>
    </row>
    <row r="91" spans="1:10" ht="12.75" hidden="1">
      <c r="A91" s="401"/>
      <c r="B91" s="604" t="str">
        <f t="shared" si="2"/>
        <v/>
      </c>
      <c r="C91" s="558"/>
      <c r="D91" s="605"/>
      <c r="E91" s="593"/>
      <c r="F91" s="559"/>
      <c r="G91" s="559"/>
      <c r="H91" s="597"/>
      <c r="I91" s="614"/>
      <c r="J91" s="392"/>
    </row>
    <row r="92" spans="1:10" ht="12.75" hidden="1">
      <c r="A92" s="401"/>
      <c r="B92" s="604" t="str">
        <f t="shared" si="2"/>
        <v/>
      </c>
      <c r="C92" s="558"/>
      <c r="D92" s="605"/>
      <c r="E92" s="593"/>
      <c r="F92" s="559"/>
      <c r="G92" s="559"/>
      <c r="H92" s="597"/>
      <c r="I92" s="614"/>
      <c r="J92" s="392"/>
    </row>
    <row r="93" spans="1:10" ht="12.75" hidden="1">
      <c r="A93" s="401"/>
      <c r="B93" s="604" t="str">
        <f t="shared" si="2"/>
        <v/>
      </c>
      <c r="C93" s="558"/>
      <c r="D93" s="605"/>
      <c r="E93" s="593"/>
      <c r="F93" s="559"/>
      <c r="G93" s="559"/>
      <c r="H93" s="597"/>
      <c r="I93" s="614"/>
      <c r="J93" s="392"/>
    </row>
    <row r="94" spans="1:10" ht="12.75" hidden="1">
      <c r="A94" s="401"/>
      <c r="B94" s="604" t="str">
        <f t="shared" si="2"/>
        <v/>
      </c>
      <c r="C94" s="558"/>
      <c r="D94" s="605"/>
      <c r="E94" s="593"/>
      <c r="F94" s="559"/>
      <c r="G94" s="559"/>
      <c r="H94" s="597"/>
      <c r="I94" s="614"/>
      <c r="J94" s="392"/>
    </row>
    <row r="95" spans="1:10" ht="12.75" hidden="1">
      <c r="A95" s="401"/>
      <c r="B95" s="604" t="str">
        <f t="shared" si="2"/>
        <v/>
      </c>
      <c r="C95" s="558"/>
      <c r="D95" s="605"/>
      <c r="E95" s="593"/>
      <c r="F95" s="559"/>
      <c r="G95" s="559"/>
      <c r="H95" s="597"/>
      <c r="I95" s="614"/>
      <c r="J95" s="392"/>
    </row>
    <row r="96" spans="1:10" ht="12.75" hidden="1">
      <c r="A96" s="401"/>
      <c r="B96" s="604" t="str">
        <f t="shared" si="2"/>
        <v/>
      </c>
      <c r="C96" s="558"/>
      <c r="D96" s="605"/>
      <c r="E96" s="593"/>
      <c r="F96" s="559"/>
      <c r="G96" s="559"/>
      <c r="H96" s="597"/>
      <c r="I96" s="614"/>
      <c r="J96" s="392"/>
    </row>
    <row r="97" spans="1:10" ht="12.75" hidden="1">
      <c r="A97" s="401"/>
      <c r="B97" s="604" t="str">
        <f t="shared" si="2"/>
        <v/>
      </c>
      <c r="C97" s="558"/>
      <c r="D97" s="605"/>
      <c r="E97" s="593"/>
      <c r="F97" s="559"/>
      <c r="G97" s="559"/>
      <c r="H97" s="597"/>
      <c r="I97" s="614"/>
      <c r="J97" s="392"/>
    </row>
    <row r="98" spans="1:10" ht="12.75" hidden="1">
      <c r="A98" s="401"/>
      <c r="B98" s="604" t="str">
        <f t="shared" si="2"/>
        <v/>
      </c>
      <c r="C98" s="558"/>
      <c r="D98" s="605"/>
      <c r="E98" s="593"/>
      <c r="F98" s="559"/>
      <c r="G98" s="559"/>
      <c r="H98" s="597"/>
      <c r="I98" s="614"/>
      <c r="J98" s="392"/>
    </row>
    <row r="99" spans="1:10" ht="12.75" hidden="1">
      <c r="A99" s="401"/>
      <c r="B99" s="604" t="str">
        <f t="shared" si="2"/>
        <v/>
      </c>
      <c r="C99" s="558"/>
      <c r="D99" s="605"/>
      <c r="E99" s="593"/>
      <c r="F99" s="559"/>
      <c r="G99" s="559"/>
      <c r="H99" s="597"/>
      <c r="I99" s="614"/>
      <c r="J99" s="392"/>
    </row>
    <row r="100" spans="1:10" ht="12.75" hidden="1">
      <c r="A100" s="401"/>
      <c r="B100" s="604" t="str">
        <f t="shared" si="2"/>
        <v/>
      </c>
      <c r="C100" s="558"/>
      <c r="D100" s="605"/>
      <c r="E100" s="593"/>
      <c r="F100" s="559"/>
      <c r="G100" s="559"/>
      <c r="H100" s="597"/>
      <c r="I100" s="614"/>
      <c r="J100" s="392"/>
    </row>
    <row r="101" spans="1:10" ht="12.75" hidden="1">
      <c r="A101" s="401"/>
      <c r="B101" s="604" t="str">
        <f t="shared" si="2"/>
        <v/>
      </c>
      <c r="C101" s="558"/>
      <c r="D101" s="605"/>
      <c r="E101" s="593"/>
      <c r="F101" s="559"/>
      <c r="G101" s="559"/>
      <c r="H101" s="597"/>
      <c r="I101" s="614"/>
      <c r="J101" s="392"/>
    </row>
    <row r="102" spans="1:10" ht="12.75" hidden="1">
      <c r="A102" s="401"/>
      <c r="B102" s="604" t="str">
        <f t="shared" si="2"/>
        <v/>
      </c>
      <c r="C102" s="558"/>
      <c r="D102" s="605"/>
      <c r="E102" s="593"/>
      <c r="F102" s="559"/>
      <c r="G102" s="559"/>
      <c r="H102" s="597"/>
      <c r="I102" s="614"/>
      <c r="J102" s="392"/>
    </row>
    <row r="103" spans="1:10" ht="12.75" hidden="1">
      <c r="A103" s="401"/>
      <c r="B103" s="604" t="str">
        <f t="shared" si="2"/>
        <v/>
      </c>
      <c r="C103" s="558"/>
      <c r="D103" s="605"/>
      <c r="E103" s="593"/>
      <c r="F103" s="559"/>
      <c r="G103" s="559"/>
      <c r="H103" s="597"/>
      <c r="I103" s="614"/>
      <c r="J103" s="392"/>
    </row>
    <row r="104" spans="1:10" ht="12.75" hidden="1">
      <c r="A104" s="401"/>
      <c r="B104" s="604" t="str">
        <f t="shared" si="2"/>
        <v/>
      </c>
      <c r="C104" s="558"/>
      <c r="D104" s="605"/>
      <c r="E104" s="593"/>
      <c r="F104" s="559"/>
      <c r="G104" s="559"/>
      <c r="H104" s="597"/>
      <c r="I104" s="614"/>
      <c r="J104" s="392"/>
    </row>
    <row r="105" spans="1:10" ht="12.75" hidden="1">
      <c r="A105" s="401"/>
      <c r="B105" s="604" t="str">
        <f t="shared" si="2"/>
        <v/>
      </c>
      <c r="C105" s="558"/>
      <c r="D105" s="605"/>
      <c r="E105" s="593"/>
      <c r="F105" s="559"/>
      <c r="G105" s="559"/>
      <c r="H105" s="597"/>
      <c r="I105" s="614"/>
      <c r="J105" s="392"/>
    </row>
    <row r="106" spans="1:10" ht="12.75" hidden="1">
      <c r="A106" s="401"/>
      <c r="B106" s="604" t="str">
        <f t="shared" si="2"/>
        <v/>
      </c>
      <c r="C106" s="558"/>
      <c r="D106" s="605"/>
      <c r="E106" s="593"/>
      <c r="F106" s="559"/>
      <c r="G106" s="559"/>
      <c r="H106" s="597"/>
      <c r="I106" s="614"/>
      <c r="J106" s="392"/>
    </row>
    <row r="107" spans="1:10" ht="12.75" hidden="1">
      <c r="A107" s="401"/>
      <c r="B107" s="604" t="str">
        <f t="shared" si="2"/>
        <v/>
      </c>
      <c r="C107" s="558"/>
      <c r="D107" s="605"/>
      <c r="E107" s="593"/>
      <c r="F107" s="559"/>
      <c r="G107" s="559"/>
      <c r="H107" s="597"/>
      <c r="I107" s="614"/>
      <c r="J107" s="392"/>
    </row>
    <row r="108" spans="1:10" ht="12.75" hidden="1">
      <c r="A108" s="401"/>
      <c r="B108" s="604" t="str">
        <f t="shared" si="2"/>
        <v/>
      </c>
      <c r="C108" s="558"/>
      <c r="D108" s="605"/>
      <c r="E108" s="593"/>
      <c r="F108" s="559"/>
      <c r="G108" s="559"/>
      <c r="H108" s="597"/>
      <c r="I108" s="614"/>
      <c r="J108" s="392"/>
    </row>
    <row r="109" spans="1:10" ht="12.75" hidden="1">
      <c r="A109" s="401"/>
      <c r="B109" s="604" t="str">
        <f t="shared" si="2"/>
        <v/>
      </c>
      <c r="C109" s="558"/>
      <c r="D109" s="605"/>
      <c r="E109" s="593"/>
      <c r="F109" s="559"/>
      <c r="G109" s="559"/>
      <c r="H109" s="597"/>
      <c r="I109" s="614"/>
      <c r="J109" s="392"/>
    </row>
    <row r="110" spans="1:10" ht="12.75" hidden="1">
      <c r="A110" s="401"/>
      <c r="B110" s="604" t="str">
        <f t="shared" si="2"/>
        <v/>
      </c>
      <c r="C110" s="558"/>
      <c r="D110" s="605"/>
      <c r="E110" s="593"/>
      <c r="F110" s="559"/>
      <c r="G110" s="559"/>
      <c r="H110" s="597"/>
      <c r="I110" s="614"/>
      <c r="J110" s="392"/>
    </row>
    <row r="111" spans="1:10" ht="12.75" hidden="1">
      <c r="A111" s="401"/>
      <c r="B111" s="604" t="str">
        <f t="shared" si="2"/>
        <v/>
      </c>
      <c r="C111" s="558"/>
      <c r="D111" s="605"/>
      <c r="E111" s="593"/>
      <c r="F111" s="559"/>
      <c r="G111" s="559"/>
      <c r="H111" s="597"/>
      <c r="I111" s="614"/>
      <c r="J111" s="392"/>
    </row>
    <row r="112" spans="1:10" ht="12.75" hidden="1">
      <c r="A112" s="401"/>
      <c r="B112" s="604" t="str">
        <f t="shared" si="2"/>
        <v/>
      </c>
      <c r="C112" s="558"/>
      <c r="D112" s="605"/>
      <c r="E112" s="593"/>
      <c r="F112" s="559"/>
      <c r="G112" s="559"/>
      <c r="H112" s="597"/>
      <c r="I112" s="614"/>
      <c r="J112" s="392"/>
    </row>
    <row r="113" spans="1:10" ht="12.75" hidden="1">
      <c r="A113" s="401"/>
      <c r="B113" s="604" t="str">
        <f t="shared" si="2"/>
        <v/>
      </c>
      <c r="C113" s="558"/>
      <c r="D113" s="605"/>
      <c r="E113" s="593"/>
      <c r="F113" s="559"/>
      <c r="G113" s="559"/>
      <c r="H113" s="597"/>
      <c r="I113" s="614"/>
      <c r="J113" s="392"/>
    </row>
    <row r="114" spans="1:10" ht="12.75" hidden="1">
      <c r="A114" s="401"/>
      <c r="B114" s="604" t="str">
        <f t="shared" si="2"/>
        <v/>
      </c>
      <c r="C114" s="558"/>
      <c r="D114" s="605"/>
      <c r="E114" s="593"/>
      <c r="F114" s="559"/>
      <c r="G114" s="559"/>
      <c r="H114" s="597"/>
      <c r="I114" s="614"/>
      <c r="J114" s="392"/>
    </row>
    <row r="115" spans="1:10" ht="12.75" hidden="1">
      <c r="A115" s="401"/>
      <c r="B115" s="604" t="str">
        <f t="shared" si="2"/>
        <v/>
      </c>
      <c r="C115" s="558"/>
      <c r="D115" s="605"/>
      <c r="E115" s="593"/>
      <c r="F115" s="559"/>
      <c r="G115" s="559"/>
      <c r="H115" s="597"/>
      <c r="I115" s="614"/>
      <c r="J115" s="392"/>
    </row>
    <row r="116" spans="1:10" ht="12.75" hidden="1">
      <c r="A116" s="401"/>
      <c r="B116" s="604" t="str">
        <f t="shared" si="2"/>
        <v/>
      </c>
      <c r="C116" s="558"/>
      <c r="D116" s="605"/>
      <c r="E116" s="593"/>
      <c r="F116" s="559"/>
      <c r="G116" s="559"/>
      <c r="H116" s="597"/>
      <c r="I116" s="614"/>
      <c r="J116" s="392"/>
    </row>
    <row r="117" spans="1:10" ht="12.75" hidden="1">
      <c r="A117" s="401"/>
      <c r="B117" s="604" t="str">
        <f t="shared" si="2"/>
        <v/>
      </c>
      <c r="C117" s="558"/>
      <c r="D117" s="605"/>
      <c r="E117" s="593"/>
      <c r="F117" s="559"/>
      <c r="G117" s="559"/>
      <c r="H117" s="597"/>
      <c r="I117" s="614"/>
      <c r="J117" s="392"/>
    </row>
    <row r="118" spans="1:10" ht="12.75" hidden="1">
      <c r="A118" s="401"/>
      <c r="B118" s="604" t="str">
        <f t="shared" si="2"/>
        <v/>
      </c>
      <c r="C118" s="558"/>
      <c r="D118" s="605"/>
      <c r="E118" s="593"/>
      <c r="F118" s="559"/>
      <c r="G118" s="559"/>
      <c r="H118" s="597"/>
      <c r="I118" s="614"/>
      <c r="J118" s="392"/>
    </row>
    <row r="119" spans="1:10" ht="12.75" hidden="1">
      <c r="A119" s="401"/>
      <c r="B119" s="604" t="str">
        <f t="shared" si="2"/>
        <v/>
      </c>
      <c r="C119" s="558"/>
      <c r="D119" s="605"/>
      <c r="E119" s="593"/>
      <c r="F119" s="559"/>
      <c r="G119" s="559"/>
      <c r="H119" s="597"/>
      <c r="I119" s="614"/>
      <c r="J119" s="392"/>
    </row>
    <row r="120" spans="1:10" ht="12.75" hidden="1">
      <c r="A120" s="401"/>
      <c r="B120" s="604" t="str">
        <f t="shared" si="2"/>
        <v/>
      </c>
      <c r="C120" s="558"/>
      <c r="D120" s="605"/>
      <c r="E120" s="593"/>
      <c r="F120" s="559"/>
      <c r="G120" s="559"/>
      <c r="H120" s="597"/>
      <c r="I120" s="614"/>
      <c r="J120" s="392"/>
    </row>
    <row r="121" spans="1:10" ht="12.75" hidden="1">
      <c r="A121" s="401"/>
      <c r="B121" s="604" t="str">
        <f t="shared" si="2"/>
        <v/>
      </c>
      <c r="C121" s="558"/>
      <c r="D121" s="605"/>
      <c r="E121" s="593"/>
      <c r="F121" s="559"/>
      <c r="G121" s="559"/>
      <c r="H121" s="597"/>
      <c r="I121" s="614"/>
      <c r="J121" s="392"/>
    </row>
    <row r="122" spans="1:10" ht="12.75" hidden="1">
      <c r="A122" s="401"/>
      <c r="B122" s="604" t="str">
        <f t="shared" si="2"/>
        <v/>
      </c>
      <c r="C122" s="558"/>
      <c r="D122" s="605"/>
      <c r="E122" s="593"/>
      <c r="F122" s="559"/>
      <c r="G122" s="559"/>
      <c r="H122" s="597"/>
      <c r="I122" s="614"/>
      <c r="J122" s="392"/>
    </row>
    <row r="123" spans="1:10" ht="12.75" hidden="1">
      <c r="A123" s="401"/>
      <c r="B123" s="604" t="str">
        <f t="shared" si="2"/>
        <v/>
      </c>
      <c r="C123" s="558"/>
      <c r="D123" s="605"/>
      <c r="E123" s="593"/>
      <c r="F123" s="559"/>
      <c r="G123" s="559"/>
      <c r="H123" s="597"/>
      <c r="I123" s="614"/>
      <c r="J123" s="392"/>
    </row>
    <row r="124" spans="1:10" ht="12.75" hidden="1">
      <c r="A124" s="401"/>
      <c r="B124" s="604" t="str">
        <f t="shared" si="2"/>
        <v/>
      </c>
      <c r="C124" s="558"/>
      <c r="D124" s="605"/>
      <c r="E124" s="593"/>
      <c r="F124" s="559"/>
      <c r="G124" s="559"/>
      <c r="H124" s="597"/>
      <c r="I124" s="614"/>
      <c r="J124" s="392"/>
    </row>
    <row r="125" spans="1:10" ht="12.75" hidden="1">
      <c r="A125" s="401"/>
      <c r="B125" s="604" t="str">
        <f t="shared" si="2"/>
        <v/>
      </c>
      <c r="C125" s="558"/>
      <c r="D125" s="605"/>
      <c r="E125" s="593"/>
      <c r="F125" s="559"/>
      <c r="G125" s="559"/>
      <c r="H125" s="597"/>
      <c r="I125" s="614"/>
      <c r="J125" s="392"/>
    </row>
    <row r="126" spans="1:10" ht="12.75" hidden="1">
      <c r="A126" s="401"/>
      <c r="B126" s="604" t="str">
        <f t="shared" si="2"/>
        <v/>
      </c>
      <c r="C126" s="558"/>
      <c r="D126" s="605"/>
      <c r="E126" s="593"/>
      <c r="F126" s="559"/>
      <c r="G126" s="559"/>
      <c r="H126" s="597"/>
      <c r="I126" s="614"/>
      <c r="J126" s="392"/>
    </row>
    <row r="127" spans="1:10" ht="12.75" hidden="1">
      <c r="A127" s="401"/>
      <c r="B127" s="604" t="str">
        <f t="shared" si="2"/>
        <v/>
      </c>
      <c r="C127" s="558"/>
      <c r="D127" s="605"/>
      <c r="E127" s="593"/>
      <c r="F127" s="559"/>
      <c r="G127" s="559"/>
      <c r="H127" s="597"/>
      <c r="I127" s="614"/>
      <c r="J127" s="392"/>
    </row>
    <row r="128" spans="1:10" ht="12.75" hidden="1">
      <c r="A128" s="401"/>
      <c r="B128" s="604" t="str">
        <f t="shared" si="2"/>
        <v/>
      </c>
      <c r="C128" s="558"/>
      <c r="D128" s="605"/>
      <c r="E128" s="593"/>
      <c r="F128" s="559"/>
      <c r="G128" s="559"/>
      <c r="H128" s="597"/>
      <c r="I128" s="614"/>
      <c r="J128" s="392"/>
    </row>
    <row r="129" spans="1:10" ht="12.75" hidden="1">
      <c r="A129" s="401"/>
      <c r="B129" s="604" t="str">
        <f t="shared" si="2"/>
        <v/>
      </c>
      <c r="C129" s="558"/>
      <c r="D129" s="605"/>
      <c r="E129" s="593"/>
      <c r="F129" s="559"/>
      <c r="G129" s="559"/>
      <c r="H129" s="597"/>
      <c r="I129" s="614"/>
      <c r="J129" s="392"/>
    </row>
    <row r="130" spans="1:10" ht="12.75" hidden="1">
      <c r="A130" s="401"/>
      <c r="B130" s="604" t="str">
        <f t="shared" si="2"/>
        <v/>
      </c>
      <c r="C130" s="558"/>
      <c r="D130" s="605"/>
      <c r="E130" s="593"/>
      <c r="F130" s="559"/>
      <c r="G130" s="559"/>
      <c r="H130" s="597"/>
      <c r="I130" s="614"/>
      <c r="J130" s="392"/>
    </row>
    <row r="131" spans="1:10" ht="12.75" hidden="1">
      <c r="A131" s="401"/>
      <c r="B131" s="604" t="str">
        <f t="shared" si="2"/>
        <v/>
      </c>
      <c r="C131" s="558"/>
      <c r="D131" s="605"/>
      <c r="E131" s="593"/>
      <c r="F131" s="559"/>
      <c r="G131" s="559"/>
      <c r="H131" s="597"/>
      <c r="I131" s="614"/>
      <c r="J131" s="392"/>
    </row>
    <row r="132" spans="1:10" ht="12.75" hidden="1">
      <c r="A132" s="401"/>
      <c r="B132" s="604" t="str">
        <f t="shared" si="2"/>
        <v/>
      </c>
      <c r="C132" s="558"/>
      <c r="D132" s="605"/>
      <c r="E132" s="593"/>
      <c r="F132" s="559"/>
      <c r="G132" s="559"/>
      <c r="H132" s="597"/>
      <c r="I132" s="614"/>
      <c r="J132" s="392"/>
    </row>
    <row r="133" spans="1:10" ht="12.75" hidden="1">
      <c r="A133" s="401"/>
      <c r="B133" s="604" t="str">
        <f t="shared" si="2"/>
        <v/>
      </c>
      <c r="C133" s="558"/>
      <c r="D133" s="605"/>
      <c r="E133" s="593"/>
      <c r="F133" s="559"/>
      <c r="G133" s="559"/>
      <c r="H133" s="597"/>
      <c r="I133" s="614"/>
      <c r="J133" s="392"/>
    </row>
    <row r="134" spans="1:10" ht="12.75" hidden="1">
      <c r="A134" s="401"/>
      <c r="B134" s="604" t="str">
        <f t="shared" si="2"/>
        <v/>
      </c>
      <c r="C134" s="558"/>
      <c r="D134" s="605"/>
      <c r="E134" s="593"/>
      <c r="F134" s="559"/>
      <c r="G134" s="559"/>
      <c r="H134" s="597"/>
      <c r="I134" s="614"/>
      <c r="J134" s="392"/>
    </row>
    <row r="135" spans="1:10" ht="12.75" hidden="1">
      <c r="A135" s="401"/>
      <c r="B135" s="604" t="str">
        <f t="shared" si="2"/>
        <v/>
      </c>
      <c r="C135" s="558"/>
      <c r="D135" s="605"/>
      <c r="E135" s="593"/>
      <c r="F135" s="559"/>
      <c r="G135" s="559"/>
      <c r="H135" s="597"/>
      <c r="I135" s="614"/>
      <c r="J135" s="392"/>
    </row>
    <row r="136" spans="1:10" ht="12.75" hidden="1">
      <c r="A136" s="401"/>
      <c r="B136" s="604" t="str">
        <f t="shared" si="2"/>
        <v/>
      </c>
      <c r="C136" s="558"/>
      <c r="D136" s="605"/>
      <c r="E136" s="593"/>
      <c r="F136" s="559"/>
      <c r="G136" s="559"/>
      <c r="H136" s="597"/>
      <c r="I136" s="614"/>
      <c r="J136" s="392"/>
    </row>
    <row r="137" spans="1:10" ht="12.75" hidden="1">
      <c r="A137" s="401"/>
      <c r="B137" s="604" t="str">
        <f t="shared" si="2"/>
        <v/>
      </c>
      <c r="C137" s="558"/>
      <c r="D137" s="605"/>
      <c r="E137" s="593"/>
      <c r="F137" s="559"/>
      <c r="G137" s="559"/>
      <c r="H137" s="597"/>
      <c r="I137" s="614"/>
      <c r="J137" s="392"/>
    </row>
    <row r="138" spans="1:10" ht="12.75" hidden="1">
      <c r="A138" s="401"/>
      <c r="B138" s="604" t="str">
        <f t="shared" ref="B138:B201" si="3">IF(C138="","",B137+1)</f>
        <v/>
      </c>
      <c r="C138" s="558"/>
      <c r="D138" s="605"/>
      <c r="E138" s="593"/>
      <c r="F138" s="559"/>
      <c r="G138" s="559"/>
      <c r="H138" s="597"/>
      <c r="I138" s="614"/>
      <c r="J138" s="392"/>
    </row>
    <row r="139" spans="1:10" ht="12.75" hidden="1">
      <c r="A139" s="401"/>
      <c r="B139" s="604" t="str">
        <f t="shared" si="3"/>
        <v/>
      </c>
      <c r="C139" s="558"/>
      <c r="D139" s="605"/>
      <c r="E139" s="593"/>
      <c r="F139" s="559"/>
      <c r="G139" s="559"/>
      <c r="H139" s="597"/>
      <c r="I139" s="614"/>
      <c r="J139" s="392"/>
    </row>
    <row r="140" spans="1:10" ht="12.75" hidden="1">
      <c r="A140" s="401"/>
      <c r="B140" s="604" t="str">
        <f t="shared" si="3"/>
        <v/>
      </c>
      <c r="C140" s="558"/>
      <c r="D140" s="605"/>
      <c r="E140" s="593"/>
      <c r="F140" s="559"/>
      <c r="G140" s="559"/>
      <c r="H140" s="597"/>
      <c r="I140" s="614"/>
      <c r="J140" s="392"/>
    </row>
    <row r="141" spans="1:10" ht="12.75" hidden="1">
      <c r="A141" s="401"/>
      <c r="B141" s="604" t="str">
        <f t="shared" si="3"/>
        <v/>
      </c>
      <c r="C141" s="558"/>
      <c r="D141" s="605"/>
      <c r="E141" s="593"/>
      <c r="F141" s="559"/>
      <c r="G141" s="559"/>
      <c r="H141" s="597"/>
      <c r="I141" s="614"/>
      <c r="J141" s="392"/>
    </row>
    <row r="142" spans="1:10" ht="12.75" hidden="1">
      <c r="A142" s="401"/>
      <c r="B142" s="604" t="str">
        <f t="shared" si="3"/>
        <v/>
      </c>
      <c r="C142" s="558"/>
      <c r="D142" s="605"/>
      <c r="E142" s="593"/>
      <c r="F142" s="559"/>
      <c r="G142" s="559"/>
      <c r="H142" s="597"/>
      <c r="I142" s="614"/>
      <c r="J142" s="392"/>
    </row>
    <row r="143" spans="1:10" ht="12.75" hidden="1">
      <c r="A143" s="401"/>
      <c r="B143" s="604" t="str">
        <f t="shared" si="3"/>
        <v/>
      </c>
      <c r="C143" s="558"/>
      <c r="D143" s="605"/>
      <c r="E143" s="593"/>
      <c r="F143" s="559"/>
      <c r="G143" s="559"/>
      <c r="H143" s="597"/>
      <c r="I143" s="614"/>
      <c r="J143" s="392"/>
    </row>
    <row r="144" spans="1:10" ht="12.75" hidden="1">
      <c r="A144" s="401"/>
      <c r="B144" s="604" t="str">
        <f t="shared" si="3"/>
        <v/>
      </c>
      <c r="C144" s="558"/>
      <c r="D144" s="605"/>
      <c r="E144" s="593"/>
      <c r="F144" s="559"/>
      <c r="G144" s="559"/>
      <c r="H144" s="597"/>
      <c r="I144" s="614"/>
      <c r="J144" s="392"/>
    </row>
    <row r="145" spans="1:10" ht="12.75" hidden="1">
      <c r="A145" s="401"/>
      <c r="B145" s="604" t="str">
        <f t="shared" si="3"/>
        <v/>
      </c>
      <c r="C145" s="558"/>
      <c r="D145" s="605"/>
      <c r="E145" s="593"/>
      <c r="F145" s="559"/>
      <c r="G145" s="559"/>
      <c r="H145" s="597"/>
      <c r="I145" s="614"/>
      <c r="J145" s="392"/>
    </row>
    <row r="146" spans="1:10" ht="12.75" hidden="1">
      <c r="A146" s="401"/>
      <c r="B146" s="604" t="str">
        <f t="shared" si="3"/>
        <v/>
      </c>
      <c r="C146" s="558"/>
      <c r="D146" s="605"/>
      <c r="E146" s="593"/>
      <c r="F146" s="559"/>
      <c r="G146" s="559"/>
      <c r="H146" s="597"/>
      <c r="I146" s="614"/>
      <c r="J146" s="392"/>
    </row>
    <row r="147" spans="1:10" ht="12.75" hidden="1">
      <c r="A147" s="401"/>
      <c r="B147" s="604" t="str">
        <f t="shared" si="3"/>
        <v/>
      </c>
      <c r="C147" s="558"/>
      <c r="D147" s="605"/>
      <c r="E147" s="593"/>
      <c r="F147" s="559"/>
      <c r="G147" s="559"/>
      <c r="H147" s="597"/>
      <c r="I147" s="614"/>
      <c r="J147" s="392"/>
    </row>
    <row r="148" spans="1:10" ht="12.75" hidden="1">
      <c r="A148" s="401"/>
      <c r="B148" s="604" t="str">
        <f t="shared" si="3"/>
        <v/>
      </c>
      <c r="C148" s="558"/>
      <c r="D148" s="605"/>
      <c r="E148" s="593"/>
      <c r="F148" s="559"/>
      <c r="G148" s="559"/>
      <c r="H148" s="597"/>
      <c r="I148" s="614"/>
      <c r="J148" s="392"/>
    </row>
    <row r="149" spans="1:10" ht="12.75" hidden="1">
      <c r="A149" s="401"/>
      <c r="B149" s="604" t="str">
        <f t="shared" si="3"/>
        <v/>
      </c>
      <c r="C149" s="558"/>
      <c r="D149" s="605"/>
      <c r="E149" s="593"/>
      <c r="F149" s="559"/>
      <c r="G149" s="559"/>
      <c r="H149" s="597"/>
      <c r="I149" s="614"/>
      <c r="J149" s="392"/>
    </row>
    <row r="150" spans="1:10" ht="12.75" hidden="1">
      <c r="A150" s="401"/>
      <c r="B150" s="604" t="str">
        <f t="shared" si="3"/>
        <v/>
      </c>
      <c r="C150" s="558"/>
      <c r="D150" s="605"/>
      <c r="E150" s="593"/>
      <c r="F150" s="559"/>
      <c r="G150" s="559"/>
      <c r="H150" s="597"/>
      <c r="I150" s="614"/>
      <c r="J150" s="392"/>
    </row>
    <row r="151" spans="1:10" ht="12.75" hidden="1">
      <c r="A151" s="401"/>
      <c r="B151" s="604" t="str">
        <f t="shared" si="3"/>
        <v/>
      </c>
      <c r="C151" s="558"/>
      <c r="D151" s="605"/>
      <c r="E151" s="593"/>
      <c r="F151" s="559"/>
      <c r="G151" s="559"/>
      <c r="H151" s="597"/>
      <c r="I151" s="614"/>
      <c r="J151" s="392"/>
    </row>
    <row r="152" spans="1:10" ht="12.75" hidden="1">
      <c r="A152" s="401"/>
      <c r="B152" s="604" t="str">
        <f t="shared" si="3"/>
        <v/>
      </c>
      <c r="C152" s="558"/>
      <c r="D152" s="605"/>
      <c r="E152" s="593"/>
      <c r="F152" s="559"/>
      <c r="G152" s="559"/>
      <c r="H152" s="597"/>
      <c r="I152" s="614"/>
      <c r="J152" s="392"/>
    </row>
    <row r="153" spans="1:10" ht="12.75" hidden="1">
      <c r="A153" s="401"/>
      <c r="B153" s="604" t="str">
        <f t="shared" si="3"/>
        <v/>
      </c>
      <c r="C153" s="558"/>
      <c r="D153" s="605"/>
      <c r="E153" s="593"/>
      <c r="F153" s="559"/>
      <c r="G153" s="559"/>
      <c r="H153" s="597"/>
      <c r="I153" s="614"/>
      <c r="J153" s="392"/>
    </row>
    <row r="154" spans="1:10" ht="12.75" hidden="1">
      <c r="A154" s="401"/>
      <c r="B154" s="604" t="str">
        <f t="shared" si="3"/>
        <v/>
      </c>
      <c r="C154" s="558"/>
      <c r="D154" s="605"/>
      <c r="E154" s="593"/>
      <c r="F154" s="559"/>
      <c r="G154" s="559"/>
      <c r="H154" s="597"/>
      <c r="I154" s="614"/>
      <c r="J154" s="392"/>
    </row>
    <row r="155" spans="1:10" ht="12.75" hidden="1">
      <c r="A155" s="401"/>
      <c r="B155" s="604" t="str">
        <f t="shared" si="3"/>
        <v/>
      </c>
      <c r="C155" s="558"/>
      <c r="D155" s="605"/>
      <c r="E155" s="593"/>
      <c r="F155" s="559"/>
      <c r="G155" s="559"/>
      <c r="H155" s="597"/>
      <c r="I155" s="614"/>
      <c r="J155" s="392"/>
    </row>
    <row r="156" spans="1:10" ht="12.75" hidden="1">
      <c r="A156" s="401"/>
      <c r="B156" s="604" t="str">
        <f t="shared" si="3"/>
        <v/>
      </c>
      <c r="C156" s="558"/>
      <c r="D156" s="605"/>
      <c r="E156" s="593"/>
      <c r="F156" s="559"/>
      <c r="G156" s="559"/>
      <c r="H156" s="597"/>
      <c r="I156" s="614"/>
      <c r="J156" s="392"/>
    </row>
    <row r="157" spans="1:10" ht="12.75" hidden="1">
      <c r="A157" s="401"/>
      <c r="B157" s="604" t="str">
        <f t="shared" si="3"/>
        <v/>
      </c>
      <c r="C157" s="558"/>
      <c r="D157" s="605"/>
      <c r="E157" s="593"/>
      <c r="F157" s="559"/>
      <c r="G157" s="559"/>
      <c r="H157" s="597"/>
      <c r="I157" s="614"/>
      <c r="J157" s="392"/>
    </row>
    <row r="158" spans="1:10" ht="12.75" hidden="1">
      <c r="A158" s="401"/>
      <c r="B158" s="604" t="str">
        <f t="shared" si="3"/>
        <v/>
      </c>
      <c r="C158" s="558"/>
      <c r="D158" s="605"/>
      <c r="E158" s="593"/>
      <c r="F158" s="559"/>
      <c r="G158" s="559"/>
      <c r="H158" s="597"/>
      <c r="I158" s="614"/>
      <c r="J158" s="392"/>
    </row>
    <row r="159" spans="1:10" ht="12.75" hidden="1">
      <c r="A159" s="401"/>
      <c r="B159" s="604" t="str">
        <f t="shared" si="3"/>
        <v/>
      </c>
      <c r="C159" s="558"/>
      <c r="D159" s="605"/>
      <c r="E159" s="593"/>
      <c r="F159" s="559"/>
      <c r="G159" s="559"/>
      <c r="H159" s="597"/>
      <c r="I159" s="614"/>
      <c r="J159" s="392"/>
    </row>
    <row r="160" spans="1:10" ht="12.75" hidden="1">
      <c r="A160" s="401"/>
      <c r="B160" s="604" t="str">
        <f t="shared" si="3"/>
        <v/>
      </c>
      <c r="C160" s="558"/>
      <c r="D160" s="605"/>
      <c r="E160" s="593"/>
      <c r="F160" s="559"/>
      <c r="G160" s="559"/>
      <c r="H160" s="597"/>
      <c r="I160" s="614"/>
      <c r="J160" s="392"/>
    </row>
    <row r="161" spans="1:10" ht="12.75" hidden="1">
      <c r="A161" s="401"/>
      <c r="B161" s="604" t="str">
        <f t="shared" si="3"/>
        <v/>
      </c>
      <c r="C161" s="558"/>
      <c r="D161" s="605"/>
      <c r="E161" s="593"/>
      <c r="F161" s="559"/>
      <c r="G161" s="559"/>
      <c r="H161" s="597"/>
      <c r="I161" s="614"/>
      <c r="J161" s="392"/>
    </row>
    <row r="162" spans="1:10" ht="12.75" hidden="1">
      <c r="A162" s="401"/>
      <c r="B162" s="604" t="str">
        <f t="shared" si="3"/>
        <v/>
      </c>
      <c r="C162" s="558"/>
      <c r="D162" s="605"/>
      <c r="E162" s="593"/>
      <c r="F162" s="559"/>
      <c r="G162" s="559"/>
      <c r="H162" s="597"/>
      <c r="I162" s="614"/>
      <c r="J162" s="392"/>
    </row>
    <row r="163" spans="1:10" ht="12.75" hidden="1">
      <c r="A163" s="401"/>
      <c r="B163" s="604" t="str">
        <f t="shared" si="3"/>
        <v/>
      </c>
      <c r="C163" s="558"/>
      <c r="D163" s="605"/>
      <c r="E163" s="593"/>
      <c r="F163" s="559"/>
      <c r="G163" s="559"/>
      <c r="H163" s="597"/>
      <c r="I163" s="614"/>
      <c r="J163" s="392"/>
    </row>
    <row r="164" spans="1:10" ht="12.75" hidden="1">
      <c r="A164" s="401"/>
      <c r="B164" s="604" t="str">
        <f t="shared" si="3"/>
        <v/>
      </c>
      <c r="C164" s="558"/>
      <c r="D164" s="605"/>
      <c r="E164" s="593"/>
      <c r="F164" s="559"/>
      <c r="G164" s="559"/>
      <c r="H164" s="597"/>
      <c r="I164" s="614"/>
      <c r="J164" s="392"/>
    </row>
    <row r="165" spans="1:10" ht="12.75" hidden="1">
      <c r="A165" s="401"/>
      <c r="B165" s="604" t="str">
        <f t="shared" si="3"/>
        <v/>
      </c>
      <c r="C165" s="558"/>
      <c r="D165" s="605"/>
      <c r="E165" s="593"/>
      <c r="F165" s="559"/>
      <c r="G165" s="559"/>
      <c r="H165" s="597"/>
      <c r="I165" s="614"/>
      <c r="J165" s="392"/>
    </row>
    <row r="166" spans="1:10" ht="12.75" hidden="1">
      <c r="A166" s="401"/>
      <c r="B166" s="604" t="str">
        <f t="shared" si="3"/>
        <v/>
      </c>
      <c r="C166" s="558"/>
      <c r="D166" s="605"/>
      <c r="E166" s="593"/>
      <c r="F166" s="559"/>
      <c r="G166" s="559"/>
      <c r="H166" s="597"/>
      <c r="I166" s="614"/>
      <c r="J166" s="392"/>
    </row>
    <row r="167" spans="1:10" ht="12.75" hidden="1">
      <c r="A167" s="401"/>
      <c r="B167" s="604" t="str">
        <f t="shared" si="3"/>
        <v/>
      </c>
      <c r="C167" s="558"/>
      <c r="D167" s="605"/>
      <c r="E167" s="593"/>
      <c r="F167" s="559"/>
      <c r="G167" s="559"/>
      <c r="H167" s="597"/>
      <c r="I167" s="614"/>
      <c r="J167" s="392"/>
    </row>
    <row r="168" spans="1:10" ht="12.75" hidden="1">
      <c r="A168" s="401"/>
      <c r="B168" s="604" t="str">
        <f t="shared" si="3"/>
        <v/>
      </c>
      <c r="C168" s="558"/>
      <c r="D168" s="605"/>
      <c r="E168" s="593"/>
      <c r="F168" s="559"/>
      <c r="G168" s="559"/>
      <c r="H168" s="597"/>
      <c r="I168" s="614"/>
      <c r="J168" s="392"/>
    </row>
    <row r="169" spans="1:10" ht="12.75" hidden="1">
      <c r="A169" s="401"/>
      <c r="B169" s="604" t="str">
        <f t="shared" si="3"/>
        <v/>
      </c>
      <c r="C169" s="558"/>
      <c r="D169" s="605"/>
      <c r="E169" s="593"/>
      <c r="F169" s="559"/>
      <c r="G169" s="559"/>
      <c r="H169" s="597"/>
      <c r="I169" s="614"/>
      <c r="J169" s="392"/>
    </row>
    <row r="170" spans="1:10" ht="12.75" hidden="1">
      <c r="A170" s="401"/>
      <c r="B170" s="604" t="str">
        <f t="shared" si="3"/>
        <v/>
      </c>
      <c r="C170" s="558"/>
      <c r="D170" s="605"/>
      <c r="E170" s="593"/>
      <c r="F170" s="559"/>
      <c r="G170" s="559"/>
      <c r="H170" s="597"/>
      <c r="I170" s="614"/>
      <c r="J170" s="392"/>
    </row>
    <row r="171" spans="1:10" ht="12.75" hidden="1">
      <c r="A171" s="401"/>
      <c r="B171" s="604" t="str">
        <f t="shared" si="3"/>
        <v/>
      </c>
      <c r="C171" s="558"/>
      <c r="D171" s="605"/>
      <c r="E171" s="593"/>
      <c r="F171" s="559"/>
      <c r="G171" s="559"/>
      <c r="H171" s="597"/>
      <c r="I171" s="614"/>
      <c r="J171" s="392"/>
    </row>
    <row r="172" spans="1:10" ht="12.75" hidden="1">
      <c r="A172" s="401"/>
      <c r="B172" s="604" t="str">
        <f t="shared" si="3"/>
        <v/>
      </c>
      <c r="C172" s="558"/>
      <c r="D172" s="605"/>
      <c r="E172" s="593"/>
      <c r="F172" s="559"/>
      <c r="G172" s="559"/>
      <c r="H172" s="597"/>
      <c r="I172" s="614"/>
      <c r="J172" s="392"/>
    </row>
    <row r="173" spans="1:10" ht="12.75" hidden="1">
      <c r="A173" s="401"/>
      <c r="B173" s="604" t="str">
        <f t="shared" si="3"/>
        <v/>
      </c>
      <c r="C173" s="558"/>
      <c r="D173" s="605"/>
      <c r="E173" s="593"/>
      <c r="F173" s="559"/>
      <c r="G173" s="559"/>
      <c r="H173" s="597"/>
      <c r="I173" s="614"/>
      <c r="J173" s="392"/>
    </row>
    <row r="174" spans="1:10" ht="12.75" hidden="1">
      <c r="A174" s="401"/>
      <c r="B174" s="604" t="str">
        <f t="shared" si="3"/>
        <v/>
      </c>
      <c r="C174" s="558"/>
      <c r="D174" s="605"/>
      <c r="E174" s="593"/>
      <c r="F174" s="559"/>
      <c r="G174" s="559"/>
      <c r="H174" s="597"/>
      <c r="I174" s="614"/>
      <c r="J174" s="392"/>
    </row>
    <row r="175" spans="1:10" ht="12.75" hidden="1">
      <c r="A175" s="401"/>
      <c r="B175" s="604" t="str">
        <f t="shared" si="3"/>
        <v/>
      </c>
      <c r="C175" s="558"/>
      <c r="D175" s="605"/>
      <c r="E175" s="593"/>
      <c r="F175" s="559"/>
      <c r="G175" s="559"/>
      <c r="H175" s="597"/>
      <c r="I175" s="614"/>
      <c r="J175" s="392"/>
    </row>
    <row r="176" spans="1:10" ht="12.75" hidden="1">
      <c r="A176" s="401"/>
      <c r="B176" s="604" t="str">
        <f t="shared" si="3"/>
        <v/>
      </c>
      <c r="C176" s="558"/>
      <c r="D176" s="605"/>
      <c r="E176" s="593"/>
      <c r="F176" s="559"/>
      <c r="G176" s="559"/>
      <c r="H176" s="597"/>
      <c r="I176" s="614"/>
      <c r="J176" s="392"/>
    </row>
    <row r="177" spans="1:10" ht="12.75" hidden="1">
      <c r="A177" s="401"/>
      <c r="B177" s="604" t="str">
        <f t="shared" si="3"/>
        <v/>
      </c>
      <c r="C177" s="558"/>
      <c r="D177" s="605"/>
      <c r="E177" s="593"/>
      <c r="F177" s="559"/>
      <c r="G177" s="559"/>
      <c r="H177" s="597"/>
      <c r="I177" s="614"/>
      <c r="J177" s="392"/>
    </row>
    <row r="178" spans="1:10" ht="12.75" hidden="1">
      <c r="A178" s="401"/>
      <c r="B178" s="604" t="str">
        <f t="shared" si="3"/>
        <v/>
      </c>
      <c r="C178" s="558"/>
      <c r="D178" s="605"/>
      <c r="E178" s="593"/>
      <c r="F178" s="559"/>
      <c r="G178" s="559"/>
      <c r="H178" s="597"/>
      <c r="I178" s="614"/>
      <c r="J178" s="392"/>
    </row>
    <row r="179" spans="1:10" ht="12.75" hidden="1">
      <c r="A179" s="401"/>
      <c r="B179" s="604" t="str">
        <f t="shared" si="3"/>
        <v/>
      </c>
      <c r="C179" s="558"/>
      <c r="D179" s="605"/>
      <c r="E179" s="593"/>
      <c r="F179" s="559"/>
      <c r="G179" s="559"/>
      <c r="H179" s="597"/>
      <c r="I179" s="614"/>
      <c r="J179" s="392"/>
    </row>
    <row r="180" spans="1:10" ht="12.75" hidden="1">
      <c r="A180" s="401"/>
      <c r="B180" s="604" t="str">
        <f t="shared" si="3"/>
        <v/>
      </c>
      <c r="C180" s="558"/>
      <c r="D180" s="605"/>
      <c r="E180" s="593"/>
      <c r="F180" s="559"/>
      <c r="G180" s="559"/>
      <c r="H180" s="597"/>
      <c r="I180" s="614"/>
      <c r="J180" s="392"/>
    </row>
    <row r="181" spans="1:10" ht="12.75" hidden="1">
      <c r="A181" s="401"/>
      <c r="B181" s="604" t="str">
        <f t="shared" si="3"/>
        <v/>
      </c>
      <c r="C181" s="558"/>
      <c r="D181" s="605"/>
      <c r="E181" s="593"/>
      <c r="F181" s="559"/>
      <c r="G181" s="559"/>
      <c r="H181" s="597"/>
      <c r="I181" s="614"/>
      <c r="J181" s="392"/>
    </row>
    <row r="182" spans="1:10" ht="12.75" hidden="1">
      <c r="A182" s="401"/>
      <c r="B182" s="604" t="str">
        <f t="shared" si="3"/>
        <v/>
      </c>
      <c r="C182" s="558"/>
      <c r="D182" s="605"/>
      <c r="E182" s="593"/>
      <c r="F182" s="559"/>
      <c r="G182" s="559"/>
      <c r="H182" s="597"/>
      <c r="I182" s="614"/>
      <c r="J182" s="392"/>
    </row>
    <row r="183" spans="1:10" ht="12.75" hidden="1">
      <c r="A183" s="401"/>
      <c r="B183" s="604" t="str">
        <f t="shared" si="3"/>
        <v/>
      </c>
      <c r="C183" s="558"/>
      <c r="D183" s="605"/>
      <c r="E183" s="593"/>
      <c r="F183" s="559"/>
      <c r="G183" s="559"/>
      <c r="H183" s="597"/>
      <c r="I183" s="614"/>
      <c r="J183" s="392"/>
    </row>
    <row r="184" spans="1:10" ht="12.75" hidden="1">
      <c r="A184" s="401"/>
      <c r="B184" s="604" t="str">
        <f t="shared" si="3"/>
        <v/>
      </c>
      <c r="C184" s="558"/>
      <c r="D184" s="605"/>
      <c r="E184" s="593"/>
      <c r="F184" s="559"/>
      <c r="G184" s="559"/>
      <c r="H184" s="597"/>
      <c r="I184" s="614"/>
      <c r="J184" s="392"/>
    </row>
    <row r="185" spans="1:10" ht="12.75" hidden="1">
      <c r="A185" s="401"/>
      <c r="B185" s="604" t="str">
        <f t="shared" si="3"/>
        <v/>
      </c>
      <c r="C185" s="558"/>
      <c r="D185" s="605"/>
      <c r="E185" s="593"/>
      <c r="F185" s="559"/>
      <c r="G185" s="559"/>
      <c r="H185" s="597"/>
      <c r="I185" s="614"/>
      <c r="J185" s="392"/>
    </row>
    <row r="186" spans="1:10" ht="12.75" hidden="1">
      <c r="A186" s="401"/>
      <c r="B186" s="604" t="str">
        <f t="shared" si="3"/>
        <v/>
      </c>
      <c r="C186" s="558"/>
      <c r="D186" s="605"/>
      <c r="E186" s="593"/>
      <c r="F186" s="559"/>
      <c r="G186" s="559"/>
      <c r="H186" s="597"/>
      <c r="I186" s="614"/>
      <c r="J186" s="392"/>
    </row>
    <row r="187" spans="1:10" ht="12.75" hidden="1">
      <c r="A187" s="401"/>
      <c r="B187" s="604" t="str">
        <f t="shared" si="3"/>
        <v/>
      </c>
      <c r="C187" s="558"/>
      <c r="D187" s="605"/>
      <c r="E187" s="593"/>
      <c r="F187" s="559"/>
      <c r="G187" s="559"/>
      <c r="H187" s="597"/>
      <c r="I187" s="614"/>
      <c r="J187" s="392"/>
    </row>
    <row r="188" spans="1:10" ht="12.75" hidden="1">
      <c r="A188" s="401"/>
      <c r="B188" s="604" t="str">
        <f t="shared" si="3"/>
        <v/>
      </c>
      <c r="C188" s="558"/>
      <c r="D188" s="605"/>
      <c r="E188" s="593"/>
      <c r="F188" s="559"/>
      <c r="G188" s="559"/>
      <c r="H188" s="597"/>
      <c r="I188" s="614"/>
      <c r="J188" s="392"/>
    </row>
    <row r="189" spans="1:10" ht="12.75" hidden="1">
      <c r="A189" s="401"/>
      <c r="B189" s="604" t="str">
        <f t="shared" si="3"/>
        <v/>
      </c>
      <c r="C189" s="558"/>
      <c r="D189" s="605"/>
      <c r="E189" s="593"/>
      <c r="F189" s="559"/>
      <c r="G189" s="559"/>
      <c r="H189" s="597"/>
      <c r="I189" s="614"/>
      <c r="J189" s="392"/>
    </row>
    <row r="190" spans="1:10" ht="12.75" hidden="1">
      <c r="A190" s="401"/>
      <c r="B190" s="604" t="str">
        <f t="shared" si="3"/>
        <v/>
      </c>
      <c r="C190" s="558"/>
      <c r="D190" s="605"/>
      <c r="E190" s="593"/>
      <c r="F190" s="559"/>
      <c r="G190" s="559"/>
      <c r="H190" s="597"/>
      <c r="I190" s="614"/>
      <c r="J190" s="392"/>
    </row>
    <row r="191" spans="1:10" ht="12.75" hidden="1">
      <c r="A191" s="401"/>
      <c r="B191" s="604" t="str">
        <f t="shared" si="3"/>
        <v/>
      </c>
      <c r="C191" s="558"/>
      <c r="D191" s="605"/>
      <c r="E191" s="593"/>
      <c r="F191" s="559"/>
      <c r="G191" s="559"/>
      <c r="H191" s="597"/>
      <c r="I191" s="614"/>
      <c r="J191" s="392"/>
    </row>
    <row r="192" spans="1:10" ht="12.75" hidden="1">
      <c r="A192" s="401"/>
      <c r="B192" s="604" t="str">
        <f t="shared" si="3"/>
        <v/>
      </c>
      <c r="C192" s="558"/>
      <c r="D192" s="605"/>
      <c r="E192" s="593"/>
      <c r="F192" s="559"/>
      <c r="G192" s="559"/>
      <c r="H192" s="597"/>
      <c r="I192" s="614"/>
      <c r="J192" s="392"/>
    </row>
    <row r="193" spans="1:10" ht="12.75" hidden="1">
      <c r="A193" s="401"/>
      <c r="B193" s="604" t="str">
        <f t="shared" si="3"/>
        <v/>
      </c>
      <c r="C193" s="558"/>
      <c r="D193" s="605"/>
      <c r="E193" s="593"/>
      <c r="F193" s="559"/>
      <c r="G193" s="559"/>
      <c r="H193" s="597"/>
      <c r="I193" s="614"/>
      <c r="J193" s="392"/>
    </row>
    <row r="194" spans="1:10" ht="12.75" hidden="1">
      <c r="A194" s="401"/>
      <c r="B194" s="604" t="str">
        <f t="shared" si="3"/>
        <v/>
      </c>
      <c r="C194" s="558"/>
      <c r="D194" s="605"/>
      <c r="E194" s="593"/>
      <c r="F194" s="559"/>
      <c r="G194" s="559"/>
      <c r="H194" s="597"/>
      <c r="I194" s="614"/>
      <c r="J194" s="392"/>
    </row>
    <row r="195" spans="1:10" ht="12.75" hidden="1">
      <c r="A195" s="401"/>
      <c r="B195" s="604" t="str">
        <f t="shared" si="3"/>
        <v/>
      </c>
      <c r="C195" s="558"/>
      <c r="D195" s="605"/>
      <c r="E195" s="593"/>
      <c r="F195" s="559"/>
      <c r="G195" s="559"/>
      <c r="H195" s="597"/>
      <c r="I195" s="614"/>
      <c r="J195" s="392"/>
    </row>
    <row r="196" spans="1:10" ht="12.75" hidden="1">
      <c r="A196" s="401"/>
      <c r="B196" s="604" t="str">
        <f t="shared" si="3"/>
        <v/>
      </c>
      <c r="C196" s="558"/>
      <c r="D196" s="605"/>
      <c r="E196" s="593"/>
      <c r="F196" s="559"/>
      <c r="G196" s="559"/>
      <c r="H196" s="597"/>
      <c r="I196" s="614"/>
      <c r="J196" s="392"/>
    </row>
    <row r="197" spans="1:10" ht="12.75" hidden="1">
      <c r="A197" s="401"/>
      <c r="B197" s="604" t="str">
        <f t="shared" si="3"/>
        <v/>
      </c>
      <c r="C197" s="558"/>
      <c r="D197" s="605"/>
      <c r="E197" s="593"/>
      <c r="F197" s="559"/>
      <c r="G197" s="559"/>
      <c r="H197" s="597"/>
      <c r="I197" s="614"/>
      <c r="J197" s="392"/>
    </row>
    <row r="198" spans="1:10" ht="12.75" hidden="1">
      <c r="A198" s="401"/>
      <c r="B198" s="604" t="str">
        <f t="shared" si="3"/>
        <v/>
      </c>
      <c r="C198" s="558"/>
      <c r="D198" s="605"/>
      <c r="E198" s="593"/>
      <c r="F198" s="559"/>
      <c r="G198" s="559"/>
      <c r="H198" s="597"/>
      <c r="I198" s="614"/>
      <c r="J198" s="392"/>
    </row>
    <row r="199" spans="1:10" ht="12.75" hidden="1">
      <c r="A199" s="401"/>
      <c r="B199" s="604" t="str">
        <f t="shared" si="3"/>
        <v/>
      </c>
      <c r="C199" s="558"/>
      <c r="D199" s="605"/>
      <c r="E199" s="593"/>
      <c r="F199" s="559"/>
      <c r="G199" s="559"/>
      <c r="H199" s="597"/>
      <c r="I199" s="614"/>
      <c r="J199" s="392"/>
    </row>
    <row r="200" spans="1:10" ht="12.75" hidden="1">
      <c r="A200" s="401"/>
      <c r="B200" s="604" t="str">
        <f t="shared" si="3"/>
        <v/>
      </c>
      <c r="C200" s="558"/>
      <c r="D200" s="605"/>
      <c r="E200" s="593"/>
      <c r="F200" s="559"/>
      <c r="G200" s="559"/>
      <c r="H200" s="597"/>
      <c r="I200" s="614"/>
      <c r="J200" s="401"/>
    </row>
    <row r="201" spans="1:10" ht="12.75" hidden="1">
      <c r="A201" s="401"/>
      <c r="B201" s="604" t="str">
        <f t="shared" si="3"/>
        <v/>
      </c>
      <c r="C201" s="558"/>
      <c r="D201" s="605"/>
      <c r="E201" s="593"/>
      <c r="F201" s="559"/>
      <c r="G201" s="559"/>
      <c r="H201" s="597"/>
      <c r="I201" s="614"/>
      <c r="J201" s="401"/>
    </row>
    <row r="202" spans="1:10" ht="12.75" hidden="1">
      <c r="A202" s="401"/>
      <c r="B202" s="604" t="str">
        <f t="shared" ref="B202:B205" si="4">IF(C202="","",B201+1)</f>
        <v/>
      </c>
      <c r="C202" s="558"/>
      <c r="D202" s="605"/>
      <c r="E202" s="593"/>
      <c r="F202" s="559"/>
      <c r="G202" s="559"/>
      <c r="H202" s="597"/>
      <c r="I202" s="614"/>
      <c r="J202" s="401"/>
    </row>
    <row r="203" spans="1:10" ht="12.75" hidden="1">
      <c r="A203" s="401"/>
      <c r="B203" s="604" t="str">
        <f t="shared" si="4"/>
        <v/>
      </c>
      <c r="C203" s="558"/>
      <c r="D203" s="605"/>
      <c r="E203" s="593"/>
      <c r="F203" s="559"/>
      <c r="G203" s="559"/>
      <c r="H203" s="597"/>
      <c r="I203" s="614"/>
      <c r="J203" s="401"/>
    </row>
    <row r="204" spans="1:10" ht="12.75" hidden="1">
      <c r="A204" s="401"/>
      <c r="B204" s="604" t="str">
        <f t="shared" si="4"/>
        <v/>
      </c>
      <c r="C204" s="558"/>
      <c r="D204" s="605"/>
      <c r="E204" s="593"/>
      <c r="F204" s="559"/>
      <c r="G204" s="559"/>
      <c r="H204" s="597"/>
      <c r="I204" s="614"/>
      <c r="J204" s="401"/>
    </row>
    <row r="205" spans="1:10" ht="13.5" hidden="1" thickBot="1">
      <c r="A205" s="401"/>
      <c r="B205" s="606" t="str">
        <f t="shared" si="4"/>
        <v/>
      </c>
      <c r="C205" s="607"/>
      <c r="D205" s="608"/>
      <c r="E205" s="603"/>
      <c r="F205" s="599"/>
      <c r="G205" s="599"/>
      <c r="H205" s="600"/>
      <c r="I205" s="615"/>
    </row>
    <row r="206" spans="1:10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</row>
    <row r="207" spans="1:10" ht="12.75" hidden="1" customHeight="1"/>
  </sheetData>
  <mergeCells count="4">
    <mergeCell ref="B1:I1"/>
    <mergeCell ref="B2:I2"/>
    <mergeCell ref="B3:I3"/>
    <mergeCell ref="B5:D5"/>
  </mergeCells>
  <conditionalFormatting sqref="H8:H204">
    <cfRule type="cellIs" dxfId="8" priority="2" operator="lessThan">
      <formula>0</formula>
    </cfRule>
  </conditionalFormatting>
  <conditionalFormatting sqref="H205">
    <cfRule type="cellIs" dxfId="7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K207"/>
  <sheetViews>
    <sheetView showRowColHeaders="0" workbookViewId="0">
      <selection activeCell="I8" sqref="I8"/>
    </sheetView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392"/>
    </row>
    <row r="2" spans="1:10" ht="20.25">
      <c r="A2" s="401"/>
      <c r="B2" s="1190" t="s">
        <v>559</v>
      </c>
      <c r="C2" s="1190"/>
      <c r="D2" s="1190"/>
      <c r="E2" s="1190"/>
      <c r="F2" s="1190"/>
      <c r="G2" s="1190"/>
      <c r="H2" s="1190"/>
      <c r="I2" s="1190"/>
      <c r="J2" s="392"/>
    </row>
    <row r="3" spans="1:10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392"/>
    </row>
    <row r="4" spans="1:10" ht="12.75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609" t="s">
        <v>412</v>
      </c>
      <c r="J4" s="392"/>
    </row>
    <row r="5" spans="1:10" ht="13.5" thickBot="1">
      <c r="A5" s="401"/>
      <c r="B5" s="1192" t="s">
        <v>69</v>
      </c>
      <c r="C5" s="1192"/>
      <c r="D5" s="1192"/>
      <c r="E5" s="581">
        <f>SUM(E8:E204)</f>
        <v>0</v>
      </c>
      <c r="F5" s="582">
        <f>SUM(F8:F204)</f>
        <v>278338</v>
      </c>
      <c r="G5" s="582">
        <f>SUM(G8:G204)</f>
        <v>0</v>
      </c>
      <c r="H5" s="583">
        <f>SUM(H8:H204)</f>
        <v>278338</v>
      </c>
      <c r="I5" s="610">
        <f>SUM(I8:I204)</f>
        <v>0</v>
      </c>
      <c r="J5" s="392"/>
    </row>
    <row r="6" spans="1:10" ht="13.5" thickBot="1">
      <c r="A6" s="401"/>
      <c r="B6" s="392"/>
      <c r="C6" s="392"/>
      <c r="D6" s="392"/>
      <c r="E6" s="392"/>
      <c r="F6" s="392"/>
      <c r="G6" s="392"/>
      <c r="H6" s="392"/>
      <c r="I6" s="392"/>
      <c r="J6" s="392"/>
    </row>
    <row r="7" spans="1:10" ht="13.5" thickBot="1">
      <c r="A7" s="401"/>
      <c r="B7" s="586" t="s">
        <v>326</v>
      </c>
      <c r="C7" s="587" t="s">
        <v>224</v>
      </c>
      <c r="D7" s="587" t="s">
        <v>413</v>
      </c>
      <c r="E7" s="587" t="s">
        <v>410</v>
      </c>
      <c r="F7" s="587" t="s">
        <v>8</v>
      </c>
      <c r="G7" s="587" t="s">
        <v>411</v>
      </c>
      <c r="H7" s="588" t="s">
        <v>11</v>
      </c>
      <c r="I7" s="612" t="s">
        <v>412</v>
      </c>
      <c r="J7" s="392"/>
    </row>
    <row r="8" spans="1:10" ht="12.75">
      <c r="A8" s="401"/>
      <c r="B8" s="632">
        <f>IF(C8="","",1)</f>
        <v>1</v>
      </c>
      <c r="C8" s="633">
        <f>[1]Dados!$E$3</f>
        <v>400090</v>
      </c>
      <c r="D8" s="649" t="str">
        <f>[1]Dados!$E$69</f>
        <v>CEI - JARDIM KAGOHARA</v>
      </c>
      <c r="E8" s="643">
        <f>[1]MOD_2_livre_aplicacao!$C$15</f>
        <v>0</v>
      </c>
      <c r="F8" s="643">
        <f>[1]MOD_2_livre_aplicacao!$G$15</f>
        <v>37701</v>
      </c>
      <c r="G8" s="643">
        <f>[1]MOD_2_livre_aplicacao!$P$15</f>
        <v>0</v>
      </c>
      <c r="H8" s="644">
        <f t="shared" ref="H8:H12" si="0">(E8+F8)-G8</f>
        <v>37701</v>
      </c>
      <c r="I8" s="646">
        <f>[1]MENU!$AD$83</f>
        <v>0</v>
      </c>
      <c r="J8" s="392"/>
    </row>
    <row r="9" spans="1:10" ht="12.75">
      <c r="A9" s="401"/>
      <c r="B9" s="604">
        <f>IF(C9="","",B8+1)</f>
        <v>2</v>
      </c>
      <c r="C9" s="558">
        <f>[2]Dados!$E$3</f>
        <v>92908</v>
      </c>
      <c r="D9" s="560" t="str">
        <f>[2]Dados!$E$69</f>
        <v>EMEF - CLEMENTE PASTORE, PROF.</v>
      </c>
      <c r="E9" s="559">
        <f>[2]MOD_2_livre_aplicacao!$C$15</f>
        <v>0</v>
      </c>
      <c r="F9" s="559">
        <f>[2]MOD_2_livre_aplicacao!$G$15</f>
        <v>57592</v>
      </c>
      <c r="G9" s="559">
        <f>[2]MOD_2_livre_aplicacao!$P$15</f>
        <v>0</v>
      </c>
      <c r="H9" s="597">
        <f t="shared" si="0"/>
        <v>57592</v>
      </c>
      <c r="I9" s="614">
        <f>[2]MENU!$AD$83</f>
        <v>0</v>
      </c>
      <c r="J9" s="392"/>
    </row>
    <row r="10" spans="1:10" ht="12.75">
      <c r="A10" s="401"/>
      <c r="B10" s="604">
        <f t="shared" ref="B10:B73" si="1">IF(C10="","",B9+1)</f>
        <v>3</v>
      </c>
      <c r="C10" s="558">
        <f>[3]Dados!$E$3</f>
        <v>99228</v>
      </c>
      <c r="D10" s="560" t="str">
        <f>[3]Dados!$E$69</f>
        <v>EMEF - JOAO PEDRO DE CARVALHO NETO, DR.</v>
      </c>
      <c r="E10" s="559">
        <f>[3]MOD_2_livre_aplicacao!$C$15</f>
        <v>0</v>
      </c>
      <c r="F10" s="559">
        <f>[3]MOD_2_livre_aplicacao!$G$15</f>
        <v>50550</v>
      </c>
      <c r="G10" s="559">
        <f>[3]MOD_2_livre_aplicacao!$P$15</f>
        <v>0</v>
      </c>
      <c r="H10" s="597">
        <f t="shared" si="0"/>
        <v>50550</v>
      </c>
      <c r="I10" s="614">
        <f>[3]MENU!$AD$83</f>
        <v>0</v>
      </c>
      <c r="J10" s="392"/>
    </row>
    <row r="11" spans="1:10" ht="12.75">
      <c r="A11" s="401"/>
      <c r="B11" s="604">
        <f t="shared" si="1"/>
        <v>4</v>
      </c>
      <c r="C11" s="558">
        <f>[4]Dados!$E$3</f>
        <v>19490</v>
      </c>
      <c r="D11" s="560" t="str">
        <f>[4]Dados!$E$69</f>
        <v>EMEI - CAMPO LIMPO VI</v>
      </c>
      <c r="E11" s="559">
        <f>[4]MOD_2_livre_aplicacao!$C$15</f>
        <v>0</v>
      </c>
      <c r="F11" s="559">
        <f>[4]MOD_2_livre_aplicacao!$G$15</f>
        <v>52411</v>
      </c>
      <c r="G11" s="559">
        <f>[4]MOD_2_livre_aplicacao!$P$15</f>
        <v>0</v>
      </c>
      <c r="H11" s="597">
        <f t="shared" si="0"/>
        <v>52411</v>
      </c>
      <c r="I11" s="614">
        <f>[4]MENU!$AD$83</f>
        <v>0</v>
      </c>
      <c r="J11" s="392"/>
    </row>
    <row r="12" spans="1:10" ht="13.5" thickBot="1">
      <c r="A12" s="401"/>
      <c r="B12" s="606">
        <f t="shared" si="1"/>
        <v>5</v>
      </c>
      <c r="C12" s="607">
        <f>[5]Dados!$E$3</f>
        <v>200252</v>
      </c>
      <c r="D12" s="647" t="str">
        <f>[5]Dados!$E$69</f>
        <v>CEU - CAPAO REDONDO - CELSO SEIXAS RIBEIRO BASTOS, PROF. E DR.</v>
      </c>
      <c r="E12" s="599">
        <f>[5]MOD_2_livre_aplicacao!$C$15</f>
        <v>0</v>
      </c>
      <c r="F12" s="599">
        <f>[5]MOD_2_livre_aplicacao!$G$15</f>
        <v>80084</v>
      </c>
      <c r="G12" s="599">
        <f>[5]MOD_2_livre_aplicacao!$P$15</f>
        <v>0</v>
      </c>
      <c r="H12" s="600">
        <f t="shared" si="0"/>
        <v>80084</v>
      </c>
      <c r="I12" s="615">
        <f>[5]MENU!$AD$83</f>
        <v>0</v>
      </c>
      <c r="J12" s="392"/>
    </row>
    <row r="13" spans="1:10" ht="12.75" hidden="1">
      <c r="A13" s="401"/>
      <c r="B13" s="639" t="str">
        <f t="shared" si="1"/>
        <v/>
      </c>
      <c r="C13" s="640"/>
      <c r="D13" s="703"/>
      <c r="E13" s="584"/>
      <c r="F13" s="584"/>
      <c r="G13" s="584"/>
      <c r="H13" s="595"/>
      <c r="I13" s="613"/>
      <c r="J13" s="392"/>
    </row>
    <row r="14" spans="1:10" ht="12.75" hidden="1">
      <c r="A14" s="401"/>
      <c r="B14" s="604" t="str">
        <f t="shared" si="1"/>
        <v/>
      </c>
      <c r="C14" s="558"/>
      <c r="D14" s="560"/>
      <c r="E14" s="559"/>
      <c r="F14" s="559"/>
      <c r="G14" s="559"/>
      <c r="H14" s="597"/>
      <c r="I14" s="614"/>
      <c r="J14" s="392"/>
    </row>
    <row r="15" spans="1:10" ht="12.75" hidden="1">
      <c r="A15" s="401"/>
      <c r="B15" s="604" t="str">
        <f t="shared" si="1"/>
        <v/>
      </c>
      <c r="C15" s="558"/>
      <c r="D15" s="560"/>
      <c r="E15" s="559"/>
      <c r="F15" s="559"/>
      <c r="G15" s="559"/>
      <c r="H15" s="597"/>
      <c r="I15" s="614"/>
      <c r="J15" s="392"/>
    </row>
    <row r="16" spans="1:10" ht="12.75" hidden="1">
      <c r="A16" s="401"/>
      <c r="B16" s="604" t="str">
        <f t="shared" si="1"/>
        <v/>
      </c>
      <c r="C16" s="558"/>
      <c r="D16" s="560"/>
      <c r="E16" s="559"/>
      <c r="F16" s="559"/>
      <c r="G16" s="559"/>
      <c r="H16" s="597"/>
      <c r="I16" s="614"/>
      <c r="J16" s="392"/>
    </row>
    <row r="17" spans="1:10" ht="12.75" hidden="1">
      <c r="A17" s="401"/>
      <c r="B17" s="604" t="str">
        <f t="shared" si="1"/>
        <v/>
      </c>
      <c r="C17" s="558"/>
      <c r="D17" s="560"/>
      <c r="E17" s="559"/>
      <c r="F17" s="559"/>
      <c r="G17" s="559"/>
      <c r="H17" s="597"/>
      <c r="I17" s="614"/>
      <c r="J17" s="392"/>
    </row>
    <row r="18" spans="1:10" ht="12.75" hidden="1">
      <c r="A18" s="401"/>
      <c r="B18" s="604" t="str">
        <f t="shared" si="1"/>
        <v/>
      </c>
      <c r="C18" s="558"/>
      <c r="D18" s="560"/>
      <c r="E18" s="559"/>
      <c r="F18" s="559"/>
      <c r="G18" s="559"/>
      <c r="H18" s="597"/>
      <c r="I18" s="614"/>
      <c r="J18" s="392"/>
    </row>
    <row r="19" spans="1:10" ht="12.75" hidden="1">
      <c r="A19" s="401"/>
      <c r="B19" s="604" t="str">
        <f t="shared" si="1"/>
        <v/>
      </c>
      <c r="C19" s="558"/>
      <c r="D19" s="560"/>
      <c r="E19" s="559"/>
      <c r="F19" s="559"/>
      <c r="G19" s="559"/>
      <c r="H19" s="597"/>
      <c r="I19" s="614"/>
      <c r="J19" s="392"/>
    </row>
    <row r="20" spans="1:10" ht="12.75" hidden="1">
      <c r="A20" s="401"/>
      <c r="B20" s="604" t="str">
        <f t="shared" si="1"/>
        <v/>
      </c>
      <c r="C20" s="558"/>
      <c r="D20" s="560"/>
      <c r="E20" s="559"/>
      <c r="F20" s="559"/>
      <c r="G20" s="559"/>
      <c r="H20" s="597"/>
      <c r="I20" s="614"/>
      <c r="J20" s="392"/>
    </row>
    <row r="21" spans="1:10" ht="12.75" hidden="1">
      <c r="A21" s="401"/>
      <c r="B21" s="604" t="str">
        <f t="shared" si="1"/>
        <v/>
      </c>
      <c r="C21" s="558"/>
      <c r="D21" s="560"/>
      <c r="E21" s="559"/>
      <c r="F21" s="559"/>
      <c r="G21" s="559"/>
      <c r="H21" s="597"/>
      <c r="I21" s="614"/>
      <c r="J21" s="392"/>
    </row>
    <row r="22" spans="1:10" ht="12.75" hidden="1">
      <c r="A22" s="401"/>
      <c r="B22" s="604" t="str">
        <f t="shared" si="1"/>
        <v/>
      </c>
      <c r="C22" s="558"/>
      <c r="D22" s="560"/>
      <c r="E22" s="559"/>
      <c r="F22" s="559"/>
      <c r="G22" s="559"/>
      <c r="H22" s="597"/>
      <c r="I22" s="614"/>
      <c r="J22" s="392"/>
    </row>
    <row r="23" spans="1:10" ht="12.75" hidden="1">
      <c r="A23" s="401"/>
      <c r="B23" s="604" t="str">
        <f t="shared" si="1"/>
        <v/>
      </c>
      <c r="C23" s="558"/>
      <c r="D23" s="560"/>
      <c r="E23" s="559"/>
      <c r="F23" s="559"/>
      <c r="G23" s="559"/>
      <c r="H23" s="597"/>
      <c r="I23" s="614"/>
      <c r="J23" s="392"/>
    </row>
    <row r="24" spans="1:10" ht="12.75" hidden="1">
      <c r="A24" s="401"/>
      <c r="B24" s="604" t="str">
        <f t="shared" si="1"/>
        <v/>
      </c>
      <c r="C24" s="558"/>
      <c r="D24" s="560"/>
      <c r="E24" s="559"/>
      <c r="F24" s="559"/>
      <c r="G24" s="559"/>
      <c r="H24" s="597"/>
      <c r="I24" s="614"/>
      <c r="J24" s="392"/>
    </row>
    <row r="25" spans="1:10" ht="12.75" hidden="1">
      <c r="A25" s="401"/>
      <c r="B25" s="604" t="str">
        <f t="shared" si="1"/>
        <v/>
      </c>
      <c r="C25" s="558"/>
      <c r="D25" s="560"/>
      <c r="E25" s="559"/>
      <c r="F25" s="559"/>
      <c r="G25" s="559"/>
      <c r="H25" s="597"/>
      <c r="I25" s="614"/>
      <c r="J25" s="392"/>
    </row>
    <row r="26" spans="1:10" ht="12.75" hidden="1">
      <c r="A26" s="401"/>
      <c r="B26" s="604" t="str">
        <f t="shared" si="1"/>
        <v/>
      </c>
      <c r="C26" s="558"/>
      <c r="D26" s="560"/>
      <c r="E26" s="559"/>
      <c r="F26" s="559"/>
      <c r="G26" s="559"/>
      <c r="H26" s="597"/>
      <c r="I26" s="614"/>
      <c r="J26" s="392"/>
    </row>
    <row r="27" spans="1:10" ht="12.75" hidden="1">
      <c r="A27" s="401"/>
      <c r="B27" s="604" t="str">
        <f t="shared" si="1"/>
        <v/>
      </c>
      <c r="C27" s="558"/>
      <c r="D27" s="560"/>
      <c r="E27" s="559"/>
      <c r="F27" s="559"/>
      <c r="G27" s="559"/>
      <c r="H27" s="597"/>
      <c r="I27" s="614"/>
      <c r="J27" s="392"/>
    </row>
    <row r="28" spans="1:10" ht="12.75" hidden="1">
      <c r="A28" s="401"/>
      <c r="B28" s="604" t="str">
        <f t="shared" si="1"/>
        <v/>
      </c>
      <c r="C28" s="558"/>
      <c r="D28" s="560"/>
      <c r="E28" s="559"/>
      <c r="F28" s="559"/>
      <c r="G28" s="559"/>
      <c r="H28" s="597"/>
      <c r="I28" s="614"/>
      <c r="J28" s="392"/>
    </row>
    <row r="29" spans="1:10" ht="12.75" hidden="1">
      <c r="A29" s="401"/>
      <c r="B29" s="604" t="str">
        <f t="shared" si="1"/>
        <v/>
      </c>
      <c r="C29" s="558"/>
      <c r="D29" s="560"/>
      <c r="E29" s="559"/>
      <c r="F29" s="559"/>
      <c r="G29" s="559"/>
      <c r="H29" s="597"/>
      <c r="I29" s="614"/>
      <c r="J29" s="392"/>
    </row>
    <row r="30" spans="1:10" ht="12.75" hidden="1">
      <c r="A30" s="401"/>
      <c r="B30" s="604" t="str">
        <f t="shared" si="1"/>
        <v/>
      </c>
      <c r="C30" s="558"/>
      <c r="D30" s="560"/>
      <c r="E30" s="559"/>
      <c r="F30" s="559"/>
      <c r="G30" s="559"/>
      <c r="H30" s="597"/>
      <c r="I30" s="614"/>
      <c r="J30" s="392"/>
    </row>
    <row r="31" spans="1:10" ht="12.75" hidden="1">
      <c r="A31" s="401"/>
      <c r="B31" s="604" t="str">
        <f t="shared" si="1"/>
        <v/>
      </c>
      <c r="C31" s="558"/>
      <c r="D31" s="560"/>
      <c r="E31" s="559"/>
      <c r="F31" s="559"/>
      <c r="G31" s="559"/>
      <c r="H31" s="597"/>
      <c r="I31" s="614"/>
      <c r="J31" s="392"/>
    </row>
    <row r="32" spans="1:10" ht="12.75" hidden="1">
      <c r="A32" s="401"/>
      <c r="B32" s="604" t="str">
        <f t="shared" si="1"/>
        <v/>
      </c>
      <c r="C32" s="558"/>
      <c r="D32" s="560"/>
      <c r="E32" s="559"/>
      <c r="F32" s="559"/>
      <c r="G32" s="559"/>
      <c r="H32" s="597"/>
      <c r="I32" s="614"/>
      <c r="J32" s="392"/>
    </row>
    <row r="33" spans="1:10" ht="12.75" hidden="1">
      <c r="A33" s="401"/>
      <c r="B33" s="604" t="str">
        <f t="shared" si="1"/>
        <v/>
      </c>
      <c r="C33" s="558"/>
      <c r="D33" s="560"/>
      <c r="E33" s="559"/>
      <c r="F33" s="559"/>
      <c r="G33" s="559"/>
      <c r="H33" s="597"/>
      <c r="I33" s="614"/>
      <c r="J33" s="392"/>
    </row>
    <row r="34" spans="1:10" ht="12.75" hidden="1">
      <c r="A34" s="401"/>
      <c r="B34" s="604" t="str">
        <f t="shared" si="1"/>
        <v/>
      </c>
      <c r="C34" s="558"/>
      <c r="D34" s="560"/>
      <c r="E34" s="559"/>
      <c r="F34" s="559"/>
      <c r="G34" s="559"/>
      <c r="H34" s="597"/>
      <c r="I34" s="614"/>
      <c r="J34" s="392"/>
    </row>
    <row r="35" spans="1:10" ht="12.75" hidden="1">
      <c r="A35" s="401"/>
      <c r="B35" s="604" t="str">
        <f t="shared" si="1"/>
        <v/>
      </c>
      <c r="C35" s="558"/>
      <c r="D35" s="560"/>
      <c r="E35" s="559"/>
      <c r="F35" s="559"/>
      <c r="G35" s="559"/>
      <c r="H35" s="597"/>
      <c r="I35" s="614"/>
      <c r="J35" s="392"/>
    </row>
    <row r="36" spans="1:10" ht="12.75" hidden="1">
      <c r="A36" s="401"/>
      <c r="B36" s="604" t="str">
        <f t="shared" si="1"/>
        <v/>
      </c>
      <c r="C36" s="558"/>
      <c r="D36" s="560"/>
      <c r="E36" s="559"/>
      <c r="F36" s="559"/>
      <c r="G36" s="559"/>
      <c r="H36" s="597"/>
      <c r="I36" s="614"/>
      <c r="J36" s="392"/>
    </row>
    <row r="37" spans="1:10" ht="12.75" hidden="1">
      <c r="A37" s="401"/>
      <c r="B37" s="604" t="str">
        <f t="shared" si="1"/>
        <v/>
      </c>
      <c r="C37" s="558"/>
      <c r="D37" s="560"/>
      <c r="E37" s="559"/>
      <c r="F37" s="559"/>
      <c r="G37" s="559"/>
      <c r="H37" s="597"/>
      <c r="I37" s="614"/>
      <c r="J37" s="392"/>
    </row>
    <row r="38" spans="1:10" ht="12.75" hidden="1">
      <c r="A38" s="401"/>
      <c r="B38" s="604" t="str">
        <f t="shared" si="1"/>
        <v/>
      </c>
      <c r="C38" s="558"/>
      <c r="D38" s="560"/>
      <c r="E38" s="559"/>
      <c r="F38" s="559"/>
      <c r="G38" s="559"/>
      <c r="H38" s="597"/>
      <c r="I38" s="614"/>
      <c r="J38" s="392"/>
    </row>
    <row r="39" spans="1:10" ht="12.75" hidden="1">
      <c r="A39" s="401"/>
      <c r="B39" s="604" t="str">
        <f t="shared" si="1"/>
        <v/>
      </c>
      <c r="C39" s="558"/>
      <c r="D39" s="560"/>
      <c r="E39" s="559"/>
      <c r="F39" s="559"/>
      <c r="G39" s="559"/>
      <c r="H39" s="597"/>
      <c r="I39" s="614"/>
      <c r="J39" s="392"/>
    </row>
    <row r="40" spans="1:10" ht="12.75" hidden="1">
      <c r="A40" s="401"/>
      <c r="B40" s="604" t="str">
        <f t="shared" si="1"/>
        <v/>
      </c>
      <c r="C40" s="558"/>
      <c r="D40" s="560"/>
      <c r="E40" s="559"/>
      <c r="F40" s="559"/>
      <c r="G40" s="559"/>
      <c r="H40" s="597"/>
      <c r="I40" s="614"/>
      <c r="J40" s="392"/>
    </row>
    <row r="41" spans="1:10" ht="12.75" hidden="1">
      <c r="A41" s="401"/>
      <c r="B41" s="604" t="str">
        <f t="shared" si="1"/>
        <v/>
      </c>
      <c r="C41" s="558"/>
      <c r="D41" s="560"/>
      <c r="E41" s="559"/>
      <c r="F41" s="559"/>
      <c r="G41" s="559"/>
      <c r="H41" s="597"/>
      <c r="I41" s="614"/>
      <c r="J41" s="392"/>
    </row>
    <row r="42" spans="1:10" ht="12.75" hidden="1">
      <c r="A42" s="401"/>
      <c r="B42" s="604" t="str">
        <f t="shared" si="1"/>
        <v/>
      </c>
      <c r="C42" s="558"/>
      <c r="D42" s="560"/>
      <c r="E42" s="559"/>
      <c r="F42" s="559"/>
      <c r="G42" s="559"/>
      <c r="H42" s="597"/>
      <c r="I42" s="614"/>
      <c r="J42" s="392"/>
    </row>
    <row r="43" spans="1:10" ht="12.75" hidden="1">
      <c r="A43" s="401"/>
      <c r="B43" s="604" t="str">
        <f t="shared" si="1"/>
        <v/>
      </c>
      <c r="C43" s="558"/>
      <c r="D43" s="560"/>
      <c r="E43" s="559"/>
      <c r="F43" s="559"/>
      <c r="G43" s="559"/>
      <c r="H43" s="597"/>
      <c r="I43" s="614"/>
      <c r="J43" s="392"/>
    </row>
    <row r="44" spans="1:10" ht="12.75" hidden="1">
      <c r="A44" s="401"/>
      <c r="B44" s="604" t="str">
        <f t="shared" si="1"/>
        <v/>
      </c>
      <c r="C44" s="558"/>
      <c r="D44" s="560"/>
      <c r="E44" s="559"/>
      <c r="F44" s="559"/>
      <c r="G44" s="559"/>
      <c r="H44" s="597"/>
      <c r="I44" s="614"/>
      <c r="J44" s="392"/>
    </row>
    <row r="45" spans="1:10" ht="12.75" hidden="1">
      <c r="A45" s="401"/>
      <c r="B45" s="604" t="str">
        <f t="shared" si="1"/>
        <v/>
      </c>
      <c r="C45" s="558"/>
      <c r="D45" s="560"/>
      <c r="E45" s="559"/>
      <c r="F45" s="559"/>
      <c r="G45" s="559"/>
      <c r="H45" s="597"/>
      <c r="I45" s="614"/>
      <c r="J45" s="392"/>
    </row>
    <row r="46" spans="1:10" ht="12.75" hidden="1">
      <c r="A46" s="401"/>
      <c r="B46" s="604" t="str">
        <f t="shared" si="1"/>
        <v/>
      </c>
      <c r="C46" s="558"/>
      <c r="D46" s="560"/>
      <c r="E46" s="559"/>
      <c r="F46" s="559"/>
      <c r="G46" s="559"/>
      <c r="H46" s="650"/>
      <c r="I46" s="651"/>
      <c r="J46" s="392"/>
    </row>
    <row r="47" spans="1:10" ht="12.75" hidden="1">
      <c r="A47" s="401"/>
      <c r="B47" s="604" t="str">
        <f t="shared" si="1"/>
        <v/>
      </c>
      <c r="C47" s="558"/>
      <c r="D47" s="560"/>
      <c r="E47" s="559"/>
      <c r="F47" s="559"/>
      <c r="G47" s="559"/>
      <c r="H47" s="597"/>
      <c r="I47" s="614"/>
      <c r="J47" s="392"/>
    </row>
    <row r="48" spans="1:10" ht="12.75" hidden="1">
      <c r="A48" s="401"/>
      <c r="B48" s="604" t="str">
        <f t="shared" si="1"/>
        <v/>
      </c>
      <c r="C48" s="558"/>
      <c r="D48" s="560"/>
      <c r="E48" s="559"/>
      <c r="F48" s="559"/>
      <c r="G48" s="559"/>
      <c r="H48" s="597"/>
      <c r="I48" s="614"/>
      <c r="J48" s="392"/>
    </row>
    <row r="49" spans="1:10" ht="12.75" hidden="1">
      <c r="A49" s="401"/>
      <c r="B49" s="604" t="str">
        <f t="shared" si="1"/>
        <v/>
      </c>
      <c r="C49" s="558"/>
      <c r="D49" s="560"/>
      <c r="E49" s="559"/>
      <c r="F49" s="559"/>
      <c r="G49" s="559"/>
      <c r="H49" s="597"/>
      <c r="I49" s="614"/>
      <c r="J49" s="392"/>
    </row>
    <row r="50" spans="1:10" ht="12.75" hidden="1">
      <c r="A50" s="401"/>
      <c r="B50" s="604" t="str">
        <f t="shared" si="1"/>
        <v/>
      </c>
      <c r="C50" s="558"/>
      <c r="D50" s="560"/>
      <c r="E50" s="559"/>
      <c r="F50" s="559"/>
      <c r="G50" s="559"/>
      <c r="H50" s="597"/>
      <c r="I50" s="614"/>
      <c r="J50" s="392"/>
    </row>
    <row r="51" spans="1:10" ht="12.75" hidden="1">
      <c r="A51" s="401"/>
      <c r="B51" s="604" t="str">
        <f t="shared" si="1"/>
        <v/>
      </c>
      <c r="C51" s="558"/>
      <c r="D51" s="560"/>
      <c r="E51" s="559"/>
      <c r="F51" s="559"/>
      <c r="G51" s="559"/>
      <c r="H51" s="597"/>
      <c r="I51" s="614"/>
      <c r="J51" s="392"/>
    </row>
    <row r="52" spans="1:10" ht="12.75" hidden="1">
      <c r="A52" s="401"/>
      <c r="B52" s="604" t="str">
        <f t="shared" si="1"/>
        <v/>
      </c>
      <c r="C52" s="558"/>
      <c r="D52" s="560"/>
      <c r="E52" s="559"/>
      <c r="F52" s="559"/>
      <c r="G52" s="559"/>
      <c r="H52" s="597"/>
      <c r="I52" s="614"/>
      <c r="J52" s="392"/>
    </row>
    <row r="53" spans="1:10" ht="12.75" hidden="1">
      <c r="A53" s="401"/>
      <c r="B53" s="604" t="str">
        <f t="shared" si="1"/>
        <v/>
      </c>
      <c r="C53" s="558"/>
      <c r="D53" s="560"/>
      <c r="E53" s="559"/>
      <c r="F53" s="559"/>
      <c r="G53" s="559"/>
      <c r="H53" s="597"/>
      <c r="I53" s="614"/>
      <c r="J53" s="392"/>
    </row>
    <row r="54" spans="1:10" ht="12.75" hidden="1">
      <c r="A54" s="401"/>
      <c r="B54" s="604" t="str">
        <f t="shared" si="1"/>
        <v/>
      </c>
      <c r="C54" s="558"/>
      <c r="D54" s="560"/>
      <c r="E54" s="559"/>
      <c r="F54" s="559"/>
      <c r="G54" s="559"/>
      <c r="H54" s="597"/>
      <c r="I54" s="614"/>
      <c r="J54" s="392"/>
    </row>
    <row r="55" spans="1:10" ht="12.75" hidden="1">
      <c r="A55" s="401"/>
      <c r="B55" s="604" t="str">
        <f t="shared" si="1"/>
        <v/>
      </c>
      <c r="C55" s="558"/>
      <c r="D55" s="560"/>
      <c r="E55" s="559"/>
      <c r="F55" s="559"/>
      <c r="G55" s="559"/>
      <c r="H55" s="597"/>
      <c r="I55" s="614"/>
      <c r="J55" s="392"/>
    </row>
    <row r="56" spans="1:10" ht="12.75" hidden="1">
      <c r="A56" s="401"/>
      <c r="B56" s="604" t="str">
        <f t="shared" si="1"/>
        <v/>
      </c>
      <c r="C56" s="558"/>
      <c r="D56" s="560"/>
      <c r="E56" s="559"/>
      <c r="F56" s="559"/>
      <c r="G56" s="559"/>
      <c r="H56" s="597"/>
      <c r="I56" s="614"/>
      <c r="J56" s="392"/>
    </row>
    <row r="57" spans="1:10" ht="12.75" hidden="1">
      <c r="A57" s="401"/>
      <c r="B57" s="604" t="str">
        <f t="shared" si="1"/>
        <v/>
      </c>
      <c r="C57" s="558"/>
      <c r="D57" s="560"/>
      <c r="E57" s="559"/>
      <c r="F57" s="559"/>
      <c r="G57" s="559"/>
      <c r="H57" s="597"/>
      <c r="I57" s="614"/>
      <c r="J57" s="392"/>
    </row>
    <row r="58" spans="1:10" ht="12.75" hidden="1">
      <c r="A58" s="401"/>
      <c r="B58" s="604" t="str">
        <f t="shared" si="1"/>
        <v/>
      </c>
      <c r="C58" s="558"/>
      <c r="D58" s="560"/>
      <c r="E58" s="559"/>
      <c r="F58" s="559"/>
      <c r="G58" s="559"/>
      <c r="H58" s="597"/>
      <c r="I58" s="614"/>
      <c r="J58" s="392"/>
    </row>
    <row r="59" spans="1:10" ht="12.75" hidden="1">
      <c r="A59" s="401"/>
      <c r="B59" s="604" t="str">
        <f t="shared" si="1"/>
        <v/>
      </c>
      <c r="C59" s="558"/>
      <c r="D59" s="560"/>
      <c r="E59" s="559"/>
      <c r="F59" s="559"/>
      <c r="G59" s="559"/>
      <c r="H59" s="597"/>
      <c r="I59" s="614"/>
      <c r="J59" s="392"/>
    </row>
    <row r="60" spans="1:10" ht="12.75" hidden="1">
      <c r="A60" s="401"/>
      <c r="B60" s="604" t="str">
        <f t="shared" si="1"/>
        <v/>
      </c>
      <c r="C60" s="558"/>
      <c r="D60" s="560"/>
      <c r="E60" s="559"/>
      <c r="F60" s="559"/>
      <c r="G60" s="559"/>
      <c r="H60" s="597"/>
      <c r="I60" s="614"/>
      <c r="J60" s="392"/>
    </row>
    <row r="61" spans="1:10" ht="12.75" hidden="1">
      <c r="A61" s="401"/>
      <c r="B61" s="604" t="str">
        <f t="shared" si="1"/>
        <v/>
      </c>
      <c r="C61" s="558"/>
      <c r="D61" s="560"/>
      <c r="E61" s="559"/>
      <c r="F61" s="559"/>
      <c r="G61" s="559"/>
      <c r="H61" s="597"/>
      <c r="I61" s="614"/>
      <c r="J61" s="392"/>
    </row>
    <row r="62" spans="1:10" ht="12.75" hidden="1">
      <c r="A62" s="401"/>
      <c r="B62" s="604" t="str">
        <f t="shared" si="1"/>
        <v/>
      </c>
      <c r="C62" s="558"/>
      <c r="D62" s="560"/>
      <c r="E62" s="559"/>
      <c r="F62" s="559"/>
      <c r="G62" s="559"/>
      <c r="H62" s="597"/>
      <c r="I62" s="614"/>
      <c r="J62" s="392"/>
    </row>
    <row r="63" spans="1:10" ht="12.75" hidden="1">
      <c r="A63" s="401"/>
      <c r="B63" s="604" t="str">
        <f t="shared" si="1"/>
        <v/>
      </c>
      <c r="C63" s="558"/>
      <c r="D63" s="560"/>
      <c r="E63" s="559"/>
      <c r="F63" s="559"/>
      <c r="G63" s="559"/>
      <c r="H63" s="597"/>
      <c r="I63" s="614"/>
      <c r="J63" s="392"/>
    </row>
    <row r="64" spans="1:10" ht="12.75" hidden="1">
      <c r="A64" s="401"/>
      <c r="B64" s="604" t="str">
        <f t="shared" si="1"/>
        <v/>
      </c>
      <c r="C64" s="558"/>
      <c r="D64" s="560"/>
      <c r="E64" s="559"/>
      <c r="F64" s="559"/>
      <c r="G64" s="559"/>
      <c r="H64" s="597"/>
      <c r="I64" s="614"/>
      <c r="J64" s="392"/>
    </row>
    <row r="65" spans="1:10" ht="12.75" hidden="1">
      <c r="A65" s="401"/>
      <c r="B65" s="604" t="str">
        <f t="shared" si="1"/>
        <v/>
      </c>
      <c r="C65" s="558"/>
      <c r="D65" s="560"/>
      <c r="E65" s="559"/>
      <c r="F65" s="559"/>
      <c r="G65" s="559"/>
      <c r="H65" s="597"/>
      <c r="I65" s="614"/>
      <c r="J65" s="392"/>
    </row>
    <row r="66" spans="1:10" ht="12.75" hidden="1">
      <c r="A66" s="401"/>
      <c r="B66" s="604" t="str">
        <f t="shared" si="1"/>
        <v/>
      </c>
      <c r="C66" s="558"/>
      <c r="D66" s="560"/>
      <c r="E66" s="559"/>
      <c r="F66" s="559"/>
      <c r="G66" s="559"/>
      <c r="H66" s="597"/>
      <c r="I66" s="614"/>
      <c r="J66" s="392"/>
    </row>
    <row r="67" spans="1:10" ht="12.75" hidden="1">
      <c r="A67" s="401"/>
      <c r="B67" s="604" t="str">
        <f t="shared" si="1"/>
        <v/>
      </c>
      <c r="C67" s="558"/>
      <c r="D67" s="560"/>
      <c r="E67" s="559"/>
      <c r="F67" s="559"/>
      <c r="G67" s="559"/>
      <c r="H67" s="597"/>
      <c r="I67" s="614"/>
      <c r="J67" s="392"/>
    </row>
    <row r="68" spans="1:10" ht="12.75" hidden="1">
      <c r="A68" s="401"/>
      <c r="B68" s="604" t="str">
        <f t="shared" si="1"/>
        <v/>
      </c>
      <c r="C68" s="558"/>
      <c r="D68" s="560"/>
      <c r="E68" s="559"/>
      <c r="F68" s="559"/>
      <c r="G68" s="559"/>
      <c r="H68" s="597"/>
      <c r="I68" s="614"/>
      <c r="J68" s="392"/>
    </row>
    <row r="69" spans="1:10" ht="12.75" hidden="1">
      <c r="A69" s="401"/>
      <c r="B69" s="604" t="str">
        <f t="shared" si="1"/>
        <v/>
      </c>
      <c r="C69" s="558"/>
      <c r="D69" s="560"/>
      <c r="E69" s="559"/>
      <c r="F69" s="559"/>
      <c r="G69" s="559"/>
      <c r="H69" s="597"/>
      <c r="I69" s="614"/>
      <c r="J69" s="392"/>
    </row>
    <row r="70" spans="1:10" ht="12.75" hidden="1">
      <c r="A70" s="401"/>
      <c r="B70" s="604" t="str">
        <f t="shared" si="1"/>
        <v/>
      </c>
      <c r="C70" s="558"/>
      <c r="D70" s="560"/>
      <c r="E70" s="559"/>
      <c r="F70" s="559"/>
      <c r="G70" s="559"/>
      <c r="H70" s="597"/>
      <c r="I70" s="614"/>
      <c r="J70" s="392"/>
    </row>
    <row r="71" spans="1:10" ht="12.75" hidden="1">
      <c r="A71" s="401"/>
      <c r="B71" s="604" t="str">
        <f t="shared" si="1"/>
        <v/>
      </c>
      <c r="C71" s="558"/>
      <c r="D71" s="560"/>
      <c r="E71" s="559"/>
      <c r="F71" s="559"/>
      <c r="G71" s="559"/>
      <c r="H71" s="597"/>
      <c r="I71" s="614"/>
      <c r="J71" s="392"/>
    </row>
    <row r="72" spans="1:10" ht="12.75" hidden="1">
      <c r="A72" s="401"/>
      <c r="B72" s="604" t="str">
        <f t="shared" si="1"/>
        <v/>
      </c>
      <c r="C72" s="558"/>
      <c r="D72" s="560"/>
      <c r="E72" s="559"/>
      <c r="F72" s="559"/>
      <c r="G72" s="559"/>
      <c r="H72" s="597"/>
      <c r="I72" s="614"/>
      <c r="J72" s="392"/>
    </row>
    <row r="73" spans="1:10" ht="12.75" hidden="1">
      <c r="A73" s="401"/>
      <c r="B73" s="604" t="str">
        <f t="shared" si="1"/>
        <v/>
      </c>
      <c r="C73" s="558"/>
      <c r="D73" s="560"/>
      <c r="E73" s="559"/>
      <c r="F73" s="559"/>
      <c r="G73" s="559"/>
      <c r="H73" s="597"/>
      <c r="I73" s="614"/>
      <c r="J73" s="392"/>
    </row>
    <row r="74" spans="1:10" ht="12.75" hidden="1">
      <c r="A74" s="401"/>
      <c r="B74" s="604" t="str">
        <f t="shared" ref="B74:B137" si="2">IF(C74="","",B73+1)</f>
        <v/>
      </c>
      <c r="C74" s="558"/>
      <c r="D74" s="560"/>
      <c r="E74" s="559"/>
      <c r="F74" s="559"/>
      <c r="G74" s="559"/>
      <c r="H74" s="597"/>
      <c r="I74" s="614"/>
      <c r="J74" s="392"/>
    </row>
    <row r="75" spans="1:10" ht="12.75" hidden="1">
      <c r="A75" s="401"/>
      <c r="B75" s="604" t="str">
        <f t="shared" si="2"/>
        <v/>
      </c>
      <c r="C75" s="558"/>
      <c r="D75" s="560"/>
      <c r="E75" s="559"/>
      <c r="F75" s="559"/>
      <c r="G75" s="559"/>
      <c r="H75" s="597"/>
      <c r="I75" s="614"/>
      <c r="J75" s="392"/>
    </row>
    <row r="76" spans="1:10" ht="12.75" hidden="1">
      <c r="A76" s="401"/>
      <c r="B76" s="604" t="str">
        <f t="shared" si="2"/>
        <v/>
      </c>
      <c r="C76" s="558"/>
      <c r="D76" s="560"/>
      <c r="E76" s="559"/>
      <c r="F76" s="559"/>
      <c r="G76" s="559"/>
      <c r="H76" s="597"/>
      <c r="I76" s="614"/>
      <c r="J76" s="392"/>
    </row>
    <row r="77" spans="1:10" ht="12.75" hidden="1">
      <c r="A77" s="401"/>
      <c r="B77" s="604" t="str">
        <f t="shared" si="2"/>
        <v/>
      </c>
      <c r="C77" s="558"/>
      <c r="D77" s="560"/>
      <c r="E77" s="559"/>
      <c r="F77" s="559"/>
      <c r="G77" s="559"/>
      <c r="H77" s="597"/>
      <c r="I77" s="614"/>
      <c r="J77" s="392"/>
    </row>
    <row r="78" spans="1:10" ht="12.75" hidden="1">
      <c r="A78" s="401"/>
      <c r="B78" s="604" t="str">
        <f t="shared" si="2"/>
        <v/>
      </c>
      <c r="C78" s="558"/>
      <c r="D78" s="560"/>
      <c r="E78" s="559"/>
      <c r="F78" s="559"/>
      <c r="G78" s="559"/>
      <c r="H78" s="597"/>
      <c r="I78" s="614"/>
      <c r="J78" s="392"/>
    </row>
    <row r="79" spans="1:10" ht="12.75" hidden="1">
      <c r="A79" s="401"/>
      <c r="B79" s="604" t="str">
        <f t="shared" si="2"/>
        <v/>
      </c>
      <c r="C79" s="558"/>
      <c r="D79" s="560"/>
      <c r="E79" s="559"/>
      <c r="F79" s="559"/>
      <c r="G79" s="559"/>
      <c r="H79" s="597"/>
      <c r="I79" s="614"/>
      <c r="J79" s="392"/>
    </row>
    <row r="80" spans="1:10" ht="12.75" hidden="1">
      <c r="A80" s="401"/>
      <c r="B80" s="604" t="str">
        <f t="shared" si="2"/>
        <v/>
      </c>
      <c r="C80" s="558"/>
      <c r="D80" s="560"/>
      <c r="E80" s="559"/>
      <c r="F80" s="559"/>
      <c r="G80" s="559"/>
      <c r="H80" s="597"/>
      <c r="I80" s="614"/>
      <c r="J80" s="392"/>
    </row>
    <row r="81" spans="1:10" ht="12.75" hidden="1">
      <c r="A81" s="401"/>
      <c r="B81" s="604" t="str">
        <f t="shared" si="2"/>
        <v/>
      </c>
      <c r="C81" s="558"/>
      <c r="D81" s="560"/>
      <c r="E81" s="559"/>
      <c r="F81" s="559"/>
      <c r="G81" s="559"/>
      <c r="H81" s="597"/>
      <c r="I81" s="614"/>
      <c r="J81" s="392"/>
    </row>
    <row r="82" spans="1:10" ht="12.75" hidden="1">
      <c r="A82" s="401"/>
      <c r="B82" s="604" t="str">
        <f t="shared" si="2"/>
        <v/>
      </c>
      <c r="C82" s="558"/>
      <c r="D82" s="560"/>
      <c r="E82" s="559"/>
      <c r="F82" s="559"/>
      <c r="G82" s="559"/>
      <c r="H82" s="597"/>
      <c r="I82" s="614"/>
      <c r="J82" s="392"/>
    </row>
    <row r="83" spans="1:10" ht="12.75" hidden="1">
      <c r="A83" s="401"/>
      <c r="B83" s="604" t="str">
        <f t="shared" si="2"/>
        <v/>
      </c>
      <c r="C83" s="558"/>
      <c r="D83" s="560"/>
      <c r="E83" s="559"/>
      <c r="F83" s="559"/>
      <c r="G83" s="559"/>
      <c r="H83" s="597"/>
      <c r="I83" s="614"/>
      <c r="J83" s="392"/>
    </row>
    <row r="84" spans="1:10" ht="12.75" hidden="1">
      <c r="A84" s="401"/>
      <c r="B84" s="604" t="str">
        <f t="shared" si="2"/>
        <v/>
      </c>
      <c r="C84" s="558"/>
      <c r="D84" s="560"/>
      <c r="E84" s="559"/>
      <c r="F84" s="559"/>
      <c r="G84" s="559"/>
      <c r="H84" s="597"/>
      <c r="I84" s="614"/>
      <c r="J84" s="392"/>
    </row>
    <row r="85" spans="1:10" ht="12.75" hidden="1">
      <c r="A85" s="401"/>
      <c r="B85" s="604" t="str">
        <f t="shared" si="2"/>
        <v/>
      </c>
      <c r="C85" s="558"/>
      <c r="D85" s="560"/>
      <c r="E85" s="559"/>
      <c r="F85" s="559"/>
      <c r="G85" s="559"/>
      <c r="H85" s="597"/>
      <c r="I85" s="614"/>
      <c r="J85" s="392"/>
    </row>
    <row r="86" spans="1:10" ht="12.75" hidden="1">
      <c r="A86" s="401"/>
      <c r="B86" s="604" t="str">
        <f t="shared" si="2"/>
        <v/>
      </c>
      <c r="C86" s="558"/>
      <c r="D86" s="560"/>
      <c r="E86" s="559"/>
      <c r="F86" s="559"/>
      <c r="G86" s="559"/>
      <c r="H86" s="597"/>
      <c r="I86" s="614"/>
      <c r="J86" s="392"/>
    </row>
    <row r="87" spans="1:10" ht="12.75" hidden="1">
      <c r="A87" s="401"/>
      <c r="B87" s="604" t="str">
        <f t="shared" si="2"/>
        <v/>
      </c>
      <c r="C87" s="558"/>
      <c r="D87" s="560"/>
      <c r="E87" s="559"/>
      <c r="F87" s="559"/>
      <c r="G87" s="559"/>
      <c r="H87" s="597"/>
      <c r="I87" s="614"/>
      <c r="J87" s="392"/>
    </row>
    <row r="88" spans="1:10" ht="12.75" hidden="1">
      <c r="A88" s="401"/>
      <c r="B88" s="604" t="str">
        <f t="shared" si="2"/>
        <v/>
      </c>
      <c r="C88" s="558"/>
      <c r="D88" s="560"/>
      <c r="E88" s="559"/>
      <c r="F88" s="559"/>
      <c r="G88" s="559"/>
      <c r="H88" s="597"/>
      <c r="I88" s="614"/>
      <c r="J88" s="392"/>
    </row>
    <row r="89" spans="1:10" ht="12.75" hidden="1">
      <c r="A89" s="401"/>
      <c r="B89" s="604" t="str">
        <f t="shared" si="2"/>
        <v/>
      </c>
      <c r="C89" s="558"/>
      <c r="D89" s="560"/>
      <c r="E89" s="559"/>
      <c r="F89" s="559"/>
      <c r="G89" s="559"/>
      <c r="H89" s="597"/>
      <c r="I89" s="614"/>
      <c r="J89" s="392"/>
    </row>
    <row r="90" spans="1:10" ht="12.75" hidden="1">
      <c r="A90" s="401"/>
      <c r="B90" s="604" t="str">
        <f t="shared" si="2"/>
        <v/>
      </c>
      <c r="C90" s="558"/>
      <c r="D90" s="560"/>
      <c r="E90" s="559"/>
      <c r="F90" s="559"/>
      <c r="G90" s="559"/>
      <c r="H90" s="597"/>
      <c r="I90" s="614"/>
      <c r="J90" s="392"/>
    </row>
    <row r="91" spans="1:10" ht="12.75" hidden="1">
      <c r="A91" s="401"/>
      <c r="B91" s="604" t="str">
        <f t="shared" si="2"/>
        <v/>
      </c>
      <c r="C91" s="558"/>
      <c r="D91" s="560"/>
      <c r="E91" s="559"/>
      <c r="F91" s="559"/>
      <c r="G91" s="559"/>
      <c r="H91" s="597"/>
      <c r="I91" s="614"/>
      <c r="J91" s="392"/>
    </row>
    <row r="92" spans="1:10" ht="12.75" hidden="1">
      <c r="A92" s="401"/>
      <c r="B92" s="604" t="str">
        <f t="shared" si="2"/>
        <v/>
      </c>
      <c r="C92" s="558"/>
      <c r="D92" s="560"/>
      <c r="E92" s="559"/>
      <c r="F92" s="559"/>
      <c r="G92" s="559"/>
      <c r="H92" s="597"/>
      <c r="I92" s="614"/>
      <c r="J92" s="392"/>
    </row>
    <row r="93" spans="1:10" ht="12.75" hidden="1">
      <c r="A93" s="401"/>
      <c r="B93" s="604" t="str">
        <f t="shared" si="2"/>
        <v/>
      </c>
      <c r="C93" s="558"/>
      <c r="D93" s="560"/>
      <c r="E93" s="559"/>
      <c r="F93" s="559"/>
      <c r="G93" s="559"/>
      <c r="H93" s="597"/>
      <c r="I93" s="614"/>
      <c r="J93" s="392"/>
    </row>
    <row r="94" spans="1:10" ht="12.75" hidden="1">
      <c r="A94" s="401"/>
      <c r="B94" s="604" t="str">
        <f t="shared" si="2"/>
        <v/>
      </c>
      <c r="C94" s="558"/>
      <c r="D94" s="560"/>
      <c r="E94" s="559"/>
      <c r="F94" s="559"/>
      <c r="G94" s="559"/>
      <c r="H94" s="597"/>
      <c r="I94" s="614"/>
      <c r="J94" s="392"/>
    </row>
    <row r="95" spans="1:10" ht="12.75" hidden="1">
      <c r="A95" s="401"/>
      <c r="B95" s="604" t="str">
        <f t="shared" si="2"/>
        <v/>
      </c>
      <c r="C95" s="558"/>
      <c r="D95" s="560"/>
      <c r="E95" s="559"/>
      <c r="F95" s="559"/>
      <c r="G95" s="559"/>
      <c r="H95" s="597"/>
      <c r="I95" s="614"/>
      <c r="J95" s="392"/>
    </row>
    <row r="96" spans="1:10" ht="12.75" hidden="1">
      <c r="A96" s="401"/>
      <c r="B96" s="604" t="str">
        <f t="shared" si="2"/>
        <v/>
      </c>
      <c r="C96" s="558"/>
      <c r="D96" s="560"/>
      <c r="E96" s="559"/>
      <c r="F96" s="559"/>
      <c r="G96" s="559"/>
      <c r="H96" s="597"/>
      <c r="I96" s="614"/>
      <c r="J96" s="392"/>
    </row>
    <row r="97" spans="1:10" ht="12.75" hidden="1">
      <c r="A97" s="401"/>
      <c r="B97" s="604" t="str">
        <f t="shared" si="2"/>
        <v/>
      </c>
      <c r="C97" s="558"/>
      <c r="D97" s="560"/>
      <c r="E97" s="559"/>
      <c r="F97" s="559"/>
      <c r="G97" s="559"/>
      <c r="H97" s="597"/>
      <c r="I97" s="614"/>
      <c r="J97" s="392"/>
    </row>
    <row r="98" spans="1:10" ht="12.75" hidden="1">
      <c r="A98" s="401"/>
      <c r="B98" s="604" t="str">
        <f t="shared" si="2"/>
        <v/>
      </c>
      <c r="C98" s="558"/>
      <c r="D98" s="560"/>
      <c r="E98" s="559"/>
      <c r="F98" s="559"/>
      <c r="G98" s="559"/>
      <c r="H98" s="597"/>
      <c r="I98" s="614"/>
      <c r="J98" s="392"/>
    </row>
    <row r="99" spans="1:10" ht="12.75" hidden="1">
      <c r="A99" s="401"/>
      <c r="B99" s="604" t="str">
        <f t="shared" si="2"/>
        <v/>
      </c>
      <c r="C99" s="558"/>
      <c r="D99" s="560"/>
      <c r="E99" s="559"/>
      <c r="F99" s="559"/>
      <c r="G99" s="559"/>
      <c r="H99" s="597"/>
      <c r="I99" s="614"/>
      <c r="J99" s="392"/>
    </row>
    <row r="100" spans="1:10" ht="12.75" hidden="1">
      <c r="A100" s="401"/>
      <c r="B100" s="604" t="str">
        <f t="shared" si="2"/>
        <v/>
      </c>
      <c r="C100" s="558"/>
      <c r="D100" s="560"/>
      <c r="E100" s="559"/>
      <c r="F100" s="559"/>
      <c r="G100" s="559"/>
      <c r="H100" s="597"/>
      <c r="I100" s="614"/>
      <c r="J100" s="392"/>
    </row>
    <row r="101" spans="1:10" ht="12.75" hidden="1">
      <c r="A101" s="401"/>
      <c r="B101" s="604" t="str">
        <f t="shared" si="2"/>
        <v/>
      </c>
      <c r="C101" s="558"/>
      <c r="D101" s="560"/>
      <c r="E101" s="559"/>
      <c r="F101" s="559"/>
      <c r="G101" s="559"/>
      <c r="H101" s="597"/>
      <c r="I101" s="614"/>
      <c r="J101" s="392"/>
    </row>
    <row r="102" spans="1:10" ht="12.75" hidden="1">
      <c r="A102" s="401"/>
      <c r="B102" s="604" t="str">
        <f t="shared" si="2"/>
        <v/>
      </c>
      <c r="C102" s="558"/>
      <c r="D102" s="560"/>
      <c r="E102" s="559"/>
      <c r="F102" s="559"/>
      <c r="G102" s="559"/>
      <c r="H102" s="597"/>
      <c r="I102" s="614"/>
      <c r="J102" s="392"/>
    </row>
    <row r="103" spans="1:10" ht="12.75" hidden="1">
      <c r="A103" s="401"/>
      <c r="B103" s="604" t="str">
        <f t="shared" si="2"/>
        <v/>
      </c>
      <c r="C103" s="558"/>
      <c r="D103" s="560"/>
      <c r="E103" s="559"/>
      <c r="F103" s="559"/>
      <c r="G103" s="559"/>
      <c r="H103" s="597"/>
      <c r="I103" s="614"/>
      <c r="J103" s="392"/>
    </row>
    <row r="104" spans="1:10" ht="12.75" hidden="1">
      <c r="A104" s="401"/>
      <c r="B104" s="604" t="str">
        <f t="shared" si="2"/>
        <v/>
      </c>
      <c r="C104" s="558"/>
      <c r="D104" s="560"/>
      <c r="E104" s="559"/>
      <c r="F104" s="559"/>
      <c r="G104" s="559"/>
      <c r="H104" s="597"/>
      <c r="I104" s="614"/>
      <c r="J104" s="392"/>
    </row>
    <row r="105" spans="1:10" ht="12.75" hidden="1">
      <c r="A105" s="401"/>
      <c r="B105" s="604" t="str">
        <f t="shared" si="2"/>
        <v/>
      </c>
      <c r="C105" s="558"/>
      <c r="D105" s="560"/>
      <c r="E105" s="559"/>
      <c r="F105" s="559"/>
      <c r="G105" s="559"/>
      <c r="H105" s="597"/>
      <c r="I105" s="614"/>
      <c r="J105" s="392"/>
    </row>
    <row r="106" spans="1:10" ht="12.75" hidden="1">
      <c r="A106" s="401"/>
      <c r="B106" s="604" t="str">
        <f t="shared" si="2"/>
        <v/>
      </c>
      <c r="C106" s="558"/>
      <c r="D106" s="560"/>
      <c r="E106" s="559"/>
      <c r="F106" s="559"/>
      <c r="G106" s="559"/>
      <c r="H106" s="597"/>
      <c r="I106" s="614"/>
      <c r="J106" s="392"/>
    </row>
    <row r="107" spans="1:10" ht="12.75" hidden="1">
      <c r="A107" s="401"/>
      <c r="B107" s="604" t="str">
        <f t="shared" si="2"/>
        <v/>
      </c>
      <c r="C107" s="558"/>
      <c r="D107" s="560"/>
      <c r="E107" s="559"/>
      <c r="F107" s="559"/>
      <c r="G107" s="559"/>
      <c r="H107" s="597"/>
      <c r="I107" s="614"/>
      <c r="J107" s="392"/>
    </row>
    <row r="108" spans="1:10" ht="12.75" hidden="1">
      <c r="A108" s="401"/>
      <c r="B108" s="604" t="str">
        <f t="shared" si="2"/>
        <v/>
      </c>
      <c r="C108" s="558"/>
      <c r="D108" s="560"/>
      <c r="E108" s="559"/>
      <c r="F108" s="559"/>
      <c r="G108" s="559"/>
      <c r="H108" s="597"/>
      <c r="I108" s="614"/>
      <c r="J108" s="392"/>
    </row>
    <row r="109" spans="1:10" ht="12.75" hidden="1">
      <c r="A109" s="401"/>
      <c r="B109" s="604" t="str">
        <f t="shared" si="2"/>
        <v/>
      </c>
      <c r="C109" s="558"/>
      <c r="D109" s="560"/>
      <c r="E109" s="559"/>
      <c r="F109" s="559"/>
      <c r="G109" s="559"/>
      <c r="H109" s="597"/>
      <c r="I109" s="614"/>
      <c r="J109" s="392"/>
    </row>
    <row r="110" spans="1:10" ht="12.75" hidden="1">
      <c r="A110" s="401"/>
      <c r="B110" s="604" t="str">
        <f t="shared" si="2"/>
        <v/>
      </c>
      <c r="C110" s="558"/>
      <c r="D110" s="560"/>
      <c r="E110" s="559"/>
      <c r="F110" s="559"/>
      <c r="G110" s="559"/>
      <c r="H110" s="597"/>
      <c r="I110" s="614"/>
      <c r="J110" s="392"/>
    </row>
    <row r="111" spans="1:10" ht="12.75" hidden="1">
      <c r="A111" s="401"/>
      <c r="B111" s="604" t="str">
        <f t="shared" si="2"/>
        <v/>
      </c>
      <c r="C111" s="558"/>
      <c r="D111" s="560"/>
      <c r="E111" s="559"/>
      <c r="F111" s="559"/>
      <c r="G111" s="559"/>
      <c r="H111" s="597"/>
      <c r="I111" s="614"/>
      <c r="J111" s="392"/>
    </row>
    <row r="112" spans="1:10" ht="12.75" hidden="1">
      <c r="A112" s="401"/>
      <c r="B112" s="604" t="str">
        <f t="shared" si="2"/>
        <v/>
      </c>
      <c r="C112" s="558"/>
      <c r="D112" s="560"/>
      <c r="E112" s="559"/>
      <c r="F112" s="559"/>
      <c r="G112" s="559"/>
      <c r="H112" s="597"/>
      <c r="I112" s="614"/>
      <c r="J112" s="392"/>
    </row>
    <row r="113" spans="1:10" ht="12.75" hidden="1">
      <c r="A113" s="401"/>
      <c r="B113" s="604" t="str">
        <f t="shared" si="2"/>
        <v/>
      </c>
      <c r="C113" s="558"/>
      <c r="D113" s="560"/>
      <c r="E113" s="559"/>
      <c r="F113" s="559"/>
      <c r="G113" s="559"/>
      <c r="H113" s="597"/>
      <c r="I113" s="614"/>
      <c r="J113" s="392"/>
    </row>
    <row r="114" spans="1:10" ht="12.75" hidden="1">
      <c r="A114" s="401"/>
      <c r="B114" s="604" t="str">
        <f t="shared" si="2"/>
        <v/>
      </c>
      <c r="C114" s="558"/>
      <c r="D114" s="560"/>
      <c r="E114" s="559"/>
      <c r="F114" s="559"/>
      <c r="G114" s="559"/>
      <c r="H114" s="597"/>
      <c r="I114" s="614"/>
      <c r="J114" s="392"/>
    </row>
    <row r="115" spans="1:10" ht="12.75" hidden="1">
      <c r="A115" s="401"/>
      <c r="B115" s="604" t="str">
        <f t="shared" si="2"/>
        <v/>
      </c>
      <c r="C115" s="558"/>
      <c r="D115" s="560"/>
      <c r="E115" s="559"/>
      <c r="F115" s="559"/>
      <c r="G115" s="559"/>
      <c r="H115" s="597"/>
      <c r="I115" s="614"/>
      <c r="J115" s="392"/>
    </row>
    <row r="116" spans="1:10" ht="12.75" hidden="1">
      <c r="A116" s="401"/>
      <c r="B116" s="604" t="str">
        <f t="shared" si="2"/>
        <v/>
      </c>
      <c r="C116" s="558"/>
      <c r="D116" s="560"/>
      <c r="E116" s="559"/>
      <c r="F116" s="559"/>
      <c r="G116" s="559"/>
      <c r="H116" s="597"/>
      <c r="I116" s="614"/>
      <c r="J116" s="392"/>
    </row>
    <row r="117" spans="1:10" ht="12.75" hidden="1">
      <c r="A117" s="401"/>
      <c r="B117" s="604" t="str">
        <f t="shared" si="2"/>
        <v/>
      </c>
      <c r="C117" s="558"/>
      <c r="D117" s="560"/>
      <c r="E117" s="559"/>
      <c r="F117" s="559"/>
      <c r="G117" s="559"/>
      <c r="H117" s="597"/>
      <c r="I117" s="614"/>
      <c r="J117" s="392"/>
    </row>
    <row r="118" spans="1:10" ht="12.75" hidden="1">
      <c r="A118" s="401"/>
      <c r="B118" s="604" t="str">
        <f t="shared" si="2"/>
        <v/>
      </c>
      <c r="C118" s="558"/>
      <c r="D118" s="560"/>
      <c r="E118" s="559"/>
      <c r="F118" s="559"/>
      <c r="G118" s="559"/>
      <c r="H118" s="597"/>
      <c r="I118" s="614"/>
      <c r="J118" s="392"/>
    </row>
    <row r="119" spans="1:10" ht="12.75" hidden="1">
      <c r="A119" s="401"/>
      <c r="B119" s="604" t="str">
        <f t="shared" si="2"/>
        <v/>
      </c>
      <c r="C119" s="558"/>
      <c r="D119" s="560"/>
      <c r="E119" s="559"/>
      <c r="F119" s="559"/>
      <c r="G119" s="559"/>
      <c r="H119" s="597"/>
      <c r="I119" s="614"/>
      <c r="J119" s="392"/>
    </row>
    <row r="120" spans="1:10" ht="12.75" hidden="1">
      <c r="A120" s="401"/>
      <c r="B120" s="604" t="str">
        <f t="shared" si="2"/>
        <v/>
      </c>
      <c r="C120" s="558"/>
      <c r="D120" s="560"/>
      <c r="E120" s="559"/>
      <c r="F120" s="559"/>
      <c r="G120" s="559"/>
      <c r="H120" s="597"/>
      <c r="I120" s="614"/>
      <c r="J120" s="392"/>
    </row>
    <row r="121" spans="1:10" ht="12.75" hidden="1">
      <c r="A121" s="401"/>
      <c r="B121" s="604" t="str">
        <f t="shared" si="2"/>
        <v/>
      </c>
      <c r="C121" s="558"/>
      <c r="D121" s="560"/>
      <c r="E121" s="559"/>
      <c r="F121" s="559"/>
      <c r="G121" s="559"/>
      <c r="H121" s="597"/>
      <c r="I121" s="614"/>
      <c r="J121" s="392"/>
    </row>
    <row r="122" spans="1:10" ht="12.75" hidden="1">
      <c r="A122" s="401"/>
      <c r="B122" s="604" t="str">
        <f t="shared" si="2"/>
        <v/>
      </c>
      <c r="C122" s="558"/>
      <c r="D122" s="560"/>
      <c r="E122" s="559"/>
      <c r="F122" s="559"/>
      <c r="G122" s="559"/>
      <c r="H122" s="597"/>
      <c r="I122" s="614"/>
      <c r="J122" s="392"/>
    </row>
    <row r="123" spans="1:10" ht="12.75" hidden="1">
      <c r="A123" s="401"/>
      <c r="B123" s="604" t="str">
        <f t="shared" si="2"/>
        <v/>
      </c>
      <c r="C123" s="558"/>
      <c r="D123" s="560"/>
      <c r="E123" s="559"/>
      <c r="F123" s="559"/>
      <c r="G123" s="559"/>
      <c r="H123" s="597"/>
      <c r="I123" s="614"/>
      <c r="J123" s="392"/>
    </row>
    <row r="124" spans="1:10" ht="12.75" hidden="1">
      <c r="A124" s="401"/>
      <c r="B124" s="604" t="str">
        <f t="shared" si="2"/>
        <v/>
      </c>
      <c r="C124" s="558"/>
      <c r="D124" s="560"/>
      <c r="E124" s="559"/>
      <c r="F124" s="559"/>
      <c r="G124" s="559"/>
      <c r="H124" s="597"/>
      <c r="I124" s="614"/>
      <c r="J124" s="392"/>
    </row>
    <row r="125" spans="1:10" ht="12.75" hidden="1">
      <c r="A125" s="401"/>
      <c r="B125" s="604" t="str">
        <f t="shared" si="2"/>
        <v/>
      </c>
      <c r="C125" s="558"/>
      <c r="D125" s="560"/>
      <c r="E125" s="559"/>
      <c r="F125" s="559"/>
      <c r="G125" s="559"/>
      <c r="H125" s="597"/>
      <c r="I125" s="614"/>
      <c r="J125" s="392"/>
    </row>
    <row r="126" spans="1:10" ht="12.75" hidden="1">
      <c r="A126" s="401"/>
      <c r="B126" s="604" t="str">
        <f t="shared" si="2"/>
        <v/>
      </c>
      <c r="C126" s="558"/>
      <c r="D126" s="560"/>
      <c r="E126" s="559"/>
      <c r="F126" s="559"/>
      <c r="G126" s="559"/>
      <c r="H126" s="597"/>
      <c r="I126" s="614"/>
      <c r="J126" s="392"/>
    </row>
    <row r="127" spans="1:10" ht="12.75" hidden="1">
      <c r="A127" s="401"/>
      <c r="B127" s="604" t="str">
        <f t="shared" si="2"/>
        <v/>
      </c>
      <c r="C127" s="558"/>
      <c r="D127" s="560"/>
      <c r="E127" s="559"/>
      <c r="F127" s="559"/>
      <c r="G127" s="559"/>
      <c r="H127" s="597"/>
      <c r="I127" s="614"/>
      <c r="J127" s="392"/>
    </row>
    <row r="128" spans="1:10" ht="12.75" hidden="1">
      <c r="A128" s="401"/>
      <c r="B128" s="604" t="str">
        <f t="shared" si="2"/>
        <v/>
      </c>
      <c r="C128" s="558"/>
      <c r="D128" s="560"/>
      <c r="E128" s="559"/>
      <c r="F128" s="559"/>
      <c r="G128" s="559"/>
      <c r="H128" s="597"/>
      <c r="I128" s="614"/>
      <c r="J128" s="392"/>
    </row>
    <row r="129" spans="1:10" ht="12.75" hidden="1">
      <c r="A129" s="401"/>
      <c r="B129" s="604" t="str">
        <f t="shared" si="2"/>
        <v/>
      </c>
      <c r="C129" s="558"/>
      <c r="D129" s="560"/>
      <c r="E129" s="559"/>
      <c r="F129" s="559"/>
      <c r="G129" s="559"/>
      <c r="H129" s="597"/>
      <c r="I129" s="614"/>
      <c r="J129" s="392"/>
    </row>
    <row r="130" spans="1:10" ht="12.75" hidden="1">
      <c r="A130" s="401"/>
      <c r="B130" s="604" t="str">
        <f t="shared" si="2"/>
        <v/>
      </c>
      <c r="C130" s="558"/>
      <c r="D130" s="560"/>
      <c r="E130" s="559"/>
      <c r="F130" s="559"/>
      <c r="G130" s="559"/>
      <c r="H130" s="597"/>
      <c r="I130" s="614"/>
      <c r="J130" s="392"/>
    </row>
    <row r="131" spans="1:10" ht="12.75" hidden="1">
      <c r="A131" s="401"/>
      <c r="B131" s="604" t="str">
        <f t="shared" si="2"/>
        <v/>
      </c>
      <c r="C131" s="558"/>
      <c r="D131" s="560"/>
      <c r="E131" s="559"/>
      <c r="F131" s="559"/>
      <c r="G131" s="559"/>
      <c r="H131" s="597"/>
      <c r="I131" s="614"/>
      <c r="J131" s="392"/>
    </row>
    <row r="132" spans="1:10" ht="12.75" hidden="1">
      <c r="A132" s="401"/>
      <c r="B132" s="604" t="str">
        <f t="shared" si="2"/>
        <v/>
      </c>
      <c r="C132" s="558"/>
      <c r="D132" s="560"/>
      <c r="E132" s="559"/>
      <c r="F132" s="559"/>
      <c r="G132" s="559"/>
      <c r="H132" s="597"/>
      <c r="I132" s="614"/>
      <c r="J132" s="392"/>
    </row>
    <row r="133" spans="1:10" ht="12.75" hidden="1">
      <c r="A133" s="401"/>
      <c r="B133" s="604" t="str">
        <f t="shared" si="2"/>
        <v/>
      </c>
      <c r="C133" s="558"/>
      <c r="D133" s="560"/>
      <c r="E133" s="559"/>
      <c r="F133" s="559"/>
      <c r="G133" s="559"/>
      <c r="H133" s="597"/>
      <c r="I133" s="614"/>
      <c r="J133" s="392"/>
    </row>
    <row r="134" spans="1:10" ht="12.75" hidden="1">
      <c r="A134" s="401"/>
      <c r="B134" s="604" t="str">
        <f t="shared" si="2"/>
        <v/>
      </c>
      <c r="C134" s="558"/>
      <c r="D134" s="560"/>
      <c r="E134" s="559"/>
      <c r="F134" s="559"/>
      <c r="G134" s="559"/>
      <c r="H134" s="597"/>
      <c r="I134" s="614"/>
      <c r="J134" s="392"/>
    </row>
    <row r="135" spans="1:10" ht="12.75" hidden="1">
      <c r="A135" s="401"/>
      <c r="B135" s="604" t="str">
        <f t="shared" si="2"/>
        <v/>
      </c>
      <c r="C135" s="558"/>
      <c r="D135" s="560"/>
      <c r="E135" s="559"/>
      <c r="F135" s="559"/>
      <c r="G135" s="559"/>
      <c r="H135" s="597"/>
      <c r="I135" s="614"/>
      <c r="J135" s="392"/>
    </row>
    <row r="136" spans="1:10" ht="12.75" hidden="1">
      <c r="A136" s="401"/>
      <c r="B136" s="604" t="str">
        <f t="shared" si="2"/>
        <v/>
      </c>
      <c r="C136" s="558"/>
      <c r="D136" s="560"/>
      <c r="E136" s="559"/>
      <c r="F136" s="559"/>
      <c r="G136" s="559"/>
      <c r="H136" s="597"/>
      <c r="I136" s="614"/>
      <c r="J136" s="392"/>
    </row>
    <row r="137" spans="1:10" ht="12.75" hidden="1">
      <c r="A137" s="401"/>
      <c r="B137" s="604" t="str">
        <f t="shared" si="2"/>
        <v/>
      </c>
      <c r="C137" s="558"/>
      <c r="D137" s="560"/>
      <c r="E137" s="559"/>
      <c r="F137" s="559"/>
      <c r="G137" s="559"/>
      <c r="H137" s="597"/>
      <c r="I137" s="614"/>
      <c r="J137" s="392"/>
    </row>
    <row r="138" spans="1:10" ht="12.75" hidden="1">
      <c r="A138" s="401"/>
      <c r="B138" s="604" t="str">
        <f t="shared" ref="B138:B201" si="3">IF(C138="","",B137+1)</f>
        <v/>
      </c>
      <c r="C138" s="558"/>
      <c r="D138" s="560"/>
      <c r="E138" s="559"/>
      <c r="F138" s="559"/>
      <c r="G138" s="559"/>
      <c r="H138" s="597"/>
      <c r="I138" s="614"/>
      <c r="J138" s="392"/>
    </row>
    <row r="139" spans="1:10" ht="12.75" hidden="1">
      <c r="A139" s="401"/>
      <c r="B139" s="604" t="str">
        <f t="shared" si="3"/>
        <v/>
      </c>
      <c r="C139" s="558"/>
      <c r="D139" s="560"/>
      <c r="E139" s="559"/>
      <c r="F139" s="559"/>
      <c r="G139" s="559"/>
      <c r="H139" s="597"/>
      <c r="I139" s="614"/>
      <c r="J139" s="392"/>
    </row>
    <row r="140" spans="1:10" ht="12.75" hidden="1">
      <c r="A140" s="401"/>
      <c r="B140" s="604" t="str">
        <f t="shared" si="3"/>
        <v/>
      </c>
      <c r="C140" s="558"/>
      <c r="D140" s="560"/>
      <c r="E140" s="559"/>
      <c r="F140" s="559"/>
      <c r="G140" s="559"/>
      <c r="H140" s="597"/>
      <c r="I140" s="614"/>
      <c r="J140" s="392"/>
    </row>
    <row r="141" spans="1:10" ht="12.75" hidden="1">
      <c r="A141" s="401"/>
      <c r="B141" s="604" t="str">
        <f t="shared" si="3"/>
        <v/>
      </c>
      <c r="C141" s="558"/>
      <c r="D141" s="560"/>
      <c r="E141" s="559"/>
      <c r="F141" s="559"/>
      <c r="G141" s="559"/>
      <c r="H141" s="597"/>
      <c r="I141" s="614"/>
      <c r="J141" s="392"/>
    </row>
    <row r="142" spans="1:10" ht="12.75" hidden="1">
      <c r="A142" s="401"/>
      <c r="B142" s="604" t="str">
        <f t="shared" si="3"/>
        <v/>
      </c>
      <c r="C142" s="558"/>
      <c r="D142" s="560"/>
      <c r="E142" s="559"/>
      <c r="F142" s="559"/>
      <c r="G142" s="559"/>
      <c r="H142" s="597"/>
      <c r="I142" s="614"/>
      <c r="J142" s="392"/>
    </row>
    <row r="143" spans="1:10" ht="12.75" hidden="1">
      <c r="A143" s="401"/>
      <c r="B143" s="604" t="str">
        <f t="shared" si="3"/>
        <v/>
      </c>
      <c r="C143" s="558"/>
      <c r="D143" s="560"/>
      <c r="E143" s="559"/>
      <c r="F143" s="559"/>
      <c r="G143" s="559"/>
      <c r="H143" s="597"/>
      <c r="I143" s="614"/>
      <c r="J143" s="392"/>
    </row>
    <row r="144" spans="1:10" ht="12.75" hidden="1">
      <c r="A144" s="401"/>
      <c r="B144" s="604" t="str">
        <f t="shared" si="3"/>
        <v/>
      </c>
      <c r="C144" s="558"/>
      <c r="D144" s="560"/>
      <c r="E144" s="559"/>
      <c r="F144" s="559"/>
      <c r="G144" s="559"/>
      <c r="H144" s="597"/>
      <c r="I144" s="614"/>
      <c r="J144" s="392"/>
    </row>
    <row r="145" spans="1:10" ht="12.75" hidden="1">
      <c r="A145" s="401"/>
      <c r="B145" s="604" t="str">
        <f t="shared" si="3"/>
        <v/>
      </c>
      <c r="C145" s="558"/>
      <c r="D145" s="560"/>
      <c r="E145" s="559"/>
      <c r="F145" s="559"/>
      <c r="G145" s="559"/>
      <c r="H145" s="597"/>
      <c r="I145" s="614"/>
      <c r="J145" s="392"/>
    </row>
    <row r="146" spans="1:10" ht="12.75" hidden="1">
      <c r="A146" s="401"/>
      <c r="B146" s="604" t="str">
        <f t="shared" si="3"/>
        <v/>
      </c>
      <c r="C146" s="558"/>
      <c r="D146" s="560"/>
      <c r="E146" s="559"/>
      <c r="F146" s="559"/>
      <c r="G146" s="559"/>
      <c r="H146" s="597"/>
      <c r="I146" s="614"/>
      <c r="J146" s="392"/>
    </row>
    <row r="147" spans="1:10" ht="12.75" hidden="1">
      <c r="A147" s="401"/>
      <c r="B147" s="604" t="str">
        <f t="shared" si="3"/>
        <v/>
      </c>
      <c r="C147" s="558"/>
      <c r="D147" s="560"/>
      <c r="E147" s="559"/>
      <c r="F147" s="559"/>
      <c r="G147" s="559"/>
      <c r="H147" s="597"/>
      <c r="I147" s="614"/>
      <c r="J147" s="392"/>
    </row>
    <row r="148" spans="1:10" ht="12.75" hidden="1">
      <c r="A148" s="401"/>
      <c r="B148" s="604" t="str">
        <f t="shared" si="3"/>
        <v/>
      </c>
      <c r="C148" s="558"/>
      <c r="D148" s="560"/>
      <c r="E148" s="559"/>
      <c r="F148" s="559"/>
      <c r="G148" s="559"/>
      <c r="H148" s="597"/>
      <c r="I148" s="614"/>
      <c r="J148" s="392"/>
    </row>
    <row r="149" spans="1:10" ht="12.75" hidden="1">
      <c r="A149" s="401"/>
      <c r="B149" s="604" t="str">
        <f t="shared" si="3"/>
        <v/>
      </c>
      <c r="C149" s="558"/>
      <c r="D149" s="560"/>
      <c r="E149" s="559"/>
      <c r="F149" s="559"/>
      <c r="G149" s="559"/>
      <c r="H149" s="597"/>
      <c r="I149" s="614"/>
      <c r="J149" s="392"/>
    </row>
    <row r="150" spans="1:10" ht="12.75" hidden="1">
      <c r="A150" s="401"/>
      <c r="B150" s="604" t="str">
        <f t="shared" si="3"/>
        <v/>
      </c>
      <c r="C150" s="558"/>
      <c r="D150" s="560"/>
      <c r="E150" s="559"/>
      <c r="F150" s="559"/>
      <c r="G150" s="559"/>
      <c r="H150" s="597"/>
      <c r="I150" s="614"/>
      <c r="J150" s="392"/>
    </row>
    <row r="151" spans="1:10" ht="12.75" hidden="1">
      <c r="A151" s="401"/>
      <c r="B151" s="604" t="str">
        <f t="shared" si="3"/>
        <v/>
      </c>
      <c r="C151" s="558"/>
      <c r="D151" s="560"/>
      <c r="E151" s="559"/>
      <c r="F151" s="559"/>
      <c r="G151" s="559"/>
      <c r="H151" s="597"/>
      <c r="I151" s="614"/>
      <c r="J151" s="392"/>
    </row>
    <row r="152" spans="1:10" ht="12.75" hidden="1">
      <c r="A152" s="401"/>
      <c r="B152" s="604" t="str">
        <f t="shared" si="3"/>
        <v/>
      </c>
      <c r="C152" s="558"/>
      <c r="D152" s="560"/>
      <c r="E152" s="559"/>
      <c r="F152" s="559"/>
      <c r="G152" s="559"/>
      <c r="H152" s="597"/>
      <c r="I152" s="614"/>
      <c r="J152" s="392"/>
    </row>
    <row r="153" spans="1:10" ht="12.75" hidden="1">
      <c r="A153" s="401"/>
      <c r="B153" s="604" t="str">
        <f t="shared" si="3"/>
        <v/>
      </c>
      <c r="C153" s="558"/>
      <c r="D153" s="560"/>
      <c r="E153" s="559"/>
      <c r="F153" s="559"/>
      <c r="G153" s="559"/>
      <c r="H153" s="597"/>
      <c r="I153" s="614"/>
      <c r="J153" s="392"/>
    </row>
    <row r="154" spans="1:10" ht="12.75" hidden="1">
      <c r="A154" s="401"/>
      <c r="B154" s="604" t="str">
        <f t="shared" si="3"/>
        <v/>
      </c>
      <c r="C154" s="558"/>
      <c r="D154" s="560"/>
      <c r="E154" s="559"/>
      <c r="F154" s="559"/>
      <c r="G154" s="559"/>
      <c r="H154" s="597"/>
      <c r="I154" s="614"/>
      <c r="J154" s="392"/>
    </row>
    <row r="155" spans="1:10" ht="12.75" hidden="1">
      <c r="A155" s="401"/>
      <c r="B155" s="604" t="str">
        <f t="shared" si="3"/>
        <v/>
      </c>
      <c r="C155" s="558"/>
      <c r="D155" s="560"/>
      <c r="E155" s="559"/>
      <c r="F155" s="559"/>
      <c r="G155" s="559"/>
      <c r="H155" s="597"/>
      <c r="I155" s="614"/>
      <c r="J155" s="392"/>
    </row>
    <row r="156" spans="1:10" ht="12.75" hidden="1">
      <c r="A156" s="401"/>
      <c r="B156" s="604" t="str">
        <f t="shared" si="3"/>
        <v/>
      </c>
      <c r="C156" s="558"/>
      <c r="D156" s="560"/>
      <c r="E156" s="559"/>
      <c r="F156" s="559"/>
      <c r="G156" s="559"/>
      <c r="H156" s="597"/>
      <c r="I156" s="614"/>
      <c r="J156" s="392"/>
    </row>
    <row r="157" spans="1:10" ht="12.75" hidden="1">
      <c r="A157" s="401"/>
      <c r="B157" s="604" t="str">
        <f t="shared" si="3"/>
        <v/>
      </c>
      <c r="C157" s="558"/>
      <c r="D157" s="560"/>
      <c r="E157" s="559"/>
      <c r="F157" s="559"/>
      <c r="G157" s="559"/>
      <c r="H157" s="597"/>
      <c r="I157" s="614"/>
      <c r="J157" s="392"/>
    </row>
    <row r="158" spans="1:10" ht="12.75" hidden="1">
      <c r="A158" s="401"/>
      <c r="B158" s="604" t="str">
        <f t="shared" si="3"/>
        <v/>
      </c>
      <c r="C158" s="558"/>
      <c r="D158" s="560"/>
      <c r="E158" s="559"/>
      <c r="F158" s="559"/>
      <c r="G158" s="559"/>
      <c r="H158" s="597"/>
      <c r="I158" s="614"/>
      <c r="J158" s="392"/>
    </row>
    <row r="159" spans="1:10" ht="12.75" hidden="1">
      <c r="A159" s="401"/>
      <c r="B159" s="604" t="str">
        <f t="shared" si="3"/>
        <v/>
      </c>
      <c r="C159" s="558"/>
      <c r="D159" s="560"/>
      <c r="E159" s="559"/>
      <c r="F159" s="559"/>
      <c r="G159" s="559"/>
      <c r="H159" s="597"/>
      <c r="I159" s="614"/>
      <c r="J159" s="392"/>
    </row>
    <row r="160" spans="1:10" ht="12.75" hidden="1">
      <c r="A160" s="401"/>
      <c r="B160" s="604" t="str">
        <f t="shared" si="3"/>
        <v/>
      </c>
      <c r="C160" s="558"/>
      <c r="D160" s="560"/>
      <c r="E160" s="559"/>
      <c r="F160" s="559"/>
      <c r="G160" s="559"/>
      <c r="H160" s="597"/>
      <c r="I160" s="614"/>
      <c r="J160" s="392"/>
    </row>
    <row r="161" spans="1:10" ht="12.75" hidden="1">
      <c r="A161" s="401"/>
      <c r="B161" s="604" t="str">
        <f t="shared" si="3"/>
        <v/>
      </c>
      <c r="C161" s="558"/>
      <c r="D161" s="560"/>
      <c r="E161" s="559"/>
      <c r="F161" s="559"/>
      <c r="G161" s="559"/>
      <c r="H161" s="597"/>
      <c r="I161" s="614"/>
      <c r="J161" s="392"/>
    </row>
    <row r="162" spans="1:10" ht="12.75" hidden="1">
      <c r="A162" s="401"/>
      <c r="B162" s="604" t="str">
        <f t="shared" si="3"/>
        <v/>
      </c>
      <c r="C162" s="558"/>
      <c r="D162" s="560"/>
      <c r="E162" s="559"/>
      <c r="F162" s="559"/>
      <c r="G162" s="559"/>
      <c r="H162" s="597"/>
      <c r="I162" s="614"/>
      <c r="J162" s="392"/>
    </row>
    <row r="163" spans="1:10" ht="12.75" hidden="1">
      <c r="A163" s="401"/>
      <c r="B163" s="604" t="str">
        <f t="shared" si="3"/>
        <v/>
      </c>
      <c r="C163" s="558"/>
      <c r="D163" s="560"/>
      <c r="E163" s="559"/>
      <c r="F163" s="559"/>
      <c r="G163" s="559"/>
      <c r="H163" s="597"/>
      <c r="I163" s="614"/>
      <c r="J163" s="392"/>
    </row>
    <row r="164" spans="1:10" ht="12.75" hidden="1">
      <c r="A164" s="401"/>
      <c r="B164" s="604" t="str">
        <f t="shared" si="3"/>
        <v/>
      </c>
      <c r="C164" s="558"/>
      <c r="D164" s="560"/>
      <c r="E164" s="559"/>
      <c r="F164" s="559"/>
      <c r="G164" s="559"/>
      <c r="H164" s="597"/>
      <c r="I164" s="614"/>
      <c r="J164" s="392"/>
    </row>
    <row r="165" spans="1:10" ht="12.75" hidden="1">
      <c r="A165" s="401"/>
      <c r="B165" s="604" t="str">
        <f t="shared" si="3"/>
        <v/>
      </c>
      <c r="C165" s="558"/>
      <c r="D165" s="560"/>
      <c r="E165" s="559"/>
      <c r="F165" s="559"/>
      <c r="G165" s="559"/>
      <c r="H165" s="597"/>
      <c r="I165" s="614"/>
      <c r="J165" s="392"/>
    </row>
    <row r="166" spans="1:10" ht="12.75" hidden="1">
      <c r="A166" s="401"/>
      <c r="B166" s="604" t="str">
        <f t="shared" si="3"/>
        <v/>
      </c>
      <c r="C166" s="558"/>
      <c r="D166" s="560"/>
      <c r="E166" s="559"/>
      <c r="F166" s="559"/>
      <c r="G166" s="559"/>
      <c r="H166" s="597"/>
      <c r="I166" s="614"/>
      <c r="J166" s="392"/>
    </row>
    <row r="167" spans="1:10" ht="12.75" hidden="1">
      <c r="A167" s="401"/>
      <c r="B167" s="604" t="str">
        <f t="shared" si="3"/>
        <v/>
      </c>
      <c r="C167" s="558"/>
      <c r="D167" s="560"/>
      <c r="E167" s="559"/>
      <c r="F167" s="559"/>
      <c r="G167" s="559"/>
      <c r="H167" s="597"/>
      <c r="I167" s="614"/>
      <c r="J167" s="392"/>
    </row>
    <row r="168" spans="1:10" ht="12.75" hidden="1">
      <c r="A168" s="401"/>
      <c r="B168" s="604" t="str">
        <f t="shared" si="3"/>
        <v/>
      </c>
      <c r="C168" s="558"/>
      <c r="D168" s="560"/>
      <c r="E168" s="559"/>
      <c r="F168" s="559"/>
      <c r="G168" s="559"/>
      <c r="H168" s="597"/>
      <c r="I168" s="614"/>
      <c r="J168" s="392"/>
    </row>
    <row r="169" spans="1:10" ht="12.75" hidden="1">
      <c r="A169" s="401"/>
      <c r="B169" s="604" t="str">
        <f t="shared" si="3"/>
        <v/>
      </c>
      <c r="C169" s="558"/>
      <c r="D169" s="560"/>
      <c r="E169" s="559"/>
      <c r="F169" s="559"/>
      <c r="G169" s="559"/>
      <c r="H169" s="597"/>
      <c r="I169" s="614"/>
      <c r="J169" s="392"/>
    </row>
    <row r="170" spans="1:10" ht="12.75" hidden="1">
      <c r="A170" s="401"/>
      <c r="B170" s="604" t="str">
        <f t="shared" si="3"/>
        <v/>
      </c>
      <c r="C170" s="558"/>
      <c r="D170" s="560"/>
      <c r="E170" s="559"/>
      <c r="F170" s="559"/>
      <c r="G170" s="559"/>
      <c r="H170" s="597"/>
      <c r="I170" s="614"/>
      <c r="J170" s="392"/>
    </row>
    <row r="171" spans="1:10" ht="12.75" hidden="1">
      <c r="A171" s="401"/>
      <c r="B171" s="604" t="str">
        <f t="shared" si="3"/>
        <v/>
      </c>
      <c r="C171" s="558"/>
      <c r="D171" s="560"/>
      <c r="E171" s="559"/>
      <c r="F171" s="559"/>
      <c r="G171" s="559"/>
      <c r="H171" s="597"/>
      <c r="I171" s="614"/>
      <c r="J171" s="392"/>
    </row>
    <row r="172" spans="1:10" ht="12.75" hidden="1">
      <c r="A172" s="401"/>
      <c r="B172" s="604" t="str">
        <f t="shared" si="3"/>
        <v/>
      </c>
      <c r="C172" s="558"/>
      <c r="D172" s="560"/>
      <c r="E172" s="559"/>
      <c r="F172" s="559"/>
      <c r="G172" s="559"/>
      <c r="H172" s="597"/>
      <c r="I172" s="614"/>
      <c r="J172" s="392"/>
    </row>
    <row r="173" spans="1:10" ht="12.75" hidden="1">
      <c r="A173" s="401"/>
      <c r="B173" s="604" t="str">
        <f t="shared" si="3"/>
        <v/>
      </c>
      <c r="C173" s="558"/>
      <c r="D173" s="560"/>
      <c r="E173" s="559"/>
      <c r="F173" s="559"/>
      <c r="G173" s="559"/>
      <c r="H173" s="597"/>
      <c r="I173" s="614"/>
      <c r="J173" s="392"/>
    </row>
    <row r="174" spans="1:10" ht="12.75" hidden="1">
      <c r="A174" s="401"/>
      <c r="B174" s="604" t="str">
        <f t="shared" si="3"/>
        <v/>
      </c>
      <c r="C174" s="558"/>
      <c r="D174" s="560"/>
      <c r="E174" s="559"/>
      <c r="F174" s="559"/>
      <c r="G174" s="559"/>
      <c r="H174" s="597"/>
      <c r="I174" s="614"/>
      <c r="J174" s="392"/>
    </row>
    <row r="175" spans="1:10" ht="12.75" hidden="1">
      <c r="A175" s="401"/>
      <c r="B175" s="604" t="str">
        <f t="shared" si="3"/>
        <v/>
      </c>
      <c r="C175" s="558"/>
      <c r="D175" s="560"/>
      <c r="E175" s="559"/>
      <c r="F175" s="559"/>
      <c r="G175" s="559"/>
      <c r="H175" s="597"/>
      <c r="I175" s="614"/>
      <c r="J175" s="392"/>
    </row>
    <row r="176" spans="1:10" ht="12.75" hidden="1">
      <c r="A176" s="401"/>
      <c r="B176" s="604" t="str">
        <f t="shared" si="3"/>
        <v/>
      </c>
      <c r="C176" s="558"/>
      <c r="D176" s="560"/>
      <c r="E176" s="559"/>
      <c r="F176" s="559"/>
      <c r="G176" s="559"/>
      <c r="H176" s="597"/>
      <c r="I176" s="614"/>
      <c r="J176" s="392"/>
    </row>
    <row r="177" spans="1:10" ht="12.75" hidden="1">
      <c r="A177" s="401"/>
      <c r="B177" s="604" t="str">
        <f t="shared" si="3"/>
        <v/>
      </c>
      <c r="C177" s="558"/>
      <c r="D177" s="560"/>
      <c r="E177" s="559"/>
      <c r="F177" s="559"/>
      <c r="G177" s="559"/>
      <c r="H177" s="597"/>
      <c r="I177" s="614"/>
      <c r="J177" s="392"/>
    </row>
    <row r="178" spans="1:10" ht="12.75" hidden="1">
      <c r="A178" s="401"/>
      <c r="B178" s="604" t="str">
        <f t="shared" si="3"/>
        <v/>
      </c>
      <c r="C178" s="558"/>
      <c r="D178" s="560"/>
      <c r="E178" s="559"/>
      <c r="F178" s="559"/>
      <c r="G178" s="559"/>
      <c r="H178" s="597"/>
      <c r="I178" s="614"/>
      <c r="J178" s="392"/>
    </row>
    <row r="179" spans="1:10" ht="12.75" hidden="1">
      <c r="A179" s="401"/>
      <c r="B179" s="604" t="str">
        <f t="shared" si="3"/>
        <v/>
      </c>
      <c r="C179" s="558"/>
      <c r="D179" s="560"/>
      <c r="E179" s="559"/>
      <c r="F179" s="559"/>
      <c r="G179" s="559"/>
      <c r="H179" s="597"/>
      <c r="I179" s="614"/>
      <c r="J179" s="392"/>
    </row>
    <row r="180" spans="1:10" ht="12.75" hidden="1">
      <c r="A180" s="401"/>
      <c r="B180" s="604" t="str">
        <f t="shared" si="3"/>
        <v/>
      </c>
      <c r="C180" s="558"/>
      <c r="D180" s="560"/>
      <c r="E180" s="559"/>
      <c r="F180" s="559"/>
      <c r="G180" s="559"/>
      <c r="H180" s="597"/>
      <c r="I180" s="614"/>
      <c r="J180" s="392"/>
    </row>
    <row r="181" spans="1:10" ht="12.75" hidden="1">
      <c r="A181" s="401"/>
      <c r="B181" s="604" t="str">
        <f t="shared" si="3"/>
        <v/>
      </c>
      <c r="C181" s="558"/>
      <c r="D181" s="560"/>
      <c r="E181" s="559"/>
      <c r="F181" s="559"/>
      <c r="G181" s="559"/>
      <c r="H181" s="597"/>
      <c r="I181" s="614"/>
      <c r="J181" s="392"/>
    </row>
    <row r="182" spans="1:10" ht="12.75" hidden="1">
      <c r="A182" s="401"/>
      <c r="B182" s="604" t="str">
        <f t="shared" si="3"/>
        <v/>
      </c>
      <c r="C182" s="558"/>
      <c r="D182" s="560"/>
      <c r="E182" s="559"/>
      <c r="F182" s="559"/>
      <c r="G182" s="559"/>
      <c r="H182" s="597"/>
      <c r="I182" s="614"/>
      <c r="J182" s="392"/>
    </row>
    <row r="183" spans="1:10" ht="12.75" hidden="1">
      <c r="A183" s="401"/>
      <c r="B183" s="604" t="str">
        <f t="shared" si="3"/>
        <v/>
      </c>
      <c r="C183" s="558"/>
      <c r="D183" s="560"/>
      <c r="E183" s="559"/>
      <c r="F183" s="559"/>
      <c r="G183" s="559"/>
      <c r="H183" s="597"/>
      <c r="I183" s="614"/>
      <c r="J183" s="392"/>
    </row>
    <row r="184" spans="1:10" ht="12.75" hidden="1">
      <c r="A184" s="401"/>
      <c r="B184" s="604" t="str">
        <f t="shared" si="3"/>
        <v/>
      </c>
      <c r="C184" s="558"/>
      <c r="D184" s="560"/>
      <c r="E184" s="559"/>
      <c r="F184" s="559"/>
      <c r="G184" s="559"/>
      <c r="H184" s="597"/>
      <c r="I184" s="614"/>
      <c r="J184" s="392"/>
    </row>
    <row r="185" spans="1:10" ht="12.75" hidden="1">
      <c r="A185" s="401"/>
      <c r="B185" s="604" t="str">
        <f t="shared" si="3"/>
        <v/>
      </c>
      <c r="C185" s="558"/>
      <c r="D185" s="560"/>
      <c r="E185" s="559"/>
      <c r="F185" s="559"/>
      <c r="G185" s="559"/>
      <c r="H185" s="597"/>
      <c r="I185" s="614"/>
      <c r="J185" s="392"/>
    </row>
    <row r="186" spans="1:10" ht="12.75" hidden="1">
      <c r="A186" s="401"/>
      <c r="B186" s="604" t="str">
        <f t="shared" si="3"/>
        <v/>
      </c>
      <c r="C186" s="558"/>
      <c r="D186" s="560"/>
      <c r="E186" s="559"/>
      <c r="F186" s="559"/>
      <c r="G186" s="559"/>
      <c r="H186" s="597"/>
      <c r="I186" s="614"/>
      <c r="J186" s="392"/>
    </row>
    <row r="187" spans="1:10" ht="12.75" hidden="1">
      <c r="A187" s="401"/>
      <c r="B187" s="604" t="str">
        <f t="shared" si="3"/>
        <v/>
      </c>
      <c r="C187" s="558"/>
      <c r="D187" s="560"/>
      <c r="E187" s="559"/>
      <c r="F187" s="559"/>
      <c r="G187" s="559"/>
      <c r="H187" s="597"/>
      <c r="I187" s="614"/>
      <c r="J187" s="392"/>
    </row>
    <row r="188" spans="1:10" ht="12.75" hidden="1">
      <c r="A188" s="401"/>
      <c r="B188" s="604" t="str">
        <f t="shared" si="3"/>
        <v/>
      </c>
      <c r="C188" s="558"/>
      <c r="D188" s="560"/>
      <c r="E188" s="559"/>
      <c r="F188" s="559"/>
      <c r="G188" s="559"/>
      <c r="H188" s="597"/>
      <c r="I188" s="614"/>
      <c r="J188" s="392"/>
    </row>
    <row r="189" spans="1:10" ht="12.75" hidden="1">
      <c r="A189" s="401"/>
      <c r="B189" s="604" t="str">
        <f t="shared" si="3"/>
        <v/>
      </c>
      <c r="C189" s="558"/>
      <c r="D189" s="560"/>
      <c r="E189" s="559"/>
      <c r="F189" s="559"/>
      <c r="G189" s="559"/>
      <c r="H189" s="597"/>
      <c r="I189" s="614"/>
      <c r="J189" s="392"/>
    </row>
    <row r="190" spans="1:10" ht="12.75" hidden="1">
      <c r="A190" s="401"/>
      <c r="B190" s="604" t="str">
        <f t="shared" si="3"/>
        <v/>
      </c>
      <c r="C190" s="558"/>
      <c r="D190" s="560"/>
      <c r="E190" s="559"/>
      <c r="F190" s="559"/>
      <c r="G190" s="559"/>
      <c r="H190" s="597"/>
      <c r="I190" s="614"/>
      <c r="J190" s="392"/>
    </row>
    <row r="191" spans="1:10" ht="12.75" hidden="1">
      <c r="A191" s="401"/>
      <c r="B191" s="604" t="str">
        <f t="shared" si="3"/>
        <v/>
      </c>
      <c r="C191" s="558"/>
      <c r="D191" s="560"/>
      <c r="E191" s="559"/>
      <c r="F191" s="559"/>
      <c r="G191" s="559"/>
      <c r="H191" s="597"/>
      <c r="I191" s="614"/>
      <c r="J191" s="392"/>
    </row>
    <row r="192" spans="1:10" ht="12.75" hidden="1">
      <c r="A192" s="401"/>
      <c r="B192" s="604" t="str">
        <f t="shared" si="3"/>
        <v/>
      </c>
      <c r="C192" s="558"/>
      <c r="D192" s="560"/>
      <c r="E192" s="559"/>
      <c r="F192" s="559"/>
      <c r="G192" s="559"/>
      <c r="H192" s="597"/>
      <c r="I192" s="614"/>
      <c r="J192" s="392"/>
    </row>
    <row r="193" spans="1:10" ht="12.75" hidden="1">
      <c r="A193" s="401"/>
      <c r="B193" s="604" t="str">
        <f t="shared" si="3"/>
        <v/>
      </c>
      <c r="C193" s="558"/>
      <c r="D193" s="560"/>
      <c r="E193" s="559"/>
      <c r="F193" s="559"/>
      <c r="G193" s="559"/>
      <c r="H193" s="597"/>
      <c r="I193" s="614"/>
      <c r="J193" s="392"/>
    </row>
    <row r="194" spans="1:10" ht="12.75" hidden="1">
      <c r="A194" s="401"/>
      <c r="B194" s="604" t="str">
        <f t="shared" si="3"/>
        <v/>
      </c>
      <c r="C194" s="558"/>
      <c r="D194" s="560"/>
      <c r="E194" s="559"/>
      <c r="F194" s="559"/>
      <c r="G194" s="559"/>
      <c r="H194" s="597"/>
      <c r="I194" s="614"/>
      <c r="J194" s="392"/>
    </row>
    <row r="195" spans="1:10" ht="12.75" hidden="1">
      <c r="A195" s="401"/>
      <c r="B195" s="604" t="str">
        <f t="shared" si="3"/>
        <v/>
      </c>
      <c r="C195" s="558"/>
      <c r="D195" s="560"/>
      <c r="E195" s="559"/>
      <c r="F195" s="559"/>
      <c r="G195" s="559"/>
      <c r="H195" s="597"/>
      <c r="I195" s="614"/>
      <c r="J195" s="392"/>
    </row>
    <row r="196" spans="1:10" ht="12.75" hidden="1">
      <c r="A196" s="401"/>
      <c r="B196" s="604" t="str">
        <f t="shared" si="3"/>
        <v/>
      </c>
      <c r="C196" s="558"/>
      <c r="D196" s="560"/>
      <c r="E196" s="559"/>
      <c r="F196" s="559"/>
      <c r="G196" s="559"/>
      <c r="H196" s="597"/>
      <c r="I196" s="614"/>
      <c r="J196" s="392"/>
    </row>
    <row r="197" spans="1:10" ht="12.75" hidden="1">
      <c r="A197" s="401"/>
      <c r="B197" s="604" t="str">
        <f t="shared" si="3"/>
        <v/>
      </c>
      <c r="C197" s="558"/>
      <c r="D197" s="560"/>
      <c r="E197" s="559"/>
      <c r="F197" s="559"/>
      <c r="G197" s="559"/>
      <c r="H197" s="597"/>
      <c r="I197" s="614"/>
      <c r="J197" s="392"/>
    </row>
    <row r="198" spans="1:10" ht="12.75" hidden="1">
      <c r="A198" s="401"/>
      <c r="B198" s="604" t="str">
        <f t="shared" si="3"/>
        <v/>
      </c>
      <c r="C198" s="558"/>
      <c r="D198" s="560"/>
      <c r="E198" s="559"/>
      <c r="F198" s="559"/>
      <c r="G198" s="559"/>
      <c r="H198" s="597"/>
      <c r="I198" s="614"/>
      <c r="J198" s="392"/>
    </row>
    <row r="199" spans="1:10" ht="12.75" hidden="1">
      <c r="A199" s="401"/>
      <c r="B199" s="604" t="str">
        <f t="shared" si="3"/>
        <v/>
      </c>
      <c r="C199" s="558"/>
      <c r="D199" s="560"/>
      <c r="E199" s="559"/>
      <c r="F199" s="559"/>
      <c r="G199" s="559"/>
      <c r="H199" s="597"/>
      <c r="I199" s="614"/>
      <c r="J199" s="392"/>
    </row>
    <row r="200" spans="1:10" ht="12.75" hidden="1">
      <c r="A200" s="401"/>
      <c r="B200" s="604" t="str">
        <f t="shared" si="3"/>
        <v/>
      </c>
      <c r="C200" s="558"/>
      <c r="D200" s="560"/>
      <c r="E200" s="559"/>
      <c r="F200" s="559"/>
      <c r="G200" s="559"/>
      <c r="H200" s="597"/>
      <c r="I200" s="614"/>
      <c r="J200" s="401"/>
    </row>
    <row r="201" spans="1:10" ht="12.75" hidden="1">
      <c r="A201" s="401"/>
      <c r="B201" s="604" t="str">
        <f t="shared" si="3"/>
        <v/>
      </c>
      <c r="C201" s="558"/>
      <c r="D201" s="560"/>
      <c r="E201" s="559"/>
      <c r="F201" s="559"/>
      <c r="G201" s="559"/>
      <c r="H201" s="597"/>
      <c r="I201" s="614"/>
      <c r="J201" s="401"/>
    </row>
    <row r="202" spans="1:10" ht="12.75" hidden="1">
      <c r="A202" s="401"/>
      <c r="B202" s="604" t="str">
        <f t="shared" ref="B202:B205" si="4">IF(C202="","",B201+1)</f>
        <v/>
      </c>
      <c r="C202" s="558"/>
      <c r="D202" s="560"/>
      <c r="E202" s="559"/>
      <c r="F202" s="559"/>
      <c r="G202" s="559"/>
      <c r="H202" s="597"/>
      <c r="I202" s="614"/>
      <c r="J202" s="401"/>
    </row>
    <row r="203" spans="1:10" ht="12.75" hidden="1">
      <c r="A203" s="401"/>
      <c r="B203" s="604" t="str">
        <f t="shared" si="4"/>
        <v/>
      </c>
      <c r="C203" s="558"/>
      <c r="D203" s="560"/>
      <c r="E203" s="559"/>
      <c r="F203" s="559"/>
      <c r="G203" s="559"/>
      <c r="H203" s="597"/>
      <c r="I203" s="614"/>
      <c r="J203" s="401"/>
    </row>
    <row r="204" spans="1:10" ht="12.75" hidden="1">
      <c r="A204" s="401"/>
      <c r="B204" s="604" t="str">
        <f t="shared" si="4"/>
        <v/>
      </c>
      <c r="C204" s="558"/>
      <c r="D204" s="560"/>
      <c r="E204" s="559"/>
      <c r="F204" s="559"/>
      <c r="G204" s="559"/>
      <c r="H204" s="597"/>
      <c r="I204" s="614"/>
      <c r="J204" s="401"/>
    </row>
    <row r="205" spans="1:10" ht="13.5" hidden="1" thickBot="1">
      <c r="A205" s="401"/>
      <c r="B205" s="606" t="str">
        <f t="shared" si="4"/>
        <v/>
      </c>
      <c r="C205" s="607"/>
      <c r="D205" s="647"/>
      <c r="E205" s="599"/>
      <c r="F205" s="599"/>
      <c r="G205" s="599"/>
      <c r="H205" s="600"/>
      <c r="I205" s="615"/>
    </row>
    <row r="206" spans="1:10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</row>
    <row r="207" spans="1:10" ht="12.75" hidden="1" customHeight="1"/>
  </sheetData>
  <mergeCells count="4">
    <mergeCell ref="B1:I1"/>
    <mergeCell ref="B2:I2"/>
    <mergeCell ref="B3:I3"/>
    <mergeCell ref="B5:D5"/>
  </mergeCells>
  <conditionalFormatting sqref="H8:H204">
    <cfRule type="cellIs" dxfId="6" priority="2" operator="lessThan">
      <formula>0</formula>
    </cfRule>
  </conditionalFormatting>
  <conditionalFormatting sqref="H205">
    <cfRule type="cellIs" dxfId="5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N206"/>
  <sheetViews>
    <sheetView showRowColHeaders="0" workbookViewId="0">
      <selection activeCell="L9" sqref="L9"/>
    </sheetView>
  </sheetViews>
  <sheetFormatPr defaultColWidth="0" defaultRowHeight="12.75" customHeight="1" zeroHeight="1"/>
  <cols>
    <col min="1" max="1" width="8.140625" customWidth="1"/>
    <col min="2" max="3" width="7.5703125" customWidth="1"/>
    <col min="4" max="4" width="50.7109375" customWidth="1"/>
    <col min="5" max="13" width="12.85546875" customWidth="1"/>
    <col min="14" max="14" width="9.140625" customWidth="1"/>
    <col min="15" max="16384" width="9.140625" hidden="1"/>
  </cols>
  <sheetData>
    <row r="1" spans="1:14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1189"/>
      <c r="K1" s="1189"/>
      <c r="L1" s="1189"/>
      <c r="M1" s="1189"/>
      <c r="N1" s="401"/>
    </row>
    <row r="2" spans="1:14" ht="20.25">
      <c r="A2" s="401"/>
      <c r="B2" s="1190" t="s">
        <v>547</v>
      </c>
      <c r="C2" s="1190"/>
      <c r="D2" s="1190"/>
      <c r="E2" s="1190"/>
      <c r="F2" s="1190"/>
      <c r="G2" s="1190"/>
      <c r="H2" s="1190"/>
      <c r="I2" s="1190"/>
      <c r="J2" s="1190"/>
      <c r="K2" s="1190"/>
      <c r="L2" s="1190"/>
      <c r="M2" s="1190"/>
      <c r="N2" s="401"/>
    </row>
    <row r="3" spans="1:14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401"/>
    </row>
    <row r="4" spans="1:14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589" t="s">
        <v>410</v>
      </c>
      <c r="J4" s="579" t="s">
        <v>8</v>
      </c>
      <c r="K4" s="579" t="s">
        <v>411</v>
      </c>
      <c r="L4" s="580" t="s">
        <v>553</v>
      </c>
      <c r="M4" s="601" t="s">
        <v>412</v>
      </c>
      <c r="N4" s="401"/>
    </row>
    <row r="5" spans="1:14" ht="13.5" thickBot="1">
      <c r="A5" s="401"/>
      <c r="B5" s="1192" t="s">
        <v>69</v>
      </c>
      <c r="C5" s="1192"/>
      <c r="D5" s="1192"/>
      <c r="E5" s="581">
        <f t="shared" ref="E5:M5" si="0">SUM(E8:E205)</f>
        <v>0</v>
      </c>
      <c r="F5" s="582">
        <f t="shared" si="0"/>
        <v>1400</v>
      </c>
      <c r="G5" s="582">
        <f t="shared" si="0"/>
        <v>0</v>
      </c>
      <c r="H5" s="583">
        <f t="shared" si="0"/>
        <v>1400</v>
      </c>
      <c r="I5" s="590">
        <f t="shared" si="0"/>
        <v>0</v>
      </c>
      <c r="J5" s="582">
        <f t="shared" si="0"/>
        <v>2600</v>
      </c>
      <c r="K5" s="582">
        <f t="shared" si="0"/>
        <v>0</v>
      </c>
      <c r="L5" s="583">
        <f t="shared" si="0"/>
        <v>2600</v>
      </c>
      <c r="M5" s="602">
        <f t="shared" si="0"/>
        <v>0</v>
      </c>
      <c r="N5" s="401"/>
    </row>
    <row r="6" spans="1:14" ht="13.5" thickBot="1">
      <c r="A6" s="401"/>
      <c r="B6" s="392"/>
      <c r="C6" s="392"/>
      <c r="D6" s="392"/>
      <c r="E6" s="1193" t="s">
        <v>41</v>
      </c>
      <c r="F6" s="1194"/>
      <c r="G6" s="1194"/>
      <c r="H6" s="1195"/>
      <c r="I6" s="1196" t="s">
        <v>42</v>
      </c>
      <c r="J6" s="1197"/>
      <c r="K6" s="1197"/>
      <c r="L6" s="1198"/>
      <c r="M6" s="585"/>
      <c r="N6" s="401"/>
    </row>
    <row r="7" spans="1:14" ht="13.5" thickBot="1">
      <c r="A7" s="401"/>
      <c r="B7" s="586" t="s">
        <v>326</v>
      </c>
      <c r="C7" s="587" t="s">
        <v>224</v>
      </c>
      <c r="D7" s="588" t="s">
        <v>413</v>
      </c>
      <c r="E7" s="586" t="s">
        <v>410</v>
      </c>
      <c r="F7" s="587" t="s">
        <v>8</v>
      </c>
      <c r="G7" s="587" t="s">
        <v>411</v>
      </c>
      <c r="H7" s="588" t="s">
        <v>552</v>
      </c>
      <c r="I7" s="591" t="s">
        <v>410</v>
      </c>
      <c r="J7" s="587" t="s">
        <v>8</v>
      </c>
      <c r="K7" s="587" t="s">
        <v>411</v>
      </c>
      <c r="L7" s="588" t="s">
        <v>553</v>
      </c>
      <c r="M7" s="612" t="s">
        <v>412</v>
      </c>
      <c r="N7" s="401"/>
    </row>
    <row r="8" spans="1:14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2">
        <f>[1]MOD_2_imprensa!$C$15</f>
        <v>0</v>
      </c>
      <c r="F8" s="643">
        <f>[1]MOD_2_imprensa!$G$15</f>
        <v>0</v>
      </c>
      <c r="G8" s="643">
        <f>[1]MOD_2_imprensa!$P$15</f>
        <v>0</v>
      </c>
      <c r="H8" s="644">
        <f>(E8+F8)-G8</f>
        <v>0</v>
      </c>
      <c r="I8" s="645">
        <f>[1]MOD_2_imprensa!$C$16</f>
        <v>0</v>
      </c>
      <c r="J8" s="643">
        <f>[1]MOD_2_imprensa!$G$16</f>
        <v>0</v>
      </c>
      <c r="K8" s="643">
        <f>[1]MOD_2_imprensa!$P$16</f>
        <v>0</v>
      </c>
      <c r="L8" s="644">
        <f>(I8+J8)-K8</f>
        <v>0</v>
      </c>
      <c r="M8" s="646">
        <f>[1]MENU!$Z$83</f>
        <v>0</v>
      </c>
      <c r="N8" s="401"/>
    </row>
    <row r="9" spans="1:14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6">
        <f>[2]MOD_2_imprensa!$C$15</f>
        <v>0</v>
      </c>
      <c r="F9" s="559">
        <f>[2]MOD_2_imprensa!$G$15</f>
        <v>0</v>
      </c>
      <c r="G9" s="559">
        <f>[2]MOD_2_imprensa!$P$15</f>
        <v>0</v>
      </c>
      <c r="H9" s="597">
        <f t="shared" ref="H9:H12" si="1">(E9+F9)-G9</f>
        <v>0</v>
      </c>
      <c r="I9" s="593">
        <f>[2]MOD_2_imprensa!$C$16</f>
        <v>0</v>
      </c>
      <c r="J9" s="559">
        <f>[2]MOD_2_imprensa!$G$16</f>
        <v>2000</v>
      </c>
      <c r="K9" s="559">
        <f>[2]MOD_2_imprensa!$P$16</f>
        <v>0</v>
      </c>
      <c r="L9" s="597">
        <f t="shared" ref="L9:L12" si="2">(I9+J9)-K9</f>
        <v>2000</v>
      </c>
      <c r="M9" s="614">
        <f>[2]MENU!$Z$83</f>
        <v>0</v>
      </c>
      <c r="N9" s="401"/>
    </row>
    <row r="10" spans="1:14">
      <c r="A10" s="401"/>
      <c r="B10" s="604">
        <f t="shared" ref="B10:B73" si="3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6">
        <f>[3]MOD_2_imprensa!$C$15</f>
        <v>0</v>
      </c>
      <c r="F10" s="559">
        <f>[3]MOD_2_imprensa!$G$15</f>
        <v>1400</v>
      </c>
      <c r="G10" s="559">
        <f>[3]MOD_2_imprensa!$P$15</f>
        <v>0</v>
      </c>
      <c r="H10" s="597">
        <f t="shared" si="1"/>
        <v>1400</v>
      </c>
      <c r="I10" s="593">
        <f>[3]MOD_2_imprensa!$C$16</f>
        <v>0</v>
      </c>
      <c r="J10" s="559">
        <f>[3]MOD_2_imprensa!$G$16</f>
        <v>600</v>
      </c>
      <c r="K10" s="559">
        <f>[3]MOD_2_imprensa!$P$16</f>
        <v>0</v>
      </c>
      <c r="L10" s="597">
        <f t="shared" si="2"/>
        <v>600</v>
      </c>
      <c r="M10" s="614">
        <f>[3]MENU!$Z$83</f>
        <v>0</v>
      </c>
      <c r="N10" s="401"/>
    </row>
    <row r="11" spans="1:14">
      <c r="A11" s="401"/>
      <c r="B11" s="604">
        <f t="shared" si="3"/>
        <v>4</v>
      </c>
      <c r="C11" s="558">
        <f>[4]Dados!$E$3</f>
        <v>19490</v>
      </c>
      <c r="D11" s="605" t="str">
        <f>[4]Dados!$E$69</f>
        <v>EMEI - CAMPO LIMPO VI</v>
      </c>
      <c r="E11" s="596">
        <f>[4]MOD_2_imprensa!$C$15</f>
        <v>0</v>
      </c>
      <c r="F11" s="559">
        <f>[4]MOD_2_imprensa!$G$15</f>
        <v>0</v>
      </c>
      <c r="G11" s="559">
        <f>[4]MOD_2_imprensa!$P$15</f>
        <v>0</v>
      </c>
      <c r="H11" s="597">
        <f t="shared" si="1"/>
        <v>0</v>
      </c>
      <c r="I11" s="593">
        <f>[4]MOD_2_imprensa!$C$16</f>
        <v>0</v>
      </c>
      <c r="J11" s="559">
        <f>[4]MOD_2_imprensa!$G$16</f>
        <v>0</v>
      </c>
      <c r="K11" s="559">
        <f>[4]MOD_2_imprensa!$P$16</f>
        <v>0</v>
      </c>
      <c r="L11" s="597">
        <f t="shared" si="2"/>
        <v>0</v>
      </c>
      <c r="M11" s="614">
        <f>[4]MENU!$Z$83</f>
        <v>0</v>
      </c>
      <c r="N11" s="401"/>
    </row>
    <row r="12" spans="1:14" ht="13.5" thickBot="1">
      <c r="A12" s="401"/>
      <c r="B12" s="606">
        <f t="shared" si="3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598">
        <f>[5]MOD_2_imprensa!$C$15</f>
        <v>0</v>
      </c>
      <c r="F12" s="599">
        <f>[5]MOD_2_imprensa!$G$15</f>
        <v>0</v>
      </c>
      <c r="G12" s="599">
        <f>[5]MOD_2_imprensa!$P$15</f>
        <v>0</v>
      </c>
      <c r="H12" s="600">
        <f t="shared" si="1"/>
        <v>0</v>
      </c>
      <c r="I12" s="603">
        <f>[5]MOD_2_imprensa!$C$16</f>
        <v>0</v>
      </c>
      <c r="J12" s="599">
        <f>[5]MOD_2_imprensa!$G$16</f>
        <v>0</v>
      </c>
      <c r="K12" s="599">
        <f>[5]MOD_2_imprensa!$P$16</f>
        <v>0</v>
      </c>
      <c r="L12" s="600">
        <f t="shared" si="2"/>
        <v>0</v>
      </c>
      <c r="M12" s="615">
        <f>[5]MENU!$Z$83</f>
        <v>0</v>
      </c>
      <c r="N12" s="401"/>
    </row>
    <row r="13" spans="1:14" hidden="1">
      <c r="A13" s="401"/>
      <c r="B13" s="639" t="str">
        <f t="shared" si="3"/>
        <v/>
      </c>
      <c r="C13" s="640"/>
      <c r="D13" s="641"/>
      <c r="E13" s="594"/>
      <c r="F13" s="584"/>
      <c r="G13" s="584"/>
      <c r="H13" s="595"/>
      <c r="I13" s="592"/>
      <c r="J13" s="584"/>
      <c r="K13" s="584"/>
      <c r="L13" s="595"/>
      <c r="M13" s="613"/>
      <c r="N13" s="401"/>
    </row>
    <row r="14" spans="1:14" hidden="1">
      <c r="A14" s="401"/>
      <c r="B14" s="604" t="str">
        <f t="shared" si="3"/>
        <v/>
      </c>
      <c r="C14" s="558"/>
      <c r="D14" s="605"/>
      <c r="E14" s="596"/>
      <c r="F14" s="559"/>
      <c r="G14" s="559"/>
      <c r="H14" s="597"/>
      <c r="I14" s="593"/>
      <c r="J14" s="559"/>
      <c r="K14" s="559"/>
      <c r="L14" s="597"/>
      <c r="M14" s="614"/>
      <c r="N14" s="401"/>
    </row>
    <row r="15" spans="1:14" hidden="1">
      <c r="A15" s="401"/>
      <c r="B15" s="604" t="str">
        <f t="shared" si="3"/>
        <v/>
      </c>
      <c r="C15" s="558"/>
      <c r="D15" s="605"/>
      <c r="E15" s="596"/>
      <c r="F15" s="559"/>
      <c r="G15" s="559"/>
      <c r="H15" s="597"/>
      <c r="I15" s="593"/>
      <c r="J15" s="559"/>
      <c r="K15" s="559"/>
      <c r="L15" s="597"/>
      <c r="M15" s="614"/>
      <c r="N15" s="401"/>
    </row>
    <row r="16" spans="1:14" hidden="1">
      <c r="A16" s="401"/>
      <c r="B16" s="604" t="str">
        <f t="shared" si="3"/>
        <v/>
      </c>
      <c r="C16" s="558"/>
      <c r="D16" s="605"/>
      <c r="E16" s="596"/>
      <c r="F16" s="559"/>
      <c r="G16" s="559"/>
      <c r="H16" s="597"/>
      <c r="I16" s="593"/>
      <c r="J16" s="559"/>
      <c r="K16" s="559"/>
      <c r="L16" s="597"/>
      <c r="M16" s="614"/>
      <c r="N16" s="401"/>
    </row>
    <row r="17" spans="1:14" hidden="1">
      <c r="A17" s="401"/>
      <c r="B17" s="604" t="str">
        <f t="shared" si="3"/>
        <v/>
      </c>
      <c r="C17" s="558"/>
      <c r="D17" s="605"/>
      <c r="E17" s="596"/>
      <c r="F17" s="559"/>
      <c r="G17" s="559"/>
      <c r="H17" s="597"/>
      <c r="I17" s="593"/>
      <c r="J17" s="559"/>
      <c r="K17" s="559"/>
      <c r="L17" s="597"/>
      <c r="M17" s="614"/>
      <c r="N17" s="401"/>
    </row>
    <row r="18" spans="1:14" hidden="1">
      <c r="A18" s="401"/>
      <c r="B18" s="604" t="str">
        <f t="shared" si="3"/>
        <v/>
      </c>
      <c r="C18" s="558"/>
      <c r="D18" s="605"/>
      <c r="E18" s="596"/>
      <c r="F18" s="559"/>
      <c r="G18" s="559"/>
      <c r="H18" s="597"/>
      <c r="I18" s="593"/>
      <c r="J18" s="559"/>
      <c r="K18" s="559"/>
      <c r="L18" s="597"/>
      <c r="M18" s="614"/>
      <c r="N18" s="401"/>
    </row>
    <row r="19" spans="1:14" hidden="1">
      <c r="A19" s="401"/>
      <c r="B19" s="604" t="str">
        <f t="shared" si="3"/>
        <v/>
      </c>
      <c r="C19" s="558"/>
      <c r="D19" s="605"/>
      <c r="E19" s="596"/>
      <c r="F19" s="559"/>
      <c r="G19" s="559"/>
      <c r="H19" s="597"/>
      <c r="I19" s="593"/>
      <c r="J19" s="559"/>
      <c r="K19" s="559"/>
      <c r="L19" s="597"/>
      <c r="M19" s="614"/>
      <c r="N19" s="401"/>
    </row>
    <row r="20" spans="1:14" hidden="1">
      <c r="A20" s="401"/>
      <c r="B20" s="604" t="str">
        <f t="shared" si="3"/>
        <v/>
      </c>
      <c r="C20" s="558"/>
      <c r="D20" s="605"/>
      <c r="E20" s="596"/>
      <c r="F20" s="559"/>
      <c r="G20" s="559"/>
      <c r="H20" s="597"/>
      <c r="I20" s="593"/>
      <c r="J20" s="559"/>
      <c r="K20" s="559"/>
      <c r="L20" s="597"/>
      <c r="M20" s="614"/>
      <c r="N20" s="401"/>
    </row>
    <row r="21" spans="1:14" hidden="1">
      <c r="A21" s="401"/>
      <c r="B21" s="604" t="str">
        <f t="shared" si="3"/>
        <v/>
      </c>
      <c r="C21" s="558"/>
      <c r="D21" s="605"/>
      <c r="E21" s="596"/>
      <c r="F21" s="559"/>
      <c r="G21" s="559"/>
      <c r="H21" s="597"/>
      <c r="I21" s="593"/>
      <c r="J21" s="559"/>
      <c r="K21" s="559"/>
      <c r="L21" s="597"/>
      <c r="M21" s="614"/>
      <c r="N21" s="401"/>
    </row>
    <row r="22" spans="1:14" hidden="1">
      <c r="A22" s="401"/>
      <c r="B22" s="604" t="str">
        <f t="shared" si="3"/>
        <v/>
      </c>
      <c r="C22" s="558"/>
      <c r="D22" s="605"/>
      <c r="E22" s="596"/>
      <c r="F22" s="559"/>
      <c r="G22" s="559"/>
      <c r="H22" s="597"/>
      <c r="I22" s="593"/>
      <c r="J22" s="559"/>
      <c r="K22" s="559"/>
      <c r="L22" s="597"/>
      <c r="M22" s="614"/>
      <c r="N22" s="401"/>
    </row>
    <row r="23" spans="1:14" hidden="1">
      <c r="A23" s="401"/>
      <c r="B23" s="604" t="str">
        <f t="shared" si="3"/>
        <v/>
      </c>
      <c r="C23" s="558"/>
      <c r="D23" s="605"/>
      <c r="E23" s="596"/>
      <c r="F23" s="559"/>
      <c r="G23" s="559"/>
      <c r="H23" s="597"/>
      <c r="I23" s="593"/>
      <c r="J23" s="559"/>
      <c r="K23" s="559"/>
      <c r="L23" s="597"/>
      <c r="M23" s="614"/>
      <c r="N23" s="401"/>
    </row>
    <row r="24" spans="1:14" hidden="1">
      <c r="A24" s="401"/>
      <c r="B24" s="604" t="str">
        <f t="shared" si="3"/>
        <v/>
      </c>
      <c r="C24" s="558"/>
      <c r="D24" s="605"/>
      <c r="E24" s="596"/>
      <c r="F24" s="559"/>
      <c r="G24" s="559"/>
      <c r="H24" s="597"/>
      <c r="I24" s="593"/>
      <c r="J24" s="559"/>
      <c r="K24" s="559"/>
      <c r="L24" s="597"/>
      <c r="M24" s="614"/>
      <c r="N24" s="401"/>
    </row>
    <row r="25" spans="1:14" hidden="1">
      <c r="A25" s="401"/>
      <c r="B25" s="604" t="str">
        <f t="shared" si="3"/>
        <v/>
      </c>
      <c r="C25" s="558"/>
      <c r="D25" s="605"/>
      <c r="E25" s="596"/>
      <c r="F25" s="559"/>
      <c r="G25" s="559"/>
      <c r="H25" s="597"/>
      <c r="I25" s="593"/>
      <c r="J25" s="559"/>
      <c r="K25" s="559"/>
      <c r="L25" s="597"/>
      <c r="M25" s="614"/>
      <c r="N25" s="401"/>
    </row>
    <row r="26" spans="1:14" hidden="1">
      <c r="A26" s="401"/>
      <c r="B26" s="604" t="str">
        <f t="shared" si="3"/>
        <v/>
      </c>
      <c r="C26" s="558"/>
      <c r="D26" s="605"/>
      <c r="E26" s="596"/>
      <c r="F26" s="559"/>
      <c r="G26" s="559"/>
      <c r="H26" s="597"/>
      <c r="I26" s="593"/>
      <c r="J26" s="559"/>
      <c r="K26" s="559"/>
      <c r="L26" s="597"/>
      <c r="M26" s="614"/>
      <c r="N26" s="401"/>
    </row>
    <row r="27" spans="1:14" hidden="1">
      <c r="A27" s="401"/>
      <c r="B27" s="604" t="str">
        <f t="shared" si="3"/>
        <v/>
      </c>
      <c r="C27" s="558"/>
      <c r="D27" s="605"/>
      <c r="E27" s="596"/>
      <c r="F27" s="559"/>
      <c r="G27" s="559"/>
      <c r="H27" s="597"/>
      <c r="I27" s="593"/>
      <c r="J27" s="559"/>
      <c r="K27" s="559"/>
      <c r="L27" s="597"/>
      <c r="M27" s="614"/>
      <c r="N27" s="401"/>
    </row>
    <row r="28" spans="1:14" hidden="1">
      <c r="A28" s="401"/>
      <c r="B28" s="604" t="str">
        <f t="shared" si="3"/>
        <v/>
      </c>
      <c r="C28" s="558"/>
      <c r="D28" s="605"/>
      <c r="E28" s="596"/>
      <c r="F28" s="559"/>
      <c r="G28" s="559"/>
      <c r="H28" s="597"/>
      <c r="I28" s="593"/>
      <c r="J28" s="559"/>
      <c r="K28" s="559"/>
      <c r="L28" s="597"/>
      <c r="M28" s="614"/>
      <c r="N28" s="401"/>
    </row>
    <row r="29" spans="1:14" hidden="1">
      <c r="A29" s="401"/>
      <c r="B29" s="604" t="str">
        <f t="shared" si="3"/>
        <v/>
      </c>
      <c r="C29" s="558"/>
      <c r="D29" s="605"/>
      <c r="E29" s="596"/>
      <c r="F29" s="559"/>
      <c r="G29" s="559"/>
      <c r="H29" s="597"/>
      <c r="I29" s="593"/>
      <c r="J29" s="559"/>
      <c r="K29" s="559"/>
      <c r="L29" s="597"/>
      <c r="M29" s="614"/>
      <c r="N29" s="401"/>
    </row>
    <row r="30" spans="1:14" hidden="1">
      <c r="A30" s="401"/>
      <c r="B30" s="604" t="str">
        <f t="shared" si="3"/>
        <v/>
      </c>
      <c r="C30" s="558"/>
      <c r="D30" s="605"/>
      <c r="E30" s="596"/>
      <c r="F30" s="559"/>
      <c r="G30" s="559"/>
      <c r="H30" s="597"/>
      <c r="I30" s="593"/>
      <c r="J30" s="559"/>
      <c r="K30" s="559"/>
      <c r="L30" s="597"/>
      <c r="M30" s="614"/>
      <c r="N30" s="401"/>
    </row>
    <row r="31" spans="1:14" hidden="1">
      <c r="A31" s="401"/>
      <c r="B31" s="604" t="str">
        <f t="shared" si="3"/>
        <v/>
      </c>
      <c r="C31" s="558"/>
      <c r="D31" s="605"/>
      <c r="E31" s="596"/>
      <c r="F31" s="559"/>
      <c r="G31" s="559"/>
      <c r="H31" s="597"/>
      <c r="I31" s="593"/>
      <c r="J31" s="559"/>
      <c r="K31" s="559"/>
      <c r="L31" s="597"/>
      <c r="M31" s="614"/>
      <c r="N31" s="401"/>
    </row>
    <row r="32" spans="1:14" hidden="1">
      <c r="A32" s="401"/>
      <c r="B32" s="604" t="str">
        <f t="shared" si="3"/>
        <v/>
      </c>
      <c r="C32" s="558"/>
      <c r="D32" s="605"/>
      <c r="E32" s="596"/>
      <c r="F32" s="559"/>
      <c r="G32" s="559"/>
      <c r="H32" s="597"/>
      <c r="I32" s="593"/>
      <c r="J32" s="559"/>
      <c r="K32" s="559"/>
      <c r="L32" s="597"/>
      <c r="M32" s="614"/>
      <c r="N32" s="401"/>
    </row>
    <row r="33" spans="1:14" hidden="1">
      <c r="A33" s="401"/>
      <c r="B33" s="604" t="str">
        <f t="shared" si="3"/>
        <v/>
      </c>
      <c r="C33" s="558"/>
      <c r="D33" s="605"/>
      <c r="E33" s="596"/>
      <c r="F33" s="559"/>
      <c r="G33" s="559"/>
      <c r="H33" s="597"/>
      <c r="I33" s="593"/>
      <c r="J33" s="559"/>
      <c r="K33" s="559"/>
      <c r="L33" s="597"/>
      <c r="M33" s="614"/>
      <c r="N33" s="401"/>
    </row>
    <row r="34" spans="1:14" hidden="1">
      <c r="A34" s="401"/>
      <c r="B34" s="604" t="str">
        <f t="shared" si="3"/>
        <v/>
      </c>
      <c r="C34" s="558"/>
      <c r="D34" s="605"/>
      <c r="E34" s="596"/>
      <c r="F34" s="559"/>
      <c r="G34" s="559"/>
      <c r="H34" s="597"/>
      <c r="I34" s="593"/>
      <c r="J34" s="559"/>
      <c r="K34" s="559"/>
      <c r="L34" s="597"/>
      <c r="M34" s="614"/>
      <c r="N34" s="401"/>
    </row>
    <row r="35" spans="1:14" hidden="1">
      <c r="A35" s="401"/>
      <c r="B35" s="604" t="str">
        <f t="shared" si="3"/>
        <v/>
      </c>
      <c r="C35" s="558"/>
      <c r="D35" s="605"/>
      <c r="E35" s="596"/>
      <c r="F35" s="559"/>
      <c r="G35" s="559"/>
      <c r="H35" s="597"/>
      <c r="I35" s="593"/>
      <c r="J35" s="559"/>
      <c r="K35" s="559"/>
      <c r="L35" s="597"/>
      <c r="M35" s="614"/>
      <c r="N35" s="401"/>
    </row>
    <row r="36" spans="1:14" hidden="1">
      <c r="A36" s="401"/>
      <c r="B36" s="604" t="str">
        <f t="shared" si="3"/>
        <v/>
      </c>
      <c r="C36" s="558"/>
      <c r="D36" s="605"/>
      <c r="E36" s="596"/>
      <c r="F36" s="559"/>
      <c r="G36" s="559"/>
      <c r="H36" s="597"/>
      <c r="I36" s="593"/>
      <c r="J36" s="559"/>
      <c r="K36" s="559"/>
      <c r="L36" s="597"/>
      <c r="M36" s="614"/>
      <c r="N36" s="401"/>
    </row>
    <row r="37" spans="1:14" hidden="1">
      <c r="A37" s="401"/>
      <c r="B37" s="604" t="str">
        <f t="shared" si="3"/>
        <v/>
      </c>
      <c r="C37" s="558"/>
      <c r="D37" s="605"/>
      <c r="E37" s="596"/>
      <c r="F37" s="559"/>
      <c r="G37" s="559"/>
      <c r="H37" s="597"/>
      <c r="I37" s="593"/>
      <c r="J37" s="559"/>
      <c r="K37" s="559"/>
      <c r="L37" s="597"/>
      <c r="M37" s="614"/>
      <c r="N37" s="401"/>
    </row>
    <row r="38" spans="1:14" hidden="1">
      <c r="A38" s="401"/>
      <c r="B38" s="604" t="str">
        <f t="shared" si="3"/>
        <v/>
      </c>
      <c r="C38" s="558"/>
      <c r="D38" s="605"/>
      <c r="E38" s="596"/>
      <c r="F38" s="559"/>
      <c r="G38" s="559"/>
      <c r="H38" s="597"/>
      <c r="I38" s="593"/>
      <c r="J38" s="559"/>
      <c r="K38" s="559"/>
      <c r="L38" s="597"/>
      <c r="M38" s="614"/>
      <c r="N38" s="401"/>
    </row>
    <row r="39" spans="1:14" hidden="1">
      <c r="A39" s="401"/>
      <c r="B39" s="604" t="str">
        <f t="shared" si="3"/>
        <v/>
      </c>
      <c r="C39" s="558"/>
      <c r="D39" s="605"/>
      <c r="E39" s="596"/>
      <c r="F39" s="559"/>
      <c r="G39" s="559"/>
      <c r="H39" s="597"/>
      <c r="I39" s="593"/>
      <c r="J39" s="559"/>
      <c r="K39" s="559"/>
      <c r="L39" s="597"/>
      <c r="M39" s="614"/>
      <c r="N39" s="401"/>
    </row>
    <row r="40" spans="1:14" hidden="1">
      <c r="A40" s="401"/>
      <c r="B40" s="604" t="str">
        <f t="shared" si="3"/>
        <v/>
      </c>
      <c r="C40" s="558"/>
      <c r="D40" s="605"/>
      <c r="E40" s="596"/>
      <c r="F40" s="559"/>
      <c r="G40" s="559"/>
      <c r="H40" s="597"/>
      <c r="I40" s="593"/>
      <c r="J40" s="559"/>
      <c r="K40" s="559"/>
      <c r="L40" s="597"/>
      <c r="M40" s="614"/>
      <c r="N40" s="401"/>
    </row>
    <row r="41" spans="1:14" hidden="1">
      <c r="A41" s="401"/>
      <c r="B41" s="604" t="str">
        <f t="shared" si="3"/>
        <v/>
      </c>
      <c r="C41" s="558"/>
      <c r="D41" s="605"/>
      <c r="E41" s="596"/>
      <c r="F41" s="559"/>
      <c r="G41" s="559"/>
      <c r="H41" s="597"/>
      <c r="I41" s="593"/>
      <c r="J41" s="559"/>
      <c r="K41" s="559"/>
      <c r="L41" s="597"/>
      <c r="M41" s="614"/>
      <c r="N41" s="401"/>
    </row>
    <row r="42" spans="1:14" hidden="1">
      <c r="A42" s="401"/>
      <c r="B42" s="604" t="str">
        <f t="shared" si="3"/>
        <v/>
      </c>
      <c r="C42" s="558"/>
      <c r="D42" s="605"/>
      <c r="E42" s="596"/>
      <c r="F42" s="559"/>
      <c r="G42" s="559"/>
      <c r="H42" s="597"/>
      <c r="I42" s="593"/>
      <c r="J42" s="559"/>
      <c r="K42" s="559"/>
      <c r="L42" s="597"/>
      <c r="M42" s="614"/>
      <c r="N42" s="401"/>
    </row>
    <row r="43" spans="1:14" hidden="1">
      <c r="A43" s="401"/>
      <c r="B43" s="604" t="str">
        <f t="shared" si="3"/>
        <v/>
      </c>
      <c r="C43" s="558"/>
      <c r="D43" s="605"/>
      <c r="E43" s="596"/>
      <c r="F43" s="559"/>
      <c r="G43" s="559"/>
      <c r="H43" s="597"/>
      <c r="I43" s="593"/>
      <c r="J43" s="559"/>
      <c r="K43" s="559"/>
      <c r="L43" s="597"/>
      <c r="M43" s="614"/>
      <c r="N43" s="401"/>
    </row>
    <row r="44" spans="1:14" hidden="1">
      <c r="A44" s="401"/>
      <c r="B44" s="604" t="str">
        <f t="shared" si="3"/>
        <v/>
      </c>
      <c r="C44" s="558"/>
      <c r="D44" s="605"/>
      <c r="E44" s="596"/>
      <c r="F44" s="559"/>
      <c r="G44" s="559"/>
      <c r="H44" s="597"/>
      <c r="I44" s="593"/>
      <c r="J44" s="559"/>
      <c r="K44" s="559"/>
      <c r="L44" s="597"/>
      <c r="M44" s="614"/>
      <c r="N44" s="401"/>
    </row>
    <row r="45" spans="1:14" hidden="1">
      <c r="A45" s="401"/>
      <c r="B45" s="604" t="str">
        <f t="shared" si="3"/>
        <v/>
      </c>
      <c r="C45" s="558"/>
      <c r="D45" s="605"/>
      <c r="E45" s="596"/>
      <c r="F45" s="559"/>
      <c r="G45" s="559"/>
      <c r="H45" s="597"/>
      <c r="I45" s="593"/>
      <c r="J45" s="559"/>
      <c r="K45" s="559"/>
      <c r="L45" s="597"/>
      <c r="M45" s="614"/>
      <c r="N45" s="401"/>
    </row>
    <row r="46" spans="1:14" hidden="1">
      <c r="A46" s="401"/>
      <c r="B46" s="604" t="str">
        <f t="shared" si="3"/>
        <v/>
      </c>
      <c r="C46" s="558"/>
      <c r="D46" s="605"/>
      <c r="E46" s="596"/>
      <c r="F46" s="559"/>
      <c r="G46" s="559"/>
      <c r="H46" s="597"/>
      <c r="I46" s="593"/>
      <c r="J46" s="559"/>
      <c r="K46" s="559"/>
      <c r="L46" s="597"/>
      <c r="M46" s="614"/>
      <c r="N46" s="401"/>
    </row>
    <row r="47" spans="1:14" hidden="1">
      <c r="A47" s="401"/>
      <c r="B47" s="604" t="str">
        <f t="shared" si="3"/>
        <v/>
      </c>
      <c r="C47" s="558"/>
      <c r="D47" s="605"/>
      <c r="E47" s="596"/>
      <c r="F47" s="559"/>
      <c r="G47" s="559"/>
      <c r="H47" s="597"/>
      <c r="I47" s="593"/>
      <c r="J47" s="559"/>
      <c r="K47" s="559"/>
      <c r="L47" s="597"/>
      <c r="M47" s="614"/>
      <c r="N47" s="401"/>
    </row>
    <row r="48" spans="1:14" hidden="1">
      <c r="A48" s="401"/>
      <c r="B48" s="604" t="str">
        <f t="shared" si="3"/>
        <v/>
      </c>
      <c r="C48" s="558"/>
      <c r="D48" s="605"/>
      <c r="E48" s="596"/>
      <c r="F48" s="559"/>
      <c r="G48" s="559"/>
      <c r="H48" s="597"/>
      <c r="I48" s="593"/>
      <c r="J48" s="559"/>
      <c r="K48" s="559"/>
      <c r="L48" s="597"/>
      <c r="M48" s="614"/>
      <c r="N48" s="401"/>
    </row>
    <row r="49" spans="1:14" hidden="1">
      <c r="A49" s="401"/>
      <c r="B49" s="604" t="str">
        <f t="shared" si="3"/>
        <v/>
      </c>
      <c r="C49" s="558"/>
      <c r="D49" s="605"/>
      <c r="E49" s="596"/>
      <c r="F49" s="559"/>
      <c r="G49" s="559"/>
      <c r="H49" s="597"/>
      <c r="I49" s="593"/>
      <c r="J49" s="559"/>
      <c r="K49" s="559"/>
      <c r="L49" s="597"/>
      <c r="M49" s="614"/>
      <c r="N49" s="401"/>
    </row>
    <row r="50" spans="1:14" hidden="1">
      <c r="A50" s="401"/>
      <c r="B50" s="604" t="str">
        <f t="shared" si="3"/>
        <v/>
      </c>
      <c r="C50" s="558"/>
      <c r="D50" s="605"/>
      <c r="E50" s="596"/>
      <c r="F50" s="559"/>
      <c r="G50" s="559"/>
      <c r="H50" s="597"/>
      <c r="I50" s="593"/>
      <c r="J50" s="559"/>
      <c r="K50" s="559"/>
      <c r="L50" s="597"/>
      <c r="M50" s="614"/>
      <c r="N50" s="401"/>
    </row>
    <row r="51" spans="1:14" hidden="1">
      <c r="A51" s="401"/>
      <c r="B51" s="604" t="str">
        <f t="shared" si="3"/>
        <v/>
      </c>
      <c r="C51" s="558"/>
      <c r="D51" s="605"/>
      <c r="E51" s="596"/>
      <c r="F51" s="559"/>
      <c r="G51" s="559"/>
      <c r="H51" s="597"/>
      <c r="I51" s="593"/>
      <c r="J51" s="559"/>
      <c r="K51" s="559"/>
      <c r="L51" s="597"/>
      <c r="M51" s="614"/>
      <c r="N51" s="401"/>
    </row>
    <row r="52" spans="1:14" hidden="1">
      <c r="A52" s="401"/>
      <c r="B52" s="604" t="str">
        <f t="shared" si="3"/>
        <v/>
      </c>
      <c r="C52" s="558"/>
      <c r="D52" s="605"/>
      <c r="E52" s="596"/>
      <c r="F52" s="559"/>
      <c r="G52" s="559"/>
      <c r="H52" s="597"/>
      <c r="I52" s="593"/>
      <c r="J52" s="559"/>
      <c r="K52" s="559"/>
      <c r="L52" s="597"/>
      <c r="M52" s="614"/>
      <c r="N52" s="401"/>
    </row>
    <row r="53" spans="1:14" hidden="1">
      <c r="A53" s="401"/>
      <c r="B53" s="604" t="str">
        <f t="shared" si="3"/>
        <v/>
      </c>
      <c r="C53" s="558"/>
      <c r="D53" s="605"/>
      <c r="E53" s="596"/>
      <c r="F53" s="559"/>
      <c r="G53" s="559"/>
      <c r="H53" s="597"/>
      <c r="I53" s="593"/>
      <c r="J53" s="559"/>
      <c r="K53" s="559"/>
      <c r="L53" s="597"/>
      <c r="M53" s="614"/>
      <c r="N53" s="401"/>
    </row>
    <row r="54" spans="1:14" hidden="1">
      <c r="A54" s="401"/>
      <c r="B54" s="604" t="str">
        <f t="shared" si="3"/>
        <v/>
      </c>
      <c r="C54" s="558"/>
      <c r="D54" s="605"/>
      <c r="E54" s="596"/>
      <c r="F54" s="559"/>
      <c r="G54" s="559"/>
      <c r="H54" s="597"/>
      <c r="I54" s="593"/>
      <c r="J54" s="559"/>
      <c r="K54" s="559"/>
      <c r="L54" s="597"/>
      <c r="M54" s="614"/>
      <c r="N54" s="401"/>
    </row>
    <row r="55" spans="1:14" hidden="1">
      <c r="A55" s="401"/>
      <c r="B55" s="604" t="str">
        <f t="shared" si="3"/>
        <v/>
      </c>
      <c r="C55" s="558"/>
      <c r="D55" s="605"/>
      <c r="E55" s="596"/>
      <c r="F55" s="559"/>
      <c r="G55" s="559"/>
      <c r="H55" s="597"/>
      <c r="I55" s="593"/>
      <c r="J55" s="559"/>
      <c r="K55" s="559"/>
      <c r="L55" s="597"/>
      <c r="M55" s="614"/>
      <c r="N55" s="401"/>
    </row>
    <row r="56" spans="1:14" hidden="1">
      <c r="A56" s="401"/>
      <c r="B56" s="604" t="str">
        <f t="shared" si="3"/>
        <v/>
      </c>
      <c r="C56" s="558"/>
      <c r="D56" s="605"/>
      <c r="E56" s="596"/>
      <c r="F56" s="559"/>
      <c r="G56" s="559"/>
      <c r="H56" s="597"/>
      <c r="I56" s="593"/>
      <c r="J56" s="559"/>
      <c r="K56" s="559"/>
      <c r="L56" s="597"/>
      <c r="M56" s="614"/>
      <c r="N56" s="401"/>
    </row>
    <row r="57" spans="1:14" hidden="1">
      <c r="A57" s="401"/>
      <c r="B57" s="604" t="str">
        <f t="shared" si="3"/>
        <v/>
      </c>
      <c r="C57" s="558"/>
      <c r="D57" s="605"/>
      <c r="E57" s="596"/>
      <c r="F57" s="559"/>
      <c r="G57" s="559"/>
      <c r="H57" s="597"/>
      <c r="I57" s="593"/>
      <c r="J57" s="559"/>
      <c r="K57" s="559"/>
      <c r="L57" s="597"/>
      <c r="M57" s="614"/>
      <c r="N57" s="401"/>
    </row>
    <row r="58" spans="1:14" hidden="1">
      <c r="A58" s="401"/>
      <c r="B58" s="604" t="str">
        <f t="shared" si="3"/>
        <v/>
      </c>
      <c r="C58" s="558"/>
      <c r="D58" s="605"/>
      <c r="E58" s="596"/>
      <c r="F58" s="559"/>
      <c r="G58" s="559"/>
      <c r="H58" s="597"/>
      <c r="I58" s="593"/>
      <c r="J58" s="559"/>
      <c r="K58" s="559"/>
      <c r="L58" s="597"/>
      <c r="M58" s="614"/>
      <c r="N58" s="401"/>
    </row>
    <row r="59" spans="1:14" hidden="1">
      <c r="A59" s="401"/>
      <c r="B59" s="604" t="str">
        <f t="shared" si="3"/>
        <v/>
      </c>
      <c r="C59" s="558"/>
      <c r="D59" s="605"/>
      <c r="E59" s="596"/>
      <c r="F59" s="559"/>
      <c r="G59" s="559"/>
      <c r="H59" s="597"/>
      <c r="I59" s="593"/>
      <c r="J59" s="559"/>
      <c r="K59" s="559"/>
      <c r="L59" s="597"/>
      <c r="M59" s="614"/>
      <c r="N59" s="401"/>
    </row>
    <row r="60" spans="1:14" hidden="1">
      <c r="A60" s="401"/>
      <c r="B60" s="604" t="str">
        <f t="shared" si="3"/>
        <v/>
      </c>
      <c r="C60" s="558"/>
      <c r="D60" s="605"/>
      <c r="E60" s="596"/>
      <c r="F60" s="559"/>
      <c r="G60" s="559"/>
      <c r="H60" s="597"/>
      <c r="I60" s="593"/>
      <c r="J60" s="559"/>
      <c r="K60" s="559"/>
      <c r="L60" s="597"/>
      <c r="M60" s="614"/>
      <c r="N60" s="401"/>
    </row>
    <row r="61" spans="1:14" hidden="1">
      <c r="A61" s="401"/>
      <c r="B61" s="604" t="str">
        <f t="shared" si="3"/>
        <v/>
      </c>
      <c r="C61" s="558"/>
      <c r="D61" s="605"/>
      <c r="E61" s="596"/>
      <c r="F61" s="559"/>
      <c r="G61" s="559"/>
      <c r="H61" s="597"/>
      <c r="I61" s="593"/>
      <c r="J61" s="559"/>
      <c r="K61" s="559"/>
      <c r="L61" s="597"/>
      <c r="M61" s="614"/>
      <c r="N61" s="401"/>
    </row>
    <row r="62" spans="1:14" hidden="1">
      <c r="A62" s="401"/>
      <c r="B62" s="604" t="str">
        <f t="shared" si="3"/>
        <v/>
      </c>
      <c r="C62" s="558"/>
      <c r="D62" s="605"/>
      <c r="E62" s="596"/>
      <c r="F62" s="559"/>
      <c r="G62" s="559"/>
      <c r="H62" s="597"/>
      <c r="I62" s="593"/>
      <c r="J62" s="559"/>
      <c r="K62" s="559"/>
      <c r="L62" s="597"/>
      <c r="M62" s="614"/>
      <c r="N62" s="401"/>
    </row>
    <row r="63" spans="1:14" hidden="1">
      <c r="A63" s="401"/>
      <c r="B63" s="604" t="str">
        <f t="shared" si="3"/>
        <v/>
      </c>
      <c r="C63" s="558"/>
      <c r="D63" s="605"/>
      <c r="E63" s="596"/>
      <c r="F63" s="559"/>
      <c r="G63" s="559"/>
      <c r="H63" s="597"/>
      <c r="I63" s="593"/>
      <c r="J63" s="559"/>
      <c r="K63" s="559"/>
      <c r="L63" s="597"/>
      <c r="M63" s="614"/>
      <c r="N63" s="401"/>
    </row>
    <row r="64" spans="1:14" hidden="1">
      <c r="A64" s="401"/>
      <c r="B64" s="604" t="str">
        <f t="shared" si="3"/>
        <v/>
      </c>
      <c r="C64" s="558"/>
      <c r="D64" s="605"/>
      <c r="E64" s="596"/>
      <c r="F64" s="559"/>
      <c r="G64" s="559"/>
      <c r="H64" s="597"/>
      <c r="I64" s="593"/>
      <c r="J64" s="559"/>
      <c r="K64" s="559"/>
      <c r="L64" s="597"/>
      <c r="M64" s="614"/>
      <c r="N64" s="401"/>
    </row>
    <row r="65" spans="1:14" hidden="1">
      <c r="A65" s="401"/>
      <c r="B65" s="604" t="str">
        <f t="shared" si="3"/>
        <v/>
      </c>
      <c r="C65" s="558"/>
      <c r="D65" s="605"/>
      <c r="E65" s="596"/>
      <c r="F65" s="559"/>
      <c r="G65" s="559"/>
      <c r="H65" s="597"/>
      <c r="I65" s="593"/>
      <c r="J65" s="559"/>
      <c r="K65" s="559"/>
      <c r="L65" s="597"/>
      <c r="M65" s="614"/>
      <c r="N65" s="401"/>
    </row>
    <row r="66" spans="1:14" hidden="1">
      <c r="A66" s="401"/>
      <c r="B66" s="604" t="str">
        <f t="shared" si="3"/>
        <v/>
      </c>
      <c r="C66" s="558"/>
      <c r="D66" s="605"/>
      <c r="E66" s="596"/>
      <c r="F66" s="559"/>
      <c r="G66" s="559"/>
      <c r="H66" s="597"/>
      <c r="I66" s="593"/>
      <c r="J66" s="559"/>
      <c r="K66" s="559"/>
      <c r="L66" s="597"/>
      <c r="M66" s="614"/>
      <c r="N66" s="401"/>
    </row>
    <row r="67" spans="1:14" hidden="1">
      <c r="A67" s="401"/>
      <c r="B67" s="604" t="str">
        <f t="shared" si="3"/>
        <v/>
      </c>
      <c r="C67" s="558"/>
      <c r="D67" s="605"/>
      <c r="E67" s="596"/>
      <c r="F67" s="559"/>
      <c r="G67" s="559"/>
      <c r="H67" s="597"/>
      <c r="I67" s="593"/>
      <c r="J67" s="559"/>
      <c r="K67" s="559"/>
      <c r="L67" s="597"/>
      <c r="M67" s="614"/>
      <c r="N67" s="401"/>
    </row>
    <row r="68" spans="1:14" hidden="1">
      <c r="A68" s="401"/>
      <c r="B68" s="604" t="str">
        <f t="shared" si="3"/>
        <v/>
      </c>
      <c r="C68" s="558"/>
      <c r="D68" s="605"/>
      <c r="E68" s="596"/>
      <c r="F68" s="559"/>
      <c r="G68" s="559"/>
      <c r="H68" s="597"/>
      <c r="I68" s="593"/>
      <c r="J68" s="559"/>
      <c r="K68" s="559"/>
      <c r="L68" s="597"/>
      <c r="M68" s="614"/>
      <c r="N68" s="401"/>
    </row>
    <row r="69" spans="1:14" hidden="1">
      <c r="A69" s="401"/>
      <c r="B69" s="604" t="str">
        <f t="shared" si="3"/>
        <v/>
      </c>
      <c r="C69" s="558"/>
      <c r="D69" s="605"/>
      <c r="E69" s="596"/>
      <c r="F69" s="559"/>
      <c r="G69" s="559"/>
      <c r="H69" s="597"/>
      <c r="I69" s="593"/>
      <c r="J69" s="559"/>
      <c r="K69" s="559"/>
      <c r="L69" s="597"/>
      <c r="M69" s="614"/>
      <c r="N69" s="401"/>
    </row>
    <row r="70" spans="1:14" hidden="1">
      <c r="A70" s="401"/>
      <c r="B70" s="604" t="str">
        <f t="shared" si="3"/>
        <v/>
      </c>
      <c r="C70" s="558"/>
      <c r="D70" s="605"/>
      <c r="E70" s="596"/>
      <c r="F70" s="559"/>
      <c r="G70" s="559"/>
      <c r="H70" s="597"/>
      <c r="I70" s="593"/>
      <c r="J70" s="559"/>
      <c r="K70" s="559"/>
      <c r="L70" s="597"/>
      <c r="M70" s="614"/>
      <c r="N70" s="401"/>
    </row>
    <row r="71" spans="1:14" hidden="1">
      <c r="A71" s="401"/>
      <c r="B71" s="604" t="str">
        <f t="shared" si="3"/>
        <v/>
      </c>
      <c r="C71" s="558"/>
      <c r="D71" s="605"/>
      <c r="E71" s="596"/>
      <c r="F71" s="559"/>
      <c r="G71" s="559"/>
      <c r="H71" s="597"/>
      <c r="I71" s="593"/>
      <c r="J71" s="559"/>
      <c r="K71" s="559"/>
      <c r="L71" s="597"/>
      <c r="M71" s="614"/>
      <c r="N71" s="401"/>
    </row>
    <row r="72" spans="1:14" hidden="1">
      <c r="A72" s="401"/>
      <c r="B72" s="604" t="str">
        <f t="shared" si="3"/>
        <v/>
      </c>
      <c r="C72" s="558"/>
      <c r="D72" s="605"/>
      <c r="E72" s="596"/>
      <c r="F72" s="559"/>
      <c r="G72" s="559"/>
      <c r="H72" s="597"/>
      <c r="I72" s="593"/>
      <c r="J72" s="559"/>
      <c r="K72" s="559"/>
      <c r="L72" s="597"/>
      <c r="M72" s="614"/>
      <c r="N72" s="401"/>
    </row>
    <row r="73" spans="1:14" hidden="1">
      <c r="A73" s="401"/>
      <c r="B73" s="604" t="str">
        <f t="shared" si="3"/>
        <v/>
      </c>
      <c r="C73" s="558"/>
      <c r="D73" s="605"/>
      <c r="E73" s="596"/>
      <c r="F73" s="559"/>
      <c r="G73" s="559"/>
      <c r="H73" s="597"/>
      <c r="I73" s="593"/>
      <c r="J73" s="559"/>
      <c r="K73" s="559"/>
      <c r="L73" s="597"/>
      <c r="M73" s="614"/>
      <c r="N73" s="401"/>
    </row>
    <row r="74" spans="1:14" hidden="1">
      <c r="A74" s="401"/>
      <c r="B74" s="604" t="str">
        <f t="shared" ref="B74:B137" si="4">IF(C74="","",B73+1)</f>
        <v/>
      </c>
      <c r="C74" s="558"/>
      <c r="D74" s="605"/>
      <c r="E74" s="596"/>
      <c r="F74" s="559"/>
      <c r="G74" s="559"/>
      <c r="H74" s="597"/>
      <c r="I74" s="593"/>
      <c r="J74" s="559"/>
      <c r="K74" s="559"/>
      <c r="L74" s="597"/>
      <c r="M74" s="614"/>
      <c r="N74" s="401"/>
    </row>
    <row r="75" spans="1:14" hidden="1">
      <c r="A75" s="401"/>
      <c r="B75" s="604" t="str">
        <f t="shared" si="4"/>
        <v/>
      </c>
      <c r="C75" s="558"/>
      <c r="D75" s="605"/>
      <c r="E75" s="596"/>
      <c r="F75" s="559"/>
      <c r="G75" s="559"/>
      <c r="H75" s="597"/>
      <c r="I75" s="593"/>
      <c r="J75" s="559"/>
      <c r="K75" s="559"/>
      <c r="L75" s="597"/>
      <c r="M75" s="614"/>
      <c r="N75" s="401"/>
    </row>
    <row r="76" spans="1:14" hidden="1">
      <c r="A76" s="401"/>
      <c r="B76" s="604" t="str">
        <f t="shared" si="4"/>
        <v/>
      </c>
      <c r="C76" s="558"/>
      <c r="D76" s="605"/>
      <c r="E76" s="596"/>
      <c r="F76" s="559"/>
      <c r="G76" s="559"/>
      <c r="H76" s="597"/>
      <c r="I76" s="593"/>
      <c r="J76" s="559"/>
      <c r="K76" s="559"/>
      <c r="L76" s="597"/>
      <c r="M76" s="614"/>
      <c r="N76" s="401"/>
    </row>
    <row r="77" spans="1:14" hidden="1">
      <c r="A77" s="401"/>
      <c r="B77" s="604" t="str">
        <f t="shared" si="4"/>
        <v/>
      </c>
      <c r="C77" s="558"/>
      <c r="D77" s="605"/>
      <c r="E77" s="596"/>
      <c r="F77" s="559"/>
      <c r="G77" s="559"/>
      <c r="H77" s="597"/>
      <c r="I77" s="593"/>
      <c r="J77" s="559"/>
      <c r="K77" s="559"/>
      <c r="L77" s="597"/>
      <c r="M77" s="614"/>
      <c r="N77" s="401"/>
    </row>
    <row r="78" spans="1:14" hidden="1">
      <c r="A78" s="401"/>
      <c r="B78" s="604" t="str">
        <f t="shared" si="4"/>
        <v/>
      </c>
      <c r="C78" s="558"/>
      <c r="D78" s="605"/>
      <c r="E78" s="596"/>
      <c r="F78" s="559"/>
      <c r="G78" s="559"/>
      <c r="H78" s="597"/>
      <c r="I78" s="593"/>
      <c r="J78" s="559"/>
      <c r="K78" s="559"/>
      <c r="L78" s="597"/>
      <c r="M78" s="614"/>
      <c r="N78" s="401"/>
    </row>
    <row r="79" spans="1:14" hidden="1">
      <c r="A79" s="401"/>
      <c r="B79" s="604" t="str">
        <f t="shared" si="4"/>
        <v/>
      </c>
      <c r="C79" s="558"/>
      <c r="D79" s="605"/>
      <c r="E79" s="596"/>
      <c r="F79" s="559"/>
      <c r="G79" s="559"/>
      <c r="H79" s="597"/>
      <c r="I79" s="593"/>
      <c r="J79" s="559"/>
      <c r="K79" s="559"/>
      <c r="L79" s="597"/>
      <c r="M79" s="614"/>
      <c r="N79" s="401"/>
    </row>
    <row r="80" spans="1:14" hidden="1">
      <c r="A80" s="401"/>
      <c r="B80" s="604" t="str">
        <f t="shared" si="4"/>
        <v/>
      </c>
      <c r="C80" s="558"/>
      <c r="D80" s="605"/>
      <c r="E80" s="596"/>
      <c r="F80" s="559"/>
      <c r="G80" s="559"/>
      <c r="H80" s="597"/>
      <c r="I80" s="593"/>
      <c r="J80" s="559"/>
      <c r="K80" s="559"/>
      <c r="L80" s="597"/>
      <c r="M80" s="614"/>
      <c r="N80" s="401"/>
    </row>
    <row r="81" spans="1:14" hidden="1">
      <c r="A81" s="401"/>
      <c r="B81" s="604" t="str">
        <f t="shared" si="4"/>
        <v/>
      </c>
      <c r="C81" s="558"/>
      <c r="D81" s="605"/>
      <c r="E81" s="596"/>
      <c r="F81" s="559"/>
      <c r="G81" s="559"/>
      <c r="H81" s="597"/>
      <c r="I81" s="593"/>
      <c r="J81" s="559"/>
      <c r="K81" s="559"/>
      <c r="L81" s="597"/>
      <c r="M81" s="614"/>
      <c r="N81" s="401"/>
    </row>
    <row r="82" spans="1:14" hidden="1">
      <c r="A82" s="401"/>
      <c r="B82" s="604" t="str">
        <f t="shared" si="4"/>
        <v/>
      </c>
      <c r="C82" s="558"/>
      <c r="D82" s="605"/>
      <c r="E82" s="596"/>
      <c r="F82" s="559"/>
      <c r="G82" s="559"/>
      <c r="H82" s="597"/>
      <c r="I82" s="593"/>
      <c r="J82" s="559"/>
      <c r="K82" s="559"/>
      <c r="L82" s="597"/>
      <c r="M82" s="614"/>
      <c r="N82" s="401"/>
    </row>
    <row r="83" spans="1:14" hidden="1">
      <c r="A83" s="401"/>
      <c r="B83" s="604" t="str">
        <f t="shared" si="4"/>
        <v/>
      </c>
      <c r="C83" s="558"/>
      <c r="D83" s="605"/>
      <c r="E83" s="596"/>
      <c r="F83" s="559"/>
      <c r="G83" s="559"/>
      <c r="H83" s="597"/>
      <c r="I83" s="593"/>
      <c r="J83" s="559"/>
      <c r="K83" s="559"/>
      <c r="L83" s="597"/>
      <c r="M83" s="614"/>
      <c r="N83" s="401"/>
    </row>
    <row r="84" spans="1:14" hidden="1">
      <c r="A84" s="401"/>
      <c r="B84" s="604" t="str">
        <f t="shared" si="4"/>
        <v/>
      </c>
      <c r="C84" s="558"/>
      <c r="D84" s="605"/>
      <c r="E84" s="596"/>
      <c r="F84" s="559"/>
      <c r="G84" s="559"/>
      <c r="H84" s="597"/>
      <c r="I84" s="593"/>
      <c r="J84" s="559"/>
      <c r="K84" s="559"/>
      <c r="L84" s="597"/>
      <c r="M84" s="614"/>
      <c r="N84" s="401"/>
    </row>
    <row r="85" spans="1:14" hidden="1">
      <c r="A85" s="401"/>
      <c r="B85" s="604" t="str">
        <f t="shared" si="4"/>
        <v/>
      </c>
      <c r="C85" s="558"/>
      <c r="D85" s="605"/>
      <c r="E85" s="596"/>
      <c r="F85" s="559"/>
      <c r="G85" s="559"/>
      <c r="H85" s="597"/>
      <c r="I85" s="593"/>
      <c r="J85" s="559"/>
      <c r="K85" s="559"/>
      <c r="L85" s="597"/>
      <c r="M85" s="614"/>
      <c r="N85" s="401"/>
    </row>
    <row r="86" spans="1:14" hidden="1">
      <c r="A86" s="401"/>
      <c r="B86" s="604" t="str">
        <f t="shared" si="4"/>
        <v/>
      </c>
      <c r="C86" s="558"/>
      <c r="D86" s="605"/>
      <c r="E86" s="596"/>
      <c r="F86" s="559"/>
      <c r="G86" s="559"/>
      <c r="H86" s="597"/>
      <c r="I86" s="593"/>
      <c r="J86" s="559"/>
      <c r="K86" s="559"/>
      <c r="L86" s="597"/>
      <c r="M86" s="614"/>
      <c r="N86" s="401"/>
    </row>
    <row r="87" spans="1:14" hidden="1">
      <c r="A87" s="401"/>
      <c r="B87" s="604" t="str">
        <f t="shared" si="4"/>
        <v/>
      </c>
      <c r="C87" s="558"/>
      <c r="D87" s="605"/>
      <c r="E87" s="596"/>
      <c r="F87" s="559"/>
      <c r="G87" s="559"/>
      <c r="H87" s="597"/>
      <c r="I87" s="593"/>
      <c r="J87" s="559"/>
      <c r="K87" s="559"/>
      <c r="L87" s="597"/>
      <c r="M87" s="614"/>
      <c r="N87" s="401"/>
    </row>
    <row r="88" spans="1:14" hidden="1">
      <c r="A88" s="401"/>
      <c r="B88" s="604" t="str">
        <f t="shared" si="4"/>
        <v/>
      </c>
      <c r="C88" s="558"/>
      <c r="D88" s="605"/>
      <c r="E88" s="596"/>
      <c r="F88" s="559"/>
      <c r="G88" s="559"/>
      <c r="H88" s="597"/>
      <c r="I88" s="593"/>
      <c r="J88" s="559"/>
      <c r="K88" s="559"/>
      <c r="L88" s="597"/>
      <c r="M88" s="614"/>
      <c r="N88" s="401"/>
    </row>
    <row r="89" spans="1:14" hidden="1">
      <c r="A89" s="401"/>
      <c r="B89" s="604" t="str">
        <f t="shared" si="4"/>
        <v/>
      </c>
      <c r="C89" s="558"/>
      <c r="D89" s="605"/>
      <c r="E89" s="596"/>
      <c r="F89" s="559"/>
      <c r="G89" s="559"/>
      <c r="H89" s="597"/>
      <c r="I89" s="593"/>
      <c r="J89" s="559"/>
      <c r="K89" s="559"/>
      <c r="L89" s="597"/>
      <c r="M89" s="614"/>
      <c r="N89" s="401"/>
    </row>
    <row r="90" spans="1:14" hidden="1">
      <c r="A90" s="401"/>
      <c r="B90" s="604" t="str">
        <f t="shared" si="4"/>
        <v/>
      </c>
      <c r="C90" s="558"/>
      <c r="D90" s="605"/>
      <c r="E90" s="596"/>
      <c r="F90" s="559"/>
      <c r="G90" s="559"/>
      <c r="H90" s="597"/>
      <c r="I90" s="593"/>
      <c r="J90" s="559"/>
      <c r="K90" s="559"/>
      <c r="L90" s="597"/>
      <c r="M90" s="614"/>
      <c r="N90" s="401"/>
    </row>
    <row r="91" spans="1:14" hidden="1">
      <c r="A91" s="401"/>
      <c r="B91" s="604" t="str">
        <f t="shared" si="4"/>
        <v/>
      </c>
      <c r="C91" s="558"/>
      <c r="D91" s="605"/>
      <c r="E91" s="596"/>
      <c r="F91" s="559"/>
      <c r="G91" s="559"/>
      <c r="H91" s="597"/>
      <c r="I91" s="593"/>
      <c r="J91" s="559"/>
      <c r="K91" s="559"/>
      <c r="L91" s="597"/>
      <c r="M91" s="614"/>
      <c r="N91" s="401"/>
    </row>
    <row r="92" spans="1:14" hidden="1">
      <c r="A92" s="401"/>
      <c r="B92" s="604" t="str">
        <f t="shared" si="4"/>
        <v/>
      </c>
      <c r="C92" s="558"/>
      <c r="D92" s="605"/>
      <c r="E92" s="596"/>
      <c r="F92" s="559"/>
      <c r="G92" s="559"/>
      <c r="H92" s="597"/>
      <c r="I92" s="593"/>
      <c r="J92" s="559"/>
      <c r="K92" s="559"/>
      <c r="L92" s="597"/>
      <c r="M92" s="614"/>
      <c r="N92" s="401"/>
    </row>
    <row r="93" spans="1:14" hidden="1">
      <c r="A93" s="401"/>
      <c r="B93" s="604" t="str">
        <f t="shared" si="4"/>
        <v/>
      </c>
      <c r="C93" s="558"/>
      <c r="D93" s="605"/>
      <c r="E93" s="596"/>
      <c r="F93" s="559"/>
      <c r="G93" s="559"/>
      <c r="H93" s="597"/>
      <c r="I93" s="593"/>
      <c r="J93" s="559"/>
      <c r="K93" s="559"/>
      <c r="L93" s="597"/>
      <c r="M93" s="614"/>
      <c r="N93" s="401"/>
    </row>
    <row r="94" spans="1:14" hidden="1">
      <c r="A94" s="401"/>
      <c r="B94" s="604" t="str">
        <f t="shared" si="4"/>
        <v/>
      </c>
      <c r="C94" s="558"/>
      <c r="D94" s="605"/>
      <c r="E94" s="596"/>
      <c r="F94" s="559"/>
      <c r="G94" s="559"/>
      <c r="H94" s="597"/>
      <c r="I94" s="593"/>
      <c r="J94" s="559"/>
      <c r="K94" s="559"/>
      <c r="L94" s="597"/>
      <c r="M94" s="614"/>
      <c r="N94" s="401"/>
    </row>
    <row r="95" spans="1:14" hidden="1">
      <c r="A95" s="401"/>
      <c r="B95" s="604" t="str">
        <f t="shared" si="4"/>
        <v/>
      </c>
      <c r="C95" s="558"/>
      <c r="D95" s="605"/>
      <c r="E95" s="596"/>
      <c r="F95" s="559"/>
      <c r="G95" s="559"/>
      <c r="H95" s="597"/>
      <c r="I95" s="593"/>
      <c r="J95" s="559"/>
      <c r="K95" s="559"/>
      <c r="L95" s="597"/>
      <c r="M95" s="614"/>
      <c r="N95" s="401"/>
    </row>
    <row r="96" spans="1:14" hidden="1">
      <c r="A96" s="401"/>
      <c r="B96" s="604" t="str">
        <f t="shared" si="4"/>
        <v/>
      </c>
      <c r="C96" s="558"/>
      <c r="D96" s="605"/>
      <c r="E96" s="596"/>
      <c r="F96" s="559"/>
      <c r="G96" s="559"/>
      <c r="H96" s="597"/>
      <c r="I96" s="593"/>
      <c r="J96" s="559"/>
      <c r="K96" s="559"/>
      <c r="L96" s="597"/>
      <c r="M96" s="614"/>
      <c r="N96" s="401"/>
    </row>
    <row r="97" spans="1:14" hidden="1">
      <c r="A97" s="401"/>
      <c r="B97" s="604" t="str">
        <f t="shared" si="4"/>
        <v/>
      </c>
      <c r="C97" s="558"/>
      <c r="D97" s="605"/>
      <c r="E97" s="596"/>
      <c r="F97" s="559"/>
      <c r="G97" s="559"/>
      <c r="H97" s="597"/>
      <c r="I97" s="593"/>
      <c r="J97" s="559"/>
      <c r="K97" s="559"/>
      <c r="L97" s="597"/>
      <c r="M97" s="614"/>
      <c r="N97" s="401"/>
    </row>
    <row r="98" spans="1:14" hidden="1">
      <c r="A98" s="401"/>
      <c r="B98" s="604" t="str">
        <f t="shared" si="4"/>
        <v/>
      </c>
      <c r="C98" s="558"/>
      <c r="D98" s="605"/>
      <c r="E98" s="596"/>
      <c r="F98" s="559"/>
      <c r="G98" s="559"/>
      <c r="H98" s="597"/>
      <c r="I98" s="593"/>
      <c r="J98" s="559"/>
      <c r="K98" s="559"/>
      <c r="L98" s="597"/>
      <c r="M98" s="614"/>
      <c r="N98" s="401"/>
    </row>
    <row r="99" spans="1:14" hidden="1">
      <c r="A99" s="401"/>
      <c r="B99" s="604" t="str">
        <f t="shared" si="4"/>
        <v/>
      </c>
      <c r="C99" s="558"/>
      <c r="D99" s="605"/>
      <c r="E99" s="596"/>
      <c r="F99" s="559"/>
      <c r="G99" s="559"/>
      <c r="H99" s="597"/>
      <c r="I99" s="593"/>
      <c r="J99" s="559"/>
      <c r="K99" s="559"/>
      <c r="L99" s="597"/>
      <c r="M99" s="614"/>
      <c r="N99" s="401"/>
    </row>
    <row r="100" spans="1:14" hidden="1">
      <c r="A100" s="401"/>
      <c r="B100" s="604" t="str">
        <f t="shared" si="4"/>
        <v/>
      </c>
      <c r="C100" s="558"/>
      <c r="D100" s="605"/>
      <c r="E100" s="596"/>
      <c r="F100" s="559"/>
      <c r="G100" s="559"/>
      <c r="H100" s="597"/>
      <c r="I100" s="593"/>
      <c r="J100" s="559"/>
      <c r="K100" s="559"/>
      <c r="L100" s="597"/>
      <c r="M100" s="614"/>
      <c r="N100" s="401"/>
    </row>
    <row r="101" spans="1:14" hidden="1">
      <c r="A101" s="401"/>
      <c r="B101" s="604" t="str">
        <f t="shared" si="4"/>
        <v/>
      </c>
      <c r="C101" s="558"/>
      <c r="D101" s="605"/>
      <c r="E101" s="596"/>
      <c r="F101" s="559"/>
      <c r="G101" s="559"/>
      <c r="H101" s="597"/>
      <c r="I101" s="593"/>
      <c r="J101" s="559"/>
      <c r="K101" s="559"/>
      <c r="L101" s="597"/>
      <c r="M101" s="614"/>
      <c r="N101" s="401"/>
    </row>
    <row r="102" spans="1:14" hidden="1">
      <c r="A102" s="401"/>
      <c r="B102" s="604" t="str">
        <f t="shared" si="4"/>
        <v/>
      </c>
      <c r="C102" s="558"/>
      <c r="D102" s="605"/>
      <c r="E102" s="596"/>
      <c r="F102" s="559"/>
      <c r="G102" s="559"/>
      <c r="H102" s="597"/>
      <c r="I102" s="593"/>
      <c r="J102" s="559"/>
      <c r="K102" s="559"/>
      <c r="L102" s="597"/>
      <c r="M102" s="614"/>
      <c r="N102" s="401"/>
    </row>
    <row r="103" spans="1:14" hidden="1">
      <c r="A103" s="401"/>
      <c r="B103" s="604" t="str">
        <f t="shared" si="4"/>
        <v/>
      </c>
      <c r="C103" s="558"/>
      <c r="D103" s="605"/>
      <c r="E103" s="596"/>
      <c r="F103" s="559"/>
      <c r="G103" s="559"/>
      <c r="H103" s="597"/>
      <c r="I103" s="593"/>
      <c r="J103" s="559"/>
      <c r="K103" s="559"/>
      <c r="L103" s="597"/>
      <c r="M103" s="614"/>
      <c r="N103" s="401"/>
    </row>
    <row r="104" spans="1:14" hidden="1">
      <c r="A104" s="401"/>
      <c r="B104" s="604" t="str">
        <f t="shared" si="4"/>
        <v/>
      </c>
      <c r="C104" s="558"/>
      <c r="D104" s="605"/>
      <c r="E104" s="596"/>
      <c r="F104" s="559"/>
      <c r="G104" s="559"/>
      <c r="H104" s="597"/>
      <c r="I104" s="593"/>
      <c r="J104" s="559"/>
      <c r="K104" s="559"/>
      <c r="L104" s="597"/>
      <c r="M104" s="614"/>
      <c r="N104" s="401"/>
    </row>
    <row r="105" spans="1:14" hidden="1">
      <c r="A105" s="401"/>
      <c r="B105" s="604" t="str">
        <f t="shared" si="4"/>
        <v/>
      </c>
      <c r="C105" s="558"/>
      <c r="D105" s="605"/>
      <c r="E105" s="596"/>
      <c r="F105" s="559"/>
      <c r="G105" s="559"/>
      <c r="H105" s="597"/>
      <c r="I105" s="593"/>
      <c r="J105" s="559"/>
      <c r="K105" s="559"/>
      <c r="L105" s="597"/>
      <c r="M105" s="614"/>
      <c r="N105" s="401"/>
    </row>
    <row r="106" spans="1:14" hidden="1">
      <c r="A106" s="401"/>
      <c r="B106" s="604" t="str">
        <f t="shared" si="4"/>
        <v/>
      </c>
      <c r="C106" s="558"/>
      <c r="D106" s="605"/>
      <c r="E106" s="596"/>
      <c r="F106" s="559"/>
      <c r="G106" s="559"/>
      <c r="H106" s="597"/>
      <c r="I106" s="593"/>
      <c r="J106" s="559"/>
      <c r="K106" s="559"/>
      <c r="L106" s="597"/>
      <c r="M106" s="614"/>
      <c r="N106" s="401"/>
    </row>
    <row r="107" spans="1:14" hidden="1">
      <c r="A107" s="401"/>
      <c r="B107" s="604" t="str">
        <f t="shared" si="4"/>
        <v/>
      </c>
      <c r="C107" s="558"/>
      <c r="D107" s="605"/>
      <c r="E107" s="596"/>
      <c r="F107" s="559"/>
      <c r="G107" s="559"/>
      <c r="H107" s="597"/>
      <c r="I107" s="593"/>
      <c r="J107" s="559"/>
      <c r="K107" s="559"/>
      <c r="L107" s="597"/>
      <c r="M107" s="614"/>
      <c r="N107" s="401"/>
    </row>
    <row r="108" spans="1:14" hidden="1">
      <c r="A108" s="401"/>
      <c r="B108" s="604" t="str">
        <f t="shared" si="4"/>
        <v/>
      </c>
      <c r="C108" s="558"/>
      <c r="D108" s="605"/>
      <c r="E108" s="596"/>
      <c r="F108" s="559"/>
      <c r="G108" s="559"/>
      <c r="H108" s="597"/>
      <c r="I108" s="593"/>
      <c r="J108" s="559"/>
      <c r="K108" s="559"/>
      <c r="L108" s="597"/>
      <c r="M108" s="614"/>
      <c r="N108" s="401"/>
    </row>
    <row r="109" spans="1:14" hidden="1">
      <c r="A109" s="401"/>
      <c r="B109" s="604" t="str">
        <f t="shared" si="4"/>
        <v/>
      </c>
      <c r="C109" s="558"/>
      <c r="D109" s="605"/>
      <c r="E109" s="596"/>
      <c r="F109" s="559"/>
      <c r="G109" s="559"/>
      <c r="H109" s="597"/>
      <c r="I109" s="593"/>
      <c r="J109" s="559"/>
      <c r="K109" s="559"/>
      <c r="L109" s="597"/>
      <c r="M109" s="614"/>
      <c r="N109" s="401"/>
    </row>
    <row r="110" spans="1:14" hidden="1">
      <c r="A110" s="401"/>
      <c r="B110" s="604" t="str">
        <f t="shared" si="4"/>
        <v/>
      </c>
      <c r="C110" s="558"/>
      <c r="D110" s="605"/>
      <c r="E110" s="596"/>
      <c r="F110" s="559"/>
      <c r="G110" s="559"/>
      <c r="H110" s="597"/>
      <c r="I110" s="593"/>
      <c r="J110" s="559"/>
      <c r="K110" s="559"/>
      <c r="L110" s="597"/>
      <c r="M110" s="614"/>
      <c r="N110" s="401"/>
    </row>
    <row r="111" spans="1:14" hidden="1">
      <c r="A111" s="401"/>
      <c r="B111" s="604" t="str">
        <f t="shared" si="4"/>
        <v/>
      </c>
      <c r="C111" s="558"/>
      <c r="D111" s="605"/>
      <c r="E111" s="596"/>
      <c r="F111" s="559"/>
      <c r="G111" s="559"/>
      <c r="H111" s="597"/>
      <c r="I111" s="593"/>
      <c r="J111" s="559"/>
      <c r="K111" s="559"/>
      <c r="L111" s="597"/>
      <c r="M111" s="614"/>
      <c r="N111" s="401"/>
    </row>
    <row r="112" spans="1:14" hidden="1">
      <c r="A112" s="401"/>
      <c r="B112" s="604" t="str">
        <f t="shared" si="4"/>
        <v/>
      </c>
      <c r="C112" s="558"/>
      <c r="D112" s="605"/>
      <c r="E112" s="596"/>
      <c r="F112" s="559"/>
      <c r="G112" s="559"/>
      <c r="H112" s="597"/>
      <c r="I112" s="593"/>
      <c r="J112" s="559"/>
      <c r="K112" s="559"/>
      <c r="L112" s="597"/>
      <c r="M112" s="614"/>
      <c r="N112" s="401"/>
    </row>
    <row r="113" spans="1:14" hidden="1">
      <c r="A113" s="401"/>
      <c r="B113" s="604" t="str">
        <f t="shared" si="4"/>
        <v/>
      </c>
      <c r="C113" s="558"/>
      <c r="D113" s="605"/>
      <c r="E113" s="596"/>
      <c r="F113" s="559"/>
      <c r="G113" s="559"/>
      <c r="H113" s="597"/>
      <c r="I113" s="593"/>
      <c r="J113" s="559"/>
      <c r="K113" s="559"/>
      <c r="L113" s="597"/>
      <c r="M113" s="614"/>
      <c r="N113" s="401"/>
    </row>
    <row r="114" spans="1:14" hidden="1">
      <c r="A114" s="401"/>
      <c r="B114" s="604" t="str">
        <f t="shared" si="4"/>
        <v/>
      </c>
      <c r="C114" s="558"/>
      <c r="D114" s="605"/>
      <c r="E114" s="596"/>
      <c r="F114" s="559"/>
      <c r="G114" s="559"/>
      <c r="H114" s="597"/>
      <c r="I114" s="593"/>
      <c r="J114" s="559"/>
      <c r="K114" s="559"/>
      <c r="L114" s="597"/>
      <c r="M114" s="614"/>
      <c r="N114" s="401"/>
    </row>
    <row r="115" spans="1:14" hidden="1">
      <c r="A115" s="401"/>
      <c r="B115" s="604" t="str">
        <f t="shared" si="4"/>
        <v/>
      </c>
      <c r="C115" s="558"/>
      <c r="D115" s="605"/>
      <c r="E115" s="596"/>
      <c r="F115" s="559"/>
      <c r="G115" s="559"/>
      <c r="H115" s="597"/>
      <c r="I115" s="593"/>
      <c r="J115" s="559"/>
      <c r="K115" s="559"/>
      <c r="L115" s="597"/>
      <c r="M115" s="614"/>
      <c r="N115" s="401"/>
    </row>
    <row r="116" spans="1:14" hidden="1">
      <c r="A116" s="401"/>
      <c r="B116" s="604" t="str">
        <f t="shared" si="4"/>
        <v/>
      </c>
      <c r="C116" s="558"/>
      <c r="D116" s="605"/>
      <c r="E116" s="596"/>
      <c r="F116" s="559"/>
      <c r="G116" s="559"/>
      <c r="H116" s="597"/>
      <c r="I116" s="593"/>
      <c r="J116" s="559"/>
      <c r="K116" s="559"/>
      <c r="L116" s="597"/>
      <c r="M116" s="614"/>
      <c r="N116" s="401"/>
    </row>
    <row r="117" spans="1:14" hidden="1">
      <c r="A117" s="401"/>
      <c r="B117" s="604" t="str">
        <f t="shared" si="4"/>
        <v/>
      </c>
      <c r="C117" s="558"/>
      <c r="D117" s="605"/>
      <c r="E117" s="596"/>
      <c r="F117" s="559"/>
      <c r="G117" s="559"/>
      <c r="H117" s="597"/>
      <c r="I117" s="593"/>
      <c r="J117" s="559"/>
      <c r="K117" s="559"/>
      <c r="L117" s="597"/>
      <c r="M117" s="614"/>
      <c r="N117" s="401"/>
    </row>
    <row r="118" spans="1:14" hidden="1">
      <c r="A118" s="401"/>
      <c r="B118" s="604" t="str">
        <f t="shared" si="4"/>
        <v/>
      </c>
      <c r="C118" s="558"/>
      <c r="D118" s="605"/>
      <c r="E118" s="596"/>
      <c r="F118" s="559"/>
      <c r="G118" s="559"/>
      <c r="H118" s="597"/>
      <c r="I118" s="593"/>
      <c r="J118" s="559"/>
      <c r="K118" s="559"/>
      <c r="L118" s="597"/>
      <c r="M118" s="614"/>
      <c r="N118" s="401"/>
    </row>
    <row r="119" spans="1:14" hidden="1">
      <c r="A119" s="401"/>
      <c r="B119" s="604" t="str">
        <f t="shared" si="4"/>
        <v/>
      </c>
      <c r="C119" s="558"/>
      <c r="D119" s="605"/>
      <c r="E119" s="596"/>
      <c r="F119" s="559"/>
      <c r="G119" s="559"/>
      <c r="H119" s="597"/>
      <c r="I119" s="593"/>
      <c r="J119" s="559"/>
      <c r="K119" s="559"/>
      <c r="L119" s="597"/>
      <c r="M119" s="614"/>
      <c r="N119" s="401"/>
    </row>
    <row r="120" spans="1:14" hidden="1">
      <c r="A120" s="401"/>
      <c r="B120" s="604" t="str">
        <f t="shared" si="4"/>
        <v/>
      </c>
      <c r="C120" s="558"/>
      <c r="D120" s="605"/>
      <c r="E120" s="596"/>
      <c r="F120" s="559"/>
      <c r="G120" s="559"/>
      <c r="H120" s="597"/>
      <c r="I120" s="593"/>
      <c r="J120" s="559"/>
      <c r="K120" s="559"/>
      <c r="L120" s="597"/>
      <c r="M120" s="614"/>
      <c r="N120" s="401"/>
    </row>
    <row r="121" spans="1:14" hidden="1">
      <c r="A121" s="401"/>
      <c r="B121" s="604" t="str">
        <f t="shared" si="4"/>
        <v/>
      </c>
      <c r="C121" s="558"/>
      <c r="D121" s="605"/>
      <c r="E121" s="596"/>
      <c r="F121" s="559"/>
      <c r="G121" s="559"/>
      <c r="H121" s="597"/>
      <c r="I121" s="593"/>
      <c r="J121" s="559"/>
      <c r="K121" s="559"/>
      <c r="L121" s="597"/>
      <c r="M121" s="614"/>
      <c r="N121" s="401"/>
    </row>
    <row r="122" spans="1:14" hidden="1">
      <c r="A122" s="401"/>
      <c r="B122" s="604" t="str">
        <f t="shared" si="4"/>
        <v/>
      </c>
      <c r="C122" s="558"/>
      <c r="D122" s="605"/>
      <c r="E122" s="596"/>
      <c r="F122" s="559"/>
      <c r="G122" s="559"/>
      <c r="H122" s="597"/>
      <c r="I122" s="593"/>
      <c r="J122" s="559"/>
      <c r="K122" s="559"/>
      <c r="L122" s="597"/>
      <c r="M122" s="614"/>
      <c r="N122" s="401"/>
    </row>
    <row r="123" spans="1:14" hidden="1">
      <c r="A123" s="401"/>
      <c r="B123" s="604" t="str">
        <f t="shared" si="4"/>
        <v/>
      </c>
      <c r="C123" s="558"/>
      <c r="D123" s="605"/>
      <c r="E123" s="596"/>
      <c r="F123" s="559"/>
      <c r="G123" s="559"/>
      <c r="H123" s="597"/>
      <c r="I123" s="593"/>
      <c r="J123" s="559"/>
      <c r="K123" s="559"/>
      <c r="L123" s="597"/>
      <c r="M123" s="614"/>
      <c r="N123" s="401"/>
    </row>
    <row r="124" spans="1:14" hidden="1">
      <c r="A124" s="401"/>
      <c r="B124" s="604" t="str">
        <f t="shared" si="4"/>
        <v/>
      </c>
      <c r="C124" s="558"/>
      <c r="D124" s="605"/>
      <c r="E124" s="596"/>
      <c r="F124" s="559"/>
      <c r="G124" s="559"/>
      <c r="H124" s="597"/>
      <c r="I124" s="593"/>
      <c r="J124" s="559"/>
      <c r="K124" s="559"/>
      <c r="L124" s="597"/>
      <c r="M124" s="614"/>
      <c r="N124" s="401"/>
    </row>
    <row r="125" spans="1:14" hidden="1">
      <c r="A125" s="401"/>
      <c r="B125" s="604" t="str">
        <f t="shared" si="4"/>
        <v/>
      </c>
      <c r="C125" s="558"/>
      <c r="D125" s="605"/>
      <c r="E125" s="596"/>
      <c r="F125" s="559"/>
      <c r="G125" s="559"/>
      <c r="H125" s="597"/>
      <c r="I125" s="593"/>
      <c r="J125" s="559"/>
      <c r="K125" s="559"/>
      <c r="L125" s="597"/>
      <c r="M125" s="614"/>
      <c r="N125" s="401"/>
    </row>
    <row r="126" spans="1:14" hidden="1">
      <c r="A126" s="401"/>
      <c r="B126" s="604" t="str">
        <f t="shared" si="4"/>
        <v/>
      </c>
      <c r="C126" s="558"/>
      <c r="D126" s="605"/>
      <c r="E126" s="596"/>
      <c r="F126" s="559"/>
      <c r="G126" s="559"/>
      <c r="H126" s="597"/>
      <c r="I126" s="593"/>
      <c r="J126" s="559"/>
      <c r="K126" s="559"/>
      <c r="L126" s="597"/>
      <c r="M126" s="614"/>
      <c r="N126" s="401"/>
    </row>
    <row r="127" spans="1:14" hidden="1">
      <c r="A127" s="401"/>
      <c r="B127" s="604" t="str">
        <f t="shared" si="4"/>
        <v/>
      </c>
      <c r="C127" s="558"/>
      <c r="D127" s="605"/>
      <c r="E127" s="596"/>
      <c r="F127" s="559"/>
      <c r="G127" s="559"/>
      <c r="H127" s="597"/>
      <c r="I127" s="593"/>
      <c r="J127" s="559"/>
      <c r="K127" s="559"/>
      <c r="L127" s="597"/>
      <c r="M127" s="614"/>
      <c r="N127" s="401"/>
    </row>
    <row r="128" spans="1:14" hidden="1">
      <c r="A128" s="401"/>
      <c r="B128" s="604" t="str">
        <f t="shared" si="4"/>
        <v/>
      </c>
      <c r="C128" s="558"/>
      <c r="D128" s="605"/>
      <c r="E128" s="596"/>
      <c r="F128" s="559"/>
      <c r="G128" s="559"/>
      <c r="H128" s="597"/>
      <c r="I128" s="593"/>
      <c r="J128" s="559"/>
      <c r="K128" s="559"/>
      <c r="L128" s="597"/>
      <c r="M128" s="614"/>
      <c r="N128" s="401"/>
    </row>
    <row r="129" spans="1:14" hidden="1">
      <c r="A129" s="401"/>
      <c r="B129" s="604" t="str">
        <f t="shared" si="4"/>
        <v/>
      </c>
      <c r="C129" s="558"/>
      <c r="D129" s="605"/>
      <c r="E129" s="596"/>
      <c r="F129" s="559"/>
      <c r="G129" s="559"/>
      <c r="H129" s="597"/>
      <c r="I129" s="593"/>
      <c r="J129" s="559"/>
      <c r="K129" s="559"/>
      <c r="L129" s="597"/>
      <c r="M129" s="614"/>
      <c r="N129" s="401"/>
    </row>
    <row r="130" spans="1:14" hidden="1">
      <c r="A130" s="401"/>
      <c r="B130" s="604" t="str">
        <f t="shared" si="4"/>
        <v/>
      </c>
      <c r="C130" s="558"/>
      <c r="D130" s="605"/>
      <c r="E130" s="596"/>
      <c r="F130" s="559"/>
      <c r="G130" s="559"/>
      <c r="H130" s="597"/>
      <c r="I130" s="593"/>
      <c r="J130" s="559"/>
      <c r="K130" s="559"/>
      <c r="L130" s="597"/>
      <c r="M130" s="614"/>
      <c r="N130" s="401"/>
    </row>
    <row r="131" spans="1:14" hidden="1">
      <c r="A131" s="401"/>
      <c r="B131" s="604" t="str">
        <f t="shared" si="4"/>
        <v/>
      </c>
      <c r="C131" s="558"/>
      <c r="D131" s="605"/>
      <c r="E131" s="596"/>
      <c r="F131" s="559"/>
      <c r="G131" s="559"/>
      <c r="H131" s="597"/>
      <c r="I131" s="593"/>
      <c r="J131" s="559"/>
      <c r="K131" s="559"/>
      <c r="L131" s="597"/>
      <c r="M131" s="614"/>
      <c r="N131" s="401"/>
    </row>
    <row r="132" spans="1:14" hidden="1">
      <c r="A132" s="401"/>
      <c r="B132" s="604" t="str">
        <f t="shared" si="4"/>
        <v/>
      </c>
      <c r="C132" s="558"/>
      <c r="D132" s="605"/>
      <c r="E132" s="596"/>
      <c r="F132" s="559"/>
      <c r="G132" s="559"/>
      <c r="H132" s="597"/>
      <c r="I132" s="593"/>
      <c r="J132" s="559"/>
      <c r="K132" s="559"/>
      <c r="L132" s="597"/>
      <c r="M132" s="614"/>
      <c r="N132" s="401"/>
    </row>
    <row r="133" spans="1:14" hidden="1">
      <c r="A133" s="401"/>
      <c r="B133" s="604" t="str">
        <f t="shared" si="4"/>
        <v/>
      </c>
      <c r="C133" s="558"/>
      <c r="D133" s="605"/>
      <c r="E133" s="596"/>
      <c r="F133" s="559"/>
      <c r="G133" s="559"/>
      <c r="H133" s="597"/>
      <c r="I133" s="593"/>
      <c r="J133" s="559"/>
      <c r="K133" s="559"/>
      <c r="L133" s="597"/>
      <c r="M133" s="614"/>
      <c r="N133" s="401"/>
    </row>
    <row r="134" spans="1:14" hidden="1">
      <c r="A134" s="401"/>
      <c r="B134" s="604" t="str">
        <f t="shared" si="4"/>
        <v/>
      </c>
      <c r="C134" s="558"/>
      <c r="D134" s="605"/>
      <c r="E134" s="596"/>
      <c r="F134" s="559"/>
      <c r="G134" s="559"/>
      <c r="H134" s="597"/>
      <c r="I134" s="593"/>
      <c r="J134" s="559"/>
      <c r="K134" s="559"/>
      <c r="L134" s="597"/>
      <c r="M134" s="614"/>
      <c r="N134" s="401"/>
    </row>
    <row r="135" spans="1:14" hidden="1">
      <c r="A135" s="401"/>
      <c r="B135" s="604" t="str">
        <f t="shared" si="4"/>
        <v/>
      </c>
      <c r="C135" s="558"/>
      <c r="D135" s="605"/>
      <c r="E135" s="596"/>
      <c r="F135" s="559"/>
      <c r="G135" s="559"/>
      <c r="H135" s="597"/>
      <c r="I135" s="593"/>
      <c r="J135" s="559"/>
      <c r="K135" s="559"/>
      <c r="L135" s="597"/>
      <c r="M135" s="614"/>
      <c r="N135" s="401"/>
    </row>
    <row r="136" spans="1:14" hidden="1">
      <c r="A136" s="401"/>
      <c r="B136" s="604" t="str">
        <f t="shared" si="4"/>
        <v/>
      </c>
      <c r="C136" s="558"/>
      <c r="D136" s="605"/>
      <c r="E136" s="596"/>
      <c r="F136" s="559"/>
      <c r="G136" s="559"/>
      <c r="H136" s="597"/>
      <c r="I136" s="593"/>
      <c r="J136" s="559"/>
      <c r="K136" s="559"/>
      <c r="L136" s="597"/>
      <c r="M136" s="614"/>
      <c r="N136" s="401"/>
    </row>
    <row r="137" spans="1:14" hidden="1">
      <c r="A137" s="401"/>
      <c r="B137" s="604" t="str">
        <f t="shared" si="4"/>
        <v/>
      </c>
      <c r="C137" s="558"/>
      <c r="D137" s="605"/>
      <c r="E137" s="596"/>
      <c r="F137" s="559"/>
      <c r="G137" s="559"/>
      <c r="H137" s="597"/>
      <c r="I137" s="593"/>
      <c r="J137" s="559"/>
      <c r="K137" s="559"/>
      <c r="L137" s="597"/>
      <c r="M137" s="614"/>
      <c r="N137" s="401"/>
    </row>
    <row r="138" spans="1:14" hidden="1">
      <c r="A138" s="401"/>
      <c r="B138" s="604" t="str">
        <f t="shared" ref="B138:B201" si="5">IF(C138="","",B137+1)</f>
        <v/>
      </c>
      <c r="C138" s="558"/>
      <c r="D138" s="605"/>
      <c r="E138" s="596"/>
      <c r="F138" s="559"/>
      <c r="G138" s="559"/>
      <c r="H138" s="597"/>
      <c r="I138" s="593"/>
      <c r="J138" s="559"/>
      <c r="K138" s="559"/>
      <c r="L138" s="597"/>
      <c r="M138" s="614"/>
      <c r="N138" s="401"/>
    </row>
    <row r="139" spans="1:14" hidden="1">
      <c r="A139" s="401"/>
      <c r="B139" s="604" t="str">
        <f t="shared" si="5"/>
        <v/>
      </c>
      <c r="C139" s="558"/>
      <c r="D139" s="605"/>
      <c r="E139" s="596"/>
      <c r="F139" s="559"/>
      <c r="G139" s="559"/>
      <c r="H139" s="597"/>
      <c r="I139" s="593"/>
      <c r="J139" s="559"/>
      <c r="K139" s="559"/>
      <c r="L139" s="597"/>
      <c r="M139" s="614"/>
      <c r="N139" s="401"/>
    </row>
    <row r="140" spans="1:14" hidden="1">
      <c r="A140" s="401"/>
      <c r="B140" s="604" t="str">
        <f t="shared" si="5"/>
        <v/>
      </c>
      <c r="C140" s="558"/>
      <c r="D140" s="605"/>
      <c r="E140" s="596"/>
      <c r="F140" s="559"/>
      <c r="G140" s="559"/>
      <c r="H140" s="597"/>
      <c r="I140" s="593"/>
      <c r="J140" s="559"/>
      <c r="K140" s="559"/>
      <c r="L140" s="597"/>
      <c r="M140" s="614"/>
      <c r="N140" s="401"/>
    </row>
    <row r="141" spans="1:14" hidden="1">
      <c r="A141" s="401"/>
      <c r="B141" s="604" t="str">
        <f t="shared" si="5"/>
        <v/>
      </c>
      <c r="C141" s="558"/>
      <c r="D141" s="605"/>
      <c r="E141" s="596"/>
      <c r="F141" s="559"/>
      <c r="G141" s="559"/>
      <c r="H141" s="597"/>
      <c r="I141" s="593"/>
      <c r="J141" s="559"/>
      <c r="K141" s="559"/>
      <c r="L141" s="597"/>
      <c r="M141" s="614"/>
      <c r="N141" s="401"/>
    </row>
    <row r="142" spans="1:14" hidden="1">
      <c r="A142" s="401"/>
      <c r="B142" s="604" t="str">
        <f t="shared" si="5"/>
        <v/>
      </c>
      <c r="C142" s="558"/>
      <c r="D142" s="605"/>
      <c r="E142" s="596"/>
      <c r="F142" s="559"/>
      <c r="G142" s="559"/>
      <c r="H142" s="597"/>
      <c r="I142" s="593"/>
      <c r="J142" s="559"/>
      <c r="K142" s="559"/>
      <c r="L142" s="597"/>
      <c r="M142" s="614"/>
      <c r="N142" s="401"/>
    </row>
    <row r="143" spans="1:14" hidden="1">
      <c r="A143" s="401"/>
      <c r="B143" s="604" t="str">
        <f t="shared" si="5"/>
        <v/>
      </c>
      <c r="C143" s="558"/>
      <c r="D143" s="605"/>
      <c r="E143" s="596"/>
      <c r="F143" s="559"/>
      <c r="G143" s="559"/>
      <c r="H143" s="597"/>
      <c r="I143" s="593"/>
      <c r="J143" s="559"/>
      <c r="K143" s="559"/>
      <c r="L143" s="597"/>
      <c r="M143" s="614"/>
      <c r="N143" s="401"/>
    </row>
    <row r="144" spans="1:14" hidden="1">
      <c r="A144" s="401"/>
      <c r="B144" s="604" t="str">
        <f t="shared" si="5"/>
        <v/>
      </c>
      <c r="C144" s="558"/>
      <c r="D144" s="605"/>
      <c r="E144" s="596"/>
      <c r="F144" s="559"/>
      <c r="G144" s="559"/>
      <c r="H144" s="597"/>
      <c r="I144" s="593"/>
      <c r="J144" s="559"/>
      <c r="K144" s="559"/>
      <c r="L144" s="597"/>
      <c r="M144" s="614"/>
      <c r="N144" s="401"/>
    </row>
    <row r="145" spans="1:14" hidden="1">
      <c r="A145" s="401"/>
      <c r="B145" s="604" t="str">
        <f t="shared" si="5"/>
        <v/>
      </c>
      <c r="C145" s="558"/>
      <c r="D145" s="605"/>
      <c r="E145" s="596"/>
      <c r="F145" s="559"/>
      <c r="G145" s="559"/>
      <c r="H145" s="597"/>
      <c r="I145" s="593"/>
      <c r="J145" s="559"/>
      <c r="K145" s="559"/>
      <c r="L145" s="597"/>
      <c r="M145" s="614"/>
      <c r="N145" s="401"/>
    </row>
    <row r="146" spans="1:14" hidden="1">
      <c r="A146" s="401"/>
      <c r="B146" s="604" t="str">
        <f t="shared" si="5"/>
        <v/>
      </c>
      <c r="C146" s="558"/>
      <c r="D146" s="605"/>
      <c r="E146" s="596"/>
      <c r="F146" s="559"/>
      <c r="G146" s="559"/>
      <c r="H146" s="597"/>
      <c r="I146" s="593"/>
      <c r="J146" s="559"/>
      <c r="K146" s="559"/>
      <c r="L146" s="597"/>
      <c r="M146" s="614"/>
      <c r="N146" s="401"/>
    </row>
    <row r="147" spans="1:14" hidden="1">
      <c r="A147" s="401"/>
      <c r="B147" s="604" t="str">
        <f t="shared" si="5"/>
        <v/>
      </c>
      <c r="C147" s="558"/>
      <c r="D147" s="605"/>
      <c r="E147" s="596"/>
      <c r="F147" s="559"/>
      <c r="G147" s="559"/>
      <c r="H147" s="597"/>
      <c r="I147" s="593"/>
      <c r="J147" s="559"/>
      <c r="K147" s="559"/>
      <c r="L147" s="597"/>
      <c r="M147" s="614"/>
      <c r="N147" s="401"/>
    </row>
    <row r="148" spans="1:14" hidden="1">
      <c r="A148" s="401"/>
      <c r="B148" s="604" t="str">
        <f t="shared" si="5"/>
        <v/>
      </c>
      <c r="C148" s="558"/>
      <c r="D148" s="605"/>
      <c r="E148" s="596"/>
      <c r="F148" s="559"/>
      <c r="G148" s="559"/>
      <c r="H148" s="597"/>
      <c r="I148" s="593"/>
      <c r="J148" s="559"/>
      <c r="K148" s="559"/>
      <c r="L148" s="597"/>
      <c r="M148" s="614"/>
      <c r="N148" s="401"/>
    </row>
    <row r="149" spans="1:14" hidden="1">
      <c r="A149" s="401"/>
      <c r="B149" s="604" t="str">
        <f t="shared" si="5"/>
        <v/>
      </c>
      <c r="C149" s="558"/>
      <c r="D149" s="605"/>
      <c r="E149" s="596"/>
      <c r="F149" s="559"/>
      <c r="G149" s="559"/>
      <c r="H149" s="597"/>
      <c r="I149" s="593"/>
      <c r="J149" s="559"/>
      <c r="K149" s="559"/>
      <c r="L149" s="597"/>
      <c r="M149" s="614"/>
      <c r="N149" s="401"/>
    </row>
    <row r="150" spans="1:14" hidden="1">
      <c r="A150" s="401"/>
      <c r="B150" s="604" t="str">
        <f t="shared" si="5"/>
        <v/>
      </c>
      <c r="C150" s="558"/>
      <c r="D150" s="605"/>
      <c r="E150" s="596"/>
      <c r="F150" s="559"/>
      <c r="G150" s="559"/>
      <c r="H150" s="597"/>
      <c r="I150" s="593"/>
      <c r="J150" s="559"/>
      <c r="K150" s="559"/>
      <c r="L150" s="597"/>
      <c r="M150" s="614"/>
      <c r="N150" s="401"/>
    </row>
    <row r="151" spans="1:14" hidden="1">
      <c r="A151" s="401"/>
      <c r="B151" s="604" t="str">
        <f t="shared" si="5"/>
        <v/>
      </c>
      <c r="C151" s="558"/>
      <c r="D151" s="605"/>
      <c r="E151" s="596"/>
      <c r="F151" s="559"/>
      <c r="G151" s="559"/>
      <c r="H151" s="597"/>
      <c r="I151" s="593"/>
      <c r="J151" s="559"/>
      <c r="K151" s="559"/>
      <c r="L151" s="597"/>
      <c r="M151" s="614"/>
      <c r="N151" s="401"/>
    </row>
    <row r="152" spans="1:14" hidden="1">
      <c r="A152" s="401"/>
      <c r="B152" s="604" t="str">
        <f t="shared" si="5"/>
        <v/>
      </c>
      <c r="C152" s="558"/>
      <c r="D152" s="605"/>
      <c r="E152" s="596"/>
      <c r="F152" s="559"/>
      <c r="G152" s="559"/>
      <c r="H152" s="597"/>
      <c r="I152" s="593"/>
      <c r="J152" s="559"/>
      <c r="K152" s="559"/>
      <c r="L152" s="597"/>
      <c r="M152" s="614"/>
      <c r="N152" s="401"/>
    </row>
    <row r="153" spans="1:14" hidden="1">
      <c r="A153" s="401"/>
      <c r="B153" s="604" t="str">
        <f t="shared" si="5"/>
        <v/>
      </c>
      <c r="C153" s="558"/>
      <c r="D153" s="605"/>
      <c r="E153" s="596"/>
      <c r="F153" s="559"/>
      <c r="G153" s="559"/>
      <c r="H153" s="597"/>
      <c r="I153" s="593"/>
      <c r="J153" s="559"/>
      <c r="K153" s="559"/>
      <c r="L153" s="597"/>
      <c r="M153" s="614"/>
      <c r="N153" s="401"/>
    </row>
    <row r="154" spans="1:14" hidden="1">
      <c r="A154" s="401"/>
      <c r="B154" s="604" t="str">
        <f t="shared" si="5"/>
        <v/>
      </c>
      <c r="C154" s="558"/>
      <c r="D154" s="605"/>
      <c r="E154" s="596"/>
      <c r="F154" s="559"/>
      <c r="G154" s="559"/>
      <c r="H154" s="597"/>
      <c r="I154" s="593"/>
      <c r="J154" s="559"/>
      <c r="K154" s="559"/>
      <c r="L154" s="597"/>
      <c r="M154" s="614"/>
      <c r="N154" s="401"/>
    </row>
    <row r="155" spans="1:14" hidden="1">
      <c r="A155" s="401"/>
      <c r="B155" s="604" t="str">
        <f t="shared" si="5"/>
        <v/>
      </c>
      <c r="C155" s="558"/>
      <c r="D155" s="605"/>
      <c r="E155" s="596"/>
      <c r="F155" s="559"/>
      <c r="G155" s="559"/>
      <c r="H155" s="597"/>
      <c r="I155" s="593"/>
      <c r="J155" s="559"/>
      <c r="K155" s="559"/>
      <c r="L155" s="597"/>
      <c r="M155" s="614"/>
      <c r="N155" s="401"/>
    </row>
    <row r="156" spans="1:14" hidden="1">
      <c r="A156" s="401"/>
      <c r="B156" s="604" t="str">
        <f t="shared" si="5"/>
        <v/>
      </c>
      <c r="C156" s="558"/>
      <c r="D156" s="605"/>
      <c r="E156" s="596"/>
      <c r="F156" s="559"/>
      <c r="G156" s="559"/>
      <c r="H156" s="597"/>
      <c r="I156" s="593"/>
      <c r="J156" s="559"/>
      <c r="K156" s="559"/>
      <c r="L156" s="597"/>
      <c r="M156" s="614"/>
      <c r="N156" s="401"/>
    </row>
    <row r="157" spans="1:14" hidden="1">
      <c r="A157" s="401"/>
      <c r="B157" s="604" t="str">
        <f t="shared" si="5"/>
        <v/>
      </c>
      <c r="C157" s="558"/>
      <c r="D157" s="605"/>
      <c r="E157" s="596"/>
      <c r="F157" s="559"/>
      <c r="G157" s="559"/>
      <c r="H157" s="597"/>
      <c r="I157" s="593"/>
      <c r="J157" s="559"/>
      <c r="K157" s="559"/>
      <c r="L157" s="597"/>
      <c r="M157" s="614"/>
      <c r="N157" s="401"/>
    </row>
    <row r="158" spans="1:14" hidden="1">
      <c r="A158" s="401"/>
      <c r="B158" s="604" t="str">
        <f t="shared" si="5"/>
        <v/>
      </c>
      <c r="C158" s="558"/>
      <c r="D158" s="605"/>
      <c r="E158" s="596"/>
      <c r="F158" s="559"/>
      <c r="G158" s="559"/>
      <c r="H158" s="597"/>
      <c r="I158" s="593"/>
      <c r="J158" s="559"/>
      <c r="K158" s="559"/>
      <c r="L158" s="597"/>
      <c r="M158" s="614"/>
      <c r="N158" s="401"/>
    </row>
    <row r="159" spans="1:14" hidden="1">
      <c r="A159" s="401"/>
      <c r="B159" s="604" t="str">
        <f t="shared" si="5"/>
        <v/>
      </c>
      <c r="C159" s="558"/>
      <c r="D159" s="605"/>
      <c r="E159" s="596"/>
      <c r="F159" s="559"/>
      <c r="G159" s="559"/>
      <c r="H159" s="597"/>
      <c r="I159" s="593"/>
      <c r="J159" s="559"/>
      <c r="K159" s="559"/>
      <c r="L159" s="597"/>
      <c r="M159" s="614"/>
      <c r="N159" s="401"/>
    </row>
    <row r="160" spans="1:14" hidden="1">
      <c r="A160" s="401"/>
      <c r="B160" s="604" t="str">
        <f t="shared" si="5"/>
        <v/>
      </c>
      <c r="C160" s="558"/>
      <c r="D160" s="605"/>
      <c r="E160" s="596"/>
      <c r="F160" s="559"/>
      <c r="G160" s="559"/>
      <c r="H160" s="597"/>
      <c r="I160" s="593"/>
      <c r="J160" s="559"/>
      <c r="K160" s="559"/>
      <c r="L160" s="597"/>
      <c r="M160" s="614"/>
      <c r="N160" s="401"/>
    </row>
    <row r="161" spans="1:14" hidden="1">
      <c r="A161" s="401"/>
      <c r="B161" s="604" t="str">
        <f t="shared" si="5"/>
        <v/>
      </c>
      <c r="C161" s="558"/>
      <c r="D161" s="605"/>
      <c r="E161" s="596"/>
      <c r="F161" s="559"/>
      <c r="G161" s="559"/>
      <c r="H161" s="597"/>
      <c r="I161" s="593"/>
      <c r="J161" s="559"/>
      <c r="K161" s="559"/>
      <c r="L161" s="597"/>
      <c r="M161" s="614"/>
      <c r="N161" s="401"/>
    </row>
    <row r="162" spans="1:14" hidden="1">
      <c r="A162" s="401"/>
      <c r="B162" s="604" t="str">
        <f t="shared" si="5"/>
        <v/>
      </c>
      <c r="C162" s="558"/>
      <c r="D162" s="605"/>
      <c r="E162" s="596"/>
      <c r="F162" s="559"/>
      <c r="G162" s="559"/>
      <c r="H162" s="597"/>
      <c r="I162" s="593"/>
      <c r="J162" s="559"/>
      <c r="K162" s="559"/>
      <c r="L162" s="597"/>
      <c r="M162" s="614"/>
      <c r="N162" s="401"/>
    </row>
    <row r="163" spans="1:14" hidden="1">
      <c r="A163" s="401"/>
      <c r="B163" s="604" t="str">
        <f t="shared" si="5"/>
        <v/>
      </c>
      <c r="C163" s="558"/>
      <c r="D163" s="605"/>
      <c r="E163" s="596"/>
      <c r="F163" s="559"/>
      <c r="G163" s="559"/>
      <c r="H163" s="597"/>
      <c r="I163" s="593"/>
      <c r="J163" s="559"/>
      <c r="K163" s="559"/>
      <c r="L163" s="597"/>
      <c r="M163" s="614"/>
      <c r="N163" s="401"/>
    </row>
    <row r="164" spans="1:14" hidden="1">
      <c r="A164" s="401"/>
      <c r="B164" s="604" t="str">
        <f t="shared" si="5"/>
        <v/>
      </c>
      <c r="C164" s="558"/>
      <c r="D164" s="605"/>
      <c r="E164" s="596"/>
      <c r="F164" s="559"/>
      <c r="G164" s="559"/>
      <c r="H164" s="597"/>
      <c r="I164" s="593"/>
      <c r="J164" s="559"/>
      <c r="K164" s="559"/>
      <c r="L164" s="597"/>
      <c r="M164" s="614"/>
      <c r="N164" s="401"/>
    </row>
    <row r="165" spans="1:14" hidden="1">
      <c r="A165" s="401"/>
      <c r="B165" s="604" t="str">
        <f t="shared" si="5"/>
        <v/>
      </c>
      <c r="C165" s="558"/>
      <c r="D165" s="605"/>
      <c r="E165" s="596"/>
      <c r="F165" s="559"/>
      <c r="G165" s="559"/>
      <c r="H165" s="597"/>
      <c r="I165" s="593"/>
      <c r="J165" s="559"/>
      <c r="K165" s="559"/>
      <c r="L165" s="597"/>
      <c r="M165" s="614"/>
      <c r="N165" s="401"/>
    </row>
    <row r="166" spans="1:14" hidden="1">
      <c r="A166" s="401"/>
      <c r="B166" s="604" t="str">
        <f t="shared" si="5"/>
        <v/>
      </c>
      <c r="C166" s="558"/>
      <c r="D166" s="605"/>
      <c r="E166" s="596"/>
      <c r="F166" s="559"/>
      <c r="G166" s="559"/>
      <c r="H166" s="597"/>
      <c r="I166" s="593"/>
      <c r="J166" s="559"/>
      <c r="K166" s="559"/>
      <c r="L166" s="597"/>
      <c r="M166" s="614"/>
      <c r="N166" s="401"/>
    </row>
    <row r="167" spans="1:14" hidden="1">
      <c r="A167" s="401"/>
      <c r="B167" s="604" t="str">
        <f t="shared" si="5"/>
        <v/>
      </c>
      <c r="C167" s="558"/>
      <c r="D167" s="605"/>
      <c r="E167" s="596"/>
      <c r="F167" s="559"/>
      <c r="G167" s="559"/>
      <c r="H167" s="597"/>
      <c r="I167" s="593"/>
      <c r="J167" s="559"/>
      <c r="K167" s="559"/>
      <c r="L167" s="597"/>
      <c r="M167" s="614"/>
      <c r="N167" s="401"/>
    </row>
    <row r="168" spans="1:14" hidden="1">
      <c r="A168" s="401"/>
      <c r="B168" s="604" t="str">
        <f t="shared" si="5"/>
        <v/>
      </c>
      <c r="C168" s="558"/>
      <c r="D168" s="605"/>
      <c r="E168" s="596"/>
      <c r="F168" s="559"/>
      <c r="G168" s="559"/>
      <c r="H168" s="597"/>
      <c r="I168" s="593"/>
      <c r="J168" s="559"/>
      <c r="K168" s="559"/>
      <c r="L168" s="597"/>
      <c r="M168" s="614"/>
      <c r="N168" s="401"/>
    </row>
    <row r="169" spans="1:14" hidden="1">
      <c r="A169" s="401"/>
      <c r="B169" s="604" t="str">
        <f t="shared" si="5"/>
        <v/>
      </c>
      <c r="C169" s="558"/>
      <c r="D169" s="605"/>
      <c r="E169" s="596"/>
      <c r="F169" s="559"/>
      <c r="G169" s="559"/>
      <c r="H169" s="597"/>
      <c r="I169" s="593"/>
      <c r="J169" s="559"/>
      <c r="K169" s="559"/>
      <c r="L169" s="597"/>
      <c r="M169" s="614"/>
      <c r="N169" s="401"/>
    </row>
    <row r="170" spans="1:14" hidden="1">
      <c r="A170" s="401"/>
      <c r="B170" s="604" t="str">
        <f t="shared" si="5"/>
        <v/>
      </c>
      <c r="C170" s="558"/>
      <c r="D170" s="605"/>
      <c r="E170" s="596"/>
      <c r="F170" s="559"/>
      <c r="G170" s="559"/>
      <c r="H170" s="597"/>
      <c r="I170" s="593"/>
      <c r="J170" s="559"/>
      <c r="K170" s="559"/>
      <c r="L170" s="597"/>
      <c r="M170" s="614"/>
      <c r="N170" s="401"/>
    </row>
    <row r="171" spans="1:14" hidden="1">
      <c r="A171" s="401"/>
      <c r="B171" s="604" t="str">
        <f t="shared" si="5"/>
        <v/>
      </c>
      <c r="C171" s="558"/>
      <c r="D171" s="605"/>
      <c r="E171" s="596"/>
      <c r="F171" s="559"/>
      <c r="G171" s="559"/>
      <c r="H171" s="597"/>
      <c r="I171" s="593"/>
      <c r="J171" s="559"/>
      <c r="K171" s="559"/>
      <c r="L171" s="597"/>
      <c r="M171" s="614"/>
      <c r="N171" s="401"/>
    </row>
    <row r="172" spans="1:14" hidden="1">
      <c r="A172" s="401"/>
      <c r="B172" s="604" t="str">
        <f t="shared" si="5"/>
        <v/>
      </c>
      <c r="C172" s="558"/>
      <c r="D172" s="605"/>
      <c r="E172" s="596"/>
      <c r="F172" s="559"/>
      <c r="G172" s="559"/>
      <c r="H172" s="597"/>
      <c r="I172" s="593"/>
      <c r="J172" s="559"/>
      <c r="K172" s="559"/>
      <c r="L172" s="597"/>
      <c r="M172" s="614"/>
      <c r="N172" s="401"/>
    </row>
    <row r="173" spans="1:14" hidden="1">
      <c r="A173" s="401"/>
      <c r="B173" s="604" t="str">
        <f t="shared" si="5"/>
        <v/>
      </c>
      <c r="C173" s="558"/>
      <c r="D173" s="605"/>
      <c r="E173" s="596"/>
      <c r="F173" s="559"/>
      <c r="G173" s="559"/>
      <c r="H173" s="597"/>
      <c r="I173" s="593"/>
      <c r="J173" s="559"/>
      <c r="K173" s="559"/>
      <c r="L173" s="597"/>
      <c r="M173" s="614"/>
      <c r="N173" s="401"/>
    </row>
    <row r="174" spans="1:14" hidden="1">
      <c r="A174" s="401"/>
      <c r="B174" s="604" t="str">
        <f t="shared" si="5"/>
        <v/>
      </c>
      <c r="C174" s="558"/>
      <c r="D174" s="605"/>
      <c r="E174" s="596"/>
      <c r="F174" s="559"/>
      <c r="G174" s="559"/>
      <c r="H174" s="597"/>
      <c r="I174" s="593"/>
      <c r="J174" s="559"/>
      <c r="K174" s="559"/>
      <c r="L174" s="597"/>
      <c r="M174" s="614"/>
      <c r="N174" s="401"/>
    </row>
    <row r="175" spans="1:14" hidden="1">
      <c r="A175" s="401"/>
      <c r="B175" s="604" t="str">
        <f t="shared" si="5"/>
        <v/>
      </c>
      <c r="C175" s="558"/>
      <c r="D175" s="605"/>
      <c r="E175" s="596"/>
      <c r="F175" s="559"/>
      <c r="G175" s="559"/>
      <c r="H175" s="597"/>
      <c r="I175" s="593"/>
      <c r="J175" s="559"/>
      <c r="K175" s="559"/>
      <c r="L175" s="597"/>
      <c r="M175" s="614"/>
      <c r="N175" s="401"/>
    </row>
    <row r="176" spans="1:14" hidden="1">
      <c r="A176" s="401"/>
      <c r="B176" s="604" t="str">
        <f t="shared" si="5"/>
        <v/>
      </c>
      <c r="C176" s="558"/>
      <c r="D176" s="605"/>
      <c r="E176" s="596"/>
      <c r="F176" s="559"/>
      <c r="G176" s="559"/>
      <c r="H176" s="597"/>
      <c r="I176" s="593"/>
      <c r="J176" s="559"/>
      <c r="K176" s="559"/>
      <c r="L176" s="597"/>
      <c r="M176" s="614"/>
      <c r="N176" s="401"/>
    </row>
    <row r="177" spans="1:14" hidden="1">
      <c r="A177" s="401"/>
      <c r="B177" s="604" t="str">
        <f t="shared" si="5"/>
        <v/>
      </c>
      <c r="C177" s="558"/>
      <c r="D177" s="605"/>
      <c r="E177" s="596"/>
      <c r="F177" s="559"/>
      <c r="G177" s="559"/>
      <c r="H177" s="597"/>
      <c r="I177" s="593"/>
      <c r="J177" s="559"/>
      <c r="K177" s="559"/>
      <c r="L177" s="597"/>
      <c r="M177" s="614"/>
      <c r="N177" s="401"/>
    </row>
    <row r="178" spans="1:14" hidden="1">
      <c r="A178" s="401"/>
      <c r="B178" s="604" t="str">
        <f t="shared" si="5"/>
        <v/>
      </c>
      <c r="C178" s="558"/>
      <c r="D178" s="605"/>
      <c r="E178" s="596"/>
      <c r="F178" s="559"/>
      <c r="G178" s="559"/>
      <c r="H178" s="597"/>
      <c r="I178" s="593"/>
      <c r="J178" s="559"/>
      <c r="K178" s="559"/>
      <c r="L178" s="597"/>
      <c r="M178" s="614"/>
      <c r="N178" s="401"/>
    </row>
    <row r="179" spans="1:14" hidden="1">
      <c r="A179" s="401"/>
      <c r="B179" s="604" t="str">
        <f t="shared" si="5"/>
        <v/>
      </c>
      <c r="C179" s="558"/>
      <c r="D179" s="605"/>
      <c r="E179" s="596"/>
      <c r="F179" s="559"/>
      <c r="G179" s="559"/>
      <c r="H179" s="597"/>
      <c r="I179" s="593"/>
      <c r="J179" s="559"/>
      <c r="K179" s="559"/>
      <c r="L179" s="597"/>
      <c r="M179" s="614"/>
      <c r="N179" s="401"/>
    </row>
    <row r="180" spans="1:14" hidden="1">
      <c r="A180" s="401"/>
      <c r="B180" s="604" t="str">
        <f t="shared" si="5"/>
        <v/>
      </c>
      <c r="C180" s="558"/>
      <c r="D180" s="605"/>
      <c r="E180" s="596"/>
      <c r="F180" s="559"/>
      <c r="G180" s="559"/>
      <c r="H180" s="597"/>
      <c r="I180" s="593"/>
      <c r="J180" s="559"/>
      <c r="K180" s="559"/>
      <c r="L180" s="597"/>
      <c r="M180" s="614"/>
      <c r="N180" s="401"/>
    </row>
    <row r="181" spans="1:14" hidden="1">
      <c r="A181" s="401"/>
      <c r="B181" s="604" t="str">
        <f t="shared" si="5"/>
        <v/>
      </c>
      <c r="C181" s="558"/>
      <c r="D181" s="605"/>
      <c r="E181" s="596"/>
      <c r="F181" s="559"/>
      <c r="G181" s="559"/>
      <c r="H181" s="597"/>
      <c r="I181" s="593"/>
      <c r="J181" s="559"/>
      <c r="K181" s="559"/>
      <c r="L181" s="597"/>
      <c r="M181" s="614"/>
      <c r="N181" s="401"/>
    </row>
    <row r="182" spans="1:14" hidden="1">
      <c r="A182" s="401"/>
      <c r="B182" s="604" t="str">
        <f t="shared" si="5"/>
        <v/>
      </c>
      <c r="C182" s="558"/>
      <c r="D182" s="605"/>
      <c r="E182" s="596"/>
      <c r="F182" s="559"/>
      <c r="G182" s="559"/>
      <c r="H182" s="597"/>
      <c r="I182" s="593"/>
      <c r="J182" s="559"/>
      <c r="K182" s="559"/>
      <c r="L182" s="597"/>
      <c r="M182" s="614"/>
      <c r="N182" s="401"/>
    </row>
    <row r="183" spans="1:14" hidden="1">
      <c r="A183" s="401"/>
      <c r="B183" s="604" t="str">
        <f t="shared" si="5"/>
        <v/>
      </c>
      <c r="C183" s="558"/>
      <c r="D183" s="605"/>
      <c r="E183" s="596"/>
      <c r="F183" s="559"/>
      <c r="G183" s="559"/>
      <c r="H183" s="597"/>
      <c r="I183" s="593"/>
      <c r="J183" s="559"/>
      <c r="K183" s="559"/>
      <c r="L183" s="597"/>
      <c r="M183" s="614"/>
      <c r="N183" s="401"/>
    </row>
    <row r="184" spans="1:14" hidden="1">
      <c r="A184" s="401"/>
      <c r="B184" s="604" t="str">
        <f t="shared" si="5"/>
        <v/>
      </c>
      <c r="C184" s="558"/>
      <c r="D184" s="605"/>
      <c r="E184" s="596"/>
      <c r="F184" s="559"/>
      <c r="G184" s="559"/>
      <c r="H184" s="597"/>
      <c r="I184" s="593"/>
      <c r="J184" s="559"/>
      <c r="K184" s="559"/>
      <c r="L184" s="597"/>
      <c r="M184" s="614"/>
      <c r="N184" s="401"/>
    </row>
    <row r="185" spans="1:14" hidden="1">
      <c r="A185" s="401"/>
      <c r="B185" s="604" t="str">
        <f t="shared" si="5"/>
        <v/>
      </c>
      <c r="C185" s="558"/>
      <c r="D185" s="605"/>
      <c r="E185" s="596"/>
      <c r="F185" s="559"/>
      <c r="G185" s="559"/>
      <c r="H185" s="597"/>
      <c r="I185" s="593"/>
      <c r="J185" s="559"/>
      <c r="K185" s="559"/>
      <c r="L185" s="597"/>
      <c r="M185" s="614"/>
      <c r="N185" s="401"/>
    </row>
    <row r="186" spans="1:14" hidden="1">
      <c r="A186" s="401"/>
      <c r="B186" s="604" t="str">
        <f t="shared" si="5"/>
        <v/>
      </c>
      <c r="C186" s="558"/>
      <c r="D186" s="605"/>
      <c r="E186" s="596"/>
      <c r="F186" s="559"/>
      <c r="G186" s="559"/>
      <c r="H186" s="597"/>
      <c r="I186" s="593"/>
      <c r="J186" s="559"/>
      <c r="K186" s="559"/>
      <c r="L186" s="597"/>
      <c r="M186" s="614"/>
      <c r="N186" s="401"/>
    </row>
    <row r="187" spans="1:14" hidden="1">
      <c r="A187" s="401"/>
      <c r="B187" s="604" t="str">
        <f t="shared" si="5"/>
        <v/>
      </c>
      <c r="C187" s="558"/>
      <c r="D187" s="605"/>
      <c r="E187" s="596"/>
      <c r="F187" s="559"/>
      <c r="G187" s="559"/>
      <c r="H187" s="597"/>
      <c r="I187" s="593"/>
      <c r="J187" s="559"/>
      <c r="K187" s="559"/>
      <c r="L187" s="597"/>
      <c r="M187" s="614"/>
      <c r="N187" s="401"/>
    </row>
    <row r="188" spans="1:14" hidden="1">
      <c r="A188" s="401"/>
      <c r="B188" s="604" t="str">
        <f t="shared" si="5"/>
        <v/>
      </c>
      <c r="C188" s="558"/>
      <c r="D188" s="605"/>
      <c r="E188" s="596"/>
      <c r="F188" s="559"/>
      <c r="G188" s="559"/>
      <c r="H188" s="597"/>
      <c r="I188" s="593"/>
      <c r="J188" s="559"/>
      <c r="K188" s="559"/>
      <c r="L188" s="597"/>
      <c r="M188" s="614"/>
      <c r="N188" s="401"/>
    </row>
    <row r="189" spans="1:14" hidden="1">
      <c r="A189" s="401"/>
      <c r="B189" s="604" t="str">
        <f t="shared" si="5"/>
        <v/>
      </c>
      <c r="C189" s="558"/>
      <c r="D189" s="605"/>
      <c r="E189" s="596"/>
      <c r="F189" s="559"/>
      <c r="G189" s="559"/>
      <c r="H189" s="597"/>
      <c r="I189" s="593"/>
      <c r="J189" s="559"/>
      <c r="K189" s="559"/>
      <c r="L189" s="597"/>
      <c r="M189" s="614"/>
      <c r="N189" s="401"/>
    </row>
    <row r="190" spans="1:14" hidden="1">
      <c r="A190" s="401"/>
      <c r="B190" s="604" t="str">
        <f t="shared" si="5"/>
        <v/>
      </c>
      <c r="C190" s="558"/>
      <c r="D190" s="605"/>
      <c r="E190" s="596"/>
      <c r="F190" s="559"/>
      <c r="G190" s="559"/>
      <c r="H190" s="597"/>
      <c r="I190" s="593"/>
      <c r="J190" s="559"/>
      <c r="K190" s="559"/>
      <c r="L190" s="597"/>
      <c r="M190" s="614"/>
      <c r="N190" s="401"/>
    </row>
    <row r="191" spans="1:14" hidden="1">
      <c r="A191" s="401"/>
      <c r="B191" s="604" t="str">
        <f t="shared" si="5"/>
        <v/>
      </c>
      <c r="C191" s="558"/>
      <c r="D191" s="605"/>
      <c r="E191" s="596"/>
      <c r="F191" s="559"/>
      <c r="G191" s="559"/>
      <c r="H191" s="597"/>
      <c r="I191" s="593"/>
      <c r="J191" s="559"/>
      <c r="K191" s="559"/>
      <c r="L191" s="597"/>
      <c r="M191" s="614"/>
      <c r="N191" s="401"/>
    </row>
    <row r="192" spans="1:14" hidden="1">
      <c r="A192" s="401"/>
      <c r="B192" s="604" t="str">
        <f t="shared" si="5"/>
        <v/>
      </c>
      <c r="C192" s="558"/>
      <c r="D192" s="605"/>
      <c r="E192" s="596"/>
      <c r="F192" s="559"/>
      <c r="G192" s="559"/>
      <c r="H192" s="597"/>
      <c r="I192" s="593"/>
      <c r="J192" s="559"/>
      <c r="K192" s="559"/>
      <c r="L192" s="597"/>
      <c r="M192" s="614"/>
      <c r="N192" s="401"/>
    </row>
    <row r="193" spans="1:14" hidden="1">
      <c r="A193" s="401"/>
      <c r="B193" s="604" t="str">
        <f t="shared" si="5"/>
        <v/>
      </c>
      <c r="C193" s="558"/>
      <c r="D193" s="605"/>
      <c r="E193" s="596"/>
      <c r="F193" s="559"/>
      <c r="G193" s="559"/>
      <c r="H193" s="597"/>
      <c r="I193" s="593"/>
      <c r="J193" s="559"/>
      <c r="K193" s="559"/>
      <c r="L193" s="597"/>
      <c r="M193" s="614"/>
      <c r="N193" s="401"/>
    </row>
    <row r="194" spans="1:14" hidden="1">
      <c r="A194" s="401"/>
      <c r="B194" s="604" t="str">
        <f t="shared" si="5"/>
        <v/>
      </c>
      <c r="C194" s="558"/>
      <c r="D194" s="605"/>
      <c r="E194" s="596"/>
      <c r="F194" s="559"/>
      <c r="G194" s="559"/>
      <c r="H194" s="597"/>
      <c r="I194" s="593"/>
      <c r="J194" s="559"/>
      <c r="K194" s="559"/>
      <c r="L194" s="597"/>
      <c r="M194" s="614"/>
      <c r="N194" s="401"/>
    </row>
    <row r="195" spans="1:14" hidden="1">
      <c r="A195" s="401"/>
      <c r="B195" s="604" t="str">
        <f t="shared" si="5"/>
        <v/>
      </c>
      <c r="C195" s="558"/>
      <c r="D195" s="605"/>
      <c r="E195" s="596"/>
      <c r="F195" s="559"/>
      <c r="G195" s="559"/>
      <c r="H195" s="597"/>
      <c r="I195" s="593"/>
      <c r="J195" s="559"/>
      <c r="K195" s="559"/>
      <c r="L195" s="597"/>
      <c r="M195" s="614"/>
      <c r="N195" s="401"/>
    </row>
    <row r="196" spans="1:14" hidden="1">
      <c r="A196" s="401"/>
      <c r="B196" s="604" t="str">
        <f t="shared" si="5"/>
        <v/>
      </c>
      <c r="C196" s="558"/>
      <c r="D196" s="605"/>
      <c r="E196" s="596"/>
      <c r="F196" s="559"/>
      <c r="G196" s="559"/>
      <c r="H196" s="597"/>
      <c r="I196" s="593"/>
      <c r="J196" s="559"/>
      <c r="K196" s="559"/>
      <c r="L196" s="597"/>
      <c r="M196" s="614"/>
      <c r="N196" s="401"/>
    </row>
    <row r="197" spans="1:14" hidden="1">
      <c r="A197" s="401"/>
      <c r="B197" s="604" t="str">
        <f t="shared" si="5"/>
        <v/>
      </c>
      <c r="C197" s="558"/>
      <c r="D197" s="605"/>
      <c r="E197" s="596"/>
      <c r="F197" s="559"/>
      <c r="G197" s="559"/>
      <c r="H197" s="597"/>
      <c r="I197" s="593"/>
      <c r="J197" s="559"/>
      <c r="K197" s="559"/>
      <c r="L197" s="597"/>
      <c r="M197" s="614"/>
      <c r="N197" s="401"/>
    </row>
    <row r="198" spans="1:14" hidden="1">
      <c r="A198" s="401"/>
      <c r="B198" s="604" t="str">
        <f t="shared" si="5"/>
        <v/>
      </c>
      <c r="C198" s="558"/>
      <c r="D198" s="605"/>
      <c r="E198" s="596"/>
      <c r="F198" s="559"/>
      <c r="G198" s="559"/>
      <c r="H198" s="597"/>
      <c r="I198" s="593"/>
      <c r="J198" s="559"/>
      <c r="K198" s="559"/>
      <c r="L198" s="597"/>
      <c r="M198" s="614"/>
      <c r="N198" s="401"/>
    </row>
    <row r="199" spans="1:14" hidden="1">
      <c r="A199" s="401"/>
      <c r="B199" s="604" t="str">
        <f t="shared" si="5"/>
        <v/>
      </c>
      <c r="C199" s="558"/>
      <c r="D199" s="605"/>
      <c r="E199" s="596"/>
      <c r="F199" s="559"/>
      <c r="G199" s="559"/>
      <c r="H199" s="597"/>
      <c r="I199" s="593"/>
      <c r="J199" s="559"/>
      <c r="K199" s="559"/>
      <c r="L199" s="597"/>
      <c r="M199" s="614"/>
      <c r="N199" s="401"/>
    </row>
    <row r="200" spans="1:14" hidden="1">
      <c r="A200" s="401"/>
      <c r="B200" s="604" t="str">
        <f t="shared" si="5"/>
        <v/>
      </c>
      <c r="C200" s="558"/>
      <c r="D200" s="605"/>
      <c r="E200" s="596"/>
      <c r="F200" s="559"/>
      <c r="G200" s="559"/>
      <c r="H200" s="597"/>
      <c r="I200" s="593"/>
      <c r="J200" s="559"/>
      <c r="K200" s="559"/>
      <c r="L200" s="597"/>
      <c r="M200" s="614"/>
      <c r="N200" s="401"/>
    </row>
    <row r="201" spans="1:14" hidden="1">
      <c r="A201" s="401"/>
      <c r="B201" s="604" t="str">
        <f t="shared" si="5"/>
        <v/>
      </c>
      <c r="C201" s="558"/>
      <c r="D201" s="605"/>
      <c r="E201" s="596"/>
      <c r="F201" s="559"/>
      <c r="G201" s="559"/>
      <c r="H201" s="597"/>
      <c r="I201" s="593"/>
      <c r="J201" s="559"/>
      <c r="K201" s="559"/>
      <c r="L201" s="597"/>
      <c r="M201" s="614"/>
      <c r="N201" s="401"/>
    </row>
    <row r="202" spans="1:14" hidden="1">
      <c r="A202" s="401"/>
      <c r="B202" s="604" t="str">
        <f t="shared" ref="B202:B205" si="6">IF(C202="","",B201+1)</f>
        <v/>
      </c>
      <c r="C202" s="558"/>
      <c r="D202" s="605"/>
      <c r="E202" s="596"/>
      <c r="F202" s="559"/>
      <c r="G202" s="559"/>
      <c r="H202" s="597"/>
      <c r="I202" s="593"/>
      <c r="J202" s="559"/>
      <c r="K202" s="559"/>
      <c r="L202" s="597"/>
      <c r="M202" s="614"/>
      <c r="N202" s="401"/>
    </row>
    <row r="203" spans="1:14" hidden="1">
      <c r="A203" s="401"/>
      <c r="B203" s="604" t="str">
        <f t="shared" si="6"/>
        <v/>
      </c>
      <c r="C203" s="558"/>
      <c r="D203" s="605"/>
      <c r="E203" s="596"/>
      <c r="F203" s="559"/>
      <c r="G203" s="559"/>
      <c r="H203" s="597"/>
      <c r="I203" s="593"/>
      <c r="J203" s="559"/>
      <c r="K203" s="559"/>
      <c r="L203" s="597"/>
      <c r="M203" s="614"/>
      <c r="N203" s="401"/>
    </row>
    <row r="204" spans="1:14" hidden="1">
      <c r="A204" s="401"/>
      <c r="B204" s="604" t="str">
        <f t="shared" si="6"/>
        <v/>
      </c>
      <c r="C204" s="558"/>
      <c r="D204" s="605"/>
      <c r="E204" s="596"/>
      <c r="F204" s="559"/>
      <c r="G204" s="559"/>
      <c r="H204" s="597"/>
      <c r="I204" s="593"/>
      <c r="J204" s="559"/>
      <c r="K204" s="559"/>
      <c r="L204" s="597"/>
      <c r="M204" s="614"/>
      <c r="N204" s="401"/>
    </row>
    <row r="205" spans="1:14" ht="13.5" hidden="1" thickBot="1">
      <c r="A205" s="401"/>
      <c r="B205" s="606" t="str">
        <f t="shared" si="6"/>
        <v/>
      </c>
      <c r="C205" s="607"/>
      <c r="D205" s="608"/>
      <c r="E205" s="598"/>
      <c r="F205" s="599"/>
      <c r="G205" s="599"/>
      <c r="H205" s="600"/>
      <c r="I205" s="603"/>
      <c r="J205" s="599"/>
      <c r="K205" s="599"/>
      <c r="L205" s="600"/>
      <c r="M205" s="615"/>
      <c r="N205" s="401"/>
    </row>
    <row r="206" spans="1:14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  <c r="K206" s="401"/>
      <c r="L206" s="401"/>
      <c r="M206" s="401"/>
      <c r="N206" s="401"/>
    </row>
  </sheetData>
  <mergeCells count="6">
    <mergeCell ref="B5:D5"/>
    <mergeCell ref="B1:M1"/>
    <mergeCell ref="B2:M2"/>
    <mergeCell ref="B3:M3"/>
    <mergeCell ref="E6:H6"/>
    <mergeCell ref="I6:L6"/>
  </mergeCells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206"/>
  <sheetViews>
    <sheetView showRowColHeaders="0" zoomScale="90" zoomScaleNormal="90" workbookViewId="0">
      <selection activeCell="M206" sqref="M206"/>
    </sheetView>
  </sheetViews>
  <sheetFormatPr defaultColWidth="0" defaultRowHeight="12.75" customHeight="1" zeroHeight="1"/>
  <cols>
    <col min="1" max="1" width="8.140625" customWidth="1"/>
    <col min="2" max="3" width="7.5703125" customWidth="1"/>
    <col min="4" max="4" width="50.7109375" customWidth="1"/>
    <col min="5" max="13" width="12.85546875" customWidth="1"/>
    <col min="14" max="14" width="9.140625" customWidth="1"/>
    <col min="15" max="16384" width="9.140625" hidden="1"/>
  </cols>
  <sheetData>
    <row r="1" spans="1:14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1189"/>
      <c r="K1" s="1189"/>
      <c r="L1" s="1189"/>
      <c r="M1" s="1189"/>
      <c r="N1" s="401"/>
    </row>
    <row r="2" spans="1:14" ht="20.25">
      <c r="A2" s="401"/>
      <c r="B2" s="1190" t="s">
        <v>545</v>
      </c>
      <c r="C2" s="1190"/>
      <c r="D2" s="1190"/>
      <c r="E2" s="1190"/>
      <c r="F2" s="1190"/>
      <c r="G2" s="1190"/>
      <c r="H2" s="1190"/>
      <c r="I2" s="1190"/>
      <c r="J2" s="1190"/>
      <c r="K2" s="1190"/>
      <c r="L2" s="1190"/>
      <c r="M2" s="1190"/>
      <c r="N2" s="401"/>
    </row>
    <row r="3" spans="1:14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401"/>
    </row>
    <row r="4" spans="1:14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589" t="s">
        <v>410</v>
      </c>
      <c r="J4" s="579" t="s">
        <v>8</v>
      </c>
      <c r="K4" s="579" t="s">
        <v>411</v>
      </c>
      <c r="L4" s="580" t="s">
        <v>553</v>
      </c>
      <c r="M4" s="609" t="s">
        <v>412</v>
      </c>
      <c r="N4" s="401"/>
    </row>
    <row r="5" spans="1:14" ht="13.5" thickBot="1">
      <c r="A5" s="401"/>
      <c r="B5" s="1192" t="s">
        <v>69</v>
      </c>
      <c r="C5" s="1192"/>
      <c r="D5" s="1192"/>
      <c r="E5" s="581">
        <f t="shared" ref="E5:M5" si="0">SUM(E8:E205)</f>
        <v>2500</v>
      </c>
      <c r="F5" s="582">
        <f t="shared" si="0"/>
        <v>0</v>
      </c>
      <c r="G5" s="582">
        <f t="shared" si="0"/>
        <v>0</v>
      </c>
      <c r="H5" s="583">
        <f t="shared" si="0"/>
        <v>2500</v>
      </c>
      <c r="I5" s="590">
        <f t="shared" si="0"/>
        <v>2500</v>
      </c>
      <c r="J5" s="582">
        <f t="shared" si="0"/>
        <v>0</v>
      </c>
      <c r="K5" s="582">
        <f t="shared" si="0"/>
        <v>0</v>
      </c>
      <c r="L5" s="583">
        <f t="shared" si="0"/>
        <v>2500</v>
      </c>
      <c r="M5" s="610">
        <f t="shared" si="0"/>
        <v>0</v>
      </c>
      <c r="N5" s="401"/>
    </row>
    <row r="6" spans="1:14" ht="13.5" thickBot="1">
      <c r="A6" s="401"/>
      <c r="B6" s="392"/>
      <c r="C6" s="392"/>
      <c r="D6" s="392"/>
      <c r="E6" s="1193" t="s">
        <v>41</v>
      </c>
      <c r="F6" s="1194"/>
      <c r="G6" s="1194"/>
      <c r="H6" s="1195"/>
      <c r="I6" s="1196" t="s">
        <v>42</v>
      </c>
      <c r="J6" s="1197"/>
      <c r="K6" s="1197"/>
      <c r="L6" s="1198"/>
      <c r="M6" s="611"/>
      <c r="N6" s="401"/>
    </row>
    <row r="7" spans="1:14" ht="13.5" thickBot="1">
      <c r="A7" s="401"/>
      <c r="B7" s="586" t="s">
        <v>326</v>
      </c>
      <c r="C7" s="587" t="s">
        <v>224</v>
      </c>
      <c r="D7" s="588" t="s">
        <v>413</v>
      </c>
      <c r="E7" s="586" t="s">
        <v>410</v>
      </c>
      <c r="F7" s="587" t="s">
        <v>8</v>
      </c>
      <c r="G7" s="587" t="s">
        <v>411</v>
      </c>
      <c r="H7" s="588" t="s">
        <v>552</v>
      </c>
      <c r="I7" s="591" t="s">
        <v>410</v>
      </c>
      <c r="J7" s="587" t="s">
        <v>8</v>
      </c>
      <c r="K7" s="587" t="s">
        <v>411</v>
      </c>
      <c r="L7" s="588" t="s">
        <v>553</v>
      </c>
      <c r="M7" s="612" t="s">
        <v>412</v>
      </c>
      <c r="N7" s="401"/>
    </row>
    <row r="8" spans="1:14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2">
        <f>[1]MOD_2_gremio!$C$15</f>
        <v>0</v>
      </c>
      <c r="F8" s="643">
        <f>[1]MOD_2_gremio!$G$15</f>
        <v>0</v>
      </c>
      <c r="G8" s="643">
        <f>[1]MOD_2_gremio!$P$15</f>
        <v>0</v>
      </c>
      <c r="H8" s="644">
        <f>(E8+F8)-G8</f>
        <v>0</v>
      </c>
      <c r="I8" s="645">
        <f>[1]MOD_2_gremio!$C$16</f>
        <v>0</v>
      </c>
      <c r="J8" s="643">
        <f>[1]MOD_2_gremio!$G$16</f>
        <v>0</v>
      </c>
      <c r="K8" s="643">
        <f>[1]MOD_2_gremio!$P$16</f>
        <v>0</v>
      </c>
      <c r="L8" s="644">
        <f>(I8+J8)-K8</f>
        <v>0</v>
      </c>
      <c r="M8" s="646">
        <f>[1]MENU!$AA$83</f>
        <v>0</v>
      </c>
      <c r="N8" s="401"/>
    </row>
    <row r="9" spans="1:14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6">
        <f>[2]MOD_2_gremio!$C$15</f>
        <v>0</v>
      </c>
      <c r="F9" s="559">
        <f>[2]MOD_2_gremio!$G$15</f>
        <v>0</v>
      </c>
      <c r="G9" s="559">
        <f>[2]MOD_2_gremio!$P$15</f>
        <v>0</v>
      </c>
      <c r="H9" s="597">
        <f t="shared" ref="H9:H12" si="1">(E9+F9)-G9</f>
        <v>0</v>
      </c>
      <c r="I9" s="593">
        <f>[2]MOD_2_gremio!$C$16</f>
        <v>0</v>
      </c>
      <c r="J9" s="559">
        <f>[2]MOD_2_gremio!$G$16</f>
        <v>0</v>
      </c>
      <c r="K9" s="559">
        <f>[2]MOD_2_gremio!$P$16</f>
        <v>0</v>
      </c>
      <c r="L9" s="597">
        <f t="shared" ref="L9:L12" si="2">(I9+J9)-K9</f>
        <v>0</v>
      </c>
      <c r="M9" s="614">
        <f>[2]MENU!$AA$83</f>
        <v>0</v>
      </c>
      <c r="N9" s="401"/>
    </row>
    <row r="10" spans="1:14">
      <c r="A10" s="401"/>
      <c r="B10" s="604">
        <f t="shared" ref="B10:B73" si="3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6">
        <f>[3]MOD_2_gremio!$C$15</f>
        <v>2500</v>
      </c>
      <c r="F10" s="559">
        <f>[3]MOD_2_gremio!$G$15</f>
        <v>0</v>
      </c>
      <c r="G10" s="559">
        <f>[3]MOD_2_gremio!$P$15</f>
        <v>0</v>
      </c>
      <c r="H10" s="597">
        <f t="shared" si="1"/>
        <v>2500</v>
      </c>
      <c r="I10" s="593">
        <f>[3]MOD_2_gremio!$C$16</f>
        <v>2500</v>
      </c>
      <c r="J10" s="559">
        <f>[3]MOD_2_gremio!$G$16</f>
        <v>0</v>
      </c>
      <c r="K10" s="559">
        <f>[3]MOD_2_gremio!$P$16</f>
        <v>0</v>
      </c>
      <c r="L10" s="597">
        <f t="shared" si="2"/>
        <v>2500</v>
      </c>
      <c r="M10" s="614">
        <f>[3]MENU!$AA$83</f>
        <v>0</v>
      </c>
      <c r="N10" s="401"/>
    </row>
    <row r="11" spans="1:14">
      <c r="A11" s="401"/>
      <c r="B11" s="604">
        <f t="shared" si="3"/>
        <v>4</v>
      </c>
      <c r="C11" s="558">
        <f>[4]Dados!$E$3</f>
        <v>19490</v>
      </c>
      <c r="D11" s="605" t="str">
        <f>[4]Dados!$E$69</f>
        <v>EMEI - CAMPO LIMPO VI</v>
      </c>
      <c r="E11" s="596">
        <f>[4]MOD_2_gremio!$C$15</f>
        <v>0</v>
      </c>
      <c r="F11" s="559">
        <f>[4]MOD_2_gremio!$G$15</f>
        <v>0</v>
      </c>
      <c r="G11" s="559">
        <f>[4]MOD_2_gremio!$P$15</f>
        <v>0</v>
      </c>
      <c r="H11" s="597">
        <f t="shared" si="1"/>
        <v>0</v>
      </c>
      <c r="I11" s="593">
        <f>[4]MOD_2_gremio!$C$16</f>
        <v>0</v>
      </c>
      <c r="J11" s="559">
        <f>[4]MOD_2_gremio!$G$16</f>
        <v>0</v>
      </c>
      <c r="K11" s="559">
        <f>[4]MOD_2_gremio!$P$16</f>
        <v>0</v>
      </c>
      <c r="L11" s="597">
        <f t="shared" si="2"/>
        <v>0</v>
      </c>
      <c r="M11" s="614">
        <f>[4]MENU!$AA$83</f>
        <v>0</v>
      </c>
      <c r="N11" s="401"/>
    </row>
    <row r="12" spans="1:14" ht="13.5" thickBot="1">
      <c r="A12" s="401"/>
      <c r="B12" s="606">
        <f t="shared" si="3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598">
        <f>[5]MOD_2_gremio!$C$15</f>
        <v>0</v>
      </c>
      <c r="F12" s="599">
        <f>[5]MOD_2_gremio!$G$15</f>
        <v>0</v>
      </c>
      <c r="G12" s="599">
        <f>[5]MOD_2_gremio!$P$15</f>
        <v>0</v>
      </c>
      <c r="H12" s="600">
        <f t="shared" si="1"/>
        <v>0</v>
      </c>
      <c r="I12" s="603">
        <f>[5]MOD_2_gremio!$C$16</f>
        <v>0</v>
      </c>
      <c r="J12" s="599">
        <f>[5]MOD_2_gremio!$G$16</f>
        <v>0</v>
      </c>
      <c r="K12" s="599">
        <f>[5]MOD_2_gremio!$P$16</f>
        <v>0</v>
      </c>
      <c r="L12" s="600">
        <f t="shared" si="2"/>
        <v>0</v>
      </c>
      <c r="M12" s="615">
        <f>[5]MENU!$AA$83</f>
        <v>0</v>
      </c>
      <c r="N12" s="401"/>
    </row>
    <row r="13" spans="1:14" hidden="1">
      <c r="A13" s="401"/>
      <c r="B13" s="639" t="str">
        <f t="shared" si="3"/>
        <v/>
      </c>
      <c r="C13" s="640"/>
      <c r="D13" s="641"/>
      <c r="E13" s="594"/>
      <c r="F13" s="584"/>
      <c r="G13" s="584"/>
      <c r="H13" s="595"/>
      <c r="I13" s="592"/>
      <c r="J13" s="584"/>
      <c r="K13" s="584"/>
      <c r="L13" s="595"/>
      <c r="M13" s="613"/>
      <c r="N13" s="401"/>
    </row>
    <row r="14" spans="1:14" hidden="1">
      <c r="A14" s="401"/>
      <c r="B14" s="604" t="str">
        <f t="shared" si="3"/>
        <v/>
      </c>
      <c r="C14" s="558"/>
      <c r="D14" s="605"/>
      <c r="E14" s="596"/>
      <c r="F14" s="559"/>
      <c r="G14" s="559"/>
      <c r="H14" s="597"/>
      <c r="I14" s="593"/>
      <c r="J14" s="559"/>
      <c r="K14" s="559"/>
      <c r="L14" s="597"/>
      <c r="M14" s="614"/>
      <c r="N14" s="401"/>
    </row>
    <row r="15" spans="1:14" hidden="1">
      <c r="A15" s="401"/>
      <c r="B15" s="604" t="str">
        <f t="shared" si="3"/>
        <v/>
      </c>
      <c r="C15" s="558"/>
      <c r="D15" s="605"/>
      <c r="E15" s="596"/>
      <c r="F15" s="559"/>
      <c r="G15" s="559"/>
      <c r="H15" s="597"/>
      <c r="I15" s="593"/>
      <c r="J15" s="559"/>
      <c r="K15" s="559"/>
      <c r="L15" s="597"/>
      <c r="M15" s="614"/>
      <c r="N15" s="401"/>
    </row>
    <row r="16" spans="1:14" hidden="1">
      <c r="A16" s="401"/>
      <c r="B16" s="604" t="str">
        <f t="shared" si="3"/>
        <v/>
      </c>
      <c r="C16" s="558"/>
      <c r="D16" s="605"/>
      <c r="E16" s="596"/>
      <c r="F16" s="559"/>
      <c r="G16" s="559"/>
      <c r="H16" s="597"/>
      <c r="I16" s="593"/>
      <c r="J16" s="559"/>
      <c r="K16" s="559"/>
      <c r="L16" s="597"/>
      <c r="M16" s="614"/>
      <c r="N16" s="401"/>
    </row>
    <row r="17" spans="1:14" hidden="1">
      <c r="A17" s="401"/>
      <c r="B17" s="604" t="str">
        <f t="shared" si="3"/>
        <v/>
      </c>
      <c r="C17" s="558"/>
      <c r="D17" s="605"/>
      <c r="E17" s="596"/>
      <c r="F17" s="559"/>
      <c r="G17" s="559"/>
      <c r="H17" s="597"/>
      <c r="I17" s="593"/>
      <c r="J17" s="559"/>
      <c r="K17" s="559"/>
      <c r="L17" s="597"/>
      <c r="M17" s="614"/>
      <c r="N17" s="401"/>
    </row>
    <row r="18" spans="1:14" hidden="1">
      <c r="A18" s="401"/>
      <c r="B18" s="604" t="str">
        <f t="shared" si="3"/>
        <v/>
      </c>
      <c r="C18" s="558"/>
      <c r="D18" s="605"/>
      <c r="E18" s="596"/>
      <c r="F18" s="559"/>
      <c r="G18" s="559"/>
      <c r="H18" s="597"/>
      <c r="I18" s="593"/>
      <c r="J18" s="559"/>
      <c r="K18" s="559"/>
      <c r="L18" s="597"/>
      <c r="M18" s="614"/>
      <c r="N18" s="401"/>
    </row>
    <row r="19" spans="1:14" hidden="1">
      <c r="A19" s="401"/>
      <c r="B19" s="604" t="str">
        <f t="shared" si="3"/>
        <v/>
      </c>
      <c r="C19" s="558"/>
      <c r="D19" s="605"/>
      <c r="E19" s="596"/>
      <c r="F19" s="559"/>
      <c r="G19" s="559"/>
      <c r="H19" s="597"/>
      <c r="I19" s="593"/>
      <c r="J19" s="559"/>
      <c r="K19" s="559"/>
      <c r="L19" s="597"/>
      <c r="M19" s="614"/>
      <c r="N19" s="401"/>
    </row>
    <row r="20" spans="1:14" hidden="1">
      <c r="A20" s="401"/>
      <c r="B20" s="604" t="str">
        <f t="shared" si="3"/>
        <v/>
      </c>
      <c r="C20" s="558"/>
      <c r="D20" s="605"/>
      <c r="E20" s="596"/>
      <c r="F20" s="559"/>
      <c r="G20" s="559"/>
      <c r="H20" s="597"/>
      <c r="I20" s="593"/>
      <c r="J20" s="559"/>
      <c r="K20" s="559"/>
      <c r="L20" s="597"/>
      <c r="M20" s="614"/>
      <c r="N20" s="401"/>
    </row>
    <row r="21" spans="1:14" hidden="1">
      <c r="A21" s="401"/>
      <c r="B21" s="604" t="str">
        <f t="shared" si="3"/>
        <v/>
      </c>
      <c r="C21" s="558"/>
      <c r="D21" s="605"/>
      <c r="E21" s="596"/>
      <c r="F21" s="559"/>
      <c r="G21" s="559"/>
      <c r="H21" s="597"/>
      <c r="I21" s="593"/>
      <c r="J21" s="559"/>
      <c r="K21" s="559"/>
      <c r="L21" s="597"/>
      <c r="M21" s="614"/>
      <c r="N21" s="401"/>
    </row>
    <row r="22" spans="1:14" hidden="1">
      <c r="A22" s="401"/>
      <c r="B22" s="604" t="str">
        <f t="shared" si="3"/>
        <v/>
      </c>
      <c r="C22" s="558"/>
      <c r="D22" s="605"/>
      <c r="E22" s="596"/>
      <c r="F22" s="559"/>
      <c r="G22" s="559"/>
      <c r="H22" s="597"/>
      <c r="I22" s="593"/>
      <c r="J22" s="559"/>
      <c r="K22" s="559"/>
      <c r="L22" s="597"/>
      <c r="M22" s="614"/>
      <c r="N22" s="401"/>
    </row>
    <row r="23" spans="1:14" hidden="1">
      <c r="A23" s="401"/>
      <c r="B23" s="604" t="str">
        <f t="shared" si="3"/>
        <v/>
      </c>
      <c r="C23" s="558"/>
      <c r="D23" s="605"/>
      <c r="E23" s="596"/>
      <c r="F23" s="559"/>
      <c r="G23" s="559"/>
      <c r="H23" s="597"/>
      <c r="I23" s="593"/>
      <c r="J23" s="559"/>
      <c r="K23" s="559"/>
      <c r="L23" s="597"/>
      <c r="M23" s="614"/>
      <c r="N23" s="401"/>
    </row>
    <row r="24" spans="1:14" hidden="1">
      <c r="A24" s="401"/>
      <c r="B24" s="604" t="str">
        <f t="shared" si="3"/>
        <v/>
      </c>
      <c r="C24" s="558"/>
      <c r="D24" s="605"/>
      <c r="E24" s="596"/>
      <c r="F24" s="559"/>
      <c r="G24" s="559"/>
      <c r="H24" s="597"/>
      <c r="I24" s="593"/>
      <c r="J24" s="559"/>
      <c r="K24" s="559"/>
      <c r="L24" s="597"/>
      <c r="M24" s="614"/>
      <c r="N24" s="401"/>
    </row>
    <row r="25" spans="1:14" hidden="1">
      <c r="A25" s="401"/>
      <c r="B25" s="604" t="str">
        <f t="shared" si="3"/>
        <v/>
      </c>
      <c r="C25" s="558"/>
      <c r="D25" s="605"/>
      <c r="E25" s="596"/>
      <c r="F25" s="559"/>
      <c r="G25" s="559"/>
      <c r="H25" s="597"/>
      <c r="I25" s="593"/>
      <c r="J25" s="559"/>
      <c r="K25" s="559"/>
      <c r="L25" s="597"/>
      <c r="M25" s="614"/>
      <c r="N25" s="401"/>
    </row>
    <row r="26" spans="1:14" hidden="1">
      <c r="A26" s="401"/>
      <c r="B26" s="604" t="str">
        <f t="shared" si="3"/>
        <v/>
      </c>
      <c r="C26" s="558"/>
      <c r="D26" s="605"/>
      <c r="E26" s="596"/>
      <c r="F26" s="559"/>
      <c r="G26" s="559"/>
      <c r="H26" s="597"/>
      <c r="I26" s="593"/>
      <c r="J26" s="559"/>
      <c r="K26" s="559"/>
      <c r="L26" s="597"/>
      <c r="M26" s="614"/>
      <c r="N26" s="401"/>
    </row>
    <row r="27" spans="1:14" hidden="1">
      <c r="A27" s="401"/>
      <c r="B27" s="604" t="str">
        <f t="shared" si="3"/>
        <v/>
      </c>
      <c r="C27" s="558"/>
      <c r="D27" s="605"/>
      <c r="E27" s="596"/>
      <c r="F27" s="559"/>
      <c r="G27" s="559"/>
      <c r="H27" s="597"/>
      <c r="I27" s="593"/>
      <c r="J27" s="559"/>
      <c r="K27" s="559"/>
      <c r="L27" s="597"/>
      <c r="M27" s="614"/>
      <c r="N27" s="401"/>
    </row>
    <row r="28" spans="1:14" hidden="1">
      <c r="A28" s="401"/>
      <c r="B28" s="604" t="str">
        <f t="shared" si="3"/>
        <v/>
      </c>
      <c r="C28" s="558"/>
      <c r="D28" s="605"/>
      <c r="E28" s="596"/>
      <c r="F28" s="559"/>
      <c r="G28" s="559"/>
      <c r="H28" s="597"/>
      <c r="I28" s="593"/>
      <c r="J28" s="559"/>
      <c r="K28" s="559"/>
      <c r="L28" s="597"/>
      <c r="M28" s="614"/>
      <c r="N28" s="401"/>
    </row>
    <row r="29" spans="1:14" hidden="1">
      <c r="A29" s="401"/>
      <c r="B29" s="604" t="str">
        <f t="shared" si="3"/>
        <v/>
      </c>
      <c r="C29" s="558"/>
      <c r="D29" s="605"/>
      <c r="E29" s="596"/>
      <c r="F29" s="559"/>
      <c r="G29" s="559"/>
      <c r="H29" s="597"/>
      <c r="I29" s="593"/>
      <c r="J29" s="559"/>
      <c r="K29" s="559"/>
      <c r="L29" s="597"/>
      <c r="M29" s="614"/>
      <c r="N29" s="401"/>
    </row>
    <row r="30" spans="1:14" hidden="1">
      <c r="A30" s="401"/>
      <c r="B30" s="604" t="str">
        <f t="shared" si="3"/>
        <v/>
      </c>
      <c r="C30" s="558"/>
      <c r="D30" s="605"/>
      <c r="E30" s="596"/>
      <c r="F30" s="559"/>
      <c r="G30" s="559"/>
      <c r="H30" s="597"/>
      <c r="I30" s="593"/>
      <c r="J30" s="559"/>
      <c r="K30" s="559"/>
      <c r="L30" s="597"/>
      <c r="M30" s="614"/>
      <c r="N30" s="401"/>
    </row>
    <row r="31" spans="1:14" hidden="1">
      <c r="A31" s="401"/>
      <c r="B31" s="604" t="str">
        <f t="shared" si="3"/>
        <v/>
      </c>
      <c r="C31" s="558"/>
      <c r="D31" s="605"/>
      <c r="E31" s="596"/>
      <c r="F31" s="559"/>
      <c r="G31" s="559"/>
      <c r="H31" s="597"/>
      <c r="I31" s="593"/>
      <c r="J31" s="559"/>
      <c r="K31" s="559"/>
      <c r="L31" s="597"/>
      <c r="M31" s="614"/>
      <c r="N31" s="401"/>
    </row>
    <row r="32" spans="1:14" hidden="1">
      <c r="A32" s="401"/>
      <c r="B32" s="604" t="str">
        <f t="shared" si="3"/>
        <v/>
      </c>
      <c r="C32" s="558"/>
      <c r="D32" s="605"/>
      <c r="E32" s="596"/>
      <c r="F32" s="559"/>
      <c r="G32" s="559"/>
      <c r="H32" s="597"/>
      <c r="I32" s="593"/>
      <c r="J32" s="559"/>
      <c r="K32" s="559"/>
      <c r="L32" s="597"/>
      <c r="M32" s="614"/>
      <c r="N32" s="401"/>
    </row>
    <row r="33" spans="1:14" hidden="1">
      <c r="A33" s="401"/>
      <c r="B33" s="604" t="str">
        <f t="shared" si="3"/>
        <v/>
      </c>
      <c r="C33" s="558"/>
      <c r="D33" s="605"/>
      <c r="E33" s="596"/>
      <c r="F33" s="559"/>
      <c r="G33" s="559"/>
      <c r="H33" s="597"/>
      <c r="I33" s="593"/>
      <c r="J33" s="559"/>
      <c r="K33" s="559"/>
      <c r="L33" s="597"/>
      <c r="M33" s="614"/>
      <c r="N33" s="401"/>
    </row>
    <row r="34" spans="1:14" hidden="1">
      <c r="A34" s="401"/>
      <c r="B34" s="604" t="str">
        <f t="shared" si="3"/>
        <v/>
      </c>
      <c r="C34" s="558"/>
      <c r="D34" s="605"/>
      <c r="E34" s="596"/>
      <c r="F34" s="559"/>
      <c r="G34" s="559"/>
      <c r="H34" s="597"/>
      <c r="I34" s="593"/>
      <c r="J34" s="559"/>
      <c r="K34" s="559"/>
      <c r="L34" s="597"/>
      <c r="M34" s="614"/>
      <c r="N34" s="401"/>
    </row>
    <row r="35" spans="1:14" hidden="1">
      <c r="A35" s="401"/>
      <c r="B35" s="604" t="str">
        <f t="shared" si="3"/>
        <v/>
      </c>
      <c r="C35" s="558"/>
      <c r="D35" s="605"/>
      <c r="E35" s="596"/>
      <c r="F35" s="559"/>
      <c r="G35" s="559"/>
      <c r="H35" s="597"/>
      <c r="I35" s="593"/>
      <c r="J35" s="559"/>
      <c r="K35" s="559"/>
      <c r="L35" s="597"/>
      <c r="M35" s="614"/>
      <c r="N35" s="401"/>
    </row>
    <row r="36" spans="1:14" hidden="1">
      <c r="A36" s="401"/>
      <c r="B36" s="604" t="str">
        <f t="shared" si="3"/>
        <v/>
      </c>
      <c r="C36" s="558"/>
      <c r="D36" s="605"/>
      <c r="E36" s="596"/>
      <c r="F36" s="559"/>
      <c r="G36" s="559"/>
      <c r="H36" s="597"/>
      <c r="I36" s="593"/>
      <c r="J36" s="559"/>
      <c r="K36" s="559"/>
      <c r="L36" s="597"/>
      <c r="M36" s="614"/>
      <c r="N36" s="401"/>
    </row>
    <row r="37" spans="1:14" hidden="1">
      <c r="A37" s="401"/>
      <c r="B37" s="604" t="str">
        <f t="shared" si="3"/>
        <v/>
      </c>
      <c r="C37" s="558"/>
      <c r="D37" s="605"/>
      <c r="E37" s="596"/>
      <c r="F37" s="559"/>
      <c r="G37" s="559"/>
      <c r="H37" s="597"/>
      <c r="I37" s="593"/>
      <c r="J37" s="559"/>
      <c r="K37" s="559"/>
      <c r="L37" s="597"/>
      <c r="M37" s="614"/>
      <c r="N37" s="401"/>
    </row>
    <row r="38" spans="1:14" hidden="1">
      <c r="A38" s="401"/>
      <c r="B38" s="604" t="str">
        <f t="shared" si="3"/>
        <v/>
      </c>
      <c r="C38" s="558"/>
      <c r="D38" s="605"/>
      <c r="E38" s="596"/>
      <c r="F38" s="559"/>
      <c r="G38" s="559"/>
      <c r="H38" s="597"/>
      <c r="I38" s="593"/>
      <c r="J38" s="559"/>
      <c r="K38" s="559"/>
      <c r="L38" s="597"/>
      <c r="M38" s="614"/>
      <c r="N38" s="401"/>
    </row>
    <row r="39" spans="1:14" hidden="1">
      <c r="A39" s="401"/>
      <c r="B39" s="604" t="str">
        <f t="shared" si="3"/>
        <v/>
      </c>
      <c r="C39" s="558"/>
      <c r="D39" s="605"/>
      <c r="E39" s="596"/>
      <c r="F39" s="559"/>
      <c r="G39" s="559"/>
      <c r="H39" s="597"/>
      <c r="I39" s="593"/>
      <c r="J39" s="559"/>
      <c r="K39" s="559"/>
      <c r="L39" s="597"/>
      <c r="M39" s="614"/>
      <c r="N39" s="401"/>
    </row>
    <row r="40" spans="1:14" hidden="1">
      <c r="A40" s="401"/>
      <c r="B40" s="604" t="str">
        <f t="shared" si="3"/>
        <v/>
      </c>
      <c r="C40" s="558"/>
      <c r="D40" s="605"/>
      <c r="E40" s="596"/>
      <c r="F40" s="559"/>
      <c r="G40" s="559"/>
      <c r="H40" s="597"/>
      <c r="I40" s="593"/>
      <c r="J40" s="559"/>
      <c r="K40" s="559"/>
      <c r="L40" s="597"/>
      <c r="M40" s="614"/>
      <c r="N40" s="401"/>
    </row>
    <row r="41" spans="1:14" hidden="1">
      <c r="A41" s="401"/>
      <c r="B41" s="604" t="str">
        <f t="shared" si="3"/>
        <v/>
      </c>
      <c r="C41" s="558"/>
      <c r="D41" s="605"/>
      <c r="E41" s="596"/>
      <c r="F41" s="559"/>
      <c r="G41" s="559"/>
      <c r="H41" s="597"/>
      <c r="I41" s="593"/>
      <c r="J41" s="559"/>
      <c r="K41" s="559"/>
      <c r="L41" s="597"/>
      <c r="M41" s="614"/>
      <c r="N41" s="401"/>
    </row>
    <row r="42" spans="1:14" hidden="1">
      <c r="A42" s="401"/>
      <c r="B42" s="604" t="str">
        <f t="shared" si="3"/>
        <v/>
      </c>
      <c r="C42" s="558"/>
      <c r="D42" s="605"/>
      <c r="E42" s="596"/>
      <c r="F42" s="559"/>
      <c r="G42" s="559"/>
      <c r="H42" s="597"/>
      <c r="I42" s="593"/>
      <c r="J42" s="559"/>
      <c r="K42" s="559"/>
      <c r="L42" s="597"/>
      <c r="M42" s="614"/>
      <c r="N42" s="401"/>
    </row>
    <row r="43" spans="1:14" hidden="1">
      <c r="A43" s="401"/>
      <c r="B43" s="604" t="str">
        <f t="shared" si="3"/>
        <v/>
      </c>
      <c r="C43" s="558"/>
      <c r="D43" s="605"/>
      <c r="E43" s="596"/>
      <c r="F43" s="559"/>
      <c r="G43" s="559"/>
      <c r="H43" s="597"/>
      <c r="I43" s="593"/>
      <c r="J43" s="559"/>
      <c r="K43" s="559"/>
      <c r="L43" s="597"/>
      <c r="M43" s="614"/>
      <c r="N43" s="401"/>
    </row>
    <row r="44" spans="1:14" hidden="1">
      <c r="A44" s="401"/>
      <c r="B44" s="604" t="str">
        <f t="shared" si="3"/>
        <v/>
      </c>
      <c r="C44" s="558"/>
      <c r="D44" s="605"/>
      <c r="E44" s="596"/>
      <c r="F44" s="559"/>
      <c r="G44" s="559"/>
      <c r="H44" s="597"/>
      <c r="I44" s="593"/>
      <c r="J44" s="559"/>
      <c r="K44" s="559"/>
      <c r="L44" s="597"/>
      <c r="M44" s="614"/>
      <c r="N44" s="401"/>
    </row>
    <row r="45" spans="1:14" hidden="1">
      <c r="A45" s="401"/>
      <c r="B45" s="604" t="str">
        <f t="shared" si="3"/>
        <v/>
      </c>
      <c r="C45" s="558"/>
      <c r="D45" s="605"/>
      <c r="E45" s="596"/>
      <c r="F45" s="559"/>
      <c r="G45" s="559"/>
      <c r="H45" s="597"/>
      <c r="I45" s="593"/>
      <c r="J45" s="559"/>
      <c r="K45" s="559"/>
      <c r="L45" s="597"/>
      <c r="M45" s="614"/>
      <c r="N45" s="401"/>
    </row>
    <row r="46" spans="1:14" hidden="1">
      <c r="A46" s="401"/>
      <c r="B46" s="604" t="str">
        <f t="shared" si="3"/>
        <v/>
      </c>
      <c r="C46" s="558"/>
      <c r="D46" s="605"/>
      <c r="E46" s="596"/>
      <c r="F46" s="559"/>
      <c r="G46" s="559"/>
      <c r="H46" s="597"/>
      <c r="I46" s="593"/>
      <c r="J46" s="559"/>
      <c r="K46" s="559"/>
      <c r="L46" s="597"/>
      <c r="M46" s="614"/>
      <c r="N46" s="401"/>
    </row>
    <row r="47" spans="1:14" hidden="1">
      <c r="A47" s="401"/>
      <c r="B47" s="604" t="str">
        <f t="shared" si="3"/>
        <v/>
      </c>
      <c r="C47" s="558"/>
      <c r="D47" s="605"/>
      <c r="E47" s="596"/>
      <c r="F47" s="559"/>
      <c r="G47" s="559"/>
      <c r="H47" s="597"/>
      <c r="I47" s="593"/>
      <c r="J47" s="559"/>
      <c r="K47" s="559"/>
      <c r="L47" s="597"/>
      <c r="M47" s="614"/>
      <c r="N47" s="401"/>
    </row>
    <row r="48" spans="1:14" hidden="1">
      <c r="A48" s="401"/>
      <c r="B48" s="604" t="str">
        <f t="shared" si="3"/>
        <v/>
      </c>
      <c r="C48" s="558"/>
      <c r="D48" s="605"/>
      <c r="E48" s="596"/>
      <c r="F48" s="559"/>
      <c r="G48" s="559"/>
      <c r="H48" s="597"/>
      <c r="I48" s="593"/>
      <c r="J48" s="559"/>
      <c r="K48" s="559"/>
      <c r="L48" s="597"/>
      <c r="M48" s="614"/>
      <c r="N48" s="401"/>
    </row>
    <row r="49" spans="1:14" hidden="1">
      <c r="A49" s="401"/>
      <c r="B49" s="604" t="str">
        <f t="shared" si="3"/>
        <v/>
      </c>
      <c r="C49" s="558"/>
      <c r="D49" s="605"/>
      <c r="E49" s="596"/>
      <c r="F49" s="559"/>
      <c r="G49" s="559"/>
      <c r="H49" s="597"/>
      <c r="I49" s="593"/>
      <c r="J49" s="559"/>
      <c r="K49" s="559"/>
      <c r="L49" s="597"/>
      <c r="M49" s="614"/>
      <c r="N49" s="401"/>
    </row>
    <row r="50" spans="1:14" hidden="1">
      <c r="A50" s="401"/>
      <c r="B50" s="604" t="str">
        <f t="shared" si="3"/>
        <v/>
      </c>
      <c r="C50" s="558"/>
      <c r="D50" s="605"/>
      <c r="E50" s="596"/>
      <c r="F50" s="559"/>
      <c r="G50" s="559"/>
      <c r="H50" s="597"/>
      <c r="I50" s="593"/>
      <c r="J50" s="559"/>
      <c r="K50" s="559"/>
      <c r="L50" s="597"/>
      <c r="M50" s="614"/>
      <c r="N50" s="401"/>
    </row>
    <row r="51" spans="1:14" hidden="1">
      <c r="A51" s="401"/>
      <c r="B51" s="604" t="str">
        <f t="shared" si="3"/>
        <v/>
      </c>
      <c r="C51" s="558"/>
      <c r="D51" s="605"/>
      <c r="E51" s="596"/>
      <c r="F51" s="559"/>
      <c r="G51" s="559"/>
      <c r="H51" s="597"/>
      <c r="I51" s="593"/>
      <c r="J51" s="559"/>
      <c r="K51" s="559"/>
      <c r="L51" s="597"/>
      <c r="M51" s="614"/>
      <c r="N51" s="401"/>
    </row>
    <row r="52" spans="1:14" hidden="1">
      <c r="A52" s="401"/>
      <c r="B52" s="604" t="str">
        <f t="shared" si="3"/>
        <v/>
      </c>
      <c r="C52" s="558"/>
      <c r="D52" s="605"/>
      <c r="E52" s="596"/>
      <c r="F52" s="559"/>
      <c r="G52" s="559"/>
      <c r="H52" s="597"/>
      <c r="I52" s="593"/>
      <c r="J52" s="559"/>
      <c r="K52" s="559"/>
      <c r="L52" s="597"/>
      <c r="M52" s="614"/>
      <c r="N52" s="401"/>
    </row>
    <row r="53" spans="1:14" hidden="1">
      <c r="A53" s="401"/>
      <c r="B53" s="604" t="str">
        <f t="shared" si="3"/>
        <v/>
      </c>
      <c r="C53" s="558"/>
      <c r="D53" s="605"/>
      <c r="E53" s="596"/>
      <c r="F53" s="559"/>
      <c r="G53" s="559"/>
      <c r="H53" s="597"/>
      <c r="I53" s="593"/>
      <c r="J53" s="559"/>
      <c r="K53" s="559"/>
      <c r="L53" s="597"/>
      <c r="M53" s="614"/>
      <c r="N53" s="401"/>
    </row>
    <row r="54" spans="1:14" hidden="1">
      <c r="A54" s="401"/>
      <c r="B54" s="604" t="str">
        <f t="shared" si="3"/>
        <v/>
      </c>
      <c r="C54" s="558"/>
      <c r="D54" s="605"/>
      <c r="E54" s="596"/>
      <c r="F54" s="559"/>
      <c r="G54" s="559"/>
      <c r="H54" s="597"/>
      <c r="I54" s="593"/>
      <c r="J54" s="559"/>
      <c r="K54" s="559"/>
      <c r="L54" s="597"/>
      <c r="M54" s="614"/>
      <c r="N54" s="401"/>
    </row>
    <row r="55" spans="1:14" hidden="1">
      <c r="A55" s="401"/>
      <c r="B55" s="604" t="str">
        <f t="shared" si="3"/>
        <v/>
      </c>
      <c r="C55" s="558"/>
      <c r="D55" s="605"/>
      <c r="E55" s="596"/>
      <c r="F55" s="559"/>
      <c r="G55" s="559"/>
      <c r="H55" s="597"/>
      <c r="I55" s="593"/>
      <c r="J55" s="559"/>
      <c r="K55" s="559"/>
      <c r="L55" s="597"/>
      <c r="M55" s="614"/>
      <c r="N55" s="401"/>
    </row>
    <row r="56" spans="1:14" hidden="1">
      <c r="A56" s="401"/>
      <c r="B56" s="604" t="str">
        <f t="shared" si="3"/>
        <v/>
      </c>
      <c r="C56" s="558"/>
      <c r="D56" s="605"/>
      <c r="E56" s="596"/>
      <c r="F56" s="559"/>
      <c r="G56" s="559"/>
      <c r="H56" s="597"/>
      <c r="I56" s="593"/>
      <c r="J56" s="559"/>
      <c r="K56" s="559"/>
      <c r="L56" s="597"/>
      <c r="M56" s="614"/>
      <c r="N56" s="401"/>
    </row>
    <row r="57" spans="1:14" hidden="1">
      <c r="A57" s="401"/>
      <c r="B57" s="604" t="str">
        <f t="shared" si="3"/>
        <v/>
      </c>
      <c r="C57" s="558"/>
      <c r="D57" s="605"/>
      <c r="E57" s="596"/>
      <c r="F57" s="559"/>
      <c r="G57" s="559"/>
      <c r="H57" s="597"/>
      <c r="I57" s="593"/>
      <c r="J57" s="559"/>
      <c r="K57" s="559"/>
      <c r="L57" s="597"/>
      <c r="M57" s="614"/>
      <c r="N57" s="401"/>
    </row>
    <row r="58" spans="1:14" hidden="1">
      <c r="A58" s="401"/>
      <c r="B58" s="604" t="str">
        <f t="shared" si="3"/>
        <v/>
      </c>
      <c r="C58" s="558"/>
      <c r="D58" s="605"/>
      <c r="E58" s="596"/>
      <c r="F58" s="559"/>
      <c r="G58" s="559"/>
      <c r="H58" s="597"/>
      <c r="I58" s="593"/>
      <c r="J58" s="559"/>
      <c r="K58" s="559"/>
      <c r="L58" s="597"/>
      <c r="M58" s="614"/>
      <c r="N58" s="401"/>
    </row>
    <row r="59" spans="1:14" hidden="1">
      <c r="A59" s="401"/>
      <c r="B59" s="604" t="str">
        <f t="shared" si="3"/>
        <v/>
      </c>
      <c r="C59" s="558"/>
      <c r="D59" s="605"/>
      <c r="E59" s="596"/>
      <c r="F59" s="559"/>
      <c r="G59" s="559"/>
      <c r="H59" s="597"/>
      <c r="I59" s="593"/>
      <c r="J59" s="559"/>
      <c r="K59" s="559"/>
      <c r="L59" s="597"/>
      <c r="M59" s="614"/>
      <c r="N59" s="401"/>
    </row>
    <row r="60" spans="1:14" hidden="1">
      <c r="A60" s="401"/>
      <c r="B60" s="604" t="str">
        <f t="shared" si="3"/>
        <v/>
      </c>
      <c r="C60" s="558"/>
      <c r="D60" s="605"/>
      <c r="E60" s="596"/>
      <c r="F60" s="559"/>
      <c r="G60" s="559"/>
      <c r="H60" s="597"/>
      <c r="I60" s="593"/>
      <c r="J60" s="559"/>
      <c r="K60" s="559"/>
      <c r="L60" s="597"/>
      <c r="M60" s="614"/>
      <c r="N60" s="401"/>
    </row>
    <row r="61" spans="1:14" hidden="1">
      <c r="A61" s="401"/>
      <c r="B61" s="604" t="str">
        <f t="shared" si="3"/>
        <v/>
      </c>
      <c r="C61" s="558"/>
      <c r="D61" s="605"/>
      <c r="E61" s="596"/>
      <c r="F61" s="559"/>
      <c r="G61" s="559"/>
      <c r="H61" s="597"/>
      <c r="I61" s="593"/>
      <c r="J61" s="559"/>
      <c r="K61" s="559"/>
      <c r="L61" s="597"/>
      <c r="M61" s="614"/>
      <c r="N61" s="401"/>
    </row>
    <row r="62" spans="1:14" hidden="1">
      <c r="A62" s="401"/>
      <c r="B62" s="604" t="str">
        <f t="shared" si="3"/>
        <v/>
      </c>
      <c r="C62" s="558"/>
      <c r="D62" s="605"/>
      <c r="E62" s="596"/>
      <c r="F62" s="559"/>
      <c r="G62" s="559"/>
      <c r="H62" s="597"/>
      <c r="I62" s="593"/>
      <c r="J62" s="559"/>
      <c r="K62" s="559"/>
      <c r="L62" s="597"/>
      <c r="M62" s="614"/>
      <c r="N62" s="401"/>
    </row>
    <row r="63" spans="1:14" hidden="1">
      <c r="A63" s="401"/>
      <c r="B63" s="604" t="str">
        <f t="shared" si="3"/>
        <v/>
      </c>
      <c r="C63" s="558"/>
      <c r="D63" s="605"/>
      <c r="E63" s="596"/>
      <c r="F63" s="559"/>
      <c r="G63" s="559"/>
      <c r="H63" s="597"/>
      <c r="I63" s="593"/>
      <c r="J63" s="559"/>
      <c r="K63" s="559"/>
      <c r="L63" s="597"/>
      <c r="M63" s="614"/>
      <c r="N63" s="401"/>
    </row>
    <row r="64" spans="1:14" hidden="1">
      <c r="A64" s="401"/>
      <c r="B64" s="604" t="str">
        <f t="shared" si="3"/>
        <v/>
      </c>
      <c r="C64" s="558"/>
      <c r="D64" s="605"/>
      <c r="E64" s="596"/>
      <c r="F64" s="559"/>
      <c r="G64" s="559"/>
      <c r="H64" s="597"/>
      <c r="I64" s="593"/>
      <c r="J64" s="559"/>
      <c r="K64" s="559"/>
      <c r="L64" s="597"/>
      <c r="M64" s="614"/>
      <c r="N64" s="401"/>
    </row>
    <row r="65" spans="1:14" hidden="1">
      <c r="A65" s="401"/>
      <c r="B65" s="604" t="str">
        <f t="shared" si="3"/>
        <v/>
      </c>
      <c r="C65" s="558"/>
      <c r="D65" s="605"/>
      <c r="E65" s="596"/>
      <c r="F65" s="559"/>
      <c r="G65" s="559"/>
      <c r="H65" s="597"/>
      <c r="I65" s="593"/>
      <c r="J65" s="559"/>
      <c r="K65" s="559"/>
      <c r="L65" s="597"/>
      <c r="M65" s="614"/>
      <c r="N65" s="401"/>
    </row>
    <row r="66" spans="1:14" hidden="1">
      <c r="A66" s="401"/>
      <c r="B66" s="604" t="str">
        <f t="shared" si="3"/>
        <v/>
      </c>
      <c r="C66" s="558"/>
      <c r="D66" s="605"/>
      <c r="E66" s="596"/>
      <c r="F66" s="559"/>
      <c r="G66" s="559"/>
      <c r="H66" s="597"/>
      <c r="I66" s="593"/>
      <c r="J66" s="559"/>
      <c r="K66" s="559"/>
      <c r="L66" s="597"/>
      <c r="M66" s="614"/>
      <c r="N66" s="401"/>
    </row>
    <row r="67" spans="1:14" hidden="1">
      <c r="A67" s="401"/>
      <c r="B67" s="604" t="str">
        <f t="shared" si="3"/>
        <v/>
      </c>
      <c r="C67" s="558"/>
      <c r="D67" s="605"/>
      <c r="E67" s="596"/>
      <c r="F67" s="559"/>
      <c r="G67" s="559"/>
      <c r="H67" s="597"/>
      <c r="I67" s="593"/>
      <c r="J67" s="559"/>
      <c r="K67" s="559"/>
      <c r="L67" s="597"/>
      <c r="M67" s="614"/>
      <c r="N67" s="401"/>
    </row>
    <row r="68" spans="1:14" hidden="1">
      <c r="A68" s="401"/>
      <c r="B68" s="604" t="str">
        <f t="shared" si="3"/>
        <v/>
      </c>
      <c r="C68" s="558"/>
      <c r="D68" s="605"/>
      <c r="E68" s="596"/>
      <c r="F68" s="559"/>
      <c r="G68" s="559"/>
      <c r="H68" s="597"/>
      <c r="I68" s="593"/>
      <c r="J68" s="559"/>
      <c r="K68" s="559"/>
      <c r="L68" s="597"/>
      <c r="M68" s="614"/>
      <c r="N68" s="401"/>
    </row>
    <row r="69" spans="1:14" hidden="1">
      <c r="A69" s="401"/>
      <c r="B69" s="604" t="str">
        <f t="shared" si="3"/>
        <v/>
      </c>
      <c r="C69" s="558"/>
      <c r="D69" s="605"/>
      <c r="E69" s="596"/>
      <c r="F69" s="559"/>
      <c r="G69" s="559"/>
      <c r="H69" s="597"/>
      <c r="I69" s="593"/>
      <c r="J69" s="559"/>
      <c r="K69" s="559"/>
      <c r="L69" s="597"/>
      <c r="M69" s="614"/>
      <c r="N69" s="401"/>
    </row>
    <row r="70" spans="1:14" hidden="1">
      <c r="A70" s="401"/>
      <c r="B70" s="604" t="str">
        <f t="shared" si="3"/>
        <v/>
      </c>
      <c r="C70" s="558"/>
      <c r="D70" s="605"/>
      <c r="E70" s="596"/>
      <c r="F70" s="559"/>
      <c r="G70" s="559"/>
      <c r="H70" s="597"/>
      <c r="I70" s="593"/>
      <c r="J70" s="559"/>
      <c r="K70" s="559"/>
      <c r="L70" s="597"/>
      <c r="M70" s="614"/>
      <c r="N70" s="401"/>
    </row>
    <row r="71" spans="1:14" hidden="1">
      <c r="A71" s="401"/>
      <c r="B71" s="604" t="str">
        <f t="shared" si="3"/>
        <v/>
      </c>
      <c r="C71" s="558"/>
      <c r="D71" s="605"/>
      <c r="E71" s="596"/>
      <c r="F71" s="559"/>
      <c r="G71" s="559"/>
      <c r="H71" s="597"/>
      <c r="I71" s="593"/>
      <c r="J71" s="559"/>
      <c r="K71" s="559"/>
      <c r="L71" s="597"/>
      <c r="M71" s="614"/>
      <c r="N71" s="401"/>
    </row>
    <row r="72" spans="1:14" hidden="1">
      <c r="A72" s="401"/>
      <c r="B72" s="604" t="str">
        <f t="shared" si="3"/>
        <v/>
      </c>
      <c r="C72" s="558"/>
      <c r="D72" s="605"/>
      <c r="E72" s="596"/>
      <c r="F72" s="559"/>
      <c r="G72" s="559"/>
      <c r="H72" s="597"/>
      <c r="I72" s="593"/>
      <c r="J72" s="559"/>
      <c r="K72" s="559"/>
      <c r="L72" s="597"/>
      <c r="M72" s="614"/>
      <c r="N72" s="401"/>
    </row>
    <row r="73" spans="1:14" hidden="1">
      <c r="A73" s="401"/>
      <c r="B73" s="604" t="str">
        <f t="shared" si="3"/>
        <v/>
      </c>
      <c r="C73" s="558"/>
      <c r="D73" s="605"/>
      <c r="E73" s="596"/>
      <c r="F73" s="559"/>
      <c r="G73" s="559"/>
      <c r="H73" s="597"/>
      <c r="I73" s="593"/>
      <c r="J73" s="559"/>
      <c r="K73" s="559"/>
      <c r="L73" s="597"/>
      <c r="M73" s="614"/>
      <c r="N73" s="401"/>
    </row>
    <row r="74" spans="1:14" hidden="1">
      <c r="A74" s="401"/>
      <c r="B74" s="604" t="str">
        <f t="shared" ref="B74:B137" si="4">IF(C74="","",B73+1)</f>
        <v/>
      </c>
      <c r="C74" s="558"/>
      <c r="D74" s="605"/>
      <c r="E74" s="596"/>
      <c r="F74" s="559"/>
      <c r="G74" s="559"/>
      <c r="H74" s="597"/>
      <c r="I74" s="593"/>
      <c r="J74" s="559"/>
      <c r="K74" s="559"/>
      <c r="L74" s="597"/>
      <c r="M74" s="614"/>
      <c r="N74" s="401"/>
    </row>
    <row r="75" spans="1:14" hidden="1">
      <c r="A75" s="401"/>
      <c r="B75" s="604" t="str">
        <f t="shared" si="4"/>
        <v/>
      </c>
      <c r="C75" s="558"/>
      <c r="D75" s="605"/>
      <c r="E75" s="596"/>
      <c r="F75" s="559"/>
      <c r="G75" s="559"/>
      <c r="H75" s="597"/>
      <c r="I75" s="593"/>
      <c r="J75" s="559"/>
      <c r="K75" s="559"/>
      <c r="L75" s="597"/>
      <c r="M75" s="614"/>
      <c r="N75" s="401"/>
    </row>
    <row r="76" spans="1:14" hidden="1">
      <c r="A76" s="401"/>
      <c r="B76" s="604" t="str">
        <f t="shared" si="4"/>
        <v/>
      </c>
      <c r="C76" s="558"/>
      <c r="D76" s="605"/>
      <c r="E76" s="596"/>
      <c r="F76" s="559"/>
      <c r="G76" s="559"/>
      <c r="H76" s="597"/>
      <c r="I76" s="593"/>
      <c r="J76" s="559"/>
      <c r="K76" s="559"/>
      <c r="L76" s="597"/>
      <c r="M76" s="614"/>
      <c r="N76" s="401"/>
    </row>
    <row r="77" spans="1:14" hidden="1">
      <c r="A77" s="401"/>
      <c r="B77" s="604" t="str">
        <f t="shared" si="4"/>
        <v/>
      </c>
      <c r="C77" s="558"/>
      <c r="D77" s="605"/>
      <c r="E77" s="596"/>
      <c r="F77" s="559"/>
      <c r="G77" s="559"/>
      <c r="H77" s="597"/>
      <c r="I77" s="593"/>
      <c r="J77" s="559"/>
      <c r="K77" s="559"/>
      <c r="L77" s="597"/>
      <c r="M77" s="614"/>
      <c r="N77" s="401"/>
    </row>
    <row r="78" spans="1:14" hidden="1">
      <c r="A78" s="401"/>
      <c r="B78" s="604" t="str">
        <f t="shared" si="4"/>
        <v/>
      </c>
      <c r="C78" s="558"/>
      <c r="D78" s="605"/>
      <c r="E78" s="596"/>
      <c r="F78" s="559"/>
      <c r="G78" s="559"/>
      <c r="H78" s="597"/>
      <c r="I78" s="593"/>
      <c r="J78" s="559"/>
      <c r="K78" s="559"/>
      <c r="L78" s="597"/>
      <c r="M78" s="614"/>
      <c r="N78" s="401"/>
    </row>
    <row r="79" spans="1:14" hidden="1">
      <c r="A79" s="401"/>
      <c r="B79" s="604" t="str">
        <f t="shared" si="4"/>
        <v/>
      </c>
      <c r="C79" s="558"/>
      <c r="D79" s="605"/>
      <c r="E79" s="596"/>
      <c r="F79" s="559"/>
      <c r="G79" s="559"/>
      <c r="H79" s="597"/>
      <c r="I79" s="593"/>
      <c r="J79" s="559"/>
      <c r="K79" s="559"/>
      <c r="L79" s="597"/>
      <c r="M79" s="614"/>
      <c r="N79" s="401"/>
    </row>
    <row r="80" spans="1:14" hidden="1">
      <c r="A80" s="401"/>
      <c r="B80" s="604" t="str">
        <f t="shared" si="4"/>
        <v/>
      </c>
      <c r="C80" s="558"/>
      <c r="D80" s="605"/>
      <c r="E80" s="596"/>
      <c r="F80" s="559"/>
      <c r="G80" s="559"/>
      <c r="H80" s="597"/>
      <c r="I80" s="593"/>
      <c r="J80" s="559"/>
      <c r="K80" s="559"/>
      <c r="L80" s="597"/>
      <c r="M80" s="614"/>
      <c r="N80" s="401"/>
    </row>
    <row r="81" spans="1:14" hidden="1">
      <c r="A81" s="401"/>
      <c r="B81" s="604" t="str">
        <f t="shared" si="4"/>
        <v/>
      </c>
      <c r="C81" s="558"/>
      <c r="D81" s="605"/>
      <c r="E81" s="596"/>
      <c r="F81" s="559"/>
      <c r="G81" s="559"/>
      <c r="H81" s="597"/>
      <c r="I81" s="593"/>
      <c r="J81" s="559"/>
      <c r="K81" s="559"/>
      <c r="L81" s="597"/>
      <c r="M81" s="614"/>
      <c r="N81" s="401"/>
    </row>
    <row r="82" spans="1:14" hidden="1">
      <c r="A82" s="401"/>
      <c r="B82" s="604" t="str">
        <f t="shared" si="4"/>
        <v/>
      </c>
      <c r="C82" s="558"/>
      <c r="D82" s="605"/>
      <c r="E82" s="596"/>
      <c r="F82" s="559"/>
      <c r="G82" s="559"/>
      <c r="H82" s="597"/>
      <c r="I82" s="593"/>
      <c r="J82" s="559"/>
      <c r="K82" s="559"/>
      <c r="L82" s="597"/>
      <c r="M82" s="614"/>
      <c r="N82" s="401"/>
    </row>
    <row r="83" spans="1:14" hidden="1">
      <c r="A83" s="401"/>
      <c r="B83" s="604" t="str">
        <f t="shared" si="4"/>
        <v/>
      </c>
      <c r="C83" s="558"/>
      <c r="D83" s="605"/>
      <c r="E83" s="596"/>
      <c r="F83" s="559"/>
      <c r="G83" s="559"/>
      <c r="H83" s="597"/>
      <c r="I83" s="593"/>
      <c r="J83" s="559"/>
      <c r="K83" s="559"/>
      <c r="L83" s="597"/>
      <c r="M83" s="614"/>
      <c r="N83" s="401"/>
    </row>
    <row r="84" spans="1:14" hidden="1">
      <c r="A84" s="401"/>
      <c r="B84" s="604" t="str">
        <f t="shared" si="4"/>
        <v/>
      </c>
      <c r="C84" s="558"/>
      <c r="D84" s="605"/>
      <c r="E84" s="596"/>
      <c r="F84" s="559"/>
      <c r="G84" s="559"/>
      <c r="H84" s="597"/>
      <c r="I84" s="593"/>
      <c r="J84" s="559"/>
      <c r="K84" s="559"/>
      <c r="L84" s="597"/>
      <c r="M84" s="614"/>
      <c r="N84" s="401"/>
    </row>
    <row r="85" spans="1:14" hidden="1">
      <c r="A85" s="401"/>
      <c r="B85" s="604" t="str">
        <f t="shared" si="4"/>
        <v/>
      </c>
      <c r="C85" s="558"/>
      <c r="D85" s="605"/>
      <c r="E85" s="596"/>
      <c r="F85" s="559"/>
      <c r="G85" s="559"/>
      <c r="H85" s="597"/>
      <c r="I85" s="593"/>
      <c r="J85" s="559"/>
      <c r="K85" s="559"/>
      <c r="L85" s="597"/>
      <c r="M85" s="614"/>
      <c r="N85" s="401"/>
    </row>
    <row r="86" spans="1:14" hidden="1">
      <c r="A86" s="401"/>
      <c r="B86" s="604" t="str">
        <f t="shared" si="4"/>
        <v/>
      </c>
      <c r="C86" s="558"/>
      <c r="D86" s="605"/>
      <c r="E86" s="596"/>
      <c r="F86" s="559"/>
      <c r="G86" s="559"/>
      <c r="H86" s="597"/>
      <c r="I86" s="593"/>
      <c r="J86" s="559"/>
      <c r="K86" s="559"/>
      <c r="L86" s="597"/>
      <c r="M86" s="614"/>
      <c r="N86" s="401"/>
    </row>
    <row r="87" spans="1:14" hidden="1">
      <c r="A87" s="401"/>
      <c r="B87" s="604" t="str">
        <f t="shared" si="4"/>
        <v/>
      </c>
      <c r="C87" s="558"/>
      <c r="D87" s="605"/>
      <c r="E87" s="596"/>
      <c r="F87" s="559"/>
      <c r="G87" s="559"/>
      <c r="H87" s="597"/>
      <c r="I87" s="593"/>
      <c r="J87" s="559"/>
      <c r="K87" s="559"/>
      <c r="L87" s="597"/>
      <c r="M87" s="614"/>
      <c r="N87" s="401"/>
    </row>
    <row r="88" spans="1:14" hidden="1">
      <c r="A88" s="401"/>
      <c r="B88" s="604" t="str">
        <f t="shared" si="4"/>
        <v/>
      </c>
      <c r="C88" s="558"/>
      <c r="D88" s="605"/>
      <c r="E88" s="596"/>
      <c r="F88" s="559"/>
      <c r="G88" s="559"/>
      <c r="H88" s="597"/>
      <c r="I88" s="593"/>
      <c r="J88" s="559"/>
      <c r="K88" s="559"/>
      <c r="L88" s="597"/>
      <c r="M88" s="614"/>
      <c r="N88" s="401"/>
    </row>
    <row r="89" spans="1:14" hidden="1">
      <c r="A89" s="401"/>
      <c r="B89" s="604" t="str">
        <f t="shared" si="4"/>
        <v/>
      </c>
      <c r="C89" s="558"/>
      <c r="D89" s="605"/>
      <c r="E89" s="596"/>
      <c r="F89" s="559"/>
      <c r="G89" s="559"/>
      <c r="H89" s="597"/>
      <c r="I89" s="593"/>
      <c r="J89" s="559"/>
      <c r="K89" s="559"/>
      <c r="L89" s="597"/>
      <c r="M89" s="614"/>
      <c r="N89" s="401"/>
    </row>
    <row r="90" spans="1:14" hidden="1">
      <c r="A90" s="401"/>
      <c r="B90" s="604" t="str">
        <f t="shared" si="4"/>
        <v/>
      </c>
      <c r="C90" s="558"/>
      <c r="D90" s="605"/>
      <c r="E90" s="596"/>
      <c r="F90" s="559"/>
      <c r="G90" s="559"/>
      <c r="H90" s="597"/>
      <c r="I90" s="593"/>
      <c r="J90" s="559"/>
      <c r="K90" s="559"/>
      <c r="L90" s="597"/>
      <c r="M90" s="614"/>
      <c r="N90" s="401"/>
    </row>
    <row r="91" spans="1:14" hidden="1">
      <c r="A91" s="401"/>
      <c r="B91" s="604" t="str">
        <f t="shared" si="4"/>
        <v/>
      </c>
      <c r="C91" s="558"/>
      <c r="D91" s="605"/>
      <c r="E91" s="596"/>
      <c r="F91" s="559"/>
      <c r="G91" s="559"/>
      <c r="H91" s="597"/>
      <c r="I91" s="593"/>
      <c r="J91" s="559"/>
      <c r="K91" s="559"/>
      <c r="L91" s="597"/>
      <c r="M91" s="614"/>
      <c r="N91" s="401"/>
    </row>
    <row r="92" spans="1:14" hidden="1">
      <c r="A92" s="401"/>
      <c r="B92" s="604" t="str">
        <f t="shared" si="4"/>
        <v/>
      </c>
      <c r="C92" s="558"/>
      <c r="D92" s="605"/>
      <c r="E92" s="596"/>
      <c r="F92" s="559"/>
      <c r="G92" s="559"/>
      <c r="H92" s="597"/>
      <c r="I92" s="593"/>
      <c r="J92" s="559"/>
      <c r="K92" s="559"/>
      <c r="L92" s="597"/>
      <c r="M92" s="614"/>
      <c r="N92" s="401"/>
    </row>
    <row r="93" spans="1:14" hidden="1">
      <c r="A93" s="401"/>
      <c r="B93" s="604" t="str">
        <f t="shared" si="4"/>
        <v/>
      </c>
      <c r="C93" s="558"/>
      <c r="D93" s="605"/>
      <c r="E93" s="596"/>
      <c r="F93" s="559"/>
      <c r="G93" s="559"/>
      <c r="H93" s="597"/>
      <c r="I93" s="593"/>
      <c r="J93" s="559"/>
      <c r="K93" s="559"/>
      <c r="L93" s="597"/>
      <c r="M93" s="614"/>
      <c r="N93" s="401"/>
    </row>
    <row r="94" spans="1:14" hidden="1">
      <c r="A94" s="401"/>
      <c r="B94" s="604" t="str">
        <f t="shared" si="4"/>
        <v/>
      </c>
      <c r="C94" s="558"/>
      <c r="D94" s="605"/>
      <c r="E94" s="596"/>
      <c r="F94" s="559"/>
      <c r="G94" s="559"/>
      <c r="H94" s="597"/>
      <c r="I94" s="593"/>
      <c r="J94" s="559"/>
      <c r="K94" s="559"/>
      <c r="L94" s="597"/>
      <c r="M94" s="614"/>
      <c r="N94" s="401"/>
    </row>
    <row r="95" spans="1:14" hidden="1">
      <c r="A95" s="401"/>
      <c r="B95" s="604" t="str">
        <f t="shared" si="4"/>
        <v/>
      </c>
      <c r="C95" s="558"/>
      <c r="D95" s="605"/>
      <c r="E95" s="596"/>
      <c r="F95" s="559"/>
      <c r="G95" s="559"/>
      <c r="H95" s="597"/>
      <c r="I95" s="593"/>
      <c r="J95" s="559"/>
      <c r="K95" s="559"/>
      <c r="L95" s="597"/>
      <c r="M95" s="614"/>
      <c r="N95" s="401"/>
    </row>
    <row r="96" spans="1:14" hidden="1">
      <c r="A96" s="401"/>
      <c r="B96" s="604" t="str">
        <f t="shared" si="4"/>
        <v/>
      </c>
      <c r="C96" s="558"/>
      <c r="D96" s="605"/>
      <c r="E96" s="596"/>
      <c r="F96" s="559"/>
      <c r="G96" s="559"/>
      <c r="H96" s="597"/>
      <c r="I96" s="593"/>
      <c r="J96" s="559"/>
      <c r="K96" s="559"/>
      <c r="L96" s="597"/>
      <c r="M96" s="614"/>
      <c r="N96" s="401"/>
    </row>
    <row r="97" spans="1:14" hidden="1">
      <c r="A97" s="401"/>
      <c r="B97" s="604" t="str">
        <f t="shared" si="4"/>
        <v/>
      </c>
      <c r="C97" s="558"/>
      <c r="D97" s="605"/>
      <c r="E97" s="596"/>
      <c r="F97" s="559"/>
      <c r="G97" s="559"/>
      <c r="H97" s="597"/>
      <c r="I97" s="593"/>
      <c r="J97" s="559"/>
      <c r="K97" s="559"/>
      <c r="L97" s="597"/>
      <c r="M97" s="614"/>
      <c r="N97" s="401"/>
    </row>
    <row r="98" spans="1:14" hidden="1">
      <c r="A98" s="401"/>
      <c r="B98" s="604" t="str">
        <f t="shared" si="4"/>
        <v/>
      </c>
      <c r="C98" s="558"/>
      <c r="D98" s="605"/>
      <c r="E98" s="596"/>
      <c r="F98" s="559"/>
      <c r="G98" s="559"/>
      <c r="H98" s="597"/>
      <c r="I98" s="593"/>
      <c r="J98" s="559"/>
      <c r="K98" s="559"/>
      <c r="L98" s="597"/>
      <c r="M98" s="614"/>
      <c r="N98" s="401"/>
    </row>
    <row r="99" spans="1:14" hidden="1">
      <c r="A99" s="401"/>
      <c r="B99" s="604" t="str">
        <f t="shared" si="4"/>
        <v/>
      </c>
      <c r="C99" s="558"/>
      <c r="D99" s="605"/>
      <c r="E99" s="596"/>
      <c r="F99" s="559"/>
      <c r="G99" s="559"/>
      <c r="H99" s="597"/>
      <c r="I99" s="593"/>
      <c r="J99" s="559"/>
      <c r="K99" s="559"/>
      <c r="L99" s="597"/>
      <c r="M99" s="614"/>
      <c r="N99" s="401"/>
    </row>
    <row r="100" spans="1:14" hidden="1">
      <c r="A100" s="401"/>
      <c r="B100" s="604" t="str">
        <f t="shared" si="4"/>
        <v/>
      </c>
      <c r="C100" s="558"/>
      <c r="D100" s="605"/>
      <c r="E100" s="596"/>
      <c r="F100" s="559"/>
      <c r="G100" s="559"/>
      <c r="H100" s="597"/>
      <c r="I100" s="593"/>
      <c r="J100" s="559"/>
      <c r="K100" s="559"/>
      <c r="L100" s="597"/>
      <c r="M100" s="614"/>
      <c r="N100" s="401"/>
    </row>
    <row r="101" spans="1:14" hidden="1">
      <c r="A101" s="401"/>
      <c r="B101" s="604" t="str">
        <f t="shared" si="4"/>
        <v/>
      </c>
      <c r="C101" s="558"/>
      <c r="D101" s="605"/>
      <c r="E101" s="596"/>
      <c r="F101" s="559"/>
      <c r="G101" s="559"/>
      <c r="H101" s="597"/>
      <c r="I101" s="593"/>
      <c r="J101" s="559"/>
      <c r="K101" s="559"/>
      <c r="L101" s="597"/>
      <c r="M101" s="614"/>
      <c r="N101" s="401"/>
    </row>
    <row r="102" spans="1:14" hidden="1">
      <c r="A102" s="401"/>
      <c r="B102" s="604" t="str">
        <f t="shared" si="4"/>
        <v/>
      </c>
      <c r="C102" s="558"/>
      <c r="D102" s="605"/>
      <c r="E102" s="596"/>
      <c r="F102" s="559"/>
      <c r="G102" s="559"/>
      <c r="H102" s="597"/>
      <c r="I102" s="593"/>
      <c r="J102" s="559"/>
      <c r="K102" s="559"/>
      <c r="L102" s="597"/>
      <c r="M102" s="614"/>
      <c r="N102" s="401"/>
    </row>
    <row r="103" spans="1:14" hidden="1">
      <c r="A103" s="401"/>
      <c r="B103" s="604" t="str">
        <f t="shared" si="4"/>
        <v/>
      </c>
      <c r="C103" s="558"/>
      <c r="D103" s="605"/>
      <c r="E103" s="596"/>
      <c r="F103" s="559"/>
      <c r="G103" s="559"/>
      <c r="H103" s="597"/>
      <c r="I103" s="593"/>
      <c r="J103" s="559"/>
      <c r="K103" s="559"/>
      <c r="L103" s="597"/>
      <c r="M103" s="614"/>
      <c r="N103" s="401"/>
    </row>
    <row r="104" spans="1:14" hidden="1">
      <c r="A104" s="401"/>
      <c r="B104" s="604" t="str">
        <f t="shared" si="4"/>
        <v/>
      </c>
      <c r="C104" s="558"/>
      <c r="D104" s="605"/>
      <c r="E104" s="596"/>
      <c r="F104" s="559"/>
      <c r="G104" s="559"/>
      <c r="H104" s="597"/>
      <c r="I104" s="593"/>
      <c r="J104" s="559"/>
      <c r="K104" s="559"/>
      <c r="L104" s="597"/>
      <c r="M104" s="614"/>
      <c r="N104" s="401"/>
    </row>
    <row r="105" spans="1:14" hidden="1">
      <c r="A105" s="401"/>
      <c r="B105" s="604" t="str">
        <f t="shared" si="4"/>
        <v/>
      </c>
      <c r="C105" s="558"/>
      <c r="D105" s="605"/>
      <c r="E105" s="596"/>
      <c r="F105" s="559"/>
      <c r="G105" s="559"/>
      <c r="H105" s="597"/>
      <c r="I105" s="593"/>
      <c r="J105" s="559"/>
      <c r="K105" s="559"/>
      <c r="L105" s="597"/>
      <c r="M105" s="614"/>
      <c r="N105" s="401"/>
    </row>
    <row r="106" spans="1:14" hidden="1">
      <c r="A106" s="401"/>
      <c r="B106" s="604" t="str">
        <f t="shared" si="4"/>
        <v/>
      </c>
      <c r="C106" s="558"/>
      <c r="D106" s="605"/>
      <c r="E106" s="596"/>
      <c r="F106" s="559"/>
      <c r="G106" s="559"/>
      <c r="H106" s="597"/>
      <c r="I106" s="593"/>
      <c r="J106" s="559"/>
      <c r="K106" s="559"/>
      <c r="L106" s="597"/>
      <c r="M106" s="614"/>
      <c r="N106" s="401"/>
    </row>
    <row r="107" spans="1:14" hidden="1">
      <c r="A107" s="401"/>
      <c r="B107" s="604" t="str">
        <f t="shared" si="4"/>
        <v/>
      </c>
      <c r="C107" s="558"/>
      <c r="D107" s="605"/>
      <c r="E107" s="596"/>
      <c r="F107" s="559"/>
      <c r="G107" s="559"/>
      <c r="H107" s="597"/>
      <c r="I107" s="593"/>
      <c r="J107" s="559"/>
      <c r="K107" s="559"/>
      <c r="L107" s="597"/>
      <c r="M107" s="614"/>
      <c r="N107" s="401"/>
    </row>
    <row r="108" spans="1:14" hidden="1">
      <c r="A108" s="401"/>
      <c r="B108" s="604" t="str">
        <f t="shared" si="4"/>
        <v/>
      </c>
      <c r="C108" s="558"/>
      <c r="D108" s="605"/>
      <c r="E108" s="596"/>
      <c r="F108" s="559"/>
      <c r="G108" s="559"/>
      <c r="H108" s="597"/>
      <c r="I108" s="593"/>
      <c r="J108" s="559"/>
      <c r="K108" s="559"/>
      <c r="L108" s="597"/>
      <c r="M108" s="614"/>
      <c r="N108" s="401"/>
    </row>
    <row r="109" spans="1:14" hidden="1">
      <c r="A109" s="401"/>
      <c r="B109" s="604" t="str">
        <f t="shared" si="4"/>
        <v/>
      </c>
      <c r="C109" s="558"/>
      <c r="D109" s="605"/>
      <c r="E109" s="596"/>
      <c r="F109" s="559"/>
      <c r="G109" s="559"/>
      <c r="H109" s="597"/>
      <c r="I109" s="593"/>
      <c r="J109" s="559"/>
      <c r="K109" s="559"/>
      <c r="L109" s="597"/>
      <c r="M109" s="614"/>
      <c r="N109" s="401"/>
    </row>
    <row r="110" spans="1:14" hidden="1">
      <c r="A110" s="401"/>
      <c r="B110" s="604" t="str">
        <f t="shared" si="4"/>
        <v/>
      </c>
      <c r="C110" s="558"/>
      <c r="D110" s="605"/>
      <c r="E110" s="596"/>
      <c r="F110" s="559"/>
      <c r="G110" s="559"/>
      <c r="H110" s="597"/>
      <c r="I110" s="593"/>
      <c r="J110" s="559"/>
      <c r="K110" s="559"/>
      <c r="L110" s="597"/>
      <c r="M110" s="614"/>
      <c r="N110" s="401"/>
    </row>
    <row r="111" spans="1:14" hidden="1">
      <c r="A111" s="401"/>
      <c r="B111" s="604" t="str">
        <f t="shared" si="4"/>
        <v/>
      </c>
      <c r="C111" s="558"/>
      <c r="D111" s="605"/>
      <c r="E111" s="596"/>
      <c r="F111" s="559"/>
      <c r="G111" s="559"/>
      <c r="H111" s="597"/>
      <c r="I111" s="593"/>
      <c r="J111" s="559"/>
      <c r="K111" s="559"/>
      <c r="L111" s="597"/>
      <c r="M111" s="614"/>
      <c r="N111" s="401"/>
    </row>
    <row r="112" spans="1:14" hidden="1">
      <c r="A112" s="401"/>
      <c r="B112" s="604" t="str">
        <f t="shared" si="4"/>
        <v/>
      </c>
      <c r="C112" s="558"/>
      <c r="D112" s="605"/>
      <c r="E112" s="596"/>
      <c r="F112" s="559"/>
      <c r="G112" s="559"/>
      <c r="H112" s="597"/>
      <c r="I112" s="593"/>
      <c r="J112" s="559"/>
      <c r="K112" s="559"/>
      <c r="L112" s="597"/>
      <c r="M112" s="614"/>
      <c r="N112" s="401"/>
    </row>
    <row r="113" spans="1:14" hidden="1">
      <c r="A113" s="401"/>
      <c r="B113" s="604" t="str">
        <f t="shared" si="4"/>
        <v/>
      </c>
      <c r="C113" s="558"/>
      <c r="D113" s="605"/>
      <c r="E113" s="596"/>
      <c r="F113" s="559"/>
      <c r="G113" s="559"/>
      <c r="H113" s="597"/>
      <c r="I113" s="593"/>
      <c r="J113" s="559"/>
      <c r="K113" s="559"/>
      <c r="L113" s="597"/>
      <c r="M113" s="614"/>
      <c r="N113" s="401"/>
    </row>
    <row r="114" spans="1:14" hidden="1">
      <c r="A114" s="401"/>
      <c r="B114" s="604" t="str">
        <f t="shared" si="4"/>
        <v/>
      </c>
      <c r="C114" s="558"/>
      <c r="D114" s="605"/>
      <c r="E114" s="596"/>
      <c r="F114" s="559"/>
      <c r="G114" s="559"/>
      <c r="H114" s="597"/>
      <c r="I114" s="593"/>
      <c r="J114" s="559"/>
      <c r="K114" s="559"/>
      <c r="L114" s="597"/>
      <c r="M114" s="614"/>
      <c r="N114" s="401"/>
    </row>
    <row r="115" spans="1:14" hidden="1">
      <c r="A115" s="401"/>
      <c r="B115" s="604" t="str">
        <f t="shared" si="4"/>
        <v/>
      </c>
      <c r="C115" s="558"/>
      <c r="D115" s="605"/>
      <c r="E115" s="596"/>
      <c r="F115" s="559"/>
      <c r="G115" s="559"/>
      <c r="H115" s="597"/>
      <c r="I115" s="593"/>
      <c r="J115" s="559"/>
      <c r="K115" s="559"/>
      <c r="L115" s="597"/>
      <c r="M115" s="614"/>
      <c r="N115" s="401"/>
    </row>
    <row r="116" spans="1:14" hidden="1">
      <c r="A116" s="401"/>
      <c r="B116" s="604" t="str">
        <f t="shared" si="4"/>
        <v/>
      </c>
      <c r="C116" s="558"/>
      <c r="D116" s="605"/>
      <c r="E116" s="596"/>
      <c r="F116" s="559"/>
      <c r="G116" s="559"/>
      <c r="H116" s="597"/>
      <c r="I116" s="593"/>
      <c r="J116" s="559"/>
      <c r="K116" s="559"/>
      <c r="L116" s="597"/>
      <c r="M116" s="614"/>
      <c r="N116" s="401"/>
    </row>
    <row r="117" spans="1:14" hidden="1">
      <c r="A117" s="401"/>
      <c r="B117" s="604" t="str">
        <f t="shared" si="4"/>
        <v/>
      </c>
      <c r="C117" s="558"/>
      <c r="D117" s="605"/>
      <c r="E117" s="596"/>
      <c r="F117" s="559"/>
      <c r="G117" s="559"/>
      <c r="H117" s="597"/>
      <c r="I117" s="593"/>
      <c r="J117" s="559"/>
      <c r="K117" s="559"/>
      <c r="L117" s="597"/>
      <c r="M117" s="614"/>
      <c r="N117" s="401"/>
    </row>
    <row r="118" spans="1:14" hidden="1">
      <c r="A118" s="401"/>
      <c r="B118" s="604" t="str">
        <f t="shared" si="4"/>
        <v/>
      </c>
      <c r="C118" s="558"/>
      <c r="D118" s="605"/>
      <c r="E118" s="596"/>
      <c r="F118" s="559"/>
      <c r="G118" s="559"/>
      <c r="H118" s="597"/>
      <c r="I118" s="593"/>
      <c r="J118" s="559"/>
      <c r="K118" s="559"/>
      <c r="L118" s="597"/>
      <c r="M118" s="614"/>
      <c r="N118" s="401"/>
    </row>
    <row r="119" spans="1:14" hidden="1">
      <c r="A119" s="401"/>
      <c r="B119" s="604" t="str">
        <f t="shared" si="4"/>
        <v/>
      </c>
      <c r="C119" s="558"/>
      <c r="D119" s="605"/>
      <c r="E119" s="596"/>
      <c r="F119" s="559"/>
      <c r="G119" s="559"/>
      <c r="H119" s="597"/>
      <c r="I119" s="593"/>
      <c r="J119" s="559"/>
      <c r="K119" s="559"/>
      <c r="L119" s="597"/>
      <c r="M119" s="614"/>
      <c r="N119" s="401"/>
    </row>
    <row r="120" spans="1:14" hidden="1">
      <c r="A120" s="401"/>
      <c r="B120" s="604" t="str">
        <f t="shared" si="4"/>
        <v/>
      </c>
      <c r="C120" s="558"/>
      <c r="D120" s="605"/>
      <c r="E120" s="596"/>
      <c r="F120" s="559"/>
      <c r="G120" s="559"/>
      <c r="H120" s="597"/>
      <c r="I120" s="593"/>
      <c r="J120" s="559"/>
      <c r="K120" s="559"/>
      <c r="L120" s="597"/>
      <c r="M120" s="614"/>
      <c r="N120" s="401"/>
    </row>
    <row r="121" spans="1:14" hidden="1">
      <c r="A121" s="401"/>
      <c r="B121" s="604" t="str">
        <f t="shared" si="4"/>
        <v/>
      </c>
      <c r="C121" s="558"/>
      <c r="D121" s="605"/>
      <c r="E121" s="596"/>
      <c r="F121" s="559"/>
      <c r="G121" s="559"/>
      <c r="H121" s="597"/>
      <c r="I121" s="593"/>
      <c r="J121" s="559"/>
      <c r="K121" s="559"/>
      <c r="L121" s="597"/>
      <c r="M121" s="614"/>
      <c r="N121" s="401"/>
    </row>
    <row r="122" spans="1:14" hidden="1">
      <c r="A122" s="401"/>
      <c r="B122" s="604" t="str">
        <f t="shared" si="4"/>
        <v/>
      </c>
      <c r="C122" s="558"/>
      <c r="D122" s="605"/>
      <c r="E122" s="596"/>
      <c r="F122" s="559"/>
      <c r="G122" s="559"/>
      <c r="H122" s="597"/>
      <c r="I122" s="593"/>
      <c r="J122" s="559"/>
      <c r="K122" s="559"/>
      <c r="L122" s="597"/>
      <c r="M122" s="614"/>
      <c r="N122" s="401"/>
    </row>
    <row r="123" spans="1:14" hidden="1">
      <c r="A123" s="401"/>
      <c r="B123" s="604" t="str">
        <f t="shared" si="4"/>
        <v/>
      </c>
      <c r="C123" s="558"/>
      <c r="D123" s="605"/>
      <c r="E123" s="596"/>
      <c r="F123" s="559"/>
      <c r="G123" s="559"/>
      <c r="H123" s="597"/>
      <c r="I123" s="593"/>
      <c r="J123" s="559"/>
      <c r="K123" s="559"/>
      <c r="L123" s="597"/>
      <c r="M123" s="614"/>
      <c r="N123" s="401"/>
    </row>
    <row r="124" spans="1:14" hidden="1">
      <c r="A124" s="401"/>
      <c r="B124" s="604" t="str">
        <f t="shared" si="4"/>
        <v/>
      </c>
      <c r="C124" s="558"/>
      <c r="D124" s="605"/>
      <c r="E124" s="596"/>
      <c r="F124" s="559"/>
      <c r="G124" s="559"/>
      <c r="H124" s="597"/>
      <c r="I124" s="593"/>
      <c r="J124" s="559"/>
      <c r="K124" s="559"/>
      <c r="L124" s="597"/>
      <c r="M124" s="614"/>
      <c r="N124" s="401"/>
    </row>
    <row r="125" spans="1:14" hidden="1">
      <c r="A125" s="401"/>
      <c r="B125" s="604" t="str">
        <f t="shared" si="4"/>
        <v/>
      </c>
      <c r="C125" s="558"/>
      <c r="D125" s="605"/>
      <c r="E125" s="596"/>
      <c r="F125" s="559"/>
      <c r="G125" s="559"/>
      <c r="H125" s="597"/>
      <c r="I125" s="593"/>
      <c r="J125" s="559"/>
      <c r="K125" s="559"/>
      <c r="L125" s="597"/>
      <c r="M125" s="614"/>
      <c r="N125" s="401"/>
    </row>
    <row r="126" spans="1:14" hidden="1">
      <c r="A126" s="401"/>
      <c r="B126" s="604" t="str">
        <f t="shared" si="4"/>
        <v/>
      </c>
      <c r="C126" s="558"/>
      <c r="D126" s="605"/>
      <c r="E126" s="596"/>
      <c r="F126" s="559"/>
      <c r="G126" s="559"/>
      <c r="H126" s="597"/>
      <c r="I126" s="593"/>
      <c r="J126" s="559"/>
      <c r="K126" s="559"/>
      <c r="L126" s="597"/>
      <c r="M126" s="614"/>
      <c r="N126" s="401"/>
    </row>
    <row r="127" spans="1:14" hidden="1">
      <c r="A127" s="401"/>
      <c r="B127" s="604" t="str">
        <f t="shared" si="4"/>
        <v/>
      </c>
      <c r="C127" s="558"/>
      <c r="D127" s="605"/>
      <c r="E127" s="596"/>
      <c r="F127" s="559"/>
      <c r="G127" s="559"/>
      <c r="H127" s="597"/>
      <c r="I127" s="593"/>
      <c r="J127" s="559"/>
      <c r="K127" s="559"/>
      <c r="L127" s="597"/>
      <c r="M127" s="614"/>
      <c r="N127" s="401"/>
    </row>
    <row r="128" spans="1:14" hidden="1">
      <c r="A128" s="401"/>
      <c r="B128" s="604" t="str">
        <f t="shared" si="4"/>
        <v/>
      </c>
      <c r="C128" s="558"/>
      <c r="D128" s="605"/>
      <c r="E128" s="596"/>
      <c r="F128" s="559"/>
      <c r="G128" s="559"/>
      <c r="H128" s="597"/>
      <c r="I128" s="593"/>
      <c r="J128" s="559"/>
      <c r="K128" s="559"/>
      <c r="L128" s="597"/>
      <c r="M128" s="614"/>
      <c r="N128" s="401"/>
    </row>
    <row r="129" spans="1:14" hidden="1">
      <c r="A129" s="401"/>
      <c r="B129" s="604" t="str">
        <f t="shared" si="4"/>
        <v/>
      </c>
      <c r="C129" s="558"/>
      <c r="D129" s="605"/>
      <c r="E129" s="596"/>
      <c r="F129" s="559"/>
      <c r="G129" s="559"/>
      <c r="H129" s="597"/>
      <c r="I129" s="593"/>
      <c r="J129" s="559"/>
      <c r="K129" s="559"/>
      <c r="L129" s="597"/>
      <c r="M129" s="614"/>
      <c r="N129" s="401"/>
    </row>
    <row r="130" spans="1:14" hidden="1">
      <c r="A130" s="401"/>
      <c r="B130" s="604" t="str">
        <f t="shared" si="4"/>
        <v/>
      </c>
      <c r="C130" s="558"/>
      <c r="D130" s="605"/>
      <c r="E130" s="596"/>
      <c r="F130" s="559"/>
      <c r="G130" s="559"/>
      <c r="H130" s="597"/>
      <c r="I130" s="593"/>
      <c r="J130" s="559"/>
      <c r="K130" s="559"/>
      <c r="L130" s="597"/>
      <c r="M130" s="614"/>
      <c r="N130" s="401"/>
    </row>
    <row r="131" spans="1:14" hidden="1">
      <c r="A131" s="401"/>
      <c r="B131" s="604" t="str">
        <f t="shared" si="4"/>
        <v/>
      </c>
      <c r="C131" s="558"/>
      <c r="D131" s="605"/>
      <c r="E131" s="596"/>
      <c r="F131" s="559"/>
      <c r="G131" s="559"/>
      <c r="H131" s="597"/>
      <c r="I131" s="593"/>
      <c r="J131" s="559"/>
      <c r="K131" s="559"/>
      <c r="L131" s="597"/>
      <c r="M131" s="614"/>
      <c r="N131" s="401"/>
    </row>
    <row r="132" spans="1:14" hidden="1">
      <c r="A132" s="401"/>
      <c r="B132" s="604" t="str">
        <f t="shared" si="4"/>
        <v/>
      </c>
      <c r="C132" s="558"/>
      <c r="D132" s="605"/>
      <c r="E132" s="596"/>
      <c r="F132" s="559"/>
      <c r="G132" s="559"/>
      <c r="H132" s="597"/>
      <c r="I132" s="593"/>
      <c r="J132" s="559"/>
      <c r="K132" s="559"/>
      <c r="L132" s="597"/>
      <c r="M132" s="614"/>
      <c r="N132" s="401"/>
    </row>
    <row r="133" spans="1:14" hidden="1">
      <c r="A133" s="401"/>
      <c r="B133" s="604" t="str">
        <f t="shared" si="4"/>
        <v/>
      </c>
      <c r="C133" s="558"/>
      <c r="D133" s="605"/>
      <c r="E133" s="596"/>
      <c r="F133" s="559"/>
      <c r="G133" s="559"/>
      <c r="H133" s="597"/>
      <c r="I133" s="593"/>
      <c r="J133" s="559"/>
      <c r="K133" s="559"/>
      <c r="L133" s="597"/>
      <c r="M133" s="614"/>
      <c r="N133" s="401"/>
    </row>
    <row r="134" spans="1:14" hidden="1">
      <c r="A134" s="401"/>
      <c r="B134" s="604" t="str">
        <f t="shared" si="4"/>
        <v/>
      </c>
      <c r="C134" s="558"/>
      <c r="D134" s="605"/>
      <c r="E134" s="596"/>
      <c r="F134" s="559"/>
      <c r="G134" s="559"/>
      <c r="H134" s="597"/>
      <c r="I134" s="593"/>
      <c r="J134" s="559"/>
      <c r="K134" s="559"/>
      <c r="L134" s="597"/>
      <c r="M134" s="614"/>
      <c r="N134" s="401"/>
    </row>
    <row r="135" spans="1:14" hidden="1">
      <c r="A135" s="401"/>
      <c r="B135" s="604" t="str">
        <f t="shared" si="4"/>
        <v/>
      </c>
      <c r="C135" s="558"/>
      <c r="D135" s="605"/>
      <c r="E135" s="596"/>
      <c r="F135" s="559"/>
      <c r="G135" s="559"/>
      <c r="H135" s="597"/>
      <c r="I135" s="593"/>
      <c r="J135" s="559"/>
      <c r="K135" s="559"/>
      <c r="L135" s="597"/>
      <c r="M135" s="614"/>
      <c r="N135" s="401"/>
    </row>
    <row r="136" spans="1:14" hidden="1">
      <c r="A136" s="401"/>
      <c r="B136" s="604" t="str">
        <f t="shared" si="4"/>
        <v/>
      </c>
      <c r="C136" s="558"/>
      <c r="D136" s="605"/>
      <c r="E136" s="596"/>
      <c r="F136" s="559"/>
      <c r="G136" s="559"/>
      <c r="H136" s="597"/>
      <c r="I136" s="593"/>
      <c r="J136" s="559"/>
      <c r="K136" s="559"/>
      <c r="L136" s="597"/>
      <c r="M136" s="614"/>
      <c r="N136" s="401"/>
    </row>
    <row r="137" spans="1:14" hidden="1">
      <c r="A137" s="401"/>
      <c r="B137" s="604" t="str">
        <f t="shared" si="4"/>
        <v/>
      </c>
      <c r="C137" s="558"/>
      <c r="D137" s="605"/>
      <c r="E137" s="596"/>
      <c r="F137" s="559"/>
      <c r="G137" s="559"/>
      <c r="H137" s="597"/>
      <c r="I137" s="593"/>
      <c r="J137" s="559"/>
      <c r="K137" s="559"/>
      <c r="L137" s="597"/>
      <c r="M137" s="614"/>
      <c r="N137" s="401"/>
    </row>
    <row r="138" spans="1:14" hidden="1">
      <c r="A138" s="401"/>
      <c r="B138" s="604" t="str">
        <f t="shared" ref="B138:B201" si="5">IF(C138="","",B137+1)</f>
        <v/>
      </c>
      <c r="C138" s="558"/>
      <c r="D138" s="605"/>
      <c r="E138" s="596"/>
      <c r="F138" s="559"/>
      <c r="G138" s="559"/>
      <c r="H138" s="597"/>
      <c r="I138" s="593"/>
      <c r="J138" s="559"/>
      <c r="K138" s="559"/>
      <c r="L138" s="597"/>
      <c r="M138" s="614"/>
      <c r="N138" s="401"/>
    </row>
    <row r="139" spans="1:14" hidden="1">
      <c r="A139" s="401"/>
      <c r="B139" s="604" t="str">
        <f t="shared" si="5"/>
        <v/>
      </c>
      <c r="C139" s="558"/>
      <c r="D139" s="605"/>
      <c r="E139" s="596"/>
      <c r="F139" s="559"/>
      <c r="G139" s="559"/>
      <c r="H139" s="597"/>
      <c r="I139" s="593"/>
      <c r="J139" s="559"/>
      <c r="K139" s="559"/>
      <c r="L139" s="597"/>
      <c r="M139" s="614"/>
      <c r="N139" s="401"/>
    </row>
    <row r="140" spans="1:14" hidden="1">
      <c r="A140" s="401"/>
      <c r="B140" s="604" t="str">
        <f t="shared" si="5"/>
        <v/>
      </c>
      <c r="C140" s="558"/>
      <c r="D140" s="605"/>
      <c r="E140" s="596"/>
      <c r="F140" s="559"/>
      <c r="G140" s="559"/>
      <c r="H140" s="597"/>
      <c r="I140" s="593"/>
      <c r="J140" s="559"/>
      <c r="K140" s="559"/>
      <c r="L140" s="597"/>
      <c r="M140" s="614"/>
      <c r="N140" s="401"/>
    </row>
    <row r="141" spans="1:14" hidden="1">
      <c r="A141" s="401"/>
      <c r="B141" s="604" t="str">
        <f t="shared" si="5"/>
        <v/>
      </c>
      <c r="C141" s="558"/>
      <c r="D141" s="605"/>
      <c r="E141" s="596"/>
      <c r="F141" s="559"/>
      <c r="G141" s="559"/>
      <c r="H141" s="597"/>
      <c r="I141" s="593"/>
      <c r="J141" s="559"/>
      <c r="K141" s="559"/>
      <c r="L141" s="597"/>
      <c r="M141" s="614"/>
      <c r="N141" s="401"/>
    </row>
    <row r="142" spans="1:14" hidden="1">
      <c r="A142" s="401"/>
      <c r="B142" s="604" t="str">
        <f t="shared" si="5"/>
        <v/>
      </c>
      <c r="C142" s="558"/>
      <c r="D142" s="605"/>
      <c r="E142" s="596"/>
      <c r="F142" s="559"/>
      <c r="G142" s="559"/>
      <c r="H142" s="597"/>
      <c r="I142" s="593"/>
      <c r="J142" s="559"/>
      <c r="K142" s="559"/>
      <c r="L142" s="597"/>
      <c r="M142" s="614"/>
      <c r="N142" s="401"/>
    </row>
    <row r="143" spans="1:14" hidden="1">
      <c r="A143" s="401"/>
      <c r="B143" s="604" t="str">
        <f t="shared" si="5"/>
        <v/>
      </c>
      <c r="C143" s="558"/>
      <c r="D143" s="605"/>
      <c r="E143" s="596"/>
      <c r="F143" s="559"/>
      <c r="G143" s="559"/>
      <c r="H143" s="597"/>
      <c r="I143" s="593"/>
      <c r="J143" s="559"/>
      <c r="K143" s="559"/>
      <c r="L143" s="597"/>
      <c r="M143" s="614"/>
      <c r="N143" s="401"/>
    </row>
    <row r="144" spans="1:14" hidden="1">
      <c r="A144" s="401"/>
      <c r="B144" s="604" t="str">
        <f t="shared" si="5"/>
        <v/>
      </c>
      <c r="C144" s="558"/>
      <c r="D144" s="605"/>
      <c r="E144" s="596"/>
      <c r="F144" s="559"/>
      <c r="G144" s="559"/>
      <c r="H144" s="597"/>
      <c r="I144" s="593"/>
      <c r="J144" s="559"/>
      <c r="K144" s="559"/>
      <c r="L144" s="597"/>
      <c r="M144" s="614"/>
      <c r="N144" s="401"/>
    </row>
    <row r="145" spans="1:14" hidden="1">
      <c r="A145" s="401"/>
      <c r="B145" s="604" t="str">
        <f t="shared" si="5"/>
        <v/>
      </c>
      <c r="C145" s="558"/>
      <c r="D145" s="605"/>
      <c r="E145" s="596"/>
      <c r="F145" s="559"/>
      <c r="G145" s="559"/>
      <c r="H145" s="597"/>
      <c r="I145" s="593"/>
      <c r="J145" s="559"/>
      <c r="K145" s="559"/>
      <c r="L145" s="597"/>
      <c r="M145" s="614"/>
      <c r="N145" s="401"/>
    </row>
    <row r="146" spans="1:14" hidden="1">
      <c r="A146" s="401"/>
      <c r="B146" s="604" t="str">
        <f t="shared" si="5"/>
        <v/>
      </c>
      <c r="C146" s="558"/>
      <c r="D146" s="605"/>
      <c r="E146" s="596"/>
      <c r="F146" s="559"/>
      <c r="G146" s="559"/>
      <c r="H146" s="597"/>
      <c r="I146" s="593"/>
      <c r="J146" s="559"/>
      <c r="K146" s="559"/>
      <c r="L146" s="597"/>
      <c r="M146" s="614"/>
      <c r="N146" s="401"/>
    </row>
    <row r="147" spans="1:14" hidden="1">
      <c r="A147" s="401"/>
      <c r="B147" s="604" t="str">
        <f t="shared" si="5"/>
        <v/>
      </c>
      <c r="C147" s="558"/>
      <c r="D147" s="605"/>
      <c r="E147" s="596"/>
      <c r="F147" s="559"/>
      <c r="G147" s="559"/>
      <c r="H147" s="597"/>
      <c r="I147" s="593"/>
      <c r="J147" s="559"/>
      <c r="K147" s="559"/>
      <c r="L147" s="597"/>
      <c r="M147" s="614"/>
      <c r="N147" s="401"/>
    </row>
    <row r="148" spans="1:14" hidden="1">
      <c r="A148" s="401"/>
      <c r="B148" s="604" t="str">
        <f t="shared" si="5"/>
        <v/>
      </c>
      <c r="C148" s="558"/>
      <c r="D148" s="605"/>
      <c r="E148" s="596"/>
      <c r="F148" s="559"/>
      <c r="G148" s="559"/>
      <c r="H148" s="597"/>
      <c r="I148" s="593"/>
      <c r="J148" s="559"/>
      <c r="K148" s="559"/>
      <c r="L148" s="597"/>
      <c r="M148" s="614"/>
      <c r="N148" s="401"/>
    </row>
    <row r="149" spans="1:14" hidden="1">
      <c r="A149" s="401"/>
      <c r="B149" s="604" t="str">
        <f t="shared" si="5"/>
        <v/>
      </c>
      <c r="C149" s="558"/>
      <c r="D149" s="605"/>
      <c r="E149" s="596"/>
      <c r="F149" s="559"/>
      <c r="G149" s="559"/>
      <c r="H149" s="597"/>
      <c r="I149" s="593"/>
      <c r="J149" s="559"/>
      <c r="K149" s="559"/>
      <c r="L149" s="597"/>
      <c r="M149" s="614"/>
      <c r="N149" s="401"/>
    </row>
    <row r="150" spans="1:14" hidden="1">
      <c r="A150" s="401"/>
      <c r="B150" s="604" t="str">
        <f t="shared" si="5"/>
        <v/>
      </c>
      <c r="C150" s="558"/>
      <c r="D150" s="605"/>
      <c r="E150" s="596"/>
      <c r="F150" s="559"/>
      <c r="G150" s="559"/>
      <c r="H150" s="597"/>
      <c r="I150" s="593"/>
      <c r="J150" s="559"/>
      <c r="K150" s="559"/>
      <c r="L150" s="597"/>
      <c r="M150" s="614"/>
      <c r="N150" s="401"/>
    </row>
    <row r="151" spans="1:14" hidden="1">
      <c r="A151" s="401"/>
      <c r="B151" s="604" t="str">
        <f t="shared" si="5"/>
        <v/>
      </c>
      <c r="C151" s="558"/>
      <c r="D151" s="605"/>
      <c r="E151" s="596"/>
      <c r="F151" s="559"/>
      <c r="G151" s="559"/>
      <c r="H151" s="597"/>
      <c r="I151" s="593"/>
      <c r="J151" s="559"/>
      <c r="K151" s="559"/>
      <c r="L151" s="597"/>
      <c r="M151" s="614"/>
      <c r="N151" s="401"/>
    </row>
    <row r="152" spans="1:14" hidden="1">
      <c r="A152" s="401"/>
      <c r="B152" s="604" t="str">
        <f t="shared" si="5"/>
        <v/>
      </c>
      <c r="C152" s="558"/>
      <c r="D152" s="605"/>
      <c r="E152" s="596"/>
      <c r="F152" s="559"/>
      <c r="G152" s="559"/>
      <c r="H152" s="597"/>
      <c r="I152" s="593"/>
      <c r="J152" s="559"/>
      <c r="K152" s="559"/>
      <c r="L152" s="597"/>
      <c r="M152" s="614"/>
      <c r="N152" s="401"/>
    </row>
    <row r="153" spans="1:14" hidden="1">
      <c r="A153" s="401"/>
      <c r="B153" s="604" t="str">
        <f t="shared" si="5"/>
        <v/>
      </c>
      <c r="C153" s="558"/>
      <c r="D153" s="605"/>
      <c r="E153" s="596"/>
      <c r="F153" s="559"/>
      <c r="G153" s="559"/>
      <c r="H153" s="597"/>
      <c r="I153" s="593"/>
      <c r="J153" s="559"/>
      <c r="K153" s="559"/>
      <c r="L153" s="597"/>
      <c r="M153" s="614"/>
      <c r="N153" s="401"/>
    </row>
    <row r="154" spans="1:14" hidden="1">
      <c r="A154" s="401"/>
      <c r="B154" s="604" t="str">
        <f t="shared" si="5"/>
        <v/>
      </c>
      <c r="C154" s="558"/>
      <c r="D154" s="605"/>
      <c r="E154" s="596"/>
      <c r="F154" s="559"/>
      <c r="G154" s="559"/>
      <c r="H154" s="597"/>
      <c r="I154" s="593"/>
      <c r="J154" s="559"/>
      <c r="K154" s="559"/>
      <c r="L154" s="597"/>
      <c r="M154" s="614"/>
      <c r="N154" s="401"/>
    </row>
    <row r="155" spans="1:14" hidden="1">
      <c r="A155" s="401"/>
      <c r="B155" s="604" t="str">
        <f t="shared" si="5"/>
        <v/>
      </c>
      <c r="C155" s="558"/>
      <c r="D155" s="605"/>
      <c r="E155" s="596"/>
      <c r="F155" s="559"/>
      <c r="G155" s="559"/>
      <c r="H155" s="597"/>
      <c r="I155" s="593"/>
      <c r="J155" s="559"/>
      <c r="K155" s="559"/>
      <c r="L155" s="597"/>
      <c r="M155" s="614"/>
      <c r="N155" s="401"/>
    </row>
    <row r="156" spans="1:14" hidden="1">
      <c r="A156" s="401"/>
      <c r="B156" s="604" t="str">
        <f t="shared" si="5"/>
        <v/>
      </c>
      <c r="C156" s="558"/>
      <c r="D156" s="605"/>
      <c r="E156" s="596"/>
      <c r="F156" s="559"/>
      <c r="G156" s="559"/>
      <c r="H156" s="597"/>
      <c r="I156" s="593"/>
      <c r="J156" s="559"/>
      <c r="K156" s="559"/>
      <c r="L156" s="597"/>
      <c r="M156" s="614"/>
      <c r="N156" s="401"/>
    </row>
    <row r="157" spans="1:14" hidden="1">
      <c r="A157" s="401"/>
      <c r="B157" s="604" t="str">
        <f t="shared" si="5"/>
        <v/>
      </c>
      <c r="C157" s="558"/>
      <c r="D157" s="605"/>
      <c r="E157" s="596"/>
      <c r="F157" s="559"/>
      <c r="G157" s="559"/>
      <c r="H157" s="597"/>
      <c r="I157" s="593"/>
      <c r="J157" s="559"/>
      <c r="K157" s="559"/>
      <c r="L157" s="597"/>
      <c r="M157" s="614"/>
      <c r="N157" s="401"/>
    </row>
    <row r="158" spans="1:14" hidden="1">
      <c r="A158" s="401"/>
      <c r="B158" s="604" t="str">
        <f t="shared" si="5"/>
        <v/>
      </c>
      <c r="C158" s="558"/>
      <c r="D158" s="605"/>
      <c r="E158" s="596"/>
      <c r="F158" s="559"/>
      <c r="G158" s="559"/>
      <c r="H158" s="597"/>
      <c r="I158" s="593"/>
      <c r="J158" s="559"/>
      <c r="K158" s="559"/>
      <c r="L158" s="597"/>
      <c r="M158" s="614"/>
      <c r="N158" s="401"/>
    </row>
    <row r="159" spans="1:14" hidden="1">
      <c r="A159" s="401"/>
      <c r="B159" s="604" t="str">
        <f t="shared" si="5"/>
        <v/>
      </c>
      <c r="C159" s="558"/>
      <c r="D159" s="605"/>
      <c r="E159" s="596"/>
      <c r="F159" s="559"/>
      <c r="G159" s="559"/>
      <c r="H159" s="597"/>
      <c r="I159" s="593"/>
      <c r="J159" s="559"/>
      <c r="K159" s="559"/>
      <c r="L159" s="597"/>
      <c r="M159" s="614"/>
      <c r="N159" s="401"/>
    </row>
    <row r="160" spans="1:14" hidden="1">
      <c r="A160" s="401"/>
      <c r="B160" s="604" t="str">
        <f t="shared" si="5"/>
        <v/>
      </c>
      <c r="C160" s="558"/>
      <c r="D160" s="605"/>
      <c r="E160" s="596"/>
      <c r="F160" s="559"/>
      <c r="G160" s="559"/>
      <c r="H160" s="597"/>
      <c r="I160" s="593"/>
      <c r="J160" s="559"/>
      <c r="K160" s="559"/>
      <c r="L160" s="597"/>
      <c r="M160" s="614"/>
      <c r="N160" s="401"/>
    </row>
    <row r="161" spans="1:14" hidden="1">
      <c r="A161" s="401"/>
      <c r="B161" s="604" t="str">
        <f t="shared" si="5"/>
        <v/>
      </c>
      <c r="C161" s="558"/>
      <c r="D161" s="605"/>
      <c r="E161" s="596"/>
      <c r="F161" s="559"/>
      <c r="G161" s="559"/>
      <c r="H161" s="597"/>
      <c r="I161" s="593"/>
      <c r="J161" s="559"/>
      <c r="K161" s="559"/>
      <c r="L161" s="597"/>
      <c r="M161" s="614"/>
      <c r="N161" s="401"/>
    </row>
    <row r="162" spans="1:14" hidden="1">
      <c r="A162" s="401"/>
      <c r="B162" s="604" t="str">
        <f t="shared" si="5"/>
        <v/>
      </c>
      <c r="C162" s="558"/>
      <c r="D162" s="605"/>
      <c r="E162" s="596"/>
      <c r="F162" s="559"/>
      <c r="G162" s="559"/>
      <c r="H162" s="597"/>
      <c r="I162" s="593"/>
      <c r="J162" s="559"/>
      <c r="K162" s="559"/>
      <c r="L162" s="597"/>
      <c r="M162" s="614"/>
      <c r="N162" s="401"/>
    </row>
    <row r="163" spans="1:14" hidden="1">
      <c r="A163" s="401"/>
      <c r="B163" s="604" t="str">
        <f t="shared" si="5"/>
        <v/>
      </c>
      <c r="C163" s="558"/>
      <c r="D163" s="605"/>
      <c r="E163" s="596"/>
      <c r="F163" s="559"/>
      <c r="G163" s="559"/>
      <c r="H163" s="597"/>
      <c r="I163" s="593"/>
      <c r="J163" s="559"/>
      <c r="K163" s="559"/>
      <c r="L163" s="597"/>
      <c r="M163" s="614"/>
      <c r="N163" s="401"/>
    </row>
    <row r="164" spans="1:14" hidden="1">
      <c r="A164" s="401"/>
      <c r="B164" s="604" t="str">
        <f t="shared" si="5"/>
        <v/>
      </c>
      <c r="C164" s="558"/>
      <c r="D164" s="605"/>
      <c r="E164" s="596"/>
      <c r="F164" s="559"/>
      <c r="G164" s="559"/>
      <c r="H164" s="597"/>
      <c r="I164" s="593"/>
      <c r="J164" s="559"/>
      <c r="K164" s="559"/>
      <c r="L164" s="597"/>
      <c r="M164" s="614"/>
      <c r="N164" s="401"/>
    </row>
    <row r="165" spans="1:14" hidden="1">
      <c r="A165" s="401"/>
      <c r="B165" s="604" t="str">
        <f t="shared" si="5"/>
        <v/>
      </c>
      <c r="C165" s="558"/>
      <c r="D165" s="605"/>
      <c r="E165" s="596"/>
      <c r="F165" s="559"/>
      <c r="G165" s="559"/>
      <c r="H165" s="597"/>
      <c r="I165" s="593"/>
      <c r="J165" s="559"/>
      <c r="K165" s="559"/>
      <c r="L165" s="597"/>
      <c r="M165" s="614"/>
      <c r="N165" s="401"/>
    </row>
    <row r="166" spans="1:14" hidden="1">
      <c r="A166" s="401"/>
      <c r="B166" s="604" t="str">
        <f t="shared" si="5"/>
        <v/>
      </c>
      <c r="C166" s="558"/>
      <c r="D166" s="605"/>
      <c r="E166" s="596"/>
      <c r="F166" s="559"/>
      <c r="G166" s="559"/>
      <c r="H166" s="597"/>
      <c r="I166" s="593"/>
      <c r="J166" s="559"/>
      <c r="K166" s="559"/>
      <c r="L166" s="597"/>
      <c r="M166" s="614"/>
      <c r="N166" s="401"/>
    </row>
    <row r="167" spans="1:14" hidden="1">
      <c r="A167" s="401"/>
      <c r="B167" s="604" t="str">
        <f t="shared" si="5"/>
        <v/>
      </c>
      <c r="C167" s="558"/>
      <c r="D167" s="605"/>
      <c r="E167" s="596"/>
      <c r="F167" s="559"/>
      <c r="G167" s="559"/>
      <c r="H167" s="597"/>
      <c r="I167" s="593"/>
      <c r="J167" s="559"/>
      <c r="K167" s="559"/>
      <c r="L167" s="597"/>
      <c r="M167" s="614"/>
      <c r="N167" s="401"/>
    </row>
    <row r="168" spans="1:14" hidden="1">
      <c r="A168" s="401"/>
      <c r="B168" s="604" t="str">
        <f t="shared" si="5"/>
        <v/>
      </c>
      <c r="C168" s="558"/>
      <c r="D168" s="605"/>
      <c r="E168" s="596"/>
      <c r="F168" s="559"/>
      <c r="G168" s="559"/>
      <c r="H168" s="597"/>
      <c r="I168" s="593"/>
      <c r="J168" s="559"/>
      <c r="K168" s="559"/>
      <c r="L168" s="597"/>
      <c r="M168" s="614"/>
      <c r="N168" s="401"/>
    </row>
    <row r="169" spans="1:14" hidden="1">
      <c r="A169" s="401"/>
      <c r="B169" s="604" t="str">
        <f t="shared" si="5"/>
        <v/>
      </c>
      <c r="C169" s="558"/>
      <c r="D169" s="605"/>
      <c r="E169" s="596"/>
      <c r="F169" s="559"/>
      <c r="G169" s="559"/>
      <c r="H169" s="597"/>
      <c r="I169" s="593"/>
      <c r="J169" s="559"/>
      <c r="K169" s="559"/>
      <c r="L169" s="597"/>
      <c r="M169" s="614"/>
      <c r="N169" s="401"/>
    </row>
    <row r="170" spans="1:14" hidden="1">
      <c r="A170" s="401"/>
      <c r="B170" s="604" t="str">
        <f t="shared" si="5"/>
        <v/>
      </c>
      <c r="C170" s="558"/>
      <c r="D170" s="605"/>
      <c r="E170" s="596"/>
      <c r="F170" s="559"/>
      <c r="G170" s="559"/>
      <c r="H170" s="597"/>
      <c r="I170" s="593"/>
      <c r="J170" s="559"/>
      <c r="K170" s="559"/>
      <c r="L170" s="597"/>
      <c r="M170" s="614"/>
      <c r="N170" s="401"/>
    </row>
    <row r="171" spans="1:14" hidden="1">
      <c r="A171" s="401"/>
      <c r="B171" s="604" t="str">
        <f t="shared" si="5"/>
        <v/>
      </c>
      <c r="C171" s="558"/>
      <c r="D171" s="605"/>
      <c r="E171" s="596"/>
      <c r="F171" s="559"/>
      <c r="G171" s="559"/>
      <c r="H171" s="597"/>
      <c r="I171" s="593"/>
      <c r="J171" s="559"/>
      <c r="K171" s="559"/>
      <c r="L171" s="597"/>
      <c r="M171" s="614"/>
      <c r="N171" s="401"/>
    </row>
    <row r="172" spans="1:14" hidden="1">
      <c r="A172" s="401"/>
      <c r="B172" s="604" t="str">
        <f t="shared" si="5"/>
        <v/>
      </c>
      <c r="C172" s="558"/>
      <c r="D172" s="605"/>
      <c r="E172" s="596"/>
      <c r="F172" s="559"/>
      <c r="G172" s="559"/>
      <c r="H172" s="597"/>
      <c r="I172" s="593"/>
      <c r="J172" s="559"/>
      <c r="K172" s="559"/>
      <c r="L172" s="597"/>
      <c r="M172" s="614"/>
      <c r="N172" s="401"/>
    </row>
    <row r="173" spans="1:14" hidden="1">
      <c r="A173" s="401"/>
      <c r="B173" s="604" t="str">
        <f t="shared" si="5"/>
        <v/>
      </c>
      <c r="C173" s="558"/>
      <c r="D173" s="605"/>
      <c r="E173" s="596"/>
      <c r="F173" s="559"/>
      <c r="G173" s="559"/>
      <c r="H173" s="597"/>
      <c r="I173" s="593"/>
      <c r="J173" s="559"/>
      <c r="K173" s="559"/>
      <c r="L173" s="597"/>
      <c r="M173" s="614"/>
      <c r="N173" s="401"/>
    </row>
    <row r="174" spans="1:14" hidden="1">
      <c r="A174" s="401"/>
      <c r="B174" s="604" t="str">
        <f t="shared" si="5"/>
        <v/>
      </c>
      <c r="C174" s="558"/>
      <c r="D174" s="605"/>
      <c r="E174" s="596"/>
      <c r="F174" s="559"/>
      <c r="G174" s="559"/>
      <c r="H174" s="597"/>
      <c r="I174" s="593"/>
      <c r="J174" s="559"/>
      <c r="K174" s="559"/>
      <c r="L174" s="597"/>
      <c r="M174" s="614"/>
      <c r="N174" s="401"/>
    </row>
    <row r="175" spans="1:14" hidden="1">
      <c r="A175" s="401"/>
      <c r="B175" s="604" t="str">
        <f t="shared" si="5"/>
        <v/>
      </c>
      <c r="C175" s="558"/>
      <c r="D175" s="605"/>
      <c r="E175" s="596"/>
      <c r="F175" s="559"/>
      <c r="G175" s="559"/>
      <c r="H175" s="597"/>
      <c r="I175" s="593"/>
      <c r="J175" s="559"/>
      <c r="K175" s="559"/>
      <c r="L175" s="597"/>
      <c r="M175" s="614"/>
      <c r="N175" s="401"/>
    </row>
    <row r="176" spans="1:14" hidden="1">
      <c r="A176" s="401"/>
      <c r="B176" s="604" t="str">
        <f t="shared" si="5"/>
        <v/>
      </c>
      <c r="C176" s="558"/>
      <c r="D176" s="605"/>
      <c r="E176" s="596"/>
      <c r="F176" s="559"/>
      <c r="G176" s="559"/>
      <c r="H176" s="597"/>
      <c r="I176" s="593"/>
      <c r="J176" s="559"/>
      <c r="K176" s="559"/>
      <c r="L176" s="597"/>
      <c r="M176" s="614"/>
      <c r="N176" s="401"/>
    </row>
    <row r="177" spans="1:14" hidden="1">
      <c r="A177" s="401"/>
      <c r="B177" s="604" t="str">
        <f t="shared" si="5"/>
        <v/>
      </c>
      <c r="C177" s="558"/>
      <c r="D177" s="605"/>
      <c r="E177" s="596"/>
      <c r="F177" s="559"/>
      <c r="G177" s="559"/>
      <c r="H177" s="597"/>
      <c r="I177" s="593"/>
      <c r="J177" s="559"/>
      <c r="K177" s="559"/>
      <c r="L177" s="597"/>
      <c r="M177" s="614"/>
      <c r="N177" s="401"/>
    </row>
    <row r="178" spans="1:14" hidden="1">
      <c r="A178" s="401"/>
      <c r="B178" s="604" t="str">
        <f t="shared" si="5"/>
        <v/>
      </c>
      <c r="C178" s="558"/>
      <c r="D178" s="605"/>
      <c r="E178" s="596"/>
      <c r="F178" s="559"/>
      <c r="G178" s="559"/>
      <c r="H178" s="597"/>
      <c r="I178" s="593"/>
      <c r="J178" s="559"/>
      <c r="K178" s="559"/>
      <c r="L178" s="597"/>
      <c r="M178" s="614"/>
      <c r="N178" s="401"/>
    </row>
    <row r="179" spans="1:14" hidden="1">
      <c r="A179" s="401"/>
      <c r="B179" s="604" t="str">
        <f t="shared" si="5"/>
        <v/>
      </c>
      <c r="C179" s="558"/>
      <c r="D179" s="605"/>
      <c r="E179" s="596"/>
      <c r="F179" s="559"/>
      <c r="G179" s="559"/>
      <c r="H179" s="597"/>
      <c r="I179" s="593"/>
      <c r="J179" s="559"/>
      <c r="K179" s="559"/>
      <c r="L179" s="597"/>
      <c r="M179" s="614"/>
      <c r="N179" s="401"/>
    </row>
    <row r="180" spans="1:14" hidden="1">
      <c r="A180" s="401"/>
      <c r="B180" s="604" t="str">
        <f t="shared" si="5"/>
        <v/>
      </c>
      <c r="C180" s="558"/>
      <c r="D180" s="605"/>
      <c r="E180" s="596"/>
      <c r="F180" s="559"/>
      <c r="G180" s="559"/>
      <c r="H180" s="597"/>
      <c r="I180" s="593"/>
      <c r="J180" s="559"/>
      <c r="K180" s="559"/>
      <c r="L180" s="597"/>
      <c r="M180" s="614"/>
      <c r="N180" s="401"/>
    </row>
    <row r="181" spans="1:14" hidden="1">
      <c r="A181" s="401"/>
      <c r="B181" s="604" t="str">
        <f t="shared" si="5"/>
        <v/>
      </c>
      <c r="C181" s="558"/>
      <c r="D181" s="605"/>
      <c r="E181" s="596"/>
      <c r="F181" s="559"/>
      <c r="G181" s="559"/>
      <c r="H181" s="597"/>
      <c r="I181" s="593"/>
      <c r="J181" s="559"/>
      <c r="K181" s="559"/>
      <c r="L181" s="597"/>
      <c r="M181" s="614"/>
      <c r="N181" s="401"/>
    </row>
    <row r="182" spans="1:14" hidden="1">
      <c r="A182" s="401"/>
      <c r="B182" s="604" t="str">
        <f t="shared" si="5"/>
        <v/>
      </c>
      <c r="C182" s="558"/>
      <c r="D182" s="605"/>
      <c r="E182" s="596"/>
      <c r="F182" s="559"/>
      <c r="G182" s="559"/>
      <c r="H182" s="597"/>
      <c r="I182" s="593"/>
      <c r="J182" s="559"/>
      <c r="K182" s="559"/>
      <c r="L182" s="597"/>
      <c r="M182" s="614"/>
      <c r="N182" s="401"/>
    </row>
    <row r="183" spans="1:14" hidden="1">
      <c r="A183" s="401"/>
      <c r="B183" s="604" t="str">
        <f t="shared" si="5"/>
        <v/>
      </c>
      <c r="C183" s="558"/>
      <c r="D183" s="605"/>
      <c r="E183" s="596"/>
      <c r="F183" s="559"/>
      <c r="G183" s="559"/>
      <c r="H183" s="597"/>
      <c r="I183" s="593"/>
      <c r="J183" s="559"/>
      <c r="K183" s="559"/>
      <c r="L183" s="597"/>
      <c r="M183" s="614"/>
      <c r="N183" s="401"/>
    </row>
    <row r="184" spans="1:14" hidden="1">
      <c r="A184" s="401"/>
      <c r="B184" s="604" t="str">
        <f t="shared" si="5"/>
        <v/>
      </c>
      <c r="C184" s="558"/>
      <c r="D184" s="605"/>
      <c r="E184" s="596"/>
      <c r="F184" s="559"/>
      <c r="G184" s="559"/>
      <c r="H184" s="597"/>
      <c r="I184" s="593"/>
      <c r="J184" s="559"/>
      <c r="K184" s="559"/>
      <c r="L184" s="597"/>
      <c r="M184" s="614"/>
      <c r="N184" s="401"/>
    </row>
    <row r="185" spans="1:14" hidden="1">
      <c r="A185" s="401"/>
      <c r="B185" s="604" t="str">
        <f t="shared" si="5"/>
        <v/>
      </c>
      <c r="C185" s="558"/>
      <c r="D185" s="605"/>
      <c r="E185" s="596"/>
      <c r="F185" s="559"/>
      <c r="G185" s="559"/>
      <c r="H185" s="597"/>
      <c r="I185" s="593"/>
      <c r="J185" s="559"/>
      <c r="K185" s="559"/>
      <c r="L185" s="597"/>
      <c r="M185" s="614"/>
      <c r="N185" s="401"/>
    </row>
    <row r="186" spans="1:14" hidden="1">
      <c r="A186" s="401"/>
      <c r="B186" s="604" t="str">
        <f t="shared" si="5"/>
        <v/>
      </c>
      <c r="C186" s="558"/>
      <c r="D186" s="605"/>
      <c r="E186" s="596"/>
      <c r="F186" s="559"/>
      <c r="G186" s="559"/>
      <c r="H186" s="597"/>
      <c r="I186" s="593"/>
      <c r="J186" s="559"/>
      <c r="K186" s="559"/>
      <c r="L186" s="597"/>
      <c r="M186" s="614"/>
      <c r="N186" s="401"/>
    </row>
    <row r="187" spans="1:14" hidden="1">
      <c r="A187" s="401"/>
      <c r="B187" s="604" t="str">
        <f t="shared" si="5"/>
        <v/>
      </c>
      <c r="C187" s="558"/>
      <c r="D187" s="605"/>
      <c r="E187" s="596"/>
      <c r="F187" s="559"/>
      <c r="G187" s="559"/>
      <c r="H187" s="597"/>
      <c r="I187" s="593"/>
      <c r="J187" s="559"/>
      <c r="K187" s="559"/>
      <c r="L187" s="597"/>
      <c r="M187" s="614"/>
      <c r="N187" s="401"/>
    </row>
    <row r="188" spans="1:14" hidden="1">
      <c r="A188" s="401"/>
      <c r="B188" s="604" t="str">
        <f t="shared" si="5"/>
        <v/>
      </c>
      <c r="C188" s="558"/>
      <c r="D188" s="605"/>
      <c r="E188" s="596"/>
      <c r="F188" s="559"/>
      <c r="G188" s="559"/>
      <c r="H188" s="597"/>
      <c r="I188" s="593"/>
      <c r="J188" s="559"/>
      <c r="K188" s="559"/>
      <c r="L188" s="597"/>
      <c r="M188" s="614"/>
      <c r="N188" s="401"/>
    </row>
    <row r="189" spans="1:14" hidden="1">
      <c r="A189" s="401"/>
      <c r="B189" s="604" t="str">
        <f t="shared" si="5"/>
        <v/>
      </c>
      <c r="C189" s="558"/>
      <c r="D189" s="605"/>
      <c r="E189" s="596"/>
      <c r="F189" s="559"/>
      <c r="G189" s="559"/>
      <c r="H189" s="597"/>
      <c r="I189" s="593"/>
      <c r="J189" s="559"/>
      <c r="K189" s="559"/>
      <c r="L189" s="597"/>
      <c r="M189" s="614"/>
      <c r="N189" s="401"/>
    </row>
    <row r="190" spans="1:14" hidden="1">
      <c r="A190" s="401"/>
      <c r="B190" s="604" t="str">
        <f t="shared" si="5"/>
        <v/>
      </c>
      <c r="C190" s="558"/>
      <c r="D190" s="605"/>
      <c r="E190" s="596"/>
      <c r="F190" s="559"/>
      <c r="G190" s="559"/>
      <c r="H190" s="597"/>
      <c r="I190" s="593"/>
      <c r="J190" s="559"/>
      <c r="K190" s="559"/>
      <c r="L190" s="597"/>
      <c r="M190" s="614"/>
      <c r="N190" s="401"/>
    </row>
    <row r="191" spans="1:14" hidden="1">
      <c r="A191" s="401"/>
      <c r="B191" s="604" t="str">
        <f t="shared" si="5"/>
        <v/>
      </c>
      <c r="C191" s="558"/>
      <c r="D191" s="605"/>
      <c r="E191" s="596"/>
      <c r="F191" s="559"/>
      <c r="G191" s="559"/>
      <c r="H191" s="597"/>
      <c r="I191" s="593"/>
      <c r="J191" s="559"/>
      <c r="K191" s="559"/>
      <c r="L191" s="597"/>
      <c r="M191" s="614"/>
      <c r="N191" s="401"/>
    </row>
    <row r="192" spans="1:14" hidden="1">
      <c r="A192" s="401"/>
      <c r="B192" s="604" t="str">
        <f t="shared" si="5"/>
        <v/>
      </c>
      <c r="C192" s="558"/>
      <c r="D192" s="605"/>
      <c r="E192" s="596"/>
      <c r="F192" s="559"/>
      <c r="G192" s="559"/>
      <c r="H192" s="597"/>
      <c r="I192" s="593"/>
      <c r="J192" s="559"/>
      <c r="K192" s="559"/>
      <c r="L192" s="597"/>
      <c r="M192" s="614"/>
      <c r="N192" s="401"/>
    </row>
    <row r="193" spans="1:14" hidden="1">
      <c r="A193" s="401"/>
      <c r="B193" s="604" t="str">
        <f t="shared" si="5"/>
        <v/>
      </c>
      <c r="C193" s="558"/>
      <c r="D193" s="605"/>
      <c r="E193" s="596"/>
      <c r="F193" s="559"/>
      <c r="G193" s="559"/>
      <c r="H193" s="597"/>
      <c r="I193" s="593"/>
      <c r="J193" s="559"/>
      <c r="K193" s="559"/>
      <c r="L193" s="597"/>
      <c r="M193" s="614"/>
      <c r="N193" s="401"/>
    </row>
    <row r="194" spans="1:14" hidden="1">
      <c r="A194" s="401"/>
      <c r="B194" s="604" t="str">
        <f t="shared" si="5"/>
        <v/>
      </c>
      <c r="C194" s="558"/>
      <c r="D194" s="605"/>
      <c r="E194" s="596"/>
      <c r="F194" s="559"/>
      <c r="G194" s="559"/>
      <c r="H194" s="597"/>
      <c r="I194" s="593"/>
      <c r="J194" s="559"/>
      <c r="K194" s="559"/>
      <c r="L194" s="597"/>
      <c r="M194" s="614"/>
      <c r="N194" s="401"/>
    </row>
    <row r="195" spans="1:14" hidden="1">
      <c r="A195" s="401"/>
      <c r="B195" s="604" t="str">
        <f t="shared" si="5"/>
        <v/>
      </c>
      <c r="C195" s="558"/>
      <c r="D195" s="605"/>
      <c r="E195" s="596"/>
      <c r="F195" s="559"/>
      <c r="G195" s="559"/>
      <c r="H195" s="597"/>
      <c r="I195" s="593"/>
      <c r="J195" s="559"/>
      <c r="K195" s="559"/>
      <c r="L195" s="597"/>
      <c r="M195" s="614"/>
      <c r="N195" s="401"/>
    </row>
    <row r="196" spans="1:14" hidden="1">
      <c r="A196" s="401"/>
      <c r="B196" s="604" t="str">
        <f t="shared" si="5"/>
        <v/>
      </c>
      <c r="C196" s="558"/>
      <c r="D196" s="605"/>
      <c r="E196" s="596"/>
      <c r="F196" s="559"/>
      <c r="G196" s="559"/>
      <c r="H196" s="597"/>
      <c r="I196" s="593"/>
      <c r="J196" s="559"/>
      <c r="K196" s="559"/>
      <c r="L196" s="597"/>
      <c r="M196" s="614"/>
      <c r="N196" s="401"/>
    </row>
    <row r="197" spans="1:14" hidden="1">
      <c r="A197" s="401"/>
      <c r="B197" s="604" t="str">
        <f t="shared" si="5"/>
        <v/>
      </c>
      <c r="C197" s="558"/>
      <c r="D197" s="605"/>
      <c r="E197" s="596"/>
      <c r="F197" s="559"/>
      <c r="G197" s="559"/>
      <c r="H197" s="597"/>
      <c r="I197" s="593"/>
      <c r="J197" s="559"/>
      <c r="K197" s="559"/>
      <c r="L197" s="597"/>
      <c r="M197" s="614"/>
      <c r="N197" s="401"/>
    </row>
    <row r="198" spans="1:14" hidden="1">
      <c r="A198" s="401"/>
      <c r="B198" s="604" t="str">
        <f t="shared" si="5"/>
        <v/>
      </c>
      <c r="C198" s="558"/>
      <c r="D198" s="605"/>
      <c r="E198" s="596"/>
      <c r="F198" s="559"/>
      <c r="G198" s="559"/>
      <c r="H198" s="597"/>
      <c r="I198" s="593"/>
      <c r="J198" s="559"/>
      <c r="K198" s="559"/>
      <c r="L198" s="597"/>
      <c r="M198" s="614"/>
      <c r="N198" s="401"/>
    </row>
    <row r="199" spans="1:14" hidden="1">
      <c r="A199" s="401"/>
      <c r="B199" s="604" t="str">
        <f t="shared" si="5"/>
        <v/>
      </c>
      <c r="C199" s="558"/>
      <c r="D199" s="605"/>
      <c r="E199" s="596"/>
      <c r="F199" s="559"/>
      <c r="G199" s="559"/>
      <c r="H199" s="597"/>
      <c r="I199" s="593"/>
      <c r="J199" s="559"/>
      <c r="K199" s="559"/>
      <c r="L199" s="597"/>
      <c r="M199" s="614"/>
      <c r="N199" s="401"/>
    </row>
    <row r="200" spans="1:14" hidden="1">
      <c r="A200" s="401"/>
      <c r="B200" s="604" t="str">
        <f t="shared" si="5"/>
        <v/>
      </c>
      <c r="C200" s="558"/>
      <c r="D200" s="605"/>
      <c r="E200" s="596"/>
      <c r="F200" s="559"/>
      <c r="G200" s="559"/>
      <c r="H200" s="597"/>
      <c r="I200" s="593"/>
      <c r="J200" s="559"/>
      <c r="K200" s="559"/>
      <c r="L200" s="597"/>
      <c r="M200" s="614"/>
      <c r="N200" s="401"/>
    </row>
    <row r="201" spans="1:14" hidden="1">
      <c r="A201" s="401"/>
      <c r="B201" s="604" t="str">
        <f t="shared" si="5"/>
        <v/>
      </c>
      <c r="C201" s="558"/>
      <c r="D201" s="605"/>
      <c r="E201" s="596"/>
      <c r="F201" s="559"/>
      <c r="G201" s="559"/>
      <c r="H201" s="597"/>
      <c r="I201" s="593"/>
      <c r="J201" s="559"/>
      <c r="K201" s="559"/>
      <c r="L201" s="597"/>
      <c r="M201" s="614"/>
      <c r="N201" s="401"/>
    </row>
    <row r="202" spans="1:14" hidden="1">
      <c r="A202" s="401"/>
      <c r="B202" s="604" t="str">
        <f t="shared" ref="B202:B205" si="6">IF(C202="","",B201+1)</f>
        <v/>
      </c>
      <c r="C202" s="558"/>
      <c r="D202" s="605"/>
      <c r="E202" s="596"/>
      <c r="F202" s="559"/>
      <c r="G202" s="559"/>
      <c r="H202" s="597"/>
      <c r="I202" s="593"/>
      <c r="J202" s="559"/>
      <c r="K202" s="559"/>
      <c r="L202" s="597"/>
      <c r="M202" s="614"/>
      <c r="N202" s="401"/>
    </row>
    <row r="203" spans="1:14" hidden="1">
      <c r="A203" s="401"/>
      <c r="B203" s="604" t="str">
        <f t="shared" si="6"/>
        <v/>
      </c>
      <c r="C203" s="558"/>
      <c r="D203" s="605"/>
      <c r="E203" s="596"/>
      <c r="F203" s="559"/>
      <c r="G203" s="559"/>
      <c r="H203" s="597"/>
      <c r="I203" s="593"/>
      <c r="J203" s="559"/>
      <c r="K203" s="559"/>
      <c r="L203" s="597"/>
      <c r="M203" s="614"/>
      <c r="N203" s="401"/>
    </row>
    <row r="204" spans="1:14" hidden="1">
      <c r="A204" s="401"/>
      <c r="B204" s="604" t="str">
        <f t="shared" si="6"/>
        <v/>
      </c>
      <c r="C204" s="558"/>
      <c r="D204" s="605"/>
      <c r="E204" s="596"/>
      <c r="F204" s="559"/>
      <c r="G204" s="559"/>
      <c r="H204" s="597"/>
      <c r="I204" s="593"/>
      <c r="J204" s="559"/>
      <c r="K204" s="559"/>
      <c r="L204" s="597"/>
      <c r="M204" s="614"/>
      <c r="N204" s="401"/>
    </row>
    <row r="205" spans="1:14" ht="13.5" hidden="1" thickBot="1">
      <c r="A205" s="401"/>
      <c r="B205" s="606" t="str">
        <f t="shared" si="6"/>
        <v/>
      </c>
      <c r="C205" s="607"/>
      <c r="D205" s="608"/>
      <c r="E205" s="598"/>
      <c r="F205" s="599"/>
      <c r="G205" s="599"/>
      <c r="H205" s="600"/>
      <c r="I205" s="603"/>
      <c r="J205" s="599"/>
      <c r="K205" s="599"/>
      <c r="L205" s="600"/>
      <c r="M205" s="615"/>
      <c r="N205" s="401"/>
    </row>
    <row r="206" spans="1:14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  <c r="K206" s="401"/>
      <c r="L206" s="401"/>
      <c r="M206" s="401"/>
      <c r="N206" s="401"/>
    </row>
  </sheetData>
  <mergeCells count="6">
    <mergeCell ref="B1:M1"/>
    <mergeCell ref="B2:M2"/>
    <mergeCell ref="B3:M3"/>
    <mergeCell ref="B5:D5"/>
    <mergeCell ref="E6:H6"/>
    <mergeCell ref="I6:L6"/>
  </mergeCells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O206"/>
  <sheetViews>
    <sheetView showRowColHeaders="0" zoomScale="90" zoomScaleNormal="90" workbookViewId="0">
      <selection activeCell="N12" sqref="N12"/>
    </sheetView>
  </sheetViews>
  <sheetFormatPr defaultColWidth="0" defaultRowHeight="12.75" customHeight="1" zeroHeight="1"/>
  <cols>
    <col min="1" max="1" width="8.140625" customWidth="1"/>
    <col min="2" max="3" width="7.5703125" customWidth="1"/>
    <col min="4" max="4" width="50.7109375" customWidth="1"/>
    <col min="5" max="8" width="12.85546875" customWidth="1"/>
    <col min="9" max="9" width="13.85546875" customWidth="1"/>
    <col min="10" max="14" width="12.85546875" customWidth="1"/>
    <col min="15" max="15" width="9.140625" customWidth="1"/>
    <col min="16" max="16384" width="9.140625" hidden="1"/>
  </cols>
  <sheetData>
    <row r="1" spans="1:15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1189"/>
      <c r="K1" s="1189"/>
      <c r="L1" s="1189"/>
      <c r="M1" s="1189"/>
      <c r="N1" s="1189"/>
      <c r="O1" s="401"/>
    </row>
    <row r="2" spans="1:15" ht="20.25">
      <c r="A2" s="401"/>
      <c r="B2" s="1190" t="s">
        <v>556</v>
      </c>
      <c r="C2" s="1190"/>
      <c r="D2" s="1190"/>
      <c r="E2" s="1190"/>
      <c r="F2" s="1190"/>
      <c r="G2" s="1190"/>
      <c r="H2" s="1190"/>
      <c r="I2" s="1190"/>
      <c r="J2" s="1190"/>
      <c r="K2" s="1190"/>
      <c r="L2" s="1190"/>
      <c r="M2" s="1190"/>
      <c r="N2" s="1190"/>
      <c r="O2" s="401"/>
    </row>
    <row r="3" spans="1:15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1191"/>
      <c r="K3" s="1191"/>
      <c r="L3" s="1191"/>
      <c r="M3" s="1191"/>
      <c r="N3" s="1191"/>
      <c r="O3" s="401"/>
    </row>
    <row r="4" spans="1:15">
      <c r="A4" s="401"/>
      <c r="B4" s="392"/>
      <c r="C4" s="557"/>
      <c r="D4" s="452"/>
      <c r="E4" s="578" t="s">
        <v>410</v>
      </c>
      <c r="F4" s="579" t="s">
        <v>8</v>
      </c>
      <c r="G4" s="579" t="s">
        <v>570</v>
      </c>
      <c r="H4" s="579" t="s">
        <v>411</v>
      </c>
      <c r="I4" s="580" t="s">
        <v>11</v>
      </c>
      <c r="J4" s="589" t="s">
        <v>410</v>
      </c>
      <c r="K4" s="579" t="s">
        <v>8</v>
      </c>
      <c r="L4" s="579" t="s">
        <v>411</v>
      </c>
      <c r="M4" s="580" t="s">
        <v>553</v>
      </c>
      <c r="N4" s="609" t="s">
        <v>412</v>
      </c>
      <c r="O4" s="401"/>
    </row>
    <row r="5" spans="1:15" ht="13.5" thickBot="1">
      <c r="A5" s="401"/>
      <c r="B5" s="1192" t="s">
        <v>69</v>
      </c>
      <c r="C5" s="1192"/>
      <c r="D5" s="1192"/>
      <c r="E5" s="581">
        <f t="shared" ref="E5:N5" si="0">SUM(E8:E205)</f>
        <v>113008.59</v>
      </c>
      <c r="F5" s="582">
        <f t="shared" si="0"/>
        <v>167632</v>
      </c>
      <c r="G5" s="582">
        <f t="shared" si="0"/>
        <v>0</v>
      </c>
      <c r="H5" s="582">
        <f t="shared" si="0"/>
        <v>0</v>
      </c>
      <c r="I5" s="583">
        <f t="shared" si="0"/>
        <v>280640.58999999997</v>
      </c>
      <c r="J5" s="590">
        <f t="shared" si="0"/>
        <v>36793</v>
      </c>
      <c r="K5" s="582">
        <f t="shared" si="0"/>
        <v>0</v>
      </c>
      <c r="L5" s="582">
        <f t="shared" si="0"/>
        <v>0</v>
      </c>
      <c r="M5" s="583">
        <f t="shared" si="0"/>
        <v>36793</v>
      </c>
      <c r="N5" s="610">
        <f t="shared" si="0"/>
        <v>0</v>
      </c>
      <c r="O5" s="401"/>
    </row>
    <row r="6" spans="1:15" ht="13.5" thickBot="1">
      <c r="A6" s="401"/>
      <c r="B6" s="392"/>
      <c r="C6" s="392"/>
      <c r="D6" s="392"/>
      <c r="E6" s="1193" t="s">
        <v>41</v>
      </c>
      <c r="F6" s="1194"/>
      <c r="G6" s="1194"/>
      <c r="H6" s="1194"/>
      <c r="I6" s="1195"/>
      <c r="J6" s="1196" t="s">
        <v>42</v>
      </c>
      <c r="K6" s="1197"/>
      <c r="L6" s="1197"/>
      <c r="M6" s="1198"/>
      <c r="N6" s="611"/>
      <c r="O6" s="401"/>
    </row>
    <row r="7" spans="1:15" ht="13.5" thickBot="1">
      <c r="A7" s="401"/>
      <c r="B7" s="586" t="s">
        <v>326</v>
      </c>
      <c r="C7" s="587" t="s">
        <v>224</v>
      </c>
      <c r="D7" s="588" t="s">
        <v>413</v>
      </c>
      <c r="E7" s="586" t="s">
        <v>410</v>
      </c>
      <c r="F7" s="587" t="s">
        <v>8</v>
      </c>
      <c r="G7" s="587" t="s">
        <v>570</v>
      </c>
      <c r="H7" s="587" t="s">
        <v>411</v>
      </c>
      <c r="I7" s="588" t="s">
        <v>552</v>
      </c>
      <c r="J7" s="591" t="s">
        <v>410</v>
      </c>
      <c r="K7" s="587" t="s">
        <v>8</v>
      </c>
      <c r="L7" s="587" t="s">
        <v>411</v>
      </c>
      <c r="M7" s="588" t="s">
        <v>553</v>
      </c>
      <c r="N7" s="612" t="s">
        <v>412</v>
      </c>
      <c r="O7" s="401"/>
    </row>
    <row r="8" spans="1:15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2">
        <f>[1]MOD_2!$C$15</f>
        <v>25968.79</v>
      </c>
      <c r="F8" s="643">
        <f>[1]MOD_2!$G$15</f>
        <v>17101</v>
      </c>
      <c r="G8" s="643">
        <f>[1]MOD_2!$J$15</f>
        <v>0</v>
      </c>
      <c r="H8" s="643">
        <f>[1]MOD_2!$P$15</f>
        <v>0</v>
      </c>
      <c r="I8" s="644">
        <f>(E8+F8+G8)-H8</f>
        <v>43069.79</v>
      </c>
      <c r="J8" s="645">
        <f>[1]MOD_2!$C$16</f>
        <v>2280</v>
      </c>
      <c r="K8" s="643">
        <f>[1]MOD_2!$G$16</f>
        <v>0</v>
      </c>
      <c r="L8" s="643">
        <f>[1]MOD_2!$P$16</f>
        <v>0</v>
      </c>
      <c r="M8" s="644">
        <f>(J8+K8)-L8</f>
        <v>2280</v>
      </c>
      <c r="N8" s="646">
        <f>[1]MENU!$V$83</f>
        <v>0</v>
      </c>
      <c r="O8" s="401"/>
    </row>
    <row r="9" spans="1:15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6">
        <f>[2]MOD_2!$C$15</f>
        <v>25013.61</v>
      </c>
      <c r="F9" s="559">
        <f>[2]MOD_2!$G$15</f>
        <v>43356</v>
      </c>
      <c r="G9" s="559">
        <f>[2]MOD_2!$J$15</f>
        <v>0</v>
      </c>
      <c r="H9" s="559">
        <f>[2]MOD_2!$P$15</f>
        <v>0</v>
      </c>
      <c r="I9" s="597">
        <f t="shared" ref="I9:I12" si="1">(E9+F9+G9)-H9</f>
        <v>68369.61</v>
      </c>
      <c r="J9" s="593">
        <f>[2]MOD_2!$C$16</f>
        <v>11560</v>
      </c>
      <c r="K9" s="559">
        <f>[2]MOD_2!$G$16</f>
        <v>0</v>
      </c>
      <c r="L9" s="559">
        <f>[2]MOD_2!$P$16</f>
        <v>0</v>
      </c>
      <c r="M9" s="597">
        <f t="shared" ref="M9:M12" si="2">(J9+K9)-L9</f>
        <v>11560</v>
      </c>
      <c r="N9" s="614">
        <f>[2]MENU!$V$83</f>
        <v>0</v>
      </c>
      <c r="O9" s="401"/>
    </row>
    <row r="10" spans="1:15">
      <c r="A10" s="401"/>
      <c r="B10" s="604">
        <f t="shared" ref="B10:B73" si="3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6">
        <f>[3]MOD_2!$C$15</f>
        <v>14070.4</v>
      </c>
      <c r="F10" s="559">
        <f>[3]MOD_2!$G$15</f>
        <v>37476</v>
      </c>
      <c r="G10" s="559">
        <f>[3]MOD_2!$J$15</f>
        <v>0</v>
      </c>
      <c r="H10" s="559">
        <f>[3]MOD_2!$P$15</f>
        <v>0</v>
      </c>
      <c r="I10" s="597">
        <f t="shared" si="1"/>
        <v>51546.400000000001</v>
      </c>
      <c r="J10" s="593">
        <f>[3]MOD_2!$C$16</f>
        <v>2500</v>
      </c>
      <c r="K10" s="559">
        <f>[3]MOD_2!$G$16</f>
        <v>0</v>
      </c>
      <c r="L10" s="559">
        <f>[3]MOD_2!$P$16</f>
        <v>0</v>
      </c>
      <c r="M10" s="597">
        <f t="shared" si="2"/>
        <v>2500</v>
      </c>
      <c r="N10" s="614">
        <f>[3]MENU!$V$83</f>
        <v>0</v>
      </c>
      <c r="O10" s="401"/>
    </row>
    <row r="11" spans="1:15">
      <c r="A11" s="401"/>
      <c r="B11" s="604">
        <f t="shared" si="3"/>
        <v>4</v>
      </c>
      <c r="C11" s="558">
        <f>[4]Dados!$E$3</f>
        <v>19490</v>
      </c>
      <c r="D11" s="605" t="str">
        <f>[4]Dados!$E$69</f>
        <v>EMEI - CAMPO LIMPO VI</v>
      </c>
      <c r="E11" s="596">
        <f>[4]MOD_2!$C$15</f>
        <v>29977.59</v>
      </c>
      <c r="F11" s="559">
        <f>[4]MOD_2!$G$15</f>
        <v>28031</v>
      </c>
      <c r="G11" s="559">
        <f>[4]MOD_2!$J$15</f>
        <v>0</v>
      </c>
      <c r="H11" s="559">
        <f>[4]MOD_2!$P$15</f>
        <v>0</v>
      </c>
      <c r="I11" s="597">
        <f t="shared" si="1"/>
        <v>58008.59</v>
      </c>
      <c r="J11" s="593">
        <f>[4]MOD_2!$C$16</f>
        <v>9343</v>
      </c>
      <c r="K11" s="559">
        <f>[4]MOD_2!$G$16</f>
        <v>0</v>
      </c>
      <c r="L11" s="559">
        <f>[4]MOD_2!$P$16</f>
        <v>0</v>
      </c>
      <c r="M11" s="597">
        <f t="shared" si="2"/>
        <v>9343</v>
      </c>
      <c r="N11" s="614">
        <f>[4]MENU!$V$83</f>
        <v>0</v>
      </c>
      <c r="O11" s="401"/>
    </row>
    <row r="12" spans="1:15" ht="13.5" thickBot="1">
      <c r="A12" s="401"/>
      <c r="B12" s="606">
        <f t="shared" si="3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598">
        <f>[5]MOD_2!$C$15</f>
        <v>17978.2</v>
      </c>
      <c r="F12" s="599">
        <f>[5]MOD_2!$G$15</f>
        <v>41668</v>
      </c>
      <c r="G12" s="599">
        <f>[5]MOD_2!$J$15</f>
        <v>0</v>
      </c>
      <c r="H12" s="599">
        <f>[5]MOD_2!$P$15</f>
        <v>0</v>
      </c>
      <c r="I12" s="600">
        <f t="shared" si="1"/>
        <v>59646.2</v>
      </c>
      <c r="J12" s="603">
        <f>[5]MOD_2!$C$16</f>
        <v>11110</v>
      </c>
      <c r="K12" s="599">
        <f>[5]MOD_2!$G$16</f>
        <v>0</v>
      </c>
      <c r="L12" s="599">
        <f>[5]MOD_2!$P$16</f>
        <v>0</v>
      </c>
      <c r="M12" s="600">
        <f t="shared" si="2"/>
        <v>11110</v>
      </c>
      <c r="N12" s="615">
        <f>[5]MENU!$V$83</f>
        <v>0</v>
      </c>
      <c r="O12" s="401"/>
    </row>
    <row r="13" spans="1:15" hidden="1">
      <c r="A13" s="401"/>
      <c r="B13" s="639" t="str">
        <f t="shared" si="3"/>
        <v/>
      </c>
      <c r="C13" s="640"/>
      <c r="D13" s="641"/>
      <c r="E13" s="594"/>
      <c r="F13" s="584"/>
      <c r="G13" s="584"/>
      <c r="H13" s="584"/>
      <c r="I13" s="595"/>
      <c r="J13" s="592"/>
      <c r="K13" s="584"/>
      <c r="L13" s="584"/>
      <c r="M13" s="595"/>
      <c r="N13" s="613"/>
      <c r="O13" s="401"/>
    </row>
    <row r="14" spans="1:15" hidden="1">
      <c r="A14" s="401"/>
      <c r="B14" s="604" t="str">
        <f t="shared" si="3"/>
        <v/>
      </c>
      <c r="C14" s="558"/>
      <c r="D14" s="605"/>
      <c r="E14" s="596"/>
      <c r="F14" s="559"/>
      <c r="G14" s="559"/>
      <c r="H14" s="559"/>
      <c r="I14" s="597"/>
      <c r="J14" s="593"/>
      <c r="K14" s="559"/>
      <c r="L14" s="559"/>
      <c r="M14" s="597"/>
      <c r="N14" s="614"/>
      <c r="O14" s="401"/>
    </row>
    <row r="15" spans="1:15" hidden="1">
      <c r="A15" s="401"/>
      <c r="B15" s="604" t="str">
        <f t="shared" si="3"/>
        <v/>
      </c>
      <c r="C15" s="558"/>
      <c r="D15" s="605"/>
      <c r="E15" s="596"/>
      <c r="F15" s="559"/>
      <c r="G15" s="559"/>
      <c r="H15" s="559"/>
      <c r="I15" s="597"/>
      <c r="J15" s="593"/>
      <c r="K15" s="559"/>
      <c r="L15" s="559"/>
      <c r="M15" s="597"/>
      <c r="N15" s="614"/>
      <c r="O15" s="401"/>
    </row>
    <row r="16" spans="1:15" hidden="1">
      <c r="A16" s="401"/>
      <c r="B16" s="604" t="str">
        <f t="shared" si="3"/>
        <v/>
      </c>
      <c r="C16" s="558"/>
      <c r="D16" s="605"/>
      <c r="E16" s="596"/>
      <c r="F16" s="559"/>
      <c r="G16" s="559"/>
      <c r="H16" s="559"/>
      <c r="I16" s="597"/>
      <c r="J16" s="593"/>
      <c r="K16" s="559"/>
      <c r="L16" s="559"/>
      <c r="M16" s="597"/>
      <c r="N16" s="614"/>
      <c r="O16" s="401"/>
    </row>
    <row r="17" spans="1:15" hidden="1">
      <c r="A17" s="401"/>
      <c r="B17" s="604" t="str">
        <f t="shared" si="3"/>
        <v/>
      </c>
      <c r="C17" s="558"/>
      <c r="D17" s="605"/>
      <c r="E17" s="596"/>
      <c r="F17" s="559"/>
      <c r="G17" s="559"/>
      <c r="H17" s="559"/>
      <c r="I17" s="597"/>
      <c r="J17" s="593"/>
      <c r="K17" s="559"/>
      <c r="L17" s="559"/>
      <c r="M17" s="597"/>
      <c r="N17" s="614"/>
      <c r="O17" s="401"/>
    </row>
    <row r="18" spans="1:15" hidden="1">
      <c r="A18" s="401"/>
      <c r="B18" s="604" t="str">
        <f t="shared" si="3"/>
        <v/>
      </c>
      <c r="C18" s="558"/>
      <c r="D18" s="605"/>
      <c r="E18" s="596"/>
      <c r="F18" s="559"/>
      <c r="G18" s="559"/>
      <c r="H18" s="559"/>
      <c r="I18" s="597"/>
      <c r="J18" s="593"/>
      <c r="K18" s="559"/>
      <c r="L18" s="559"/>
      <c r="M18" s="597"/>
      <c r="N18" s="614"/>
      <c r="O18" s="401"/>
    </row>
    <row r="19" spans="1:15" hidden="1">
      <c r="A19" s="401"/>
      <c r="B19" s="604" t="str">
        <f t="shared" si="3"/>
        <v/>
      </c>
      <c r="C19" s="558"/>
      <c r="D19" s="605"/>
      <c r="E19" s="596"/>
      <c r="F19" s="559"/>
      <c r="G19" s="559"/>
      <c r="H19" s="559"/>
      <c r="I19" s="597"/>
      <c r="J19" s="593"/>
      <c r="K19" s="559"/>
      <c r="L19" s="559"/>
      <c r="M19" s="597"/>
      <c r="N19" s="614"/>
      <c r="O19" s="401"/>
    </row>
    <row r="20" spans="1:15" hidden="1">
      <c r="A20" s="401"/>
      <c r="B20" s="604" t="str">
        <f t="shared" si="3"/>
        <v/>
      </c>
      <c r="C20" s="558"/>
      <c r="D20" s="605"/>
      <c r="E20" s="596"/>
      <c r="F20" s="559"/>
      <c r="G20" s="559"/>
      <c r="H20" s="559"/>
      <c r="I20" s="597"/>
      <c r="J20" s="593"/>
      <c r="K20" s="559"/>
      <c r="L20" s="559"/>
      <c r="M20" s="597"/>
      <c r="N20" s="614"/>
      <c r="O20" s="401"/>
    </row>
    <row r="21" spans="1:15" hidden="1">
      <c r="A21" s="401"/>
      <c r="B21" s="604" t="str">
        <f t="shared" si="3"/>
        <v/>
      </c>
      <c r="C21" s="558"/>
      <c r="D21" s="605"/>
      <c r="E21" s="596"/>
      <c r="F21" s="559"/>
      <c r="G21" s="559"/>
      <c r="H21" s="559"/>
      <c r="I21" s="597"/>
      <c r="J21" s="593"/>
      <c r="K21" s="559"/>
      <c r="L21" s="559"/>
      <c r="M21" s="597"/>
      <c r="N21" s="614"/>
      <c r="O21" s="401"/>
    </row>
    <row r="22" spans="1:15" hidden="1">
      <c r="A22" s="401"/>
      <c r="B22" s="604" t="str">
        <f t="shared" si="3"/>
        <v/>
      </c>
      <c r="C22" s="558"/>
      <c r="D22" s="605"/>
      <c r="E22" s="596"/>
      <c r="F22" s="559"/>
      <c r="G22" s="559"/>
      <c r="H22" s="559"/>
      <c r="I22" s="597"/>
      <c r="J22" s="593"/>
      <c r="K22" s="559"/>
      <c r="L22" s="559"/>
      <c r="M22" s="597"/>
      <c r="N22" s="614"/>
      <c r="O22" s="401"/>
    </row>
    <row r="23" spans="1:15" hidden="1">
      <c r="A23" s="401"/>
      <c r="B23" s="604" t="str">
        <f t="shared" si="3"/>
        <v/>
      </c>
      <c r="C23" s="558"/>
      <c r="D23" s="605"/>
      <c r="E23" s="596"/>
      <c r="F23" s="559"/>
      <c r="G23" s="559"/>
      <c r="H23" s="559"/>
      <c r="I23" s="597"/>
      <c r="J23" s="593"/>
      <c r="K23" s="559"/>
      <c r="L23" s="559"/>
      <c r="M23" s="597"/>
      <c r="N23" s="614"/>
      <c r="O23" s="401"/>
    </row>
    <row r="24" spans="1:15" hidden="1">
      <c r="A24" s="401"/>
      <c r="B24" s="604" t="str">
        <f t="shared" si="3"/>
        <v/>
      </c>
      <c r="C24" s="558"/>
      <c r="D24" s="605"/>
      <c r="E24" s="596"/>
      <c r="F24" s="559"/>
      <c r="G24" s="559"/>
      <c r="H24" s="559"/>
      <c r="I24" s="597"/>
      <c r="J24" s="593"/>
      <c r="K24" s="559"/>
      <c r="L24" s="559"/>
      <c r="M24" s="597"/>
      <c r="N24" s="614"/>
      <c r="O24" s="401"/>
    </row>
    <row r="25" spans="1:15" hidden="1">
      <c r="A25" s="401"/>
      <c r="B25" s="604" t="str">
        <f t="shared" si="3"/>
        <v/>
      </c>
      <c r="C25" s="558"/>
      <c r="D25" s="605"/>
      <c r="E25" s="596"/>
      <c r="F25" s="559"/>
      <c r="G25" s="559"/>
      <c r="H25" s="559"/>
      <c r="I25" s="597"/>
      <c r="J25" s="593"/>
      <c r="K25" s="559"/>
      <c r="L25" s="559"/>
      <c r="M25" s="597"/>
      <c r="N25" s="614"/>
      <c r="O25" s="401"/>
    </row>
    <row r="26" spans="1:15" hidden="1">
      <c r="A26" s="401"/>
      <c r="B26" s="604" t="str">
        <f t="shared" si="3"/>
        <v/>
      </c>
      <c r="C26" s="558"/>
      <c r="D26" s="605"/>
      <c r="E26" s="596"/>
      <c r="F26" s="559"/>
      <c r="G26" s="559"/>
      <c r="H26" s="559"/>
      <c r="I26" s="597"/>
      <c r="J26" s="593"/>
      <c r="K26" s="559"/>
      <c r="L26" s="559"/>
      <c r="M26" s="597"/>
      <c r="N26" s="614"/>
      <c r="O26" s="401"/>
    </row>
    <row r="27" spans="1:15" hidden="1">
      <c r="A27" s="401"/>
      <c r="B27" s="604" t="str">
        <f t="shared" si="3"/>
        <v/>
      </c>
      <c r="C27" s="558"/>
      <c r="D27" s="605"/>
      <c r="E27" s="596"/>
      <c r="F27" s="559"/>
      <c r="G27" s="559"/>
      <c r="H27" s="559"/>
      <c r="I27" s="597"/>
      <c r="J27" s="593"/>
      <c r="K27" s="559"/>
      <c r="L27" s="559"/>
      <c r="M27" s="597"/>
      <c r="N27" s="614"/>
      <c r="O27" s="401"/>
    </row>
    <row r="28" spans="1:15" hidden="1">
      <c r="A28" s="401"/>
      <c r="B28" s="604" t="str">
        <f t="shared" si="3"/>
        <v/>
      </c>
      <c r="C28" s="558"/>
      <c r="D28" s="605"/>
      <c r="E28" s="596"/>
      <c r="F28" s="559"/>
      <c r="G28" s="559"/>
      <c r="H28" s="559"/>
      <c r="I28" s="597"/>
      <c r="J28" s="593"/>
      <c r="K28" s="559"/>
      <c r="L28" s="559"/>
      <c r="M28" s="597"/>
      <c r="N28" s="614"/>
      <c r="O28" s="401"/>
    </row>
    <row r="29" spans="1:15" hidden="1">
      <c r="A29" s="401"/>
      <c r="B29" s="604" t="str">
        <f t="shared" si="3"/>
        <v/>
      </c>
      <c r="C29" s="558"/>
      <c r="D29" s="605"/>
      <c r="E29" s="596"/>
      <c r="F29" s="559"/>
      <c r="G29" s="559"/>
      <c r="H29" s="559"/>
      <c r="I29" s="597"/>
      <c r="J29" s="593"/>
      <c r="K29" s="559"/>
      <c r="L29" s="559"/>
      <c r="M29" s="597"/>
      <c r="N29" s="614"/>
      <c r="O29" s="401"/>
    </row>
    <row r="30" spans="1:15" hidden="1">
      <c r="A30" s="401"/>
      <c r="B30" s="604" t="str">
        <f t="shared" si="3"/>
        <v/>
      </c>
      <c r="C30" s="558"/>
      <c r="D30" s="605"/>
      <c r="E30" s="596"/>
      <c r="F30" s="559"/>
      <c r="G30" s="559"/>
      <c r="H30" s="559"/>
      <c r="I30" s="597"/>
      <c r="J30" s="593"/>
      <c r="K30" s="559"/>
      <c r="L30" s="559"/>
      <c r="M30" s="597"/>
      <c r="N30" s="614"/>
      <c r="O30" s="401"/>
    </row>
    <row r="31" spans="1:15" hidden="1">
      <c r="A31" s="401"/>
      <c r="B31" s="604" t="str">
        <f t="shared" si="3"/>
        <v/>
      </c>
      <c r="C31" s="558"/>
      <c r="D31" s="605"/>
      <c r="E31" s="596"/>
      <c r="F31" s="559"/>
      <c r="G31" s="559"/>
      <c r="H31" s="559"/>
      <c r="I31" s="597"/>
      <c r="J31" s="593"/>
      <c r="K31" s="559"/>
      <c r="L31" s="559"/>
      <c r="M31" s="597"/>
      <c r="N31" s="614"/>
      <c r="O31" s="401"/>
    </row>
    <row r="32" spans="1:15" hidden="1">
      <c r="A32" s="401"/>
      <c r="B32" s="604" t="str">
        <f t="shared" si="3"/>
        <v/>
      </c>
      <c r="C32" s="558"/>
      <c r="D32" s="605"/>
      <c r="E32" s="596"/>
      <c r="F32" s="559"/>
      <c r="G32" s="559"/>
      <c r="H32" s="559"/>
      <c r="I32" s="597"/>
      <c r="J32" s="593"/>
      <c r="K32" s="559"/>
      <c r="L32" s="559"/>
      <c r="M32" s="597"/>
      <c r="N32" s="614"/>
      <c r="O32" s="401"/>
    </row>
    <row r="33" spans="1:15" hidden="1">
      <c r="A33" s="401"/>
      <c r="B33" s="604" t="str">
        <f t="shared" si="3"/>
        <v/>
      </c>
      <c r="C33" s="558"/>
      <c r="D33" s="605"/>
      <c r="E33" s="596"/>
      <c r="F33" s="559"/>
      <c r="G33" s="559"/>
      <c r="H33" s="559"/>
      <c r="I33" s="597"/>
      <c r="J33" s="593"/>
      <c r="K33" s="559"/>
      <c r="L33" s="559"/>
      <c r="M33" s="597"/>
      <c r="N33" s="614"/>
      <c r="O33" s="401"/>
    </row>
    <row r="34" spans="1:15" hidden="1">
      <c r="A34" s="401"/>
      <c r="B34" s="604" t="str">
        <f t="shared" si="3"/>
        <v/>
      </c>
      <c r="C34" s="558"/>
      <c r="D34" s="605"/>
      <c r="E34" s="596"/>
      <c r="F34" s="559"/>
      <c r="G34" s="559"/>
      <c r="H34" s="559"/>
      <c r="I34" s="597"/>
      <c r="J34" s="593"/>
      <c r="K34" s="559"/>
      <c r="L34" s="559"/>
      <c r="M34" s="597"/>
      <c r="N34" s="614"/>
      <c r="O34" s="401"/>
    </row>
    <row r="35" spans="1:15" hidden="1">
      <c r="A35" s="401"/>
      <c r="B35" s="604" t="str">
        <f t="shared" si="3"/>
        <v/>
      </c>
      <c r="C35" s="558"/>
      <c r="D35" s="605"/>
      <c r="E35" s="596"/>
      <c r="F35" s="559"/>
      <c r="G35" s="559"/>
      <c r="H35" s="559"/>
      <c r="I35" s="597"/>
      <c r="J35" s="593"/>
      <c r="K35" s="559"/>
      <c r="L35" s="559"/>
      <c r="M35" s="597"/>
      <c r="N35" s="614"/>
      <c r="O35" s="401"/>
    </row>
    <row r="36" spans="1:15" hidden="1">
      <c r="A36" s="401"/>
      <c r="B36" s="604" t="str">
        <f t="shared" si="3"/>
        <v/>
      </c>
      <c r="C36" s="558"/>
      <c r="D36" s="605"/>
      <c r="E36" s="596"/>
      <c r="F36" s="559"/>
      <c r="G36" s="559"/>
      <c r="H36" s="559"/>
      <c r="I36" s="597"/>
      <c r="J36" s="593"/>
      <c r="K36" s="559"/>
      <c r="L36" s="559"/>
      <c r="M36" s="597"/>
      <c r="N36" s="614"/>
      <c r="O36" s="401"/>
    </row>
    <row r="37" spans="1:15" hidden="1">
      <c r="A37" s="401"/>
      <c r="B37" s="604" t="str">
        <f t="shared" si="3"/>
        <v/>
      </c>
      <c r="C37" s="558"/>
      <c r="D37" s="605"/>
      <c r="E37" s="596"/>
      <c r="F37" s="559"/>
      <c r="G37" s="559"/>
      <c r="H37" s="559"/>
      <c r="I37" s="597"/>
      <c r="J37" s="593"/>
      <c r="K37" s="559"/>
      <c r="L37" s="559"/>
      <c r="M37" s="597"/>
      <c r="N37" s="614"/>
      <c r="O37" s="401"/>
    </row>
    <row r="38" spans="1:15" hidden="1">
      <c r="A38" s="401"/>
      <c r="B38" s="604" t="str">
        <f t="shared" si="3"/>
        <v/>
      </c>
      <c r="C38" s="558"/>
      <c r="D38" s="605"/>
      <c r="E38" s="596"/>
      <c r="F38" s="559"/>
      <c r="G38" s="559"/>
      <c r="H38" s="559"/>
      <c r="I38" s="597"/>
      <c r="J38" s="593"/>
      <c r="K38" s="559"/>
      <c r="L38" s="559"/>
      <c r="M38" s="597"/>
      <c r="N38" s="614"/>
      <c r="O38" s="401"/>
    </row>
    <row r="39" spans="1:15" hidden="1">
      <c r="A39" s="401"/>
      <c r="B39" s="604" t="str">
        <f t="shared" si="3"/>
        <v/>
      </c>
      <c r="C39" s="558"/>
      <c r="D39" s="605"/>
      <c r="E39" s="596"/>
      <c r="F39" s="559"/>
      <c r="G39" s="559"/>
      <c r="H39" s="559"/>
      <c r="I39" s="597"/>
      <c r="J39" s="593"/>
      <c r="K39" s="559"/>
      <c r="L39" s="559"/>
      <c r="M39" s="597"/>
      <c r="N39" s="614"/>
      <c r="O39" s="401"/>
    </row>
    <row r="40" spans="1:15" hidden="1">
      <c r="A40" s="401"/>
      <c r="B40" s="604" t="str">
        <f t="shared" si="3"/>
        <v/>
      </c>
      <c r="C40" s="558"/>
      <c r="D40" s="605"/>
      <c r="E40" s="596"/>
      <c r="F40" s="559"/>
      <c r="G40" s="559"/>
      <c r="H40" s="559"/>
      <c r="I40" s="597"/>
      <c r="J40" s="593"/>
      <c r="K40" s="559"/>
      <c r="L40" s="559"/>
      <c r="M40" s="597"/>
      <c r="N40" s="614"/>
      <c r="O40" s="401"/>
    </row>
    <row r="41" spans="1:15" hidden="1">
      <c r="A41" s="401"/>
      <c r="B41" s="604" t="str">
        <f t="shared" si="3"/>
        <v/>
      </c>
      <c r="C41" s="558"/>
      <c r="D41" s="605"/>
      <c r="E41" s="596"/>
      <c r="F41" s="559"/>
      <c r="G41" s="559"/>
      <c r="H41" s="559"/>
      <c r="I41" s="597"/>
      <c r="J41" s="593"/>
      <c r="K41" s="559"/>
      <c r="L41" s="559"/>
      <c r="M41" s="597"/>
      <c r="N41" s="614"/>
      <c r="O41" s="401"/>
    </row>
    <row r="42" spans="1:15" hidden="1">
      <c r="A42" s="401"/>
      <c r="B42" s="604" t="str">
        <f t="shared" si="3"/>
        <v/>
      </c>
      <c r="C42" s="558"/>
      <c r="D42" s="605"/>
      <c r="E42" s="596"/>
      <c r="F42" s="559"/>
      <c r="G42" s="559"/>
      <c r="H42" s="559"/>
      <c r="I42" s="597"/>
      <c r="J42" s="593"/>
      <c r="K42" s="559"/>
      <c r="L42" s="559"/>
      <c r="M42" s="597"/>
      <c r="N42" s="614"/>
      <c r="O42" s="401"/>
    </row>
    <row r="43" spans="1:15" hidden="1">
      <c r="A43" s="401"/>
      <c r="B43" s="604" t="str">
        <f t="shared" si="3"/>
        <v/>
      </c>
      <c r="C43" s="558"/>
      <c r="D43" s="605"/>
      <c r="E43" s="596"/>
      <c r="F43" s="559"/>
      <c r="G43" s="559"/>
      <c r="H43" s="559"/>
      <c r="I43" s="597"/>
      <c r="J43" s="593"/>
      <c r="K43" s="559"/>
      <c r="L43" s="559"/>
      <c r="M43" s="597"/>
      <c r="N43" s="614"/>
      <c r="O43" s="401"/>
    </row>
    <row r="44" spans="1:15" hidden="1">
      <c r="A44" s="401"/>
      <c r="B44" s="604" t="str">
        <f t="shared" si="3"/>
        <v/>
      </c>
      <c r="C44" s="558"/>
      <c r="D44" s="605"/>
      <c r="E44" s="596"/>
      <c r="F44" s="559"/>
      <c r="G44" s="559"/>
      <c r="H44" s="559"/>
      <c r="I44" s="597"/>
      <c r="J44" s="593"/>
      <c r="K44" s="559"/>
      <c r="L44" s="559"/>
      <c r="M44" s="597"/>
      <c r="N44" s="614"/>
      <c r="O44" s="401"/>
    </row>
    <row r="45" spans="1:15" hidden="1">
      <c r="A45" s="401"/>
      <c r="B45" s="604" t="str">
        <f t="shared" si="3"/>
        <v/>
      </c>
      <c r="C45" s="558"/>
      <c r="D45" s="605"/>
      <c r="E45" s="596"/>
      <c r="F45" s="559"/>
      <c r="G45" s="559"/>
      <c r="H45" s="559"/>
      <c r="I45" s="597"/>
      <c r="J45" s="593"/>
      <c r="K45" s="559"/>
      <c r="L45" s="559"/>
      <c r="M45" s="597"/>
      <c r="N45" s="614"/>
      <c r="O45" s="401"/>
    </row>
    <row r="46" spans="1:15" hidden="1">
      <c r="A46" s="401"/>
      <c r="B46" s="604" t="str">
        <f t="shared" si="3"/>
        <v/>
      </c>
      <c r="C46" s="558"/>
      <c r="D46" s="605"/>
      <c r="E46" s="596"/>
      <c r="F46" s="559"/>
      <c r="G46" s="559"/>
      <c r="H46" s="559"/>
      <c r="I46" s="597"/>
      <c r="J46" s="593"/>
      <c r="K46" s="559"/>
      <c r="L46" s="559"/>
      <c r="M46" s="597"/>
      <c r="N46" s="614"/>
      <c r="O46" s="401"/>
    </row>
    <row r="47" spans="1:15" hidden="1">
      <c r="A47" s="401"/>
      <c r="B47" s="604" t="str">
        <f t="shared" si="3"/>
        <v/>
      </c>
      <c r="C47" s="558"/>
      <c r="D47" s="605"/>
      <c r="E47" s="596"/>
      <c r="F47" s="559"/>
      <c r="G47" s="559"/>
      <c r="H47" s="559"/>
      <c r="I47" s="597"/>
      <c r="J47" s="593"/>
      <c r="K47" s="559"/>
      <c r="L47" s="559"/>
      <c r="M47" s="597"/>
      <c r="N47" s="614"/>
      <c r="O47" s="401"/>
    </row>
    <row r="48" spans="1:15" hidden="1">
      <c r="A48" s="401"/>
      <c r="B48" s="604" t="str">
        <f t="shared" si="3"/>
        <v/>
      </c>
      <c r="C48" s="558"/>
      <c r="D48" s="605"/>
      <c r="E48" s="596"/>
      <c r="F48" s="559"/>
      <c r="G48" s="559"/>
      <c r="H48" s="559"/>
      <c r="I48" s="597"/>
      <c r="J48" s="593"/>
      <c r="K48" s="559"/>
      <c r="L48" s="559"/>
      <c r="M48" s="597"/>
      <c r="N48" s="614"/>
      <c r="O48" s="401"/>
    </row>
    <row r="49" spans="1:15" hidden="1">
      <c r="A49" s="401"/>
      <c r="B49" s="604" t="str">
        <f t="shared" si="3"/>
        <v/>
      </c>
      <c r="C49" s="558"/>
      <c r="D49" s="605"/>
      <c r="E49" s="596"/>
      <c r="F49" s="559"/>
      <c r="G49" s="559"/>
      <c r="H49" s="559"/>
      <c r="I49" s="597"/>
      <c r="J49" s="593"/>
      <c r="K49" s="559"/>
      <c r="L49" s="559"/>
      <c r="M49" s="597"/>
      <c r="N49" s="614"/>
      <c r="O49" s="401"/>
    </row>
    <row r="50" spans="1:15" hidden="1">
      <c r="A50" s="401"/>
      <c r="B50" s="604" t="str">
        <f t="shared" si="3"/>
        <v/>
      </c>
      <c r="C50" s="558"/>
      <c r="D50" s="605"/>
      <c r="E50" s="596"/>
      <c r="F50" s="559"/>
      <c r="G50" s="559"/>
      <c r="H50" s="559"/>
      <c r="I50" s="597"/>
      <c r="J50" s="593"/>
      <c r="K50" s="559"/>
      <c r="L50" s="559"/>
      <c r="M50" s="597"/>
      <c r="N50" s="614"/>
      <c r="O50" s="401"/>
    </row>
    <row r="51" spans="1:15" hidden="1">
      <c r="A51" s="401"/>
      <c r="B51" s="604" t="str">
        <f t="shared" si="3"/>
        <v/>
      </c>
      <c r="C51" s="558"/>
      <c r="D51" s="605"/>
      <c r="E51" s="596"/>
      <c r="F51" s="559"/>
      <c r="G51" s="559"/>
      <c r="H51" s="559"/>
      <c r="I51" s="597"/>
      <c r="J51" s="593"/>
      <c r="K51" s="559"/>
      <c r="L51" s="559"/>
      <c r="M51" s="597"/>
      <c r="N51" s="614"/>
      <c r="O51" s="401"/>
    </row>
    <row r="52" spans="1:15" hidden="1">
      <c r="A52" s="401"/>
      <c r="B52" s="604" t="str">
        <f t="shared" si="3"/>
        <v/>
      </c>
      <c r="C52" s="558"/>
      <c r="D52" s="605"/>
      <c r="E52" s="596"/>
      <c r="F52" s="559"/>
      <c r="G52" s="559"/>
      <c r="H52" s="559"/>
      <c r="I52" s="597"/>
      <c r="J52" s="593"/>
      <c r="K52" s="559"/>
      <c r="L52" s="559"/>
      <c r="M52" s="597"/>
      <c r="N52" s="614"/>
      <c r="O52" s="401"/>
    </row>
    <row r="53" spans="1:15" hidden="1">
      <c r="A53" s="401"/>
      <c r="B53" s="604" t="str">
        <f t="shared" si="3"/>
        <v/>
      </c>
      <c r="C53" s="558"/>
      <c r="D53" s="605"/>
      <c r="E53" s="596"/>
      <c r="F53" s="559"/>
      <c r="G53" s="559"/>
      <c r="H53" s="559"/>
      <c r="I53" s="597"/>
      <c r="J53" s="593"/>
      <c r="K53" s="559"/>
      <c r="L53" s="559"/>
      <c r="M53" s="597"/>
      <c r="N53" s="614"/>
      <c r="O53" s="401"/>
    </row>
    <row r="54" spans="1:15" hidden="1">
      <c r="A54" s="401"/>
      <c r="B54" s="604" t="str">
        <f t="shared" si="3"/>
        <v/>
      </c>
      <c r="C54" s="558"/>
      <c r="D54" s="605"/>
      <c r="E54" s="596"/>
      <c r="F54" s="559"/>
      <c r="G54" s="559"/>
      <c r="H54" s="559"/>
      <c r="I54" s="597"/>
      <c r="J54" s="593"/>
      <c r="K54" s="559"/>
      <c r="L54" s="559"/>
      <c r="M54" s="597"/>
      <c r="N54" s="614"/>
      <c r="O54" s="401"/>
    </row>
    <row r="55" spans="1:15" hidden="1">
      <c r="A55" s="401"/>
      <c r="B55" s="604" t="str">
        <f t="shared" si="3"/>
        <v/>
      </c>
      <c r="C55" s="558"/>
      <c r="D55" s="605"/>
      <c r="E55" s="596"/>
      <c r="F55" s="559"/>
      <c r="G55" s="559"/>
      <c r="H55" s="559"/>
      <c r="I55" s="597"/>
      <c r="J55" s="593"/>
      <c r="K55" s="559"/>
      <c r="L55" s="559"/>
      <c r="M55" s="597"/>
      <c r="N55" s="614"/>
      <c r="O55" s="401"/>
    </row>
    <row r="56" spans="1:15" hidden="1">
      <c r="A56" s="401"/>
      <c r="B56" s="604" t="str">
        <f t="shared" si="3"/>
        <v/>
      </c>
      <c r="C56" s="558"/>
      <c r="D56" s="605"/>
      <c r="E56" s="596"/>
      <c r="F56" s="559"/>
      <c r="G56" s="559"/>
      <c r="H56" s="559"/>
      <c r="I56" s="597"/>
      <c r="J56" s="593"/>
      <c r="K56" s="559"/>
      <c r="L56" s="559"/>
      <c r="M56" s="597"/>
      <c r="N56" s="614"/>
      <c r="O56" s="401"/>
    </row>
    <row r="57" spans="1:15" hidden="1">
      <c r="A57" s="401"/>
      <c r="B57" s="604" t="str">
        <f t="shared" si="3"/>
        <v/>
      </c>
      <c r="C57" s="558"/>
      <c r="D57" s="605"/>
      <c r="E57" s="596"/>
      <c r="F57" s="559"/>
      <c r="G57" s="559"/>
      <c r="H57" s="559"/>
      <c r="I57" s="597"/>
      <c r="J57" s="593"/>
      <c r="K57" s="559"/>
      <c r="L57" s="559"/>
      <c r="M57" s="597"/>
      <c r="N57" s="614"/>
      <c r="O57" s="401"/>
    </row>
    <row r="58" spans="1:15" hidden="1">
      <c r="A58" s="401"/>
      <c r="B58" s="604" t="str">
        <f t="shared" si="3"/>
        <v/>
      </c>
      <c r="C58" s="558"/>
      <c r="D58" s="605"/>
      <c r="E58" s="596"/>
      <c r="F58" s="559"/>
      <c r="G58" s="559"/>
      <c r="H58" s="559"/>
      <c r="I58" s="597"/>
      <c r="J58" s="593"/>
      <c r="K58" s="559"/>
      <c r="L58" s="559"/>
      <c r="M58" s="597"/>
      <c r="N58" s="614"/>
      <c r="O58" s="401"/>
    </row>
    <row r="59" spans="1:15" hidden="1">
      <c r="A59" s="401"/>
      <c r="B59" s="604" t="str">
        <f t="shared" si="3"/>
        <v/>
      </c>
      <c r="C59" s="558"/>
      <c r="D59" s="605"/>
      <c r="E59" s="596"/>
      <c r="F59" s="559"/>
      <c r="G59" s="559"/>
      <c r="H59" s="559"/>
      <c r="I59" s="597"/>
      <c r="J59" s="593"/>
      <c r="K59" s="559"/>
      <c r="L59" s="559"/>
      <c r="M59" s="597"/>
      <c r="N59" s="614"/>
      <c r="O59" s="401"/>
    </row>
    <row r="60" spans="1:15" hidden="1">
      <c r="A60" s="401"/>
      <c r="B60" s="604" t="str">
        <f t="shared" si="3"/>
        <v/>
      </c>
      <c r="C60" s="558"/>
      <c r="D60" s="605"/>
      <c r="E60" s="596"/>
      <c r="F60" s="559"/>
      <c r="G60" s="559"/>
      <c r="H60" s="559"/>
      <c r="I60" s="597"/>
      <c r="J60" s="593"/>
      <c r="K60" s="559"/>
      <c r="L60" s="559"/>
      <c r="M60" s="597"/>
      <c r="N60" s="614"/>
      <c r="O60" s="401"/>
    </row>
    <row r="61" spans="1:15" hidden="1">
      <c r="A61" s="401"/>
      <c r="B61" s="604" t="str">
        <f t="shared" si="3"/>
        <v/>
      </c>
      <c r="C61" s="558"/>
      <c r="D61" s="605"/>
      <c r="E61" s="596"/>
      <c r="F61" s="559"/>
      <c r="G61" s="559"/>
      <c r="H61" s="559"/>
      <c r="I61" s="597"/>
      <c r="J61" s="593"/>
      <c r="K61" s="559"/>
      <c r="L61" s="559"/>
      <c r="M61" s="597"/>
      <c r="N61" s="614"/>
      <c r="O61" s="401"/>
    </row>
    <row r="62" spans="1:15" hidden="1">
      <c r="A62" s="401"/>
      <c r="B62" s="604" t="str">
        <f t="shared" si="3"/>
        <v/>
      </c>
      <c r="C62" s="558"/>
      <c r="D62" s="605"/>
      <c r="E62" s="596"/>
      <c r="F62" s="559"/>
      <c r="G62" s="559"/>
      <c r="H62" s="559"/>
      <c r="I62" s="597"/>
      <c r="J62" s="593"/>
      <c r="K62" s="559"/>
      <c r="L62" s="559"/>
      <c r="M62" s="597"/>
      <c r="N62" s="614"/>
      <c r="O62" s="401"/>
    </row>
    <row r="63" spans="1:15" hidden="1">
      <c r="A63" s="401"/>
      <c r="B63" s="604" t="str">
        <f t="shared" si="3"/>
        <v/>
      </c>
      <c r="C63" s="558"/>
      <c r="D63" s="605"/>
      <c r="E63" s="596"/>
      <c r="F63" s="559"/>
      <c r="G63" s="559"/>
      <c r="H63" s="559"/>
      <c r="I63" s="597"/>
      <c r="J63" s="593"/>
      <c r="K63" s="559"/>
      <c r="L63" s="559"/>
      <c r="M63" s="597"/>
      <c r="N63" s="614"/>
      <c r="O63" s="401"/>
    </row>
    <row r="64" spans="1:15" hidden="1">
      <c r="A64" s="401"/>
      <c r="B64" s="604" t="str">
        <f t="shared" si="3"/>
        <v/>
      </c>
      <c r="C64" s="558"/>
      <c r="D64" s="605"/>
      <c r="E64" s="596"/>
      <c r="F64" s="559"/>
      <c r="G64" s="559"/>
      <c r="H64" s="559"/>
      <c r="I64" s="597"/>
      <c r="J64" s="593"/>
      <c r="K64" s="559"/>
      <c r="L64" s="559"/>
      <c r="M64" s="597"/>
      <c r="N64" s="614"/>
      <c r="O64" s="401"/>
    </row>
    <row r="65" spans="1:15" hidden="1">
      <c r="A65" s="401"/>
      <c r="B65" s="604" t="str">
        <f t="shared" si="3"/>
        <v/>
      </c>
      <c r="C65" s="558"/>
      <c r="D65" s="605"/>
      <c r="E65" s="596"/>
      <c r="F65" s="559"/>
      <c r="G65" s="559"/>
      <c r="H65" s="559"/>
      <c r="I65" s="597"/>
      <c r="J65" s="593"/>
      <c r="K65" s="559"/>
      <c r="L65" s="559"/>
      <c r="M65" s="597"/>
      <c r="N65" s="614"/>
      <c r="O65" s="401"/>
    </row>
    <row r="66" spans="1:15" hidden="1">
      <c r="A66" s="401"/>
      <c r="B66" s="604" t="str">
        <f t="shared" si="3"/>
        <v/>
      </c>
      <c r="C66" s="558"/>
      <c r="D66" s="605"/>
      <c r="E66" s="596"/>
      <c r="F66" s="559"/>
      <c r="G66" s="559"/>
      <c r="H66" s="559"/>
      <c r="I66" s="597"/>
      <c r="J66" s="593"/>
      <c r="K66" s="559"/>
      <c r="L66" s="559"/>
      <c r="M66" s="597"/>
      <c r="N66" s="614"/>
      <c r="O66" s="401"/>
    </row>
    <row r="67" spans="1:15" hidden="1">
      <c r="A67" s="401"/>
      <c r="B67" s="604" t="str">
        <f t="shared" si="3"/>
        <v/>
      </c>
      <c r="C67" s="558"/>
      <c r="D67" s="605"/>
      <c r="E67" s="596"/>
      <c r="F67" s="559"/>
      <c r="G67" s="559"/>
      <c r="H67" s="559"/>
      <c r="I67" s="597"/>
      <c r="J67" s="593"/>
      <c r="K67" s="559"/>
      <c r="L67" s="559"/>
      <c r="M67" s="597"/>
      <c r="N67" s="614"/>
      <c r="O67" s="401"/>
    </row>
    <row r="68" spans="1:15" hidden="1">
      <c r="A68" s="401"/>
      <c r="B68" s="604" t="str">
        <f t="shared" si="3"/>
        <v/>
      </c>
      <c r="C68" s="558"/>
      <c r="D68" s="605"/>
      <c r="E68" s="596"/>
      <c r="F68" s="559"/>
      <c r="G68" s="559"/>
      <c r="H68" s="559"/>
      <c r="I68" s="597"/>
      <c r="J68" s="593"/>
      <c r="K68" s="559"/>
      <c r="L68" s="559"/>
      <c r="M68" s="597"/>
      <c r="N68" s="614"/>
      <c r="O68" s="401"/>
    </row>
    <row r="69" spans="1:15" hidden="1">
      <c r="A69" s="401"/>
      <c r="B69" s="604" t="str">
        <f t="shared" si="3"/>
        <v/>
      </c>
      <c r="C69" s="558"/>
      <c r="D69" s="605"/>
      <c r="E69" s="596"/>
      <c r="F69" s="559"/>
      <c r="G69" s="559"/>
      <c r="H69" s="559"/>
      <c r="I69" s="597"/>
      <c r="J69" s="593"/>
      <c r="K69" s="559"/>
      <c r="L69" s="559"/>
      <c r="M69" s="597"/>
      <c r="N69" s="614"/>
      <c r="O69" s="401"/>
    </row>
    <row r="70" spans="1:15" hidden="1">
      <c r="A70" s="401"/>
      <c r="B70" s="604" t="str">
        <f t="shared" si="3"/>
        <v/>
      </c>
      <c r="C70" s="558"/>
      <c r="D70" s="605"/>
      <c r="E70" s="596"/>
      <c r="F70" s="559"/>
      <c r="G70" s="559"/>
      <c r="H70" s="559"/>
      <c r="I70" s="597"/>
      <c r="J70" s="593"/>
      <c r="K70" s="559"/>
      <c r="L70" s="559"/>
      <c r="M70" s="597"/>
      <c r="N70" s="614"/>
      <c r="O70" s="401"/>
    </row>
    <row r="71" spans="1:15" hidden="1">
      <c r="A71" s="401"/>
      <c r="B71" s="604" t="str">
        <f t="shared" si="3"/>
        <v/>
      </c>
      <c r="C71" s="558"/>
      <c r="D71" s="605"/>
      <c r="E71" s="596"/>
      <c r="F71" s="559"/>
      <c r="G71" s="559"/>
      <c r="H71" s="559"/>
      <c r="I71" s="597"/>
      <c r="J71" s="593"/>
      <c r="K71" s="559"/>
      <c r="L71" s="559"/>
      <c r="M71" s="597"/>
      <c r="N71" s="614"/>
      <c r="O71" s="401"/>
    </row>
    <row r="72" spans="1:15" hidden="1">
      <c r="A72" s="401"/>
      <c r="B72" s="604" t="str">
        <f t="shared" si="3"/>
        <v/>
      </c>
      <c r="C72" s="558"/>
      <c r="D72" s="605"/>
      <c r="E72" s="596"/>
      <c r="F72" s="559"/>
      <c r="G72" s="559"/>
      <c r="H72" s="559"/>
      <c r="I72" s="597"/>
      <c r="J72" s="593"/>
      <c r="K72" s="559"/>
      <c r="L72" s="559"/>
      <c r="M72" s="597"/>
      <c r="N72" s="614"/>
      <c r="O72" s="401"/>
    </row>
    <row r="73" spans="1:15" hidden="1">
      <c r="A73" s="401"/>
      <c r="B73" s="604" t="str">
        <f t="shared" si="3"/>
        <v/>
      </c>
      <c r="C73" s="558"/>
      <c r="D73" s="605"/>
      <c r="E73" s="596"/>
      <c r="F73" s="559"/>
      <c r="G73" s="559"/>
      <c r="H73" s="559"/>
      <c r="I73" s="597"/>
      <c r="J73" s="593"/>
      <c r="K73" s="559"/>
      <c r="L73" s="559"/>
      <c r="M73" s="597"/>
      <c r="N73" s="614"/>
      <c r="O73" s="401"/>
    </row>
    <row r="74" spans="1:15" hidden="1">
      <c r="A74" s="401"/>
      <c r="B74" s="604" t="str">
        <f t="shared" ref="B74:B137" si="4">IF(C74="","",B73+1)</f>
        <v/>
      </c>
      <c r="C74" s="558"/>
      <c r="D74" s="605"/>
      <c r="E74" s="596"/>
      <c r="F74" s="559"/>
      <c r="G74" s="559"/>
      <c r="H74" s="559"/>
      <c r="I74" s="597"/>
      <c r="J74" s="593"/>
      <c r="K74" s="559"/>
      <c r="L74" s="559"/>
      <c r="M74" s="597"/>
      <c r="N74" s="614"/>
      <c r="O74" s="401"/>
    </row>
    <row r="75" spans="1:15" hidden="1">
      <c r="A75" s="401"/>
      <c r="B75" s="604" t="str">
        <f t="shared" si="4"/>
        <v/>
      </c>
      <c r="C75" s="558"/>
      <c r="D75" s="605"/>
      <c r="E75" s="596"/>
      <c r="F75" s="559"/>
      <c r="G75" s="559"/>
      <c r="H75" s="559"/>
      <c r="I75" s="597"/>
      <c r="J75" s="593"/>
      <c r="K75" s="559"/>
      <c r="L75" s="559"/>
      <c r="M75" s="597"/>
      <c r="N75" s="614"/>
      <c r="O75" s="401"/>
    </row>
    <row r="76" spans="1:15" hidden="1">
      <c r="A76" s="401"/>
      <c r="B76" s="604" t="str">
        <f t="shared" si="4"/>
        <v/>
      </c>
      <c r="C76" s="558"/>
      <c r="D76" s="605"/>
      <c r="E76" s="596"/>
      <c r="F76" s="559"/>
      <c r="G76" s="559"/>
      <c r="H76" s="559"/>
      <c r="I76" s="597"/>
      <c r="J76" s="593"/>
      <c r="K76" s="559"/>
      <c r="L76" s="559"/>
      <c r="M76" s="597"/>
      <c r="N76" s="614"/>
      <c r="O76" s="401"/>
    </row>
    <row r="77" spans="1:15" hidden="1">
      <c r="A77" s="401"/>
      <c r="B77" s="604" t="str">
        <f t="shared" si="4"/>
        <v/>
      </c>
      <c r="C77" s="558"/>
      <c r="D77" s="605"/>
      <c r="E77" s="596"/>
      <c r="F77" s="559"/>
      <c r="G77" s="559"/>
      <c r="H77" s="559"/>
      <c r="I77" s="597"/>
      <c r="J77" s="593"/>
      <c r="K77" s="559"/>
      <c r="L77" s="559"/>
      <c r="M77" s="597"/>
      <c r="N77" s="614"/>
      <c r="O77" s="401"/>
    </row>
    <row r="78" spans="1:15" hidden="1">
      <c r="A78" s="401"/>
      <c r="B78" s="604" t="str">
        <f t="shared" si="4"/>
        <v/>
      </c>
      <c r="C78" s="558"/>
      <c r="D78" s="605"/>
      <c r="E78" s="596"/>
      <c r="F78" s="559"/>
      <c r="G78" s="559"/>
      <c r="H78" s="559"/>
      <c r="I78" s="597"/>
      <c r="J78" s="593"/>
      <c r="K78" s="559"/>
      <c r="L78" s="559"/>
      <c r="M78" s="597"/>
      <c r="N78" s="614"/>
      <c r="O78" s="401"/>
    </row>
    <row r="79" spans="1:15" hidden="1">
      <c r="A79" s="401"/>
      <c r="B79" s="604" t="str">
        <f t="shared" si="4"/>
        <v/>
      </c>
      <c r="C79" s="558"/>
      <c r="D79" s="605"/>
      <c r="E79" s="596"/>
      <c r="F79" s="559"/>
      <c r="G79" s="559"/>
      <c r="H79" s="559"/>
      <c r="I79" s="597"/>
      <c r="J79" s="593"/>
      <c r="K79" s="559"/>
      <c r="L79" s="559"/>
      <c r="M79" s="597"/>
      <c r="N79" s="614"/>
      <c r="O79" s="401"/>
    </row>
    <row r="80" spans="1:15" hidden="1">
      <c r="A80" s="401"/>
      <c r="B80" s="604" t="str">
        <f t="shared" si="4"/>
        <v/>
      </c>
      <c r="C80" s="558"/>
      <c r="D80" s="605"/>
      <c r="E80" s="596"/>
      <c r="F80" s="559"/>
      <c r="G80" s="559"/>
      <c r="H80" s="559"/>
      <c r="I80" s="597"/>
      <c r="J80" s="593"/>
      <c r="K80" s="559"/>
      <c r="L80" s="559"/>
      <c r="M80" s="597"/>
      <c r="N80" s="614"/>
      <c r="O80" s="401"/>
    </row>
    <row r="81" spans="1:15" hidden="1">
      <c r="A81" s="401"/>
      <c r="B81" s="604" t="str">
        <f t="shared" si="4"/>
        <v/>
      </c>
      <c r="C81" s="558"/>
      <c r="D81" s="605"/>
      <c r="E81" s="596"/>
      <c r="F81" s="559"/>
      <c r="G81" s="559"/>
      <c r="H81" s="559"/>
      <c r="I81" s="597"/>
      <c r="J81" s="593"/>
      <c r="K81" s="559"/>
      <c r="L81" s="559"/>
      <c r="M81" s="597"/>
      <c r="N81" s="614"/>
      <c r="O81" s="401"/>
    </row>
    <row r="82" spans="1:15" hidden="1">
      <c r="A82" s="401"/>
      <c r="B82" s="604" t="str">
        <f t="shared" si="4"/>
        <v/>
      </c>
      <c r="C82" s="558"/>
      <c r="D82" s="605"/>
      <c r="E82" s="596"/>
      <c r="F82" s="559"/>
      <c r="G82" s="559"/>
      <c r="H82" s="559"/>
      <c r="I82" s="597"/>
      <c r="J82" s="593"/>
      <c r="K82" s="559"/>
      <c r="L82" s="559"/>
      <c r="M82" s="597"/>
      <c r="N82" s="614"/>
      <c r="O82" s="401"/>
    </row>
    <row r="83" spans="1:15" hidden="1">
      <c r="A83" s="401"/>
      <c r="B83" s="604" t="str">
        <f t="shared" si="4"/>
        <v/>
      </c>
      <c r="C83" s="558"/>
      <c r="D83" s="605"/>
      <c r="E83" s="596"/>
      <c r="F83" s="559"/>
      <c r="G83" s="559"/>
      <c r="H83" s="559"/>
      <c r="I83" s="597"/>
      <c r="J83" s="593"/>
      <c r="K83" s="559"/>
      <c r="L83" s="559"/>
      <c r="M83" s="597"/>
      <c r="N83" s="614"/>
      <c r="O83" s="401"/>
    </row>
    <row r="84" spans="1:15" hidden="1">
      <c r="A84" s="401"/>
      <c r="B84" s="604" t="str">
        <f t="shared" si="4"/>
        <v/>
      </c>
      <c r="C84" s="558"/>
      <c r="D84" s="605"/>
      <c r="E84" s="596"/>
      <c r="F84" s="559"/>
      <c r="G84" s="559"/>
      <c r="H84" s="559"/>
      <c r="I84" s="597"/>
      <c r="J84" s="593"/>
      <c r="K84" s="559"/>
      <c r="L84" s="559"/>
      <c r="M84" s="597"/>
      <c r="N84" s="614"/>
      <c r="O84" s="401"/>
    </row>
    <row r="85" spans="1:15" hidden="1">
      <c r="A85" s="401"/>
      <c r="B85" s="604" t="str">
        <f t="shared" si="4"/>
        <v/>
      </c>
      <c r="C85" s="558"/>
      <c r="D85" s="605"/>
      <c r="E85" s="596"/>
      <c r="F85" s="559"/>
      <c r="G85" s="559"/>
      <c r="H85" s="559"/>
      <c r="I85" s="597"/>
      <c r="J85" s="593"/>
      <c r="K85" s="559"/>
      <c r="L85" s="559"/>
      <c r="M85" s="597"/>
      <c r="N85" s="614"/>
      <c r="O85" s="401"/>
    </row>
    <row r="86" spans="1:15" hidden="1">
      <c r="A86" s="401"/>
      <c r="B86" s="604" t="str">
        <f t="shared" si="4"/>
        <v/>
      </c>
      <c r="C86" s="558"/>
      <c r="D86" s="605"/>
      <c r="E86" s="596"/>
      <c r="F86" s="559"/>
      <c r="G86" s="559"/>
      <c r="H86" s="559"/>
      <c r="I86" s="597"/>
      <c r="J86" s="593"/>
      <c r="K86" s="559"/>
      <c r="L86" s="559"/>
      <c r="M86" s="597"/>
      <c r="N86" s="614"/>
      <c r="O86" s="401"/>
    </row>
    <row r="87" spans="1:15" hidden="1">
      <c r="A87" s="401"/>
      <c r="B87" s="604" t="str">
        <f t="shared" si="4"/>
        <v/>
      </c>
      <c r="C87" s="558"/>
      <c r="D87" s="605"/>
      <c r="E87" s="596"/>
      <c r="F87" s="559"/>
      <c r="G87" s="559"/>
      <c r="H87" s="559"/>
      <c r="I87" s="597"/>
      <c r="J87" s="593"/>
      <c r="K87" s="559"/>
      <c r="L87" s="559"/>
      <c r="M87" s="597"/>
      <c r="N87" s="614"/>
      <c r="O87" s="401"/>
    </row>
    <row r="88" spans="1:15" hidden="1">
      <c r="A88" s="401"/>
      <c r="B88" s="604" t="str">
        <f t="shared" si="4"/>
        <v/>
      </c>
      <c r="C88" s="558"/>
      <c r="D88" s="605"/>
      <c r="E88" s="596"/>
      <c r="F88" s="559"/>
      <c r="G88" s="559"/>
      <c r="H88" s="559"/>
      <c r="I88" s="597"/>
      <c r="J88" s="593"/>
      <c r="K88" s="559"/>
      <c r="L88" s="559"/>
      <c r="M88" s="597"/>
      <c r="N88" s="614"/>
      <c r="O88" s="401"/>
    </row>
    <row r="89" spans="1:15" hidden="1">
      <c r="A89" s="401"/>
      <c r="B89" s="604" t="str">
        <f t="shared" si="4"/>
        <v/>
      </c>
      <c r="C89" s="558"/>
      <c r="D89" s="605"/>
      <c r="E89" s="596"/>
      <c r="F89" s="559"/>
      <c r="G89" s="559"/>
      <c r="H89" s="559"/>
      <c r="I89" s="597"/>
      <c r="J89" s="593"/>
      <c r="K89" s="559"/>
      <c r="L89" s="559"/>
      <c r="M89" s="597"/>
      <c r="N89" s="614"/>
      <c r="O89" s="401"/>
    </row>
    <row r="90" spans="1:15" hidden="1">
      <c r="A90" s="401"/>
      <c r="B90" s="604" t="str">
        <f t="shared" si="4"/>
        <v/>
      </c>
      <c r="C90" s="558"/>
      <c r="D90" s="605"/>
      <c r="E90" s="596"/>
      <c r="F90" s="559"/>
      <c r="G90" s="559"/>
      <c r="H90" s="559"/>
      <c r="I90" s="597"/>
      <c r="J90" s="593"/>
      <c r="K90" s="559"/>
      <c r="L90" s="559"/>
      <c r="M90" s="597"/>
      <c r="N90" s="614"/>
      <c r="O90" s="401"/>
    </row>
    <row r="91" spans="1:15" hidden="1">
      <c r="A91" s="401"/>
      <c r="B91" s="604" t="str">
        <f t="shared" si="4"/>
        <v/>
      </c>
      <c r="C91" s="558"/>
      <c r="D91" s="605"/>
      <c r="E91" s="596"/>
      <c r="F91" s="559"/>
      <c r="G91" s="559"/>
      <c r="H91" s="559"/>
      <c r="I91" s="597"/>
      <c r="J91" s="593"/>
      <c r="K91" s="559"/>
      <c r="L91" s="559"/>
      <c r="M91" s="597"/>
      <c r="N91" s="614"/>
      <c r="O91" s="401"/>
    </row>
    <row r="92" spans="1:15" hidden="1">
      <c r="A92" s="401"/>
      <c r="B92" s="604" t="str">
        <f t="shared" si="4"/>
        <v/>
      </c>
      <c r="C92" s="558"/>
      <c r="D92" s="605"/>
      <c r="E92" s="596"/>
      <c r="F92" s="559"/>
      <c r="G92" s="559"/>
      <c r="H92" s="559"/>
      <c r="I92" s="597"/>
      <c r="J92" s="593"/>
      <c r="K92" s="559"/>
      <c r="L92" s="559"/>
      <c r="M92" s="597"/>
      <c r="N92" s="614"/>
      <c r="O92" s="401"/>
    </row>
    <row r="93" spans="1:15" hidden="1">
      <c r="A93" s="401"/>
      <c r="B93" s="604" t="str">
        <f t="shared" si="4"/>
        <v/>
      </c>
      <c r="C93" s="558"/>
      <c r="D93" s="605"/>
      <c r="E93" s="596"/>
      <c r="F93" s="559"/>
      <c r="G93" s="559"/>
      <c r="H93" s="559"/>
      <c r="I93" s="597"/>
      <c r="J93" s="593"/>
      <c r="K93" s="559"/>
      <c r="L93" s="559"/>
      <c r="M93" s="597"/>
      <c r="N93" s="614"/>
      <c r="O93" s="401"/>
    </row>
    <row r="94" spans="1:15" hidden="1">
      <c r="A94" s="401"/>
      <c r="B94" s="604" t="str">
        <f t="shared" si="4"/>
        <v/>
      </c>
      <c r="C94" s="558"/>
      <c r="D94" s="605"/>
      <c r="E94" s="596"/>
      <c r="F94" s="559"/>
      <c r="G94" s="559"/>
      <c r="H94" s="559"/>
      <c r="I94" s="597"/>
      <c r="J94" s="593"/>
      <c r="K94" s="559"/>
      <c r="L94" s="559"/>
      <c r="M94" s="597"/>
      <c r="N94" s="614"/>
      <c r="O94" s="401"/>
    </row>
    <row r="95" spans="1:15" hidden="1">
      <c r="A95" s="401"/>
      <c r="B95" s="604" t="str">
        <f t="shared" si="4"/>
        <v/>
      </c>
      <c r="C95" s="558"/>
      <c r="D95" s="605"/>
      <c r="E95" s="596"/>
      <c r="F95" s="559"/>
      <c r="G95" s="559"/>
      <c r="H95" s="559"/>
      <c r="I95" s="597"/>
      <c r="J95" s="593"/>
      <c r="K95" s="559"/>
      <c r="L95" s="559"/>
      <c r="M95" s="597"/>
      <c r="N95" s="614"/>
      <c r="O95" s="401"/>
    </row>
    <row r="96" spans="1:15" hidden="1">
      <c r="A96" s="401"/>
      <c r="B96" s="604" t="str">
        <f t="shared" si="4"/>
        <v/>
      </c>
      <c r="C96" s="558"/>
      <c r="D96" s="605"/>
      <c r="E96" s="596"/>
      <c r="F96" s="559"/>
      <c r="G96" s="559"/>
      <c r="H96" s="559"/>
      <c r="I96" s="597"/>
      <c r="J96" s="593"/>
      <c r="K96" s="559"/>
      <c r="L96" s="559"/>
      <c r="M96" s="597"/>
      <c r="N96" s="614"/>
      <c r="O96" s="401"/>
    </row>
    <row r="97" spans="1:15" hidden="1">
      <c r="A97" s="401"/>
      <c r="B97" s="604" t="str">
        <f t="shared" si="4"/>
        <v/>
      </c>
      <c r="C97" s="558"/>
      <c r="D97" s="605"/>
      <c r="E97" s="596"/>
      <c r="F97" s="559"/>
      <c r="G97" s="559"/>
      <c r="H97" s="559"/>
      <c r="I97" s="597"/>
      <c r="J97" s="593"/>
      <c r="K97" s="559"/>
      <c r="L97" s="559"/>
      <c r="M97" s="597"/>
      <c r="N97" s="614"/>
      <c r="O97" s="401"/>
    </row>
    <row r="98" spans="1:15" hidden="1">
      <c r="A98" s="401"/>
      <c r="B98" s="604" t="str">
        <f t="shared" si="4"/>
        <v/>
      </c>
      <c r="C98" s="558"/>
      <c r="D98" s="605"/>
      <c r="E98" s="596"/>
      <c r="F98" s="559"/>
      <c r="G98" s="559"/>
      <c r="H98" s="559"/>
      <c r="I98" s="597"/>
      <c r="J98" s="593"/>
      <c r="K98" s="559"/>
      <c r="L98" s="559"/>
      <c r="M98" s="597"/>
      <c r="N98" s="614"/>
      <c r="O98" s="401"/>
    </row>
    <row r="99" spans="1:15" hidden="1">
      <c r="A99" s="401"/>
      <c r="B99" s="604" t="str">
        <f t="shared" si="4"/>
        <v/>
      </c>
      <c r="C99" s="558"/>
      <c r="D99" s="605"/>
      <c r="E99" s="596"/>
      <c r="F99" s="559"/>
      <c r="G99" s="559"/>
      <c r="H99" s="559"/>
      <c r="I99" s="597"/>
      <c r="J99" s="593"/>
      <c r="K99" s="559"/>
      <c r="L99" s="559"/>
      <c r="M99" s="597"/>
      <c r="N99" s="614"/>
      <c r="O99" s="401"/>
    </row>
    <row r="100" spans="1:15" hidden="1">
      <c r="A100" s="401"/>
      <c r="B100" s="604" t="str">
        <f t="shared" si="4"/>
        <v/>
      </c>
      <c r="C100" s="558"/>
      <c r="D100" s="605"/>
      <c r="E100" s="596"/>
      <c r="F100" s="559"/>
      <c r="G100" s="559"/>
      <c r="H100" s="559"/>
      <c r="I100" s="597"/>
      <c r="J100" s="593"/>
      <c r="K100" s="559"/>
      <c r="L100" s="559"/>
      <c r="M100" s="597"/>
      <c r="N100" s="614"/>
      <c r="O100" s="401"/>
    </row>
    <row r="101" spans="1:15" hidden="1">
      <c r="A101" s="401"/>
      <c r="B101" s="604" t="str">
        <f t="shared" si="4"/>
        <v/>
      </c>
      <c r="C101" s="558"/>
      <c r="D101" s="605"/>
      <c r="E101" s="596"/>
      <c r="F101" s="559"/>
      <c r="G101" s="559"/>
      <c r="H101" s="559"/>
      <c r="I101" s="597"/>
      <c r="J101" s="593"/>
      <c r="K101" s="559"/>
      <c r="L101" s="559"/>
      <c r="M101" s="597"/>
      <c r="N101" s="614"/>
      <c r="O101" s="401"/>
    </row>
    <row r="102" spans="1:15" hidden="1">
      <c r="A102" s="401"/>
      <c r="B102" s="604" t="str">
        <f t="shared" si="4"/>
        <v/>
      </c>
      <c r="C102" s="558"/>
      <c r="D102" s="605"/>
      <c r="E102" s="596"/>
      <c r="F102" s="559"/>
      <c r="G102" s="559"/>
      <c r="H102" s="559"/>
      <c r="I102" s="597"/>
      <c r="J102" s="593"/>
      <c r="K102" s="559"/>
      <c r="L102" s="559"/>
      <c r="M102" s="597"/>
      <c r="N102" s="614"/>
      <c r="O102" s="401"/>
    </row>
    <row r="103" spans="1:15" hidden="1">
      <c r="A103" s="401"/>
      <c r="B103" s="604" t="str">
        <f t="shared" si="4"/>
        <v/>
      </c>
      <c r="C103" s="558"/>
      <c r="D103" s="605"/>
      <c r="E103" s="596"/>
      <c r="F103" s="559"/>
      <c r="G103" s="559"/>
      <c r="H103" s="559"/>
      <c r="I103" s="597"/>
      <c r="J103" s="593"/>
      <c r="K103" s="559"/>
      <c r="L103" s="559"/>
      <c r="M103" s="597"/>
      <c r="N103" s="614"/>
      <c r="O103" s="401"/>
    </row>
    <row r="104" spans="1:15" hidden="1">
      <c r="A104" s="401"/>
      <c r="B104" s="604" t="str">
        <f t="shared" si="4"/>
        <v/>
      </c>
      <c r="C104" s="558"/>
      <c r="D104" s="605"/>
      <c r="E104" s="596"/>
      <c r="F104" s="559"/>
      <c r="G104" s="559"/>
      <c r="H104" s="559"/>
      <c r="I104" s="597"/>
      <c r="J104" s="593"/>
      <c r="K104" s="559"/>
      <c r="L104" s="559"/>
      <c r="M104" s="597"/>
      <c r="N104" s="614"/>
      <c r="O104" s="401"/>
    </row>
    <row r="105" spans="1:15" hidden="1">
      <c r="A105" s="401"/>
      <c r="B105" s="604" t="str">
        <f t="shared" si="4"/>
        <v/>
      </c>
      <c r="C105" s="558"/>
      <c r="D105" s="605"/>
      <c r="E105" s="596"/>
      <c r="F105" s="559"/>
      <c r="G105" s="559"/>
      <c r="H105" s="559"/>
      <c r="I105" s="597"/>
      <c r="J105" s="593"/>
      <c r="K105" s="559"/>
      <c r="L105" s="559"/>
      <c r="M105" s="597"/>
      <c r="N105" s="614"/>
      <c r="O105" s="401"/>
    </row>
    <row r="106" spans="1:15" hidden="1">
      <c r="A106" s="401"/>
      <c r="B106" s="604" t="str">
        <f t="shared" si="4"/>
        <v/>
      </c>
      <c r="C106" s="558"/>
      <c r="D106" s="605"/>
      <c r="E106" s="596"/>
      <c r="F106" s="559"/>
      <c r="G106" s="559"/>
      <c r="H106" s="559"/>
      <c r="I106" s="597"/>
      <c r="J106" s="593"/>
      <c r="K106" s="559"/>
      <c r="L106" s="559"/>
      <c r="M106" s="597"/>
      <c r="N106" s="614"/>
      <c r="O106" s="401"/>
    </row>
    <row r="107" spans="1:15" hidden="1">
      <c r="A107" s="401"/>
      <c r="B107" s="604" t="str">
        <f t="shared" si="4"/>
        <v/>
      </c>
      <c r="C107" s="558"/>
      <c r="D107" s="605"/>
      <c r="E107" s="596"/>
      <c r="F107" s="559"/>
      <c r="G107" s="559"/>
      <c r="H107" s="559"/>
      <c r="I107" s="597"/>
      <c r="J107" s="593"/>
      <c r="K107" s="559"/>
      <c r="L107" s="559"/>
      <c r="M107" s="597"/>
      <c r="N107" s="614"/>
      <c r="O107" s="401"/>
    </row>
    <row r="108" spans="1:15" hidden="1">
      <c r="A108" s="401"/>
      <c r="B108" s="604" t="str">
        <f t="shared" si="4"/>
        <v/>
      </c>
      <c r="C108" s="558"/>
      <c r="D108" s="605"/>
      <c r="E108" s="596"/>
      <c r="F108" s="559"/>
      <c r="G108" s="559"/>
      <c r="H108" s="559"/>
      <c r="I108" s="597"/>
      <c r="J108" s="593"/>
      <c r="K108" s="559"/>
      <c r="L108" s="559"/>
      <c r="M108" s="597"/>
      <c r="N108" s="614"/>
      <c r="O108" s="401"/>
    </row>
    <row r="109" spans="1:15" hidden="1">
      <c r="A109" s="401"/>
      <c r="B109" s="604" t="str">
        <f t="shared" si="4"/>
        <v/>
      </c>
      <c r="C109" s="558"/>
      <c r="D109" s="605"/>
      <c r="E109" s="596"/>
      <c r="F109" s="559"/>
      <c r="G109" s="559"/>
      <c r="H109" s="559"/>
      <c r="I109" s="597"/>
      <c r="J109" s="593"/>
      <c r="K109" s="559"/>
      <c r="L109" s="559"/>
      <c r="M109" s="597"/>
      <c r="N109" s="614"/>
      <c r="O109" s="401"/>
    </row>
    <row r="110" spans="1:15" hidden="1">
      <c r="A110" s="401"/>
      <c r="B110" s="604" t="str">
        <f t="shared" si="4"/>
        <v/>
      </c>
      <c r="C110" s="558"/>
      <c r="D110" s="605"/>
      <c r="E110" s="596"/>
      <c r="F110" s="559"/>
      <c r="G110" s="559"/>
      <c r="H110" s="559"/>
      <c r="I110" s="597"/>
      <c r="J110" s="593"/>
      <c r="K110" s="559"/>
      <c r="L110" s="559"/>
      <c r="M110" s="597"/>
      <c r="N110" s="614"/>
      <c r="O110" s="401"/>
    </row>
    <row r="111" spans="1:15" hidden="1">
      <c r="A111" s="401"/>
      <c r="B111" s="604" t="str">
        <f t="shared" si="4"/>
        <v/>
      </c>
      <c r="C111" s="558"/>
      <c r="D111" s="605"/>
      <c r="E111" s="596"/>
      <c r="F111" s="559"/>
      <c r="G111" s="559"/>
      <c r="H111" s="559"/>
      <c r="I111" s="597"/>
      <c r="J111" s="593"/>
      <c r="K111" s="559"/>
      <c r="L111" s="559"/>
      <c r="M111" s="597"/>
      <c r="N111" s="614"/>
      <c r="O111" s="401"/>
    </row>
    <row r="112" spans="1:15" hidden="1">
      <c r="A112" s="401"/>
      <c r="B112" s="604" t="str">
        <f t="shared" si="4"/>
        <v/>
      </c>
      <c r="C112" s="558"/>
      <c r="D112" s="605"/>
      <c r="E112" s="596"/>
      <c r="F112" s="559"/>
      <c r="G112" s="559"/>
      <c r="H112" s="559"/>
      <c r="I112" s="597"/>
      <c r="J112" s="593"/>
      <c r="K112" s="559"/>
      <c r="L112" s="559"/>
      <c r="M112" s="597"/>
      <c r="N112" s="614"/>
      <c r="O112" s="401"/>
    </row>
    <row r="113" spans="1:15" hidden="1">
      <c r="A113" s="401"/>
      <c r="B113" s="604" t="str">
        <f t="shared" si="4"/>
        <v/>
      </c>
      <c r="C113" s="558"/>
      <c r="D113" s="605"/>
      <c r="E113" s="596"/>
      <c r="F113" s="559"/>
      <c r="G113" s="559"/>
      <c r="H113" s="559"/>
      <c r="I113" s="597"/>
      <c r="J113" s="593"/>
      <c r="K113" s="559"/>
      <c r="L113" s="559"/>
      <c r="M113" s="597"/>
      <c r="N113" s="614"/>
      <c r="O113" s="401"/>
    </row>
    <row r="114" spans="1:15" hidden="1">
      <c r="A114" s="401"/>
      <c r="B114" s="604" t="str">
        <f t="shared" si="4"/>
        <v/>
      </c>
      <c r="C114" s="558"/>
      <c r="D114" s="605"/>
      <c r="E114" s="596"/>
      <c r="F114" s="559"/>
      <c r="G114" s="559"/>
      <c r="H114" s="559"/>
      <c r="I114" s="597"/>
      <c r="J114" s="593"/>
      <c r="K114" s="559"/>
      <c r="L114" s="559"/>
      <c r="M114" s="597"/>
      <c r="N114" s="614"/>
      <c r="O114" s="401"/>
    </row>
    <row r="115" spans="1:15" hidden="1">
      <c r="A115" s="401"/>
      <c r="B115" s="604" t="str">
        <f t="shared" si="4"/>
        <v/>
      </c>
      <c r="C115" s="558"/>
      <c r="D115" s="605"/>
      <c r="E115" s="596"/>
      <c r="F115" s="559"/>
      <c r="G115" s="559"/>
      <c r="H115" s="559"/>
      <c r="I115" s="597"/>
      <c r="J115" s="593"/>
      <c r="K115" s="559"/>
      <c r="L115" s="559"/>
      <c r="M115" s="597"/>
      <c r="N115" s="614"/>
      <c r="O115" s="401"/>
    </row>
    <row r="116" spans="1:15" hidden="1">
      <c r="A116" s="401"/>
      <c r="B116" s="604" t="str">
        <f t="shared" si="4"/>
        <v/>
      </c>
      <c r="C116" s="558"/>
      <c r="D116" s="605"/>
      <c r="E116" s="596"/>
      <c r="F116" s="559"/>
      <c r="G116" s="559"/>
      <c r="H116" s="559"/>
      <c r="I116" s="597"/>
      <c r="J116" s="593"/>
      <c r="K116" s="559"/>
      <c r="L116" s="559"/>
      <c r="M116" s="597"/>
      <c r="N116" s="614"/>
      <c r="O116" s="401"/>
    </row>
    <row r="117" spans="1:15" hidden="1">
      <c r="A117" s="401"/>
      <c r="B117" s="604" t="str">
        <f t="shared" si="4"/>
        <v/>
      </c>
      <c r="C117" s="558"/>
      <c r="D117" s="605"/>
      <c r="E117" s="596"/>
      <c r="F117" s="559"/>
      <c r="G117" s="559"/>
      <c r="H117" s="559"/>
      <c r="I117" s="597"/>
      <c r="J117" s="593"/>
      <c r="K117" s="559"/>
      <c r="L117" s="559"/>
      <c r="M117" s="597"/>
      <c r="N117" s="614"/>
      <c r="O117" s="401"/>
    </row>
    <row r="118" spans="1:15" hidden="1">
      <c r="A118" s="401"/>
      <c r="B118" s="604" t="str">
        <f t="shared" si="4"/>
        <v/>
      </c>
      <c r="C118" s="558"/>
      <c r="D118" s="605"/>
      <c r="E118" s="596"/>
      <c r="F118" s="559"/>
      <c r="G118" s="559"/>
      <c r="H118" s="559"/>
      <c r="I118" s="597"/>
      <c r="J118" s="593"/>
      <c r="K118" s="559"/>
      <c r="L118" s="559"/>
      <c r="M118" s="597"/>
      <c r="N118" s="614"/>
      <c r="O118" s="401"/>
    </row>
    <row r="119" spans="1:15" hidden="1">
      <c r="A119" s="401"/>
      <c r="B119" s="604" t="str">
        <f t="shared" si="4"/>
        <v/>
      </c>
      <c r="C119" s="558"/>
      <c r="D119" s="605"/>
      <c r="E119" s="596"/>
      <c r="F119" s="559"/>
      <c r="G119" s="559"/>
      <c r="H119" s="559"/>
      <c r="I119" s="597"/>
      <c r="J119" s="593"/>
      <c r="K119" s="559"/>
      <c r="L119" s="559"/>
      <c r="M119" s="597"/>
      <c r="N119" s="614"/>
      <c r="O119" s="401"/>
    </row>
    <row r="120" spans="1:15" hidden="1">
      <c r="A120" s="401"/>
      <c r="B120" s="604" t="str">
        <f t="shared" si="4"/>
        <v/>
      </c>
      <c r="C120" s="558"/>
      <c r="D120" s="605"/>
      <c r="E120" s="596"/>
      <c r="F120" s="559"/>
      <c r="G120" s="559"/>
      <c r="H120" s="559"/>
      <c r="I120" s="597"/>
      <c r="J120" s="593"/>
      <c r="K120" s="559"/>
      <c r="L120" s="559"/>
      <c r="M120" s="597"/>
      <c r="N120" s="614"/>
      <c r="O120" s="401"/>
    </row>
    <row r="121" spans="1:15" hidden="1">
      <c r="A121" s="401"/>
      <c r="B121" s="604" t="str">
        <f t="shared" si="4"/>
        <v/>
      </c>
      <c r="C121" s="558"/>
      <c r="D121" s="605"/>
      <c r="E121" s="596"/>
      <c r="F121" s="559"/>
      <c r="G121" s="559"/>
      <c r="H121" s="559"/>
      <c r="I121" s="597"/>
      <c r="J121" s="593"/>
      <c r="K121" s="559"/>
      <c r="L121" s="559"/>
      <c r="M121" s="597"/>
      <c r="N121" s="614"/>
      <c r="O121" s="401"/>
    </row>
    <row r="122" spans="1:15" hidden="1">
      <c r="A122" s="401"/>
      <c r="B122" s="604" t="str">
        <f t="shared" si="4"/>
        <v/>
      </c>
      <c r="C122" s="558"/>
      <c r="D122" s="605"/>
      <c r="E122" s="596"/>
      <c r="F122" s="559"/>
      <c r="G122" s="559"/>
      <c r="H122" s="559"/>
      <c r="I122" s="597"/>
      <c r="J122" s="593"/>
      <c r="K122" s="559"/>
      <c r="L122" s="559"/>
      <c r="M122" s="597"/>
      <c r="N122" s="614"/>
      <c r="O122" s="401"/>
    </row>
    <row r="123" spans="1:15" hidden="1">
      <c r="A123" s="401"/>
      <c r="B123" s="604" t="str">
        <f t="shared" si="4"/>
        <v/>
      </c>
      <c r="C123" s="558"/>
      <c r="D123" s="605"/>
      <c r="E123" s="596"/>
      <c r="F123" s="559"/>
      <c r="G123" s="559"/>
      <c r="H123" s="559"/>
      <c r="I123" s="597"/>
      <c r="J123" s="593"/>
      <c r="K123" s="559"/>
      <c r="L123" s="559"/>
      <c r="M123" s="597"/>
      <c r="N123" s="614"/>
      <c r="O123" s="401"/>
    </row>
    <row r="124" spans="1:15" hidden="1">
      <c r="A124" s="401"/>
      <c r="B124" s="604" t="str">
        <f t="shared" si="4"/>
        <v/>
      </c>
      <c r="C124" s="558"/>
      <c r="D124" s="605"/>
      <c r="E124" s="596"/>
      <c r="F124" s="559"/>
      <c r="G124" s="559"/>
      <c r="H124" s="559"/>
      <c r="I124" s="597"/>
      <c r="J124" s="593"/>
      <c r="K124" s="559"/>
      <c r="L124" s="559"/>
      <c r="M124" s="597"/>
      <c r="N124" s="614"/>
      <c r="O124" s="401"/>
    </row>
    <row r="125" spans="1:15" hidden="1">
      <c r="A125" s="401"/>
      <c r="B125" s="604" t="str">
        <f t="shared" si="4"/>
        <v/>
      </c>
      <c r="C125" s="558"/>
      <c r="D125" s="605"/>
      <c r="E125" s="596"/>
      <c r="F125" s="559"/>
      <c r="G125" s="559"/>
      <c r="H125" s="559"/>
      <c r="I125" s="597"/>
      <c r="J125" s="593"/>
      <c r="K125" s="559"/>
      <c r="L125" s="559"/>
      <c r="M125" s="597"/>
      <c r="N125" s="614"/>
      <c r="O125" s="401"/>
    </row>
    <row r="126" spans="1:15" hidden="1">
      <c r="A126" s="401"/>
      <c r="B126" s="604" t="str">
        <f t="shared" si="4"/>
        <v/>
      </c>
      <c r="C126" s="558"/>
      <c r="D126" s="605"/>
      <c r="E126" s="596"/>
      <c r="F126" s="559"/>
      <c r="G126" s="559"/>
      <c r="H126" s="559"/>
      <c r="I126" s="597"/>
      <c r="J126" s="593"/>
      <c r="K126" s="559"/>
      <c r="L126" s="559"/>
      <c r="M126" s="597"/>
      <c r="N126" s="614"/>
      <c r="O126" s="401"/>
    </row>
    <row r="127" spans="1:15" hidden="1">
      <c r="A127" s="401"/>
      <c r="B127" s="604" t="str">
        <f t="shared" si="4"/>
        <v/>
      </c>
      <c r="C127" s="558"/>
      <c r="D127" s="605"/>
      <c r="E127" s="596"/>
      <c r="F127" s="559"/>
      <c r="G127" s="559"/>
      <c r="H127" s="559"/>
      <c r="I127" s="597"/>
      <c r="J127" s="593"/>
      <c r="K127" s="559"/>
      <c r="L127" s="559"/>
      <c r="M127" s="597"/>
      <c r="N127" s="614"/>
      <c r="O127" s="401"/>
    </row>
    <row r="128" spans="1:15" hidden="1">
      <c r="A128" s="401"/>
      <c r="B128" s="604" t="str">
        <f t="shared" si="4"/>
        <v/>
      </c>
      <c r="C128" s="558"/>
      <c r="D128" s="605"/>
      <c r="E128" s="596"/>
      <c r="F128" s="559"/>
      <c r="G128" s="559"/>
      <c r="H128" s="559"/>
      <c r="I128" s="597"/>
      <c r="J128" s="593"/>
      <c r="K128" s="559"/>
      <c r="L128" s="559"/>
      <c r="M128" s="597"/>
      <c r="N128" s="614"/>
      <c r="O128" s="401"/>
    </row>
    <row r="129" spans="1:15" hidden="1">
      <c r="A129" s="401"/>
      <c r="B129" s="604" t="str">
        <f t="shared" si="4"/>
        <v/>
      </c>
      <c r="C129" s="558"/>
      <c r="D129" s="605"/>
      <c r="E129" s="596"/>
      <c r="F129" s="559"/>
      <c r="G129" s="559"/>
      <c r="H129" s="559"/>
      <c r="I129" s="597"/>
      <c r="J129" s="593"/>
      <c r="K129" s="559"/>
      <c r="L129" s="559"/>
      <c r="M129" s="597"/>
      <c r="N129" s="614"/>
      <c r="O129" s="401"/>
    </row>
    <row r="130" spans="1:15" hidden="1">
      <c r="A130" s="401"/>
      <c r="B130" s="604" t="str">
        <f t="shared" si="4"/>
        <v/>
      </c>
      <c r="C130" s="558"/>
      <c r="D130" s="605"/>
      <c r="E130" s="596"/>
      <c r="F130" s="559"/>
      <c r="G130" s="559"/>
      <c r="H130" s="559"/>
      <c r="I130" s="597"/>
      <c r="J130" s="593"/>
      <c r="K130" s="559"/>
      <c r="L130" s="559"/>
      <c r="M130" s="597"/>
      <c r="N130" s="614"/>
      <c r="O130" s="401"/>
    </row>
    <row r="131" spans="1:15" hidden="1">
      <c r="A131" s="401"/>
      <c r="B131" s="604" t="str">
        <f t="shared" si="4"/>
        <v/>
      </c>
      <c r="C131" s="558"/>
      <c r="D131" s="605"/>
      <c r="E131" s="596"/>
      <c r="F131" s="559"/>
      <c r="G131" s="559"/>
      <c r="H131" s="559"/>
      <c r="I131" s="597"/>
      <c r="J131" s="593"/>
      <c r="K131" s="559"/>
      <c r="L131" s="559"/>
      <c r="M131" s="597"/>
      <c r="N131" s="614"/>
      <c r="O131" s="401"/>
    </row>
    <row r="132" spans="1:15" hidden="1">
      <c r="A132" s="401"/>
      <c r="B132" s="604" t="str">
        <f t="shared" si="4"/>
        <v/>
      </c>
      <c r="C132" s="558"/>
      <c r="D132" s="605"/>
      <c r="E132" s="596"/>
      <c r="F132" s="559"/>
      <c r="G132" s="559"/>
      <c r="H132" s="559"/>
      <c r="I132" s="597"/>
      <c r="J132" s="593"/>
      <c r="K132" s="559"/>
      <c r="L132" s="559"/>
      <c r="M132" s="597"/>
      <c r="N132" s="614"/>
      <c r="O132" s="401"/>
    </row>
    <row r="133" spans="1:15" hidden="1">
      <c r="A133" s="401"/>
      <c r="B133" s="604" t="str">
        <f t="shared" si="4"/>
        <v/>
      </c>
      <c r="C133" s="558"/>
      <c r="D133" s="605"/>
      <c r="E133" s="596"/>
      <c r="F133" s="559"/>
      <c r="G133" s="559"/>
      <c r="H133" s="559"/>
      <c r="I133" s="597"/>
      <c r="J133" s="593"/>
      <c r="K133" s="559"/>
      <c r="L133" s="559"/>
      <c r="M133" s="597"/>
      <c r="N133" s="614"/>
      <c r="O133" s="401"/>
    </row>
    <row r="134" spans="1:15" hidden="1">
      <c r="A134" s="401"/>
      <c r="B134" s="604" t="str">
        <f t="shared" si="4"/>
        <v/>
      </c>
      <c r="C134" s="558"/>
      <c r="D134" s="605"/>
      <c r="E134" s="596"/>
      <c r="F134" s="559"/>
      <c r="G134" s="559"/>
      <c r="H134" s="559"/>
      <c r="I134" s="597"/>
      <c r="J134" s="593"/>
      <c r="K134" s="559"/>
      <c r="L134" s="559"/>
      <c r="M134" s="597"/>
      <c r="N134" s="614"/>
      <c r="O134" s="401"/>
    </row>
    <row r="135" spans="1:15" hidden="1">
      <c r="A135" s="401"/>
      <c r="B135" s="604" t="str">
        <f t="shared" si="4"/>
        <v/>
      </c>
      <c r="C135" s="558"/>
      <c r="D135" s="605"/>
      <c r="E135" s="596"/>
      <c r="F135" s="559"/>
      <c r="G135" s="559"/>
      <c r="H135" s="559"/>
      <c r="I135" s="597"/>
      <c r="J135" s="593"/>
      <c r="K135" s="559"/>
      <c r="L135" s="559"/>
      <c r="M135" s="597"/>
      <c r="N135" s="614"/>
      <c r="O135" s="401"/>
    </row>
    <row r="136" spans="1:15" hidden="1">
      <c r="A136" s="401"/>
      <c r="B136" s="604" t="str">
        <f t="shared" si="4"/>
        <v/>
      </c>
      <c r="C136" s="558"/>
      <c r="D136" s="605"/>
      <c r="E136" s="596"/>
      <c r="F136" s="559"/>
      <c r="G136" s="559"/>
      <c r="H136" s="559"/>
      <c r="I136" s="597"/>
      <c r="J136" s="593"/>
      <c r="K136" s="559"/>
      <c r="L136" s="559"/>
      <c r="M136" s="597"/>
      <c r="N136" s="614"/>
      <c r="O136" s="401"/>
    </row>
    <row r="137" spans="1:15" hidden="1">
      <c r="A137" s="401"/>
      <c r="B137" s="604" t="str">
        <f t="shared" si="4"/>
        <v/>
      </c>
      <c r="C137" s="558"/>
      <c r="D137" s="605"/>
      <c r="E137" s="596"/>
      <c r="F137" s="559"/>
      <c r="G137" s="559"/>
      <c r="H137" s="559"/>
      <c r="I137" s="597"/>
      <c r="J137" s="593"/>
      <c r="K137" s="559"/>
      <c r="L137" s="559"/>
      <c r="M137" s="597"/>
      <c r="N137" s="614"/>
      <c r="O137" s="401"/>
    </row>
    <row r="138" spans="1:15" hidden="1">
      <c r="A138" s="401"/>
      <c r="B138" s="604" t="str">
        <f t="shared" ref="B138:B201" si="5">IF(C138="","",B137+1)</f>
        <v/>
      </c>
      <c r="C138" s="558"/>
      <c r="D138" s="605"/>
      <c r="E138" s="596"/>
      <c r="F138" s="559"/>
      <c r="G138" s="559"/>
      <c r="H138" s="559"/>
      <c r="I138" s="597"/>
      <c r="J138" s="593"/>
      <c r="K138" s="559"/>
      <c r="L138" s="559"/>
      <c r="M138" s="597"/>
      <c r="N138" s="614"/>
      <c r="O138" s="401"/>
    </row>
    <row r="139" spans="1:15" hidden="1">
      <c r="A139" s="401"/>
      <c r="B139" s="604" t="str">
        <f t="shared" si="5"/>
        <v/>
      </c>
      <c r="C139" s="558"/>
      <c r="D139" s="605"/>
      <c r="E139" s="596"/>
      <c r="F139" s="559"/>
      <c r="G139" s="559"/>
      <c r="H139" s="559"/>
      <c r="I139" s="597"/>
      <c r="J139" s="593"/>
      <c r="K139" s="559"/>
      <c r="L139" s="559"/>
      <c r="M139" s="597"/>
      <c r="N139" s="614"/>
      <c r="O139" s="401"/>
    </row>
    <row r="140" spans="1:15" hidden="1">
      <c r="A140" s="401"/>
      <c r="B140" s="604" t="str">
        <f t="shared" si="5"/>
        <v/>
      </c>
      <c r="C140" s="558"/>
      <c r="D140" s="605"/>
      <c r="E140" s="596"/>
      <c r="F140" s="559"/>
      <c r="G140" s="559"/>
      <c r="H140" s="559"/>
      <c r="I140" s="597"/>
      <c r="J140" s="593"/>
      <c r="K140" s="559"/>
      <c r="L140" s="559"/>
      <c r="M140" s="597"/>
      <c r="N140" s="614"/>
      <c r="O140" s="401"/>
    </row>
    <row r="141" spans="1:15" hidden="1">
      <c r="A141" s="401"/>
      <c r="B141" s="604" t="str">
        <f t="shared" si="5"/>
        <v/>
      </c>
      <c r="C141" s="558"/>
      <c r="D141" s="605"/>
      <c r="E141" s="596"/>
      <c r="F141" s="559"/>
      <c r="G141" s="559"/>
      <c r="H141" s="559"/>
      <c r="I141" s="597"/>
      <c r="J141" s="593"/>
      <c r="K141" s="559"/>
      <c r="L141" s="559"/>
      <c r="M141" s="597"/>
      <c r="N141" s="614"/>
      <c r="O141" s="401"/>
    </row>
    <row r="142" spans="1:15" hidden="1">
      <c r="A142" s="401"/>
      <c r="B142" s="604" t="str">
        <f t="shared" si="5"/>
        <v/>
      </c>
      <c r="C142" s="558"/>
      <c r="D142" s="605"/>
      <c r="E142" s="596"/>
      <c r="F142" s="559"/>
      <c r="G142" s="559"/>
      <c r="H142" s="559"/>
      <c r="I142" s="597"/>
      <c r="J142" s="593"/>
      <c r="K142" s="559"/>
      <c r="L142" s="559"/>
      <c r="M142" s="597"/>
      <c r="N142" s="614"/>
      <c r="O142" s="401"/>
    </row>
    <row r="143" spans="1:15" hidden="1">
      <c r="A143" s="401"/>
      <c r="B143" s="604" t="str">
        <f t="shared" si="5"/>
        <v/>
      </c>
      <c r="C143" s="558"/>
      <c r="D143" s="605"/>
      <c r="E143" s="596"/>
      <c r="F143" s="559"/>
      <c r="G143" s="559"/>
      <c r="H143" s="559"/>
      <c r="I143" s="597"/>
      <c r="J143" s="593"/>
      <c r="K143" s="559"/>
      <c r="L143" s="559"/>
      <c r="M143" s="597"/>
      <c r="N143" s="614"/>
      <c r="O143" s="401"/>
    </row>
    <row r="144" spans="1:15" hidden="1">
      <c r="A144" s="401"/>
      <c r="B144" s="604" t="str">
        <f t="shared" si="5"/>
        <v/>
      </c>
      <c r="C144" s="558"/>
      <c r="D144" s="605"/>
      <c r="E144" s="596"/>
      <c r="F144" s="559"/>
      <c r="G144" s="559"/>
      <c r="H144" s="559"/>
      <c r="I144" s="597"/>
      <c r="J144" s="593"/>
      <c r="K144" s="559"/>
      <c r="L144" s="559"/>
      <c r="M144" s="597"/>
      <c r="N144" s="614"/>
      <c r="O144" s="401"/>
    </row>
    <row r="145" spans="1:15" hidden="1">
      <c r="A145" s="401"/>
      <c r="B145" s="604" t="str">
        <f t="shared" si="5"/>
        <v/>
      </c>
      <c r="C145" s="558"/>
      <c r="D145" s="605"/>
      <c r="E145" s="596"/>
      <c r="F145" s="559"/>
      <c r="G145" s="559"/>
      <c r="H145" s="559"/>
      <c r="I145" s="597"/>
      <c r="J145" s="593"/>
      <c r="K145" s="559"/>
      <c r="L145" s="559"/>
      <c r="M145" s="597"/>
      <c r="N145" s="614"/>
      <c r="O145" s="401"/>
    </row>
    <row r="146" spans="1:15" hidden="1">
      <c r="A146" s="401"/>
      <c r="B146" s="604" t="str">
        <f t="shared" si="5"/>
        <v/>
      </c>
      <c r="C146" s="558"/>
      <c r="D146" s="605"/>
      <c r="E146" s="596"/>
      <c r="F146" s="559"/>
      <c r="G146" s="559"/>
      <c r="H146" s="559"/>
      <c r="I146" s="597"/>
      <c r="J146" s="593"/>
      <c r="K146" s="559"/>
      <c r="L146" s="559"/>
      <c r="M146" s="597"/>
      <c r="N146" s="614"/>
      <c r="O146" s="401"/>
    </row>
    <row r="147" spans="1:15" hidden="1">
      <c r="A147" s="401"/>
      <c r="B147" s="604" t="str">
        <f t="shared" si="5"/>
        <v/>
      </c>
      <c r="C147" s="558"/>
      <c r="D147" s="605"/>
      <c r="E147" s="596"/>
      <c r="F147" s="559"/>
      <c r="G147" s="559"/>
      <c r="H147" s="559"/>
      <c r="I147" s="597"/>
      <c r="J147" s="593"/>
      <c r="K147" s="559"/>
      <c r="L147" s="559"/>
      <c r="M147" s="597"/>
      <c r="N147" s="614"/>
      <c r="O147" s="401"/>
    </row>
    <row r="148" spans="1:15" hidden="1">
      <c r="A148" s="401"/>
      <c r="B148" s="604" t="str">
        <f t="shared" si="5"/>
        <v/>
      </c>
      <c r="C148" s="558"/>
      <c r="D148" s="605"/>
      <c r="E148" s="596"/>
      <c r="F148" s="559"/>
      <c r="G148" s="559"/>
      <c r="H148" s="559"/>
      <c r="I148" s="597"/>
      <c r="J148" s="593"/>
      <c r="K148" s="559"/>
      <c r="L148" s="559"/>
      <c r="M148" s="597"/>
      <c r="N148" s="614"/>
      <c r="O148" s="401"/>
    </row>
    <row r="149" spans="1:15" hidden="1">
      <c r="A149" s="401"/>
      <c r="B149" s="604" t="str">
        <f t="shared" si="5"/>
        <v/>
      </c>
      <c r="C149" s="558"/>
      <c r="D149" s="605"/>
      <c r="E149" s="596"/>
      <c r="F149" s="559"/>
      <c r="G149" s="559"/>
      <c r="H149" s="559"/>
      <c r="I149" s="597"/>
      <c r="J149" s="593"/>
      <c r="K149" s="559"/>
      <c r="L149" s="559"/>
      <c r="M149" s="597"/>
      <c r="N149" s="614"/>
      <c r="O149" s="401"/>
    </row>
    <row r="150" spans="1:15" hidden="1">
      <c r="A150" s="401"/>
      <c r="B150" s="604" t="str">
        <f t="shared" si="5"/>
        <v/>
      </c>
      <c r="C150" s="558"/>
      <c r="D150" s="605"/>
      <c r="E150" s="596"/>
      <c r="F150" s="559"/>
      <c r="G150" s="559"/>
      <c r="H150" s="559"/>
      <c r="I150" s="597"/>
      <c r="J150" s="593"/>
      <c r="K150" s="559"/>
      <c r="L150" s="559"/>
      <c r="M150" s="597"/>
      <c r="N150" s="614"/>
      <c r="O150" s="401"/>
    </row>
    <row r="151" spans="1:15" hidden="1">
      <c r="A151" s="401"/>
      <c r="B151" s="604" t="str">
        <f t="shared" si="5"/>
        <v/>
      </c>
      <c r="C151" s="558"/>
      <c r="D151" s="605"/>
      <c r="E151" s="596"/>
      <c r="F151" s="559"/>
      <c r="G151" s="559"/>
      <c r="H151" s="559"/>
      <c r="I151" s="597"/>
      <c r="J151" s="593"/>
      <c r="K151" s="559"/>
      <c r="L151" s="559"/>
      <c r="M151" s="597"/>
      <c r="N151" s="614"/>
      <c r="O151" s="401"/>
    </row>
    <row r="152" spans="1:15" hidden="1">
      <c r="A152" s="401"/>
      <c r="B152" s="604" t="str">
        <f t="shared" si="5"/>
        <v/>
      </c>
      <c r="C152" s="558"/>
      <c r="D152" s="605"/>
      <c r="E152" s="596"/>
      <c r="F152" s="559"/>
      <c r="G152" s="559"/>
      <c r="H152" s="559"/>
      <c r="I152" s="597"/>
      <c r="J152" s="593"/>
      <c r="K152" s="559"/>
      <c r="L152" s="559"/>
      <c r="M152" s="597"/>
      <c r="N152" s="614"/>
      <c r="O152" s="401"/>
    </row>
    <row r="153" spans="1:15" hidden="1">
      <c r="A153" s="401"/>
      <c r="B153" s="604" t="str">
        <f t="shared" si="5"/>
        <v/>
      </c>
      <c r="C153" s="558"/>
      <c r="D153" s="605"/>
      <c r="E153" s="596"/>
      <c r="F153" s="559"/>
      <c r="G153" s="559"/>
      <c r="H153" s="559"/>
      <c r="I153" s="597"/>
      <c r="J153" s="593"/>
      <c r="K153" s="559"/>
      <c r="L153" s="559"/>
      <c r="M153" s="597"/>
      <c r="N153" s="614"/>
      <c r="O153" s="401"/>
    </row>
    <row r="154" spans="1:15" hidden="1">
      <c r="A154" s="401"/>
      <c r="B154" s="604" t="str">
        <f t="shared" si="5"/>
        <v/>
      </c>
      <c r="C154" s="558"/>
      <c r="D154" s="605"/>
      <c r="E154" s="596"/>
      <c r="F154" s="559"/>
      <c r="G154" s="559"/>
      <c r="H154" s="559"/>
      <c r="I154" s="597"/>
      <c r="J154" s="593"/>
      <c r="K154" s="559"/>
      <c r="L154" s="559"/>
      <c r="M154" s="597"/>
      <c r="N154" s="614"/>
      <c r="O154" s="401"/>
    </row>
    <row r="155" spans="1:15" hidden="1">
      <c r="A155" s="401"/>
      <c r="B155" s="604" t="str">
        <f t="shared" si="5"/>
        <v/>
      </c>
      <c r="C155" s="558"/>
      <c r="D155" s="605"/>
      <c r="E155" s="596"/>
      <c r="F155" s="559"/>
      <c r="G155" s="559"/>
      <c r="H155" s="559"/>
      <c r="I155" s="597"/>
      <c r="J155" s="593"/>
      <c r="K155" s="559"/>
      <c r="L155" s="559"/>
      <c r="M155" s="597"/>
      <c r="N155" s="614"/>
      <c r="O155" s="401"/>
    </row>
    <row r="156" spans="1:15" hidden="1">
      <c r="A156" s="401"/>
      <c r="B156" s="604" t="str">
        <f t="shared" si="5"/>
        <v/>
      </c>
      <c r="C156" s="558"/>
      <c r="D156" s="605"/>
      <c r="E156" s="596"/>
      <c r="F156" s="559"/>
      <c r="G156" s="559"/>
      <c r="H156" s="559"/>
      <c r="I156" s="597"/>
      <c r="J156" s="593"/>
      <c r="K156" s="559"/>
      <c r="L156" s="559"/>
      <c r="M156" s="597"/>
      <c r="N156" s="614"/>
      <c r="O156" s="401"/>
    </row>
    <row r="157" spans="1:15" hidden="1">
      <c r="A157" s="401"/>
      <c r="B157" s="604" t="str">
        <f t="shared" si="5"/>
        <v/>
      </c>
      <c r="C157" s="558"/>
      <c r="D157" s="605"/>
      <c r="E157" s="596"/>
      <c r="F157" s="559"/>
      <c r="G157" s="559"/>
      <c r="H157" s="559"/>
      <c r="I157" s="597"/>
      <c r="J157" s="593"/>
      <c r="K157" s="559"/>
      <c r="L157" s="559"/>
      <c r="M157" s="597"/>
      <c r="N157" s="614"/>
      <c r="O157" s="401"/>
    </row>
    <row r="158" spans="1:15" hidden="1">
      <c r="A158" s="401"/>
      <c r="B158" s="604" t="str">
        <f t="shared" si="5"/>
        <v/>
      </c>
      <c r="C158" s="558"/>
      <c r="D158" s="605"/>
      <c r="E158" s="596"/>
      <c r="F158" s="559"/>
      <c r="G158" s="559"/>
      <c r="H158" s="559"/>
      <c r="I158" s="597"/>
      <c r="J158" s="593"/>
      <c r="K158" s="559"/>
      <c r="L158" s="559"/>
      <c r="M158" s="597"/>
      <c r="N158" s="614"/>
      <c r="O158" s="401"/>
    </row>
    <row r="159" spans="1:15" hidden="1">
      <c r="A159" s="401"/>
      <c r="B159" s="604" t="str">
        <f t="shared" si="5"/>
        <v/>
      </c>
      <c r="C159" s="558"/>
      <c r="D159" s="605"/>
      <c r="E159" s="596"/>
      <c r="F159" s="559"/>
      <c r="G159" s="559"/>
      <c r="H159" s="559"/>
      <c r="I159" s="597"/>
      <c r="J159" s="593"/>
      <c r="K159" s="559"/>
      <c r="L159" s="559"/>
      <c r="M159" s="597"/>
      <c r="N159" s="614"/>
      <c r="O159" s="401"/>
    </row>
    <row r="160" spans="1:15" hidden="1">
      <c r="A160" s="401"/>
      <c r="B160" s="604" t="str">
        <f t="shared" si="5"/>
        <v/>
      </c>
      <c r="C160" s="558"/>
      <c r="D160" s="605"/>
      <c r="E160" s="596"/>
      <c r="F160" s="559"/>
      <c r="G160" s="559"/>
      <c r="H160" s="559"/>
      <c r="I160" s="597"/>
      <c r="J160" s="593"/>
      <c r="K160" s="559"/>
      <c r="L160" s="559"/>
      <c r="M160" s="597"/>
      <c r="N160" s="614"/>
      <c r="O160" s="401"/>
    </row>
    <row r="161" spans="1:15" hidden="1">
      <c r="A161" s="401"/>
      <c r="B161" s="604" t="str">
        <f t="shared" si="5"/>
        <v/>
      </c>
      <c r="C161" s="558"/>
      <c r="D161" s="605"/>
      <c r="E161" s="596"/>
      <c r="F161" s="559"/>
      <c r="G161" s="559"/>
      <c r="H161" s="559"/>
      <c r="I161" s="597"/>
      <c r="J161" s="593"/>
      <c r="K161" s="559"/>
      <c r="L161" s="559"/>
      <c r="M161" s="597"/>
      <c r="N161" s="614"/>
      <c r="O161" s="401"/>
    </row>
    <row r="162" spans="1:15" hidden="1">
      <c r="A162" s="401"/>
      <c r="B162" s="604" t="str">
        <f t="shared" si="5"/>
        <v/>
      </c>
      <c r="C162" s="558"/>
      <c r="D162" s="605"/>
      <c r="E162" s="596"/>
      <c r="F162" s="559"/>
      <c r="G162" s="559"/>
      <c r="H162" s="559"/>
      <c r="I162" s="597"/>
      <c r="J162" s="593"/>
      <c r="K162" s="559"/>
      <c r="L162" s="559"/>
      <c r="M162" s="597"/>
      <c r="N162" s="614"/>
      <c r="O162" s="401"/>
    </row>
    <row r="163" spans="1:15" hidden="1">
      <c r="A163" s="401"/>
      <c r="B163" s="604" t="str">
        <f t="shared" si="5"/>
        <v/>
      </c>
      <c r="C163" s="558"/>
      <c r="D163" s="605"/>
      <c r="E163" s="596"/>
      <c r="F163" s="559"/>
      <c r="G163" s="559"/>
      <c r="H163" s="559"/>
      <c r="I163" s="597"/>
      <c r="J163" s="593"/>
      <c r="K163" s="559"/>
      <c r="L163" s="559"/>
      <c r="M163" s="597"/>
      <c r="N163" s="614"/>
      <c r="O163" s="401"/>
    </row>
    <row r="164" spans="1:15" hidden="1">
      <c r="A164" s="401"/>
      <c r="B164" s="604" t="str">
        <f t="shared" si="5"/>
        <v/>
      </c>
      <c r="C164" s="558"/>
      <c r="D164" s="605"/>
      <c r="E164" s="596"/>
      <c r="F164" s="559"/>
      <c r="G164" s="559"/>
      <c r="H164" s="559"/>
      <c r="I164" s="597"/>
      <c r="J164" s="593"/>
      <c r="K164" s="559"/>
      <c r="L164" s="559"/>
      <c r="M164" s="597"/>
      <c r="N164" s="614"/>
      <c r="O164" s="401"/>
    </row>
    <row r="165" spans="1:15" hidden="1">
      <c r="A165" s="401"/>
      <c r="B165" s="604" t="str">
        <f t="shared" si="5"/>
        <v/>
      </c>
      <c r="C165" s="558"/>
      <c r="D165" s="605"/>
      <c r="E165" s="596"/>
      <c r="F165" s="559"/>
      <c r="G165" s="559"/>
      <c r="H165" s="559"/>
      <c r="I165" s="597"/>
      <c r="J165" s="593"/>
      <c r="K165" s="559"/>
      <c r="L165" s="559"/>
      <c r="M165" s="597"/>
      <c r="N165" s="614"/>
      <c r="O165" s="401"/>
    </row>
    <row r="166" spans="1:15" hidden="1">
      <c r="A166" s="401"/>
      <c r="B166" s="604" t="str">
        <f t="shared" si="5"/>
        <v/>
      </c>
      <c r="C166" s="558"/>
      <c r="D166" s="605"/>
      <c r="E166" s="596"/>
      <c r="F166" s="559"/>
      <c r="G166" s="559"/>
      <c r="H166" s="559"/>
      <c r="I166" s="597"/>
      <c r="J166" s="593"/>
      <c r="K166" s="559"/>
      <c r="L166" s="559"/>
      <c r="M166" s="597"/>
      <c r="N166" s="614"/>
      <c r="O166" s="401"/>
    </row>
    <row r="167" spans="1:15" hidden="1">
      <c r="A167" s="401"/>
      <c r="B167" s="604" t="str">
        <f t="shared" si="5"/>
        <v/>
      </c>
      <c r="C167" s="558"/>
      <c r="D167" s="605"/>
      <c r="E167" s="596"/>
      <c r="F167" s="559"/>
      <c r="G167" s="559"/>
      <c r="H167" s="559"/>
      <c r="I167" s="597"/>
      <c r="J167" s="593"/>
      <c r="K167" s="559"/>
      <c r="L167" s="559"/>
      <c r="M167" s="597"/>
      <c r="N167" s="614"/>
      <c r="O167" s="401"/>
    </row>
    <row r="168" spans="1:15" hidden="1">
      <c r="A168" s="401"/>
      <c r="B168" s="604" t="str">
        <f t="shared" si="5"/>
        <v/>
      </c>
      <c r="C168" s="558"/>
      <c r="D168" s="605"/>
      <c r="E168" s="596"/>
      <c r="F168" s="559"/>
      <c r="G168" s="559"/>
      <c r="H168" s="559"/>
      <c r="I168" s="597"/>
      <c r="J168" s="593"/>
      <c r="K168" s="559"/>
      <c r="L168" s="559"/>
      <c r="M168" s="597"/>
      <c r="N168" s="614"/>
      <c r="O168" s="401"/>
    </row>
    <row r="169" spans="1:15" hidden="1">
      <c r="A169" s="401"/>
      <c r="B169" s="604" t="str">
        <f t="shared" si="5"/>
        <v/>
      </c>
      <c r="C169" s="558"/>
      <c r="D169" s="605"/>
      <c r="E169" s="596"/>
      <c r="F169" s="559"/>
      <c r="G169" s="559"/>
      <c r="H169" s="559"/>
      <c r="I169" s="597"/>
      <c r="J169" s="593"/>
      <c r="K169" s="559"/>
      <c r="L169" s="559"/>
      <c r="M169" s="597"/>
      <c r="N169" s="614"/>
      <c r="O169" s="401"/>
    </row>
    <row r="170" spans="1:15" hidden="1">
      <c r="A170" s="401"/>
      <c r="B170" s="604" t="str">
        <f t="shared" si="5"/>
        <v/>
      </c>
      <c r="C170" s="558"/>
      <c r="D170" s="605"/>
      <c r="E170" s="596"/>
      <c r="F170" s="559"/>
      <c r="G170" s="559"/>
      <c r="H170" s="559"/>
      <c r="I170" s="597"/>
      <c r="J170" s="593"/>
      <c r="K170" s="559"/>
      <c r="L170" s="559"/>
      <c r="M170" s="597"/>
      <c r="N170" s="614"/>
      <c r="O170" s="401"/>
    </row>
    <row r="171" spans="1:15" hidden="1">
      <c r="A171" s="401"/>
      <c r="B171" s="604" t="str">
        <f t="shared" si="5"/>
        <v/>
      </c>
      <c r="C171" s="558"/>
      <c r="D171" s="605"/>
      <c r="E171" s="596"/>
      <c r="F171" s="559"/>
      <c r="G171" s="559"/>
      <c r="H171" s="559"/>
      <c r="I171" s="597"/>
      <c r="J171" s="593"/>
      <c r="K171" s="559"/>
      <c r="L171" s="559"/>
      <c r="M171" s="597"/>
      <c r="N171" s="614"/>
      <c r="O171" s="401"/>
    </row>
    <row r="172" spans="1:15" hidden="1">
      <c r="A172" s="401"/>
      <c r="B172" s="604" t="str">
        <f t="shared" si="5"/>
        <v/>
      </c>
      <c r="C172" s="558"/>
      <c r="D172" s="605"/>
      <c r="E172" s="596"/>
      <c r="F172" s="559"/>
      <c r="G172" s="559"/>
      <c r="H172" s="559"/>
      <c r="I172" s="597"/>
      <c r="J172" s="593"/>
      <c r="K172" s="559"/>
      <c r="L172" s="559"/>
      <c r="M172" s="597"/>
      <c r="N172" s="614"/>
      <c r="O172" s="401"/>
    </row>
    <row r="173" spans="1:15" hidden="1">
      <c r="A173" s="401"/>
      <c r="B173" s="604" t="str">
        <f t="shared" si="5"/>
        <v/>
      </c>
      <c r="C173" s="558"/>
      <c r="D173" s="605"/>
      <c r="E173" s="596"/>
      <c r="F173" s="559"/>
      <c r="G173" s="559"/>
      <c r="H173" s="559"/>
      <c r="I173" s="597"/>
      <c r="J173" s="593"/>
      <c r="K173" s="559"/>
      <c r="L173" s="559"/>
      <c r="M173" s="597"/>
      <c r="N173" s="614"/>
      <c r="O173" s="401"/>
    </row>
    <row r="174" spans="1:15" hidden="1">
      <c r="A174" s="401"/>
      <c r="B174" s="604" t="str">
        <f t="shared" si="5"/>
        <v/>
      </c>
      <c r="C174" s="558"/>
      <c r="D174" s="605"/>
      <c r="E174" s="596"/>
      <c r="F174" s="559"/>
      <c r="G174" s="559"/>
      <c r="H174" s="559"/>
      <c r="I174" s="597"/>
      <c r="J174" s="593"/>
      <c r="K174" s="559"/>
      <c r="L174" s="559"/>
      <c r="M174" s="597"/>
      <c r="N174" s="614"/>
      <c r="O174" s="401"/>
    </row>
    <row r="175" spans="1:15" hidden="1">
      <c r="A175" s="401"/>
      <c r="B175" s="604" t="str">
        <f t="shared" si="5"/>
        <v/>
      </c>
      <c r="C175" s="558"/>
      <c r="D175" s="605"/>
      <c r="E175" s="596"/>
      <c r="F175" s="559"/>
      <c r="G175" s="559"/>
      <c r="H175" s="559"/>
      <c r="I175" s="597"/>
      <c r="J175" s="593"/>
      <c r="K175" s="559"/>
      <c r="L175" s="559"/>
      <c r="M175" s="597"/>
      <c r="N175" s="614"/>
      <c r="O175" s="401"/>
    </row>
    <row r="176" spans="1:15" hidden="1">
      <c r="A176" s="401"/>
      <c r="B176" s="604" t="str">
        <f t="shared" si="5"/>
        <v/>
      </c>
      <c r="C176" s="558"/>
      <c r="D176" s="605"/>
      <c r="E176" s="596"/>
      <c r="F176" s="559"/>
      <c r="G176" s="559"/>
      <c r="H176" s="559"/>
      <c r="I176" s="597"/>
      <c r="J176" s="593"/>
      <c r="K176" s="559"/>
      <c r="L176" s="559"/>
      <c r="M176" s="597"/>
      <c r="N176" s="614"/>
      <c r="O176" s="401"/>
    </row>
    <row r="177" spans="1:15" hidden="1">
      <c r="A177" s="401"/>
      <c r="B177" s="604" t="str">
        <f t="shared" si="5"/>
        <v/>
      </c>
      <c r="C177" s="558"/>
      <c r="D177" s="605"/>
      <c r="E177" s="596"/>
      <c r="F177" s="559"/>
      <c r="G177" s="559"/>
      <c r="H177" s="559"/>
      <c r="I177" s="597"/>
      <c r="J177" s="593"/>
      <c r="K177" s="559"/>
      <c r="L177" s="559"/>
      <c r="M177" s="597"/>
      <c r="N177" s="614"/>
      <c r="O177" s="401"/>
    </row>
    <row r="178" spans="1:15" hidden="1">
      <c r="A178" s="401"/>
      <c r="B178" s="604" t="str">
        <f t="shared" si="5"/>
        <v/>
      </c>
      <c r="C178" s="558"/>
      <c r="D178" s="605"/>
      <c r="E178" s="596"/>
      <c r="F178" s="559"/>
      <c r="G178" s="559"/>
      <c r="H178" s="559"/>
      <c r="I178" s="597"/>
      <c r="J178" s="593"/>
      <c r="K178" s="559"/>
      <c r="L178" s="559"/>
      <c r="M178" s="597"/>
      <c r="N178" s="614"/>
      <c r="O178" s="401"/>
    </row>
    <row r="179" spans="1:15" hidden="1">
      <c r="A179" s="401"/>
      <c r="B179" s="604" t="str">
        <f t="shared" si="5"/>
        <v/>
      </c>
      <c r="C179" s="558"/>
      <c r="D179" s="605"/>
      <c r="E179" s="596"/>
      <c r="F179" s="559"/>
      <c r="G179" s="559"/>
      <c r="H179" s="559"/>
      <c r="I179" s="597"/>
      <c r="J179" s="593"/>
      <c r="K179" s="559"/>
      <c r="L179" s="559"/>
      <c r="M179" s="597"/>
      <c r="N179" s="614"/>
      <c r="O179" s="401"/>
    </row>
    <row r="180" spans="1:15" hidden="1">
      <c r="A180" s="401"/>
      <c r="B180" s="604" t="str">
        <f t="shared" si="5"/>
        <v/>
      </c>
      <c r="C180" s="558"/>
      <c r="D180" s="605"/>
      <c r="E180" s="596"/>
      <c r="F180" s="559"/>
      <c r="G180" s="559"/>
      <c r="H180" s="559"/>
      <c r="I180" s="597"/>
      <c r="J180" s="593"/>
      <c r="K180" s="559"/>
      <c r="L180" s="559"/>
      <c r="M180" s="597"/>
      <c r="N180" s="614"/>
      <c r="O180" s="401"/>
    </row>
    <row r="181" spans="1:15" hidden="1">
      <c r="A181" s="401"/>
      <c r="B181" s="604" t="str">
        <f t="shared" si="5"/>
        <v/>
      </c>
      <c r="C181" s="558"/>
      <c r="D181" s="605"/>
      <c r="E181" s="596"/>
      <c r="F181" s="559"/>
      <c r="G181" s="559"/>
      <c r="H181" s="559"/>
      <c r="I181" s="597"/>
      <c r="J181" s="593"/>
      <c r="K181" s="559"/>
      <c r="L181" s="559"/>
      <c r="M181" s="597"/>
      <c r="N181" s="614"/>
      <c r="O181" s="401"/>
    </row>
    <row r="182" spans="1:15" hidden="1">
      <c r="A182" s="401"/>
      <c r="B182" s="604" t="str">
        <f t="shared" si="5"/>
        <v/>
      </c>
      <c r="C182" s="558"/>
      <c r="D182" s="605"/>
      <c r="E182" s="596"/>
      <c r="F182" s="559"/>
      <c r="G182" s="559"/>
      <c r="H182" s="559"/>
      <c r="I182" s="597"/>
      <c r="J182" s="593"/>
      <c r="K182" s="559"/>
      <c r="L182" s="559"/>
      <c r="M182" s="597"/>
      <c r="N182" s="614"/>
      <c r="O182" s="401"/>
    </row>
    <row r="183" spans="1:15" hidden="1">
      <c r="A183" s="401"/>
      <c r="B183" s="604" t="str">
        <f t="shared" si="5"/>
        <v/>
      </c>
      <c r="C183" s="558"/>
      <c r="D183" s="605"/>
      <c r="E183" s="596"/>
      <c r="F183" s="559"/>
      <c r="G183" s="559"/>
      <c r="H183" s="559"/>
      <c r="I183" s="597"/>
      <c r="J183" s="593"/>
      <c r="K183" s="559"/>
      <c r="L183" s="559"/>
      <c r="M183" s="597"/>
      <c r="N183" s="614"/>
      <c r="O183" s="401"/>
    </row>
    <row r="184" spans="1:15" hidden="1">
      <c r="A184" s="401"/>
      <c r="B184" s="604" t="str">
        <f t="shared" si="5"/>
        <v/>
      </c>
      <c r="C184" s="558"/>
      <c r="D184" s="605"/>
      <c r="E184" s="596"/>
      <c r="F184" s="559"/>
      <c r="G184" s="559"/>
      <c r="H184" s="559"/>
      <c r="I184" s="597"/>
      <c r="J184" s="593"/>
      <c r="K184" s="559"/>
      <c r="L184" s="559"/>
      <c r="M184" s="597"/>
      <c r="N184" s="614"/>
      <c r="O184" s="401"/>
    </row>
    <row r="185" spans="1:15" hidden="1">
      <c r="A185" s="401"/>
      <c r="B185" s="604" t="str">
        <f t="shared" si="5"/>
        <v/>
      </c>
      <c r="C185" s="558"/>
      <c r="D185" s="605"/>
      <c r="E185" s="596"/>
      <c r="F185" s="559"/>
      <c r="G185" s="559"/>
      <c r="H185" s="559"/>
      <c r="I185" s="597"/>
      <c r="J185" s="593"/>
      <c r="K185" s="559"/>
      <c r="L185" s="559"/>
      <c r="M185" s="597"/>
      <c r="N185" s="614"/>
      <c r="O185" s="401"/>
    </row>
    <row r="186" spans="1:15" hidden="1">
      <c r="A186" s="401"/>
      <c r="B186" s="604" t="str">
        <f t="shared" si="5"/>
        <v/>
      </c>
      <c r="C186" s="558"/>
      <c r="D186" s="605"/>
      <c r="E186" s="596"/>
      <c r="F186" s="559"/>
      <c r="G186" s="559"/>
      <c r="H186" s="559"/>
      <c r="I186" s="597"/>
      <c r="J186" s="593"/>
      <c r="K186" s="559"/>
      <c r="L186" s="559"/>
      <c r="M186" s="597"/>
      <c r="N186" s="614"/>
      <c r="O186" s="401"/>
    </row>
    <row r="187" spans="1:15" hidden="1">
      <c r="A187" s="401"/>
      <c r="B187" s="604" t="str">
        <f t="shared" si="5"/>
        <v/>
      </c>
      <c r="C187" s="558"/>
      <c r="D187" s="605"/>
      <c r="E187" s="596"/>
      <c r="F187" s="559"/>
      <c r="G187" s="559"/>
      <c r="H187" s="559"/>
      <c r="I187" s="597"/>
      <c r="J187" s="593"/>
      <c r="K187" s="559"/>
      <c r="L187" s="559"/>
      <c r="M187" s="597"/>
      <c r="N187" s="614"/>
      <c r="O187" s="401"/>
    </row>
    <row r="188" spans="1:15" hidden="1">
      <c r="A188" s="401"/>
      <c r="B188" s="604" t="str">
        <f t="shared" si="5"/>
        <v/>
      </c>
      <c r="C188" s="558"/>
      <c r="D188" s="605"/>
      <c r="E188" s="596"/>
      <c r="F188" s="559"/>
      <c r="G188" s="559"/>
      <c r="H188" s="559"/>
      <c r="I188" s="597"/>
      <c r="J188" s="593"/>
      <c r="K188" s="559"/>
      <c r="L188" s="559"/>
      <c r="M188" s="597"/>
      <c r="N188" s="614"/>
      <c r="O188" s="401"/>
    </row>
    <row r="189" spans="1:15" hidden="1">
      <c r="A189" s="401"/>
      <c r="B189" s="604" t="str">
        <f t="shared" si="5"/>
        <v/>
      </c>
      <c r="C189" s="558"/>
      <c r="D189" s="605"/>
      <c r="E189" s="596"/>
      <c r="F189" s="559"/>
      <c r="G189" s="559"/>
      <c r="H189" s="559"/>
      <c r="I189" s="597"/>
      <c r="J189" s="593"/>
      <c r="K189" s="559"/>
      <c r="L189" s="559"/>
      <c r="M189" s="597"/>
      <c r="N189" s="614"/>
      <c r="O189" s="401"/>
    </row>
    <row r="190" spans="1:15" hidden="1">
      <c r="A190" s="401"/>
      <c r="B190" s="604" t="str">
        <f t="shared" si="5"/>
        <v/>
      </c>
      <c r="C190" s="558"/>
      <c r="D190" s="605"/>
      <c r="E190" s="596"/>
      <c r="F190" s="559"/>
      <c r="G190" s="559"/>
      <c r="H190" s="559"/>
      <c r="I190" s="597"/>
      <c r="J190" s="593"/>
      <c r="K190" s="559"/>
      <c r="L190" s="559"/>
      <c r="M190" s="597"/>
      <c r="N190" s="614"/>
      <c r="O190" s="401"/>
    </row>
    <row r="191" spans="1:15" hidden="1">
      <c r="A191" s="401"/>
      <c r="B191" s="604" t="str">
        <f t="shared" si="5"/>
        <v/>
      </c>
      <c r="C191" s="558"/>
      <c r="D191" s="605"/>
      <c r="E191" s="596"/>
      <c r="F191" s="559"/>
      <c r="G191" s="559"/>
      <c r="H191" s="559"/>
      <c r="I191" s="597"/>
      <c r="J191" s="593"/>
      <c r="K191" s="559"/>
      <c r="L191" s="559"/>
      <c r="M191" s="597"/>
      <c r="N191" s="614"/>
      <c r="O191" s="401"/>
    </row>
    <row r="192" spans="1:15" hidden="1">
      <c r="A192" s="401"/>
      <c r="B192" s="604" t="str">
        <f t="shared" si="5"/>
        <v/>
      </c>
      <c r="C192" s="558"/>
      <c r="D192" s="605"/>
      <c r="E192" s="596"/>
      <c r="F192" s="559"/>
      <c r="G192" s="559"/>
      <c r="H192" s="559"/>
      <c r="I192" s="597"/>
      <c r="J192" s="593"/>
      <c r="K192" s="559"/>
      <c r="L192" s="559"/>
      <c r="M192" s="597"/>
      <c r="N192" s="614"/>
      <c r="O192" s="401"/>
    </row>
    <row r="193" spans="1:15" hidden="1">
      <c r="A193" s="401"/>
      <c r="B193" s="604" t="str">
        <f t="shared" si="5"/>
        <v/>
      </c>
      <c r="C193" s="558"/>
      <c r="D193" s="605"/>
      <c r="E193" s="596"/>
      <c r="F193" s="559"/>
      <c r="G193" s="559"/>
      <c r="H193" s="559"/>
      <c r="I193" s="597"/>
      <c r="J193" s="593"/>
      <c r="K193" s="559"/>
      <c r="L193" s="559"/>
      <c r="M193" s="597"/>
      <c r="N193" s="614"/>
      <c r="O193" s="401"/>
    </row>
    <row r="194" spans="1:15" hidden="1">
      <c r="A194" s="401"/>
      <c r="B194" s="604" t="str">
        <f t="shared" si="5"/>
        <v/>
      </c>
      <c r="C194" s="558"/>
      <c r="D194" s="605"/>
      <c r="E194" s="596"/>
      <c r="F194" s="559"/>
      <c r="G194" s="559"/>
      <c r="H194" s="559"/>
      <c r="I194" s="597"/>
      <c r="J194" s="593"/>
      <c r="K194" s="559"/>
      <c r="L194" s="559"/>
      <c r="M194" s="597"/>
      <c r="N194" s="614"/>
      <c r="O194" s="401"/>
    </row>
    <row r="195" spans="1:15" hidden="1">
      <c r="A195" s="401"/>
      <c r="B195" s="604" t="str">
        <f t="shared" si="5"/>
        <v/>
      </c>
      <c r="C195" s="558"/>
      <c r="D195" s="605"/>
      <c r="E195" s="596"/>
      <c r="F195" s="559"/>
      <c r="G195" s="559"/>
      <c r="H195" s="559"/>
      <c r="I195" s="597"/>
      <c r="J195" s="593"/>
      <c r="K195" s="559"/>
      <c r="L195" s="559"/>
      <c r="M195" s="597"/>
      <c r="N195" s="614"/>
      <c r="O195" s="401"/>
    </row>
    <row r="196" spans="1:15" hidden="1">
      <c r="A196" s="401"/>
      <c r="B196" s="604" t="str">
        <f t="shared" si="5"/>
        <v/>
      </c>
      <c r="C196" s="558"/>
      <c r="D196" s="605"/>
      <c r="E196" s="596"/>
      <c r="F196" s="559"/>
      <c r="G196" s="559"/>
      <c r="H196" s="559"/>
      <c r="I196" s="597"/>
      <c r="J196" s="593"/>
      <c r="K196" s="559"/>
      <c r="L196" s="559"/>
      <c r="M196" s="597"/>
      <c r="N196" s="614"/>
      <c r="O196" s="401"/>
    </row>
    <row r="197" spans="1:15" hidden="1">
      <c r="A197" s="401"/>
      <c r="B197" s="604" t="str">
        <f t="shared" si="5"/>
        <v/>
      </c>
      <c r="C197" s="558"/>
      <c r="D197" s="605"/>
      <c r="E197" s="596"/>
      <c r="F197" s="559"/>
      <c r="G197" s="559"/>
      <c r="H197" s="559"/>
      <c r="I197" s="597"/>
      <c r="J197" s="593"/>
      <c r="K197" s="559"/>
      <c r="L197" s="559"/>
      <c r="M197" s="597"/>
      <c r="N197" s="614"/>
      <c r="O197" s="401"/>
    </row>
    <row r="198" spans="1:15" hidden="1">
      <c r="A198" s="401"/>
      <c r="B198" s="604" t="str">
        <f t="shared" si="5"/>
        <v/>
      </c>
      <c r="C198" s="558"/>
      <c r="D198" s="605"/>
      <c r="E198" s="596"/>
      <c r="F198" s="559"/>
      <c r="G198" s="559"/>
      <c r="H198" s="559"/>
      <c r="I198" s="597"/>
      <c r="J198" s="593"/>
      <c r="K198" s="559"/>
      <c r="L198" s="559"/>
      <c r="M198" s="597"/>
      <c r="N198" s="614"/>
      <c r="O198" s="401"/>
    </row>
    <row r="199" spans="1:15" hidden="1">
      <c r="A199" s="401"/>
      <c r="B199" s="604" t="str">
        <f t="shared" si="5"/>
        <v/>
      </c>
      <c r="C199" s="558"/>
      <c r="D199" s="605"/>
      <c r="E199" s="596"/>
      <c r="F199" s="559"/>
      <c r="G199" s="559"/>
      <c r="H199" s="559"/>
      <c r="I199" s="597"/>
      <c r="J199" s="593"/>
      <c r="K199" s="559"/>
      <c r="L199" s="559"/>
      <c r="M199" s="597"/>
      <c r="N199" s="614"/>
      <c r="O199" s="401"/>
    </row>
    <row r="200" spans="1:15" hidden="1">
      <c r="A200" s="401"/>
      <c r="B200" s="604" t="str">
        <f t="shared" si="5"/>
        <v/>
      </c>
      <c r="C200" s="558"/>
      <c r="D200" s="605"/>
      <c r="E200" s="596"/>
      <c r="F200" s="559"/>
      <c r="G200" s="559"/>
      <c r="H200" s="559"/>
      <c r="I200" s="597"/>
      <c r="J200" s="593"/>
      <c r="K200" s="559"/>
      <c r="L200" s="559"/>
      <c r="M200" s="597"/>
      <c r="N200" s="614"/>
      <c r="O200" s="401"/>
    </row>
    <row r="201" spans="1:15" hidden="1">
      <c r="A201" s="401"/>
      <c r="B201" s="604" t="str">
        <f t="shared" si="5"/>
        <v/>
      </c>
      <c r="C201" s="558"/>
      <c r="D201" s="605"/>
      <c r="E201" s="596"/>
      <c r="F201" s="559"/>
      <c r="G201" s="559"/>
      <c r="H201" s="559"/>
      <c r="I201" s="597"/>
      <c r="J201" s="593"/>
      <c r="K201" s="559"/>
      <c r="L201" s="559"/>
      <c r="M201" s="597"/>
      <c r="N201" s="614"/>
      <c r="O201" s="401"/>
    </row>
    <row r="202" spans="1:15" hidden="1">
      <c r="A202" s="401"/>
      <c r="B202" s="604" t="str">
        <f t="shared" ref="B202:B205" si="6">IF(C202="","",B201+1)</f>
        <v/>
      </c>
      <c r="C202" s="558"/>
      <c r="D202" s="605"/>
      <c r="E202" s="596"/>
      <c r="F202" s="559"/>
      <c r="G202" s="559"/>
      <c r="H202" s="559"/>
      <c r="I202" s="597"/>
      <c r="J202" s="593"/>
      <c r="K202" s="559"/>
      <c r="L202" s="559"/>
      <c r="M202" s="597"/>
      <c r="N202" s="614"/>
      <c r="O202" s="401"/>
    </row>
    <row r="203" spans="1:15" hidden="1">
      <c r="A203" s="401"/>
      <c r="B203" s="604" t="str">
        <f t="shared" si="6"/>
        <v/>
      </c>
      <c r="C203" s="558"/>
      <c r="D203" s="605"/>
      <c r="E203" s="596"/>
      <c r="F203" s="559"/>
      <c r="G203" s="559"/>
      <c r="H203" s="559"/>
      <c r="I203" s="597"/>
      <c r="J203" s="593"/>
      <c r="K203" s="559"/>
      <c r="L203" s="559"/>
      <c r="M203" s="597"/>
      <c r="N203" s="614"/>
      <c r="O203" s="401"/>
    </row>
    <row r="204" spans="1:15" hidden="1">
      <c r="A204" s="401"/>
      <c r="B204" s="604" t="str">
        <f t="shared" si="6"/>
        <v/>
      </c>
      <c r="C204" s="558"/>
      <c r="D204" s="605"/>
      <c r="E204" s="596"/>
      <c r="F204" s="559"/>
      <c r="G204" s="559"/>
      <c r="H204" s="559"/>
      <c r="I204" s="597"/>
      <c r="J204" s="593"/>
      <c r="K204" s="559"/>
      <c r="L204" s="559"/>
      <c r="M204" s="597"/>
      <c r="N204" s="614"/>
      <c r="O204" s="401"/>
    </row>
    <row r="205" spans="1:15" ht="13.5" hidden="1" thickBot="1">
      <c r="A205" s="401"/>
      <c r="B205" s="606" t="str">
        <f t="shared" si="6"/>
        <v/>
      </c>
      <c r="C205" s="607"/>
      <c r="D205" s="608"/>
      <c r="E205" s="598"/>
      <c r="F205" s="599"/>
      <c r="G205" s="599"/>
      <c r="H205" s="599"/>
      <c r="I205" s="600"/>
      <c r="J205" s="603"/>
      <c r="K205" s="599"/>
      <c r="L205" s="599"/>
      <c r="M205" s="600"/>
      <c r="N205" s="615"/>
      <c r="O205" s="401"/>
    </row>
    <row r="206" spans="1:15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  <c r="K206" s="401"/>
      <c r="L206" s="401"/>
      <c r="M206" s="401"/>
      <c r="N206" s="401"/>
      <c r="O206" s="401"/>
    </row>
  </sheetData>
  <mergeCells count="6">
    <mergeCell ref="B1:N1"/>
    <mergeCell ref="B2:N2"/>
    <mergeCell ref="B3:N3"/>
    <mergeCell ref="B5:D5"/>
    <mergeCell ref="E6:I6"/>
    <mergeCell ref="J6:M6"/>
  </mergeCells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K207"/>
  <sheetViews>
    <sheetView showRowColHeaders="0" workbookViewId="0">
      <selection activeCell="I11" sqref="I11"/>
    </sheetView>
  </sheetViews>
  <sheetFormatPr defaultColWidth="0" defaultRowHeight="12.75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392"/>
    </row>
    <row r="2" spans="1:10" ht="20.25">
      <c r="A2" s="401"/>
      <c r="B2" s="1190" t="s">
        <v>409</v>
      </c>
      <c r="C2" s="1190"/>
      <c r="D2" s="1190"/>
      <c r="E2" s="1190"/>
      <c r="F2" s="1190"/>
      <c r="G2" s="1190"/>
      <c r="H2" s="1190"/>
      <c r="I2" s="1190"/>
      <c r="J2" s="392"/>
    </row>
    <row r="3" spans="1:10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392"/>
    </row>
    <row r="4" spans="1:10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609" t="s">
        <v>412</v>
      </c>
      <c r="J4" s="392"/>
    </row>
    <row r="5" spans="1:10" ht="13.5" thickBot="1">
      <c r="A5" s="401"/>
      <c r="B5" s="1192" t="s">
        <v>69</v>
      </c>
      <c r="C5" s="1192"/>
      <c r="D5" s="1192"/>
      <c r="E5" s="581">
        <f>SUM(E8:E204)</f>
        <v>0</v>
      </c>
      <c r="F5" s="582">
        <f>SUM(F8:F204)</f>
        <v>0</v>
      </c>
      <c r="G5" s="582">
        <f>SUM(G8:G204)</f>
        <v>0</v>
      </c>
      <c r="H5" s="583">
        <f>SUM(H8:H204)</f>
        <v>0</v>
      </c>
      <c r="I5" s="610">
        <f>SUM(I8:I204)</f>
        <v>0</v>
      </c>
      <c r="J5" s="392"/>
    </row>
    <row r="6" spans="1:10" ht="13.5" thickBot="1">
      <c r="A6" s="401"/>
      <c r="B6" s="392"/>
      <c r="C6" s="392"/>
      <c r="D6" s="392"/>
      <c r="E6" s="392"/>
      <c r="F6" s="392"/>
      <c r="G6" s="392"/>
      <c r="H6" s="392"/>
      <c r="I6" s="392"/>
      <c r="J6" s="392"/>
    </row>
    <row r="7" spans="1:10" ht="13.5" thickBot="1">
      <c r="A7" s="401"/>
      <c r="B7" s="586" t="s">
        <v>326</v>
      </c>
      <c r="C7" s="587" t="s">
        <v>224</v>
      </c>
      <c r="D7" s="648" t="s">
        <v>413</v>
      </c>
      <c r="E7" s="586" t="s">
        <v>410</v>
      </c>
      <c r="F7" s="587" t="s">
        <v>8</v>
      </c>
      <c r="G7" s="587" t="s">
        <v>411</v>
      </c>
      <c r="H7" s="588" t="s">
        <v>11</v>
      </c>
      <c r="I7" s="612" t="s">
        <v>412</v>
      </c>
      <c r="J7" s="392"/>
    </row>
    <row r="8" spans="1:10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5">
        <f>[1]MOD_2_volta_aulas!$C$15</f>
        <v>0</v>
      </c>
      <c r="F8" s="643">
        <f>[1]MOD_2_volta_aulas!$G$15</f>
        <v>0</v>
      </c>
      <c r="G8" s="643">
        <f>[1]MOD_2_volta_aulas!$P$15</f>
        <v>0</v>
      </c>
      <c r="H8" s="644">
        <f t="shared" ref="H8:H12" si="0">(E8+F8)-G8</f>
        <v>0</v>
      </c>
      <c r="I8" s="646">
        <f>[1]MENU!$W$83</f>
        <v>0</v>
      </c>
      <c r="J8" s="392"/>
    </row>
    <row r="9" spans="1:10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3">
        <f>[2]MOD_2_volta_aulas!$C$15</f>
        <v>0</v>
      </c>
      <c r="F9" s="559">
        <f>[2]MOD_2_volta_aulas!$G$15</f>
        <v>0</v>
      </c>
      <c r="G9" s="559">
        <f>[2]MOD_2_volta_aulas!$P$15</f>
        <v>0</v>
      </c>
      <c r="H9" s="597">
        <f t="shared" si="0"/>
        <v>0</v>
      </c>
      <c r="I9" s="614">
        <f>[2]MENU!$W$83</f>
        <v>0</v>
      </c>
      <c r="J9" s="392"/>
    </row>
    <row r="10" spans="1:10">
      <c r="A10" s="401"/>
      <c r="B10" s="604">
        <f t="shared" ref="B10:B73" si="1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3">
        <f>[3]MOD_2_volta_aulas!$C$15</f>
        <v>0</v>
      </c>
      <c r="F10" s="559">
        <f>[3]MOD_2_volta_aulas!$G$15</f>
        <v>0</v>
      </c>
      <c r="G10" s="559">
        <f>[3]MOD_2_volta_aulas!$P$15</f>
        <v>0</v>
      </c>
      <c r="H10" s="597">
        <f t="shared" si="0"/>
        <v>0</v>
      </c>
      <c r="I10" s="614">
        <f>[3]MENU!$W$83</f>
        <v>0</v>
      </c>
      <c r="J10" s="392"/>
    </row>
    <row r="11" spans="1:10">
      <c r="A11" s="401"/>
      <c r="B11" s="604">
        <f t="shared" si="1"/>
        <v>4</v>
      </c>
      <c r="C11" s="558">
        <f>[4]Dados!$E$3</f>
        <v>19490</v>
      </c>
      <c r="D11" s="605" t="str">
        <f>[4]Dados!$E$69</f>
        <v>EMEI - CAMPO LIMPO VI</v>
      </c>
      <c r="E11" s="593">
        <f>[4]MOD_2_volta_aulas!$C$15</f>
        <v>0</v>
      </c>
      <c r="F11" s="559">
        <f>[4]MOD_2_volta_aulas!$G$15</f>
        <v>0</v>
      </c>
      <c r="G11" s="559">
        <f>[4]MOD_2_volta_aulas!$P$15</f>
        <v>0</v>
      </c>
      <c r="H11" s="597">
        <f t="shared" si="0"/>
        <v>0</v>
      </c>
      <c r="I11" s="614">
        <f>[4]MENU!$W$83</f>
        <v>0</v>
      </c>
      <c r="J11" s="392"/>
    </row>
    <row r="12" spans="1:10" ht="13.5" thickBot="1">
      <c r="A12" s="401"/>
      <c r="B12" s="606">
        <f t="shared" si="1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603">
        <f>[5]MOD_2_volta_aulas!$C$15</f>
        <v>0</v>
      </c>
      <c r="F12" s="599">
        <f>[5]MOD_2_volta_aulas!$G$15</f>
        <v>0</v>
      </c>
      <c r="G12" s="599">
        <f>[5]MOD_2_volta_aulas!$P$15</f>
        <v>0</v>
      </c>
      <c r="H12" s="600">
        <f t="shared" si="0"/>
        <v>0</v>
      </c>
      <c r="I12" s="615">
        <f>[5]MENU!$W$83</f>
        <v>0</v>
      </c>
      <c r="J12" s="392"/>
    </row>
    <row r="13" spans="1:10" hidden="1">
      <c r="A13" s="401"/>
      <c r="B13" s="639" t="str">
        <f t="shared" si="1"/>
        <v/>
      </c>
      <c r="C13" s="640"/>
      <c r="D13" s="641"/>
      <c r="E13" s="592"/>
      <c r="F13" s="584"/>
      <c r="G13" s="584"/>
      <c r="H13" s="595"/>
      <c r="I13" s="613"/>
      <c r="J13" s="392"/>
    </row>
    <row r="14" spans="1:10" hidden="1">
      <c r="A14" s="401"/>
      <c r="B14" s="604" t="str">
        <f t="shared" si="1"/>
        <v/>
      </c>
      <c r="C14" s="558"/>
      <c r="D14" s="605"/>
      <c r="E14" s="593"/>
      <c r="F14" s="559"/>
      <c r="G14" s="559"/>
      <c r="H14" s="597"/>
      <c r="I14" s="614"/>
      <c r="J14" s="392"/>
    </row>
    <row r="15" spans="1:10" hidden="1">
      <c r="A15" s="401"/>
      <c r="B15" s="604" t="str">
        <f t="shared" si="1"/>
        <v/>
      </c>
      <c r="C15" s="558"/>
      <c r="D15" s="605"/>
      <c r="E15" s="593"/>
      <c r="F15" s="559"/>
      <c r="G15" s="559"/>
      <c r="H15" s="597"/>
      <c r="I15" s="614"/>
      <c r="J15" s="392"/>
    </row>
    <row r="16" spans="1:10" hidden="1">
      <c r="A16" s="401"/>
      <c r="B16" s="604" t="str">
        <f t="shared" si="1"/>
        <v/>
      </c>
      <c r="C16" s="558"/>
      <c r="D16" s="605"/>
      <c r="E16" s="593"/>
      <c r="F16" s="559"/>
      <c r="G16" s="559"/>
      <c r="H16" s="597"/>
      <c r="I16" s="614"/>
      <c r="J16" s="392"/>
    </row>
    <row r="17" spans="1:10" hidden="1">
      <c r="A17" s="401"/>
      <c r="B17" s="604" t="str">
        <f t="shared" si="1"/>
        <v/>
      </c>
      <c r="C17" s="558"/>
      <c r="D17" s="605"/>
      <c r="E17" s="593"/>
      <c r="F17" s="559"/>
      <c r="G17" s="559"/>
      <c r="H17" s="597"/>
      <c r="I17" s="614"/>
      <c r="J17" s="392"/>
    </row>
    <row r="18" spans="1:10" hidden="1">
      <c r="A18" s="401"/>
      <c r="B18" s="604" t="str">
        <f t="shared" si="1"/>
        <v/>
      </c>
      <c r="C18" s="558"/>
      <c r="D18" s="605"/>
      <c r="E18" s="593"/>
      <c r="F18" s="559"/>
      <c r="G18" s="559"/>
      <c r="H18" s="597"/>
      <c r="I18" s="614"/>
      <c r="J18" s="392"/>
    </row>
    <row r="19" spans="1:10" hidden="1">
      <c r="A19" s="401"/>
      <c r="B19" s="604" t="str">
        <f t="shared" si="1"/>
        <v/>
      </c>
      <c r="C19" s="558"/>
      <c r="D19" s="605"/>
      <c r="E19" s="593"/>
      <c r="F19" s="559"/>
      <c r="G19" s="559"/>
      <c r="H19" s="597"/>
      <c r="I19" s="614"/>
      <c r="J19" s="392"/>
    </row>
    <row r="20" spans="1:10" hidden="1">
      <c r="A20" s="401"/>
      <c r="B20" s="604" t="str">
        <f t="shared" si="1"/>
        <v/>
      </c>
      <c r="C20" s="558"/>
      <c r="D20" s="605"/>
      <c r="E20" s="593"/>
      <c r="F20" s="559"/>
      <c r="G20" s="559"/>
      <c r="H20" s="597"/>
      <c r="I20" s="614"/>
      <c r="J20" s="392"/>
    </row>
    <row r="21" spans="1:10" hidden="1">
      <c r="A21" s="401"/>
      <c r="B21" s="604" t="str">
        <f t="shared" si="1"/>
        <v/>
      </c>
      <c r="C21" s="558"/>
      <c r="D21" s="605"/>
      <c r="E21" s="593"/>
      <c r="F21" s="559"/>
      <c r="G21" s="559"/>
      <c r="H21" s="597"/>
      <c r="I21" s="614"/>
      <c r="J21" s="392"/>
    </row>
    <row r="22" spans="1:10" hidden="1">
      <c r="A22" s="401"/>
      <c r="B22" s="604" t="str">
        <f t="shared" si="1"/>
        <v/>
      </c>
      <c r="C22" s="558"/>
      <c r="D22" s="605"/>
      <c r="E22" s="593"/>
      <c r="F22" s="559"/>
      <c r="G22" s="559"/>
      <c r="H22" s="597"/>
      <c r="I22" s="614"/>
      <c r="J22" s="392"/>
    </row>
    <row r="23" spans="1:10" hidden="1">
      <c r="A23" s="401"/>
      <c r="B23" s="604" t="str">
        <f t="shared" si="1"/>
        <v/>
      </c>
      <c r="C23" s="558"/>
      <c r="D23" s="605"/>
      <c r="E23" s="593"/>
      <c r="F23" s="559"/>
      <c r="G23" s="559"/>
      <c r="H23" s="597"/>
      <c r="I23" s="614"/>
      <c r="J23" s="392"/>
    </row>
    <row r="24" spans="1:10" hidden="1">
      <c r="A24" s="401"/>
      <c r="B24" s="604" t="str">
        <f t="shared" si="1"/>
        <v/>
      </c>
      <c r="C24" s="558"/>
      <c r="D24" s="605"/>
      <c r="E24" s="593"/>
      <c r="F24" s="559"/>
      <c r="G24" s="559"/>
      <c r="H24" s="597"/>
      <c r="I24" s="614"/>
      <c r="J24" s="392"/>
    </row>
    <row r="25" spans="1:10" hidden="1">
      <c r="A25" s="401"/>
      <c r="B25" s="604" t="str">
        <f t="shared" si="1"/>
        <v/>
      </c>
      <c r="C25" s="558"/>
      <c r="D25" s="605"/>
      <c r="E25" s="593"/>
      <c r="F25" s="559"/>
      <c r="G25" s="559"/>
      <c r="H25" s="597"/>
      <c r="I25" s="614"/>
      <c r="J25" s="392"/>
    </row>
    <row r="26" spans="1:10" hidden="1">
      <c r="A26" s="401"/>
      <c r="B26" s="604" t="str">
        <f t="shared" si="1"/>
        <v/>
      </c>
      <c r="C26" s="558"/>
      <c r="D26" s="605"/>
      <c r="E26" s="593"/>
      <c r="F26" s="559"/>
      <c r="G26" s="559"/>
      <c r="H26" s="597"/>
      <c r="I26" s="614"/>
      <c r="J26" s="392"/>
    </row>
    <row r="27" spans="1:10" hidden="1">
      <c r="A27" s="401"/>
      <c r="B27" s="604" t="str">
        <f t="shared" si="1"/>
        <v/>
      </c>
      <c r="C27" s="558"/>
      <c r="D27" s="605"/>
      <c r="E27" s="593"/>
      <c r="F27" s="559"/>
      <c r="G27" s="559"/>
      <c r="H27" s="597"/>
      <c r="I27" s="614"/>
      <c r="J27" s="392"/>
    </row>
    <row r="28" spans="1:10" hidden="1">
      <c r="A28" s="401"/>
      <c r="B28" s="604" t="str">
        <f t="shared" si="1"/>
        <v/>
      </c>
      <c r="C28" s="558"/>
      <c r="D28" s="605"/>
      <c r="E28" s="593"/>
      <c r="F28" s="559"/>
      <c r="G28" s="559"/>
      <c r="H28" s="597"/>
      <c r="I28" s="614"/>
      <c r="J28" s="392"/>
    </row>
    <row r="29" spans="1:10" hidden="1">
      <c r="A29" s="401"/>
      <c r="B29" s="604" t="str">
        <f t="shared" si="1"/>
        <v/>
      </c>
      <c r="C29" s="558"/>
      <c r="D29" s="605"/>
      <c r="E29" s="593"/>
      <c r="F29" s="559"/>
      <c r="G29" s="559"/>
      <c r="H29" s="597"/>
      <c r="I29" s="614"/>
      <c r="J29" s="392"/>
    </row>
    <row r="30" spans="1:10" hidden="1">
      <c r="A30" s="401"/>
      <c r="B30" s="604" t="str">
        <f t="shared" si="1"/>
        <v/>
      </c>
      <c r="C30" s="558"/>
      <c r="D30" s="605"/>
      <c r="E30" s="593"/>
      <c r="F30" s="559"/>
      <c r="G30" s="559"/>
      <c r="H30" s="597"/>
      <c r="I30" s="614"/>
      <c r="J30" s="392"/>
    </row>
    <row r="31" spans="1:10" hidden="1">
      <c r="A31" s="401"/>
      <c r="B31" s="604" t="str">
        <f t="shared" si="1"/>
        <v/>
      </c>
      <c r="C31" s="558"/>
      <c r="D31" s="605"/>
      <c r="E31" s="593"/>
      <c r="F31" s="559"/>
      <c r="G31" s="559"/>
      <c r="H31" s="597"/>
      <c r="I31" s="614"/>
      <c r="J31" s="392"/>
    </row>
    <row r="32" spans="1:10" hidden="1">
      <c r="A32" s="401"/>
      <c r="B32" s="604" t="str">
        <f t="shared" si="1"/>
        <v/>
      </c>
      <c r="C32" s="558"/>
      <c r="D32" s="605"/>
      <c r="E32" s="593"/>
      <c r="F32" s="559"/>
      <c r="G32" s="559"/>
      <c r="H32" s="597"/>
      <c r="I32" s="614"/>
      <c r="J32" s="392"/>
    </row>
    <row r="33" spans="1:10" hidden="1">
      <c r="A33" s="401"/>
      <c r="B33" s="604" t="str">
        <f t="shared" si="1"/>
        <v/>
      </c>
      <c r="C33" s="558"/>
      <c r="D33" s="605"/>
      <c r="E33" s="593"/>
      <c r="F33" s="559"/>
      <c r="G33" s="559"/>
      <c r="H33" s="597"/>
      <c r="I33" s="614"/>
      <c r="J33" s="392"/>
    </row>
    <row r="34" spans="1:10" hidden="1">
      <c r="A34" s="401"/>
      <c r="B34" s="604" t="str">
        <f t="shared" si="1"/>
        <v/>
      </c>
      <c r="C34" s="558"/>
      <c r="D34" s="605"/>
      <c r="E34" s="593"/>
      <c r="F34" s="559"/>
      <c r="G34" s="559"/>
      <c r="H34" s="597"/>
      <c r="I34" s="614"/>
      <c r="J34" s="392"/>
    </row>
    <row r="35" spans="1:10" hidden="1">
      <c r="A35" s="401"/>
      <c r="B35" s="604" t="str">
        <f t="shared" si="1"/>
        <v/>
      </c>
      <c r="C35" s="558"/>
      <c r="D35" s="605"/>
      <c r="E35" s="593"/>
      <c r="F35" s="559"/>
      <c r="G35" s="559"/>
      <c r="H35" s="597"/>
      <c r="I35" s="614"/>
      <c r="J35" s="392"/>
    </row>
    <row r="36" spans="1:10" hidden="1">
      <c r="A36" s="401"/>
      <c r="B36" s="604" t="str">
        <f t="shared" si="1"/>
        <v/>
      </c>
      <c r="C36" s="558"/>
      <c r="D36" s="605"/>
      <c r="E36" s="593"/>
      <c r="F36" s="559"/>
      <c r="G36" s="559"/>
      <c r="H36" s="597"/>
      <c r="I36" s="614"/>
      <c r="J36" s="392"/>
    </row>
    <row r="37" spans="1:10" hidden="1">
      <c r="A37" s="401"/>
      <c r="B37" s="604" t="str">
        <f t="shared" si="1"/>
        <v/>
      </c>
      <c r="C37" s="558"/>
      <c r="D37" s="605"/>
      <c r="E37" s="593"/>
      <c r="F37" s="559"/>
      <c r="G37" s="559"/>
      <c r="H37" s="597"/>
      <c r="I37" s="614"/>
      <c r="J37" s="392"/>
    </row>
    <row r="38" spans="1:10" hidden="1">
      <c r="A38" s="401"/>
      <c r="B38" s="604" t="str">
        <f t="shared" si="1"/>
        <v/>
      </c>
      <c r="C38" s="558"/>
      <c r="D38" s="605"/>
      <c r="E38" s="593"/>
      <c r="F38" s="559"/>
      <c r="G38" s="559"/>
      <c r="H38" s="597"/>
      <c r="I38" s="614"/>
      <c r="J38" s="392"/>
    </row>
    <row r="39" spans="1:10" hidden="1">
      <c r="A39" s="401"/>
      <c r="B39" s="604" t="str">
        <f t="shared" si="1"/>
        <v/>
      </c>
      <c r="C39" s="558"/>
      <c r="D39" s="605"/>
      <c r="E39" s="593"/>
      <c r="F39" s="559"/>
      <c r="G39" s="559"/>
      <c r="H39" s="597"/>
      <c r="I39" s="614"/>
      <c r="J39" s="392"/>
    </row>
    <row r="40" spans="1:10" hidden="1">
      <c r="A40" s="401"/>
      <c r="B40" s="604" t="str">
        <f t="shared" si="1"/>
        <v/>
      </c>
      <c r="C40" s="558"/>
      <c r="D40" s="605"/>
      <c r="E40" s="593"/>
      <c r="F40" s="559"/>
      <c r="G40" s="559"/>
      <c r="H40" s="597"/>
      <c r="I40" s="614"/>
      <c r="J40" s="392"/>
    </row>
    <row r="41" spans="1:10" hidden="1">
      <c r="A41" s="401"/>
      <c r="B41" s="604" t="str">
        <f t="shared" si="1"/>
        <v/>
      </c>
      <c r="C41" s="558"/>
      <c r="D41" s="605"/>
      <c r="E41" s="593"/>
      <c r="F41" s="559"/>
      <c r="G41" s="559"/>
      <c r="H41" s="597"/>
      <c r="I41" s="614"/>
      <c r="J41" s="392"/>
    </row>
    <row r="42" spans="1:10" hidden="1">
      <c r="A42" s="401"/>
      <c r="B42" s="604" t="str">
        <f t="shared" si="1"/>
        <v/>
      </c>
      <c r="C42" s="558"/>
      <c r="D42" s="605"/>
      <c r="E42" s="593"/>
      <c r="F42" s="559"/>
      <c r="G42" s="559"/>
      <c r="H42" s="597"/>
      <c r="I42" s="614"/>
      <c r="J42" s="392"/>
    </row>
    <row r="43" spans="1:10" hidden="1">
      <c r="A43" s="401"/>
      <c r="B43" s="604" t="str">
        <f t="shared" si="1"/>
        <v/>
      </c>
      <c r="C43" s="558"/>
      <c r="D43" s="605"/>
      <c r="E43" s="593"/>
      <c r="F43" s="559"/>
      <c r="G43" s="559"/>
      <c r="H43" s="597"/>
      <c r="I43" s="614"/>
      <c r="J43" s="392"/>
    </row>
    <row r="44" spans="1:10" hidden="1">
      <c r="A44" s="401"/>
      <c r="B44" s="604" t="str">
        <f t="shared" si="1"/>
        <v/>
      </c>
      <c r="C44" s="558"/>
      <c r="D44" s="605"/>
      <c r="E44" s="593"/>
      <c r="F44" s="559"/>
      <c r="G44" s="559"/>
      <c r="H44" s="597"/>
      <c r="I44" s="614"/>
      <c r="J44" s="392"/>
    </row>
    <row r="45" spans="1:10" hidden="1">
      <c r="A45" s="401"/>
      <c r="B45" s="604" t="str">
        <f t="shared" si="1"/>
        <v/>
      </c>
      <c r="C45" s="558"/>
      <c r="D45" s="605"/>
      <c r="E45" s="593"/>
      <c r="F45" s="559"/>
      <c r="G45" s="559"/>
      <c r="H45" s="597"/>
      <c r="I45" s="614"/>
      <c r="J45" s="392"/>
    </row>
    <row r="46" spans="1:10" hidden="1">
      <c r="A46" s="401"/>
      <c r="B46" s="604" t="str">
        <f t="shared" si="1"/>
        <v/>
      </c>
      <c r="C46" s="558"/>
      <c r="D46" s="605"/>
      <c r="E46" s="593"/>
      <c r="F46" s="559"/>
      <c r="G46" s="559"/>
      <c r="H46" s="650"/>
      <c r="I46" s="651"/>
      <c r="J46" s="392"/>
    </row>
    <row r="47" spans="1:10" hidden="1">
      <c r="A47" s="401"/>
      <c r="B47" s="604" t="str">
        <f t="shared" si="1"/>
        <v/>
      </c>
      <c r="C47" s="558"/>
      <c r="D47" s="605"/>
      <c r="E47" s="593"/>
      <c r="F47" s="559"/>
      <c r="G47" s="559"/>
      <c r="H47" s="597"/>
      <c r="I47" s="614"/>
      <c r="J47" s="392"/>
    </row>
    <row r="48" spans="1:10" hidden="1">
      <c r="A48" s="401"/>
      <c r="B48" s="604" t="str">
        <f t="shared" si="1"/>
        <v/>
      </c>
      <c r="C48" s="558"/>
      <c r="D48" s="605"/>
      <c r="E48" s="593"/>
      <c r="F48" s="559"/>
      <c r="G48" s="559"/>
      <c r="H48" s="597"/>
      <c r="I48" s="614"/>
      <c r="J48" s="392"/>
    </row>
    <row r="49" spans="1:10" hidden="1">
      <c r="A49" s="401"/>
      <c r="B49" s="604" t="str">
        <f t="shared" si="1"/>
        <v/>
      </c>
      <c r="C49" s="558"/>
      <c r="D49" s="605"/>
      <c r="E49" s="593"/>
      <c r="F49" s="559"/>
      <c r="G49" s="559"/>
      <c r="H49" s="597"/>
      <c r="I49" s="614"/>
      <c r="J49" s="392"/>
    </row>
    <row r="50" spans="1:10" hidden="1">
      <c r="A50" s="401"/>
      <c r="B50" s="604" t="str">
        <f t="shared" si="1"/>
        <v/>
      </c>
      <c r="C50" s="558"/>
      <c r="D50" s="605"/>
      <c r="E50" s="593"/>
      <c r="F50" s="559"/>
      <c r="G50" s="559"/>
      <c r="H50" s="597"/>
      <c r="I50" s="614"/>
      <c r="J50" s="392"/>
    </row>
    <row r="51" spans="1:10" hidden="1">
      <c r="A51" s="401"/>
      <c r="B51" s="604" t="str">
        <f t="shared" si="1"/>
        <v/>
      </c>
      <c r="C51" s="558"/>
      <c r="D51" s="605"/>
      <c r="E51" s="593"/>
      <c r="F51" s="559"/>
      <c r="G51" s="559"/>
      <c r="H51" s="597"/>
      <c r="I51" s="614"/>
      <c r="J51" s="392"/>
    </row>
    <row r="52" spans="1:10" hidden="1">
      <c r="A52" s="401"/>
      <c r="B52" s="604" t="str">
        <f t="shared" si="1"/>
        <v/>
      </c>
      <c r="C52" s="558"/>
      <c r="D52" s="605"/>
      <c r="E52" s="593"/>
      <c r="F52" s="559"/>
      <c r="G52" s="559"/>
      <c r="H52" s="597"/>
      <c r="I52" s="614"/>
      <c r="J52" s="392"/>
    </row>
    <row r="53" spans="1:10" hidden="1">
      <c r="A53" s="401"/>
      <c r="B53" s="604" t="str">
        <f t="shared" si="1"/>
        <v/>
      </c>
      <c r="C53" s="558"/>
      <c r="D53" s="605"/>
      <c r="E53" s="593"/>
      <c r="F53" s="559"/>
      <c r="G53" s="559"/>
      <c r="H53" s="597"/>
      <c r="I53" s="614"/>
      <c r="J53" s="392"/>
    </row>
    <row r="54" spans="1:10" hidden="1">
      <c r="A54" s="401"/>
      <c r="B54" s="604" t="str">
        <f t="shared" si="1"/>
        <v/>
      </c>
      <c r="C54" s="558"/>
      <c r="D54" s="605"/>
      <c r="E54" s="593"/>
      <c r="F54" s="559"/>
      <c r="G54" s="559"/>
      <c r="H54" s="597"/>
      <c r="I54" s="614"/>
      <c r="J54" s="392"/>
    </row>
    <row r="55" spans="1:10" hidden="1">
      <c r="A55" s="401"/>
      <c r="B55" s="604" t="str">
        <f t="shared" si="1"/>
        <v/>
      </c>
      <c r="C55" s="558"/>
      <c r="D55" s="605"/>
      <c r="E55" s="593"/>
      <c r="F55" s="559"/>
      <c r="G55" s="559"/>
      <c r="H55" s="597"/>
      <c r="I55" s="614"/>
      <c r="J55" s="392"/>
    </row>
    <row r="56" spans="1:10" hidden="1">
      <c r="A56" s="401"/>
      <c r="B56" s="604" t="str">
        <f t="shared" si="1"/>
        <v/>
      </c>
      <c r="C56" s="558"/>
      <c r="D56" s="605"/>
      <c r="E56" s="593"/>
      <c r="F56" s="559"/>
      <c r="G56" s="559"/>
      <c r="H56" s="597"/>
      <c r="I56" s="614"/>
      <c r="J56" s="392"/>
    </row>
    <row r="57" spans="1:10" hidden="1">
      <c r="A57" s="401"/>
      <c r="B57" s="604" t="str">
        <f t="shared" si="1"/>
        <v/>
      </c>
      <c r="C57" s="558"/>
      <c r="D57" s="605"/>
      <c r="E57" s="593"/>
      <c r="F57" s="559"/>
      <c r="G57" s="559"/>
      <c r="H57" s="597"/>
      <c r="I57" s="614"/>
      <c r="J57" s="392"/>
    </row>
    <row r="58" spans="1:10" hidden="1">
      <c r="A58" s="401"/>
      <c r="B58" s="604" t="str">
        <f t="shared" si="1"/>
        <v/>
      </c>
      <c r="C58" s="558"/>
      <c r="D58" s="605"/>
      <c r="E58" s="593"/>
      <c r="F58" s="559"/>
      <c r="G58" s="559"/>
      <c r="H58" s="597"/>
      <c r="I58" s="614"/>
      <c r="J58" s="392"/>
    </row>
    <row r="59" spans="1:10" hidden="1">
      <c r="A59" s="401"/>
      <c r="B59" s="604" t="str">
        <f t="shared" si="1"/>
        <v/>
      </c>
      <c r="C59" s="558"/>
      <c r="D59" s="605"/>
      <c r="E59" s="593"/>
      <c r="F59" s="559"/>
      <c r="G59" s="559"/>
      <c r="H59" s="597"/>
      <c r="I59" s="614"/>
      <c r="J59" s="392"/>
    </row>
    <row r="60" spans="1:10" hidden="1">
      <c r="A60" s="401"/>
      <c r="B60" s="604" t="str">
        <f t="shared" si="1"/>
        <v/>
      </c>
      <c r="C60" s="558"/>
      <c r="D60" s="605"/>
      <c r="E60" s="593"/>
      <c r="F60" s="559"/>
      <c r="G60" s="559"/>
      <c r="H60" s="597"/>
      <c r="I60" s="614"/>
      <c r="J60" s="392"/>
    </row>
    <row r="61" spans="1:10" hidden="1">
      <c r="A61" s="401"/>
      <c r="B61" s="604" t="str">
        <f t="shared" si="1"/>
        <v/>
      </c>
      <c r="C61" s="558"/>
      <c r="D61" s="605"/>
      <c r="E61" s="593"/>
      <c r="F61" s="559"/>
      <c r="G61" s="559"/>
      <c r="H61" s="597"/>
      <c r="I61" s="614"/>
      <c r="J61" s="392"/>
    </row>
    <row r="62" spans="1:10" hidden="1">
      <c r="A62" s="401"/>
      <c r="B62" s="604" t="str">
        <f t="shared" si="1"/>
        <v/>
      </c>
      <c r="C62" s="558"/>
      <c r="D62" s="605"/>
      <c r="E62" s="593"/>
      <c r="F62" s="559"/>
      <c r="G62" s="559"/>
      <c r="H62" s="597"/>
      <c r="I62" s="614"/>
      <c r="J62" s="392"/>
    </row>
    <row r="63" spans="1:10" hidden="1">
      <c r="A63" s="401"/>
      <c r="B63" s="604" t="str">
        <f t="shared" si="1"/>
        <v/>
      </c>
      <c r="C63" s="558"/>
      <c r="D63" s="605"/>
      <c r="E63" s="593"/>
      <c r="F63" s="559"/>
      <c r="G63" s="559"/>
      <c r="H63" s="597"/>
      <c r="I63" s="614"/>
      <c r="J63" s="392"/>
    </row>
    <row r="64" spans="1:10" hidden="1">
      <c r="A64" s="401"/>
      <c r="B64" s="604" t="str">
        <f t="shared" si="1"/>
        <v/>
      </c>
      <c r="C64" s="558"/>
      <c r="D64" s="605"/>
      <c r="E64" s="593"/>
      <c r="F64" s="559"/>
      <c r="G64" s="559"/>
      <c r="H64" s="597"/>
      <c r="I64" s="614"/>
      <c r="J64" s="392"/>
    </row>
    <row r="65" spans="1:10" hidden="1">
      <c r="A65" s="401"/>
      <c r="B65" s="604" t="str">
        <f t="shared" si="1"/>
        <v/>
      </c>
      <c r="C65" s="558"/>
      <c r="D65" s="605"/>
      <c r="E65" s="593"/>
      <c r="F65" s="559"/>
      <c r="G65" s="559"/>
      <c r="H65" s="597"/>
      <c r="I65" s="614"/>
      <c r="J65" s="392"/>
    </row>
    <row r="66" spans="1:10" hidden="1">
      <c r="A66" s="401"/>
      <c r="B66" s="604" t="str">
        <f t="shared" si="1"/>
        <v/>
      </c>
      <c r="C66" s="558"/>
      <c r="D66" s="605"/>
      <c r="E66" s="593"/>
      <c r="F66" s="559"/>
      <c r="G66" s="559"/>
      <c r="H66" s="597"/>
      <c r="I66" s="614"/>
      <c r="J66" s="392"/>
    </row>
    <row r="67" spans="1:10" hidden="1">
      <c r="A67" s="401"/>
      <c r="B67" s="604" t="str">
        <f t="shared" si="1"/>
        <v/>
      </c>
      <c r="C67" s="558"/>
      <c r="D67" s="605"/>
      <c r="E67" s="593"/>
      <c r="F67" s="559"/>
      <c r="G67" s="559"/>
      <c r="H67" s="597"/>
      <c r="I67" s="614"/>
      <c r="J67" s="392"/>
    </row>
    <row r="68" spans="1:10" hidden="1">
      <c r="A68" s="401"/>
      <c r="B68" s="604" t="str">
        <f t="shared" si="1"/>
        <v/>
      </c>
      <c r="C68" s="558"/>
      <c r="D68" s="605"/>
      <c r="E68" s="593"/>
      <c r="F68" s="559"/>
      <c r="G68" s="559"/>
      <c r="H68" s="597"/>
      <c r="I68" s="614"/>
      <c r="J68" s="392"/>
    </row>
    <row r="69" spans="1:10" hidden="1">
      <c r="A69" s="401"/>
      <c r="B69" s="604" t="str">
        <f t="shared" si="1"/>
        <v/>
      </c>
      <c r="C69" s="558"/>
      <c r="D69" s="605"/>
      <c r="E69" s="593"/>
      <c r="F69" s="559"/>
      <c r="G69" s="559"/>
      <c r="H69" s="597"/>
      <c r="I69" s="614"/>
      <c r="J69" s="392"/>
    </row>
    <row r="70" spans="1:10" hidden="1">
      <c r="A70" s="401"/>
      <c r="B70" s="604" t="str">
        <f t="shared" si="1"/>
        <v/>
      </c>
      <c r="C70" s="558"/>
      <c r="D70" s="605"/>
      <c r="E70" s="593"/>
      <c r="F70" s="559"/>
      <c r="G70" s="559"/>
      <c r="H70" s="597"/>
      <c r="I70" s="614"/>
      <c r="J70" s="392"/>
    </row>
    <row r="71" spans="1:10" hidden="1">
      <c r="A71" s="401"/>
      <c r="B71" s="604" t="str">
        <f t="shared" si="1"/>
        <v/>
      </c>
      <c r="C71" s="558"/>
      <c r="D71" s="605"/>
      <c r="E71" s="593"/>
      <c r="F71" s="559"/>
      <c r="G71" s="559"/>
      <c r="H71" s="597"/>
      <c r="I71" s="614"/>
      <c r="J71" s="392"/>
    </row>
    <row r="72" spans="1:10" hidden="1">
      <c r="A72" s="401"/>
      <c r="B72" s="604" t="str">
        <f t="shared" si="1"/>
        <v/>
      </c>
      <c r="C72" s="558"/>
      <c r="D72" s="605"/>
      <c r="E72" s="593"/>
      <c r="F72" s="559"/>
      <c r="G72" s="559"/>
      <c r="H72" s="597"/>
      <c r="I72" s="614"/>
      <c r="J72" s="392"/>
    </row>
    <row r="73" spans="1:10" hidden="1">
      <c r="A73" s="401"/>
      <c r="B73" s="604" t="str">
        <f t="shared" si="1"/>
        <v/>
      </c>
      <c r="C73" s="558"/>
      <c r="D73" s="605"/>
      <c r="E73" s="593"/>
      <c r="F73" s="559"/>
      <c r="G73" s="559"/>
      <c r="H73" s="597"/>
      <c r="I73" s="614"/>
      <c r="J73" s="392"/>
    </row>
    <row r="74" spans="1:10" hidden="1">
      <c r="A74" s="401"/>
      <c r="B74" s="604" t="str">
        <f t="shared" ref="B74:B137" si="2">IF(C74="","",B73+1)</f>
        <v/>
      </c>
      <c r="C74" s="558"/>
      <c r="D74" s="605"/>
      <c r="E74" s="593"/>
      <c r="F74" s="559"/>
      <c r="G74" s="559"/>
      <c r="H74" s="597"/>
      <c r="I74" s="614"/>
      <c r="J74" s="392"/>
    </row>
    <row r="75" spans="1:10" hidden="1">
      <c r="A75" s="401"/>
      <c r="B75" s="604" t="str">
        <f t="shared" si="2"/>
        <v/>
      </c>
      <c r="C75" s="558"/>
      <c r="D75" s="605"/>
      <c r="E75" s="593"/>
      <c r="F75" s="559"/>
      <c r="G75" s="559"/>
      <c r="H75" s="597"/>
      <c r="I75" s="614"/>
      <c r="J75" s="392"/>
    </row>
    <row r="76" spans="1:10" hidden="1">
      <c r="A76" s="401"/>
      <c r="B76" s="604" t="str">
        <f t="shared" si="2"/>
        <v/>
      </c>
      <c r="C76" s="558"/>
      <c r="D76" s="605"/>
      <c r="E76" s="593"/>
      <c r="F76" s="559"/>
      <c r="G76" s="559"/>
      <c r="H76" s="597"/>
      <c r="I76" s="614"/>
      <c r="J76" s="392"/>
    </row>
    <row r="77" spans="1:10" hidden="1">
      <c r="A77" s="401"/>
      <c r="B77" s="604" t="str">
        <f t="shared" si="2"/>
        <v/>
      </c>
      <c r="C77" s="558"/>
      <c r="D77" s="605"/>
      <c r="E77" s="593"/>
      <c r="F77" s="559"/>
      <c r="G77" s="559"/>
      <c r="H77" s="597"/>
      <c r="I77" s="614"/>
      <c r="J77" s="392"/>
    </row>
    <row r="78" spans="1:10" hidden="1">
      <c r="A78" s="401"/>
      <c r="B78" s="604" t="str">
        <f t="shared" si="2"/>
        <v/>
      </c>
      <c r="C78" s="558"/>
      <c r="D78" s="605"/>
      <c r="E78" s="593"/>
      <c r="F78" s="559"/>
      <c r="G78" s="559"/>
      <c r="H78" s="597"/>
      <c r="I78" s="614"/>
      <c r="J78" s="392"/>
    </row>
    <row r="79" spans="1:10" hidden="1">
      <c r="A79" s="401"/>
      <c r="B79" s="604" t="str">
        <f t="shared" si="2"/>
        <v/>
      </c>
      <c r="C79" s="558"/>
      <c r="D79" s="605"/>
      <c r="E79" s="593"/>
      <c r="F79" s="559"/>
      <c r="G79" s="559"/>
      <c r="H79" s="597"/>
      <c r="I79" s="614"/>
      <c r="J79" s="392"/>
    </row>
    <row r="80" spans="1:10" hidden="1">
      <c r="A80" s="401"/>
      <c r="B80" s="604" t="str">
        <f t="shared" si="2"/>
        <v/>
      </c>
      <c r="C80" s="558"/>
      <c r="D80" s="605"/>
      <c r="E80" s="593"/>
      <c r="F80" s="559"/>
      <c r="G80" s="559"/>
      <c r="H80" s="597"/>
      <c r="I80" s="614"/>
      <c r="J80" s="392"/>
    </row>
    <row r="81" spans="1:10" hidden="1">
      <c r="A81" s="401"/>
      <c r="B81" s="604" t="str">
        <f t="shared" si="2"/>
        <v/>
      </c>
      <c r="C81" s="558"/>
      <c r="D81" s="605"/>
      <c r="E81" s="593"/>
      <c r="F81" s="559"/>
      <c r="G81" s="559"/>
      <c r="H81" s="597"/>
      <c r="I81" s="614"/>
      <c r="J81" s="392"/>
    </row>
    <row r="82" spans="1:10" hidden="1">
      <c r="A82" s="401"/>
      <c r="B82" s="604" t="str">
        <f t="shared" si="2"/>
        <v/>
      </c>
      <c r="C82" s="558"/>
      <c r="D82" s="605"/>
      <c r="E82" s="593"/>
      <c r="F82" s="559"/>
      <c r="G82" s="559"/>
      <c r="H82" s="597"/>
      <c r="I82" s="614"/>
      <c r="J82" s="392"/>
    </row>
    <row r="83" spans="1:10" hidden="1">
      <c r="A83" s="401"/>
      <c r="B83" s="604" t="str">
        <f t="shared" si="2"/>
        <v/>
      </c>
      <c r="C83" s="558"/>
      <c r="D83" s="605"/>
      <c r="E83" s="593"/>
      <c r="F83" s="559"/>
      <c r="G83" s="559"/>
      <c r="H83" s="597"/>
      <c r="I83" s="614"/>
      <c r="J83" s="392"/>
    </row>
    <row r="84" spans="1:10" hidden="1">
      <c r="A84" s="401"/>
      <c r="B84" s="604" t="str">
        <f t="shared" si="2"/>
        <v/>
      </c>
      <c r="C84" s="558"/>
      <c r="D84" s="605"/>
      <c r="E84" s="593"/>
      <c r="F84" s="559"/>
      <c r="G84" s="559"/>
      <c r="H84" s="597"/>
      <c r="I84" s="614"/>
      <c r="J84" s="392"/>
    </row>
    <row r="85" spans="1:10" hidden="1">
      <c r="A85" s="401"/>
      <c r="B85" s="604" t="str">
        <f t="shared" si="2"/>
        <v/>
      </c>
      <c r="C85" s="558"/>
      <c r="D85" s="605"/>
      <c r="E85" s="593"/>
      <c r="F85" s="559"/>
      <c r="G85" s="559"/>
      <c r="H85" s="597"/>
      <c r="I85" s="614"/>
      <c r="J85" s="392"/>
    </row>
    <row r="86" spans="1:10" hidden="1">
      <c r="A86" s="401"/>
      <c r="B86" s="604" t="str">
        <f t="shared" si="2"/>
        <v/>
      </c>
      <c r="C86" s="558"/>
      <c r="D86" s="605"/>
      <c r="E86" s="593"/>
      <c r="F86" s="559"/>
      <c r="G86" s="559"/>
      <c r="H86" s="597"/>
      <c r="I86" s="614"/>
      <c r="J86" s="392"/>
    </row>
    <row r="87" spans="1:10" hidden="1">
      <c r="A87" s="401"/>
      <c r="B87" s="604" t="str">
        <f t="shared" si="2"/>
        <v/>
      </c>
      <c r="C87" s="558"/>
      <c r="D87" s="605"/>
      <c r="E87" s="593"/>
      <c r="F87" s="559"/>
      <c r="G87" s="559"/>
      <c r="H87" s="597"/>
      <c r="I87" s="614"/>
      <c r="J87" s="392"/>
    </row>
    <row r="88" spans="1:10" hidden="1">
      <c r="A88" s="401"/>
      <c r="B88" s="604" t="str">
        <f t="shared" si="2"/>
        <v/>
      </c>
      <c r="C88" s="558"/>
      <c r="D88" s="605"/>
      <c r="E88" s="593"/>
      <c r="F88" s="559"/>
      <c r="G88" s="559"/>
      <c r="H88" s="597"/>
      <c r="I88" s="614"/>
      <c r="J88" s="392"/>
    </row>
    <row r="89" spans="1:10" hidden="1">
      <c r="A89" s="401"/>
      <c r="B89" s="604" t="str">
        <f t="shared" si="2"/>
        <v/>
      </c>
      <c r="C89" s="558"/>
      <c r="D89" s="605"/>
      <c r="E89" s="593"/>
      <c r="F89" s="559"/>
      <c r="G89" s="559"/>
      <c r="H89" s="597"/>
      <c r="I89" s="614"/>
      <c r="J89" s="392"/>
    </row>
    <row r="90" spans="1:10" hidden="1">
      <c r="A90" s="401"/>
      <c r="B90" s="604" t="str">
        <f t="shared" si="2"/>
        <v/>
      </c>
      <c r="C90" s="558"/>
      <c r="D90" s="605"/>
      <c r="E90" s="593"/>
      <c r="F90" s="559"/>
      <c r="G90" s="559"/>
      <c r="H90" s="597"/>
      <c r="I90" s="614"/>
      <c r="J90" s="392"/>
    </row>
    <row r="91" spans="1:10" hidden="1">
      <c r="A91" s="401"/>
      <c r="B91" s="604" t="str">
        <f t="shared" si="2"/>
        <v/>
      </c>
      <c r="C91" s="558"/>
      <c r="D91" s="605"/>
      <c r="E91" s="593"/>
      <c r="F91" s="559"/>
      <c r="G91" s="559"/>
      <c r="H91" s="597"/>
      <c r="I91" s="614"/>
      <c r="J91" s="392"/>
    </row>
    <row r="92" spans="1:10" hidden="1">
      <c r="A92" s="401"/>
      <c r="B92" s="604" t="str">
        <f t="shared" si="2"/>
        <v/>
      </c>
      <c r="C92" s="558"/>
      <c r="D92" s="605"/>
      <c r="E92" s="593"/>
      <c r="F92" s="559"/>
      <c r="G92" s="559"/>
      <c r="H92" s="597"/>
      <c r="I92" s="614"/>
      <c r="J92" s="392"/>
    </row>
    <row r="93" spans="1:10" hidden="1">
      <c r="A93" s="401"/>
      <c r="B93" s="604" t="str">
        <f t="shared" si="2"/>
        <v/>
      </c>
      <c r="C93" s="558"/>
      <c r="D93" s="605"/>
      <c r="E93" s="593"/>
      <c r="F93" s="559"/>
      <c r="G93" s="559"/>
      <c r="H93" s="597"/>
      <c r="I93" s="614"/>
      <c r="J93" s="392"/>
    </row>
    <row r="94" spans="1:10" hidden="1">
      <c r="A94" s="401"/>
      <c r="B94" s="604" t="str">
        <f t="shared" si="2"/>
        <v/>
      </c>
      <c r="C94" s="558"/>
      <c r="D94" s="605"/>
      <c r="E94" s="593"/>
      <c r="F94" s="559"/>
      <c r="G94" s="559"/>
      <c r="H94" s="597"/>
      <c r="I94" s="614"/>
      <c r="J94" s="392"/>
    </row>
    <row r="95" spans="1:10" hidden="1">
      <c r="A95" s="401"/>
      <c r="B95" s="604" t="str">
        <f t="shared" si="2"/>
        <v/>
      </c>
      <c r="C95" s="558"/>
      <c r="D95" s="605"/>
      <c r="E95" s="593"/>
      <c r="F95" s="559"/>
      <c r="G95" s="559"/>
      <c r="H95" s="597"/>
      <c r="I95" s="614"/>
      <c r="J95" s="392"/>
    </row>
    <row r="96" spans="1:10" hidden="1">
      <c r="A96" s="401"/>
      <c r="B96" s="604" t="str">
        <f t="shared" si="2"/>
        <v/>
      </c>
      <c r="C96" s="558"/>
      <c r="D96" s="605"/>
      <c r="E96" s="593"/>
      <c r="F96" s="559"/>
      <c r="G96" s="559"/>
      <c r="H96" s="597"/>
      <c r="I96" s="614"/>
      <c r="J96" s="392"/>
    </row>
    <row r="97" spans="1:10" hidden="1">
      <c r="A97" s="401"/>
      <c r="B97" s="604" t="str">
        <f t="shared" si="2"/>
        <v/>
      </c>
      <c r="C97" s="558"/>
      <c r="D97" s="605"/>
      <c r="E97" s="593"/>
      <c r="F97" s="559"/>
      <c r="G97" s="559"/>
      <c r="H97" s="597"/>
      <c r="I97" s="614"/>
      <c r="J97" s="392"/>
    </row>
    <row r="98" spans="1:10" hidden="1">
      <c r="A98" s="401"/>
      <c r="B98" s="604" t="str">
        <f t="shared" si="2"/>
        <v/>
      </c>
      <c r="C98" s="558"/>
      <c r="D98" s="605"/>
      <c r="E98" s="593"/>
      <c r="F98" s="559"/>
      <c r="G98" s="559"/>
      <c r="H98" s="597"/>
      <c r="I98" s="614"/>
      <c r="J98" s="392"/>
    </row>
    <row r="99" spans="1:10" hidden="1">
      <c r="A99" s="401"/>
      <c r="B99" s="604" t="str">
        <f t="shared" si="2"/>
        <v/>
      </c>
      <c r="C99" s="558"/>
      <c r="D99" s="605"/>
      <c r="E99" s="593"/>
      <c r="F99" s="559"/>
      <c r="G99" s="559"/>
      <c r="H99" s="597"/>
      <c r="I99" s="614"/>
      <c r="J99" s="392"/>
    </row>
    <row r="100" spans="1:10" hidden="1">
      <c r="A100" s="401"/>
      <c r="B100" s="604" t="str">
        <f t="shared" si="2"/>
        <v/>
      </c>
      <c r="C100" s="558"/>
      <c r="D100" s="605"/>
      <c r="E100" s="593"/>
      <c r="F100" s="559"/>
      <c r="G100" s="559"/>
      <c r="H100" s="597"/>
      <c r="I100" s="614"/>
      <c r="J100" s="392"/>
    </row>
    <row r="101" spans="1:10" hidden="1">
      <c r="A101" s="401"/>
      <c r="B101" s="604" t="str">
        <f t="shared" si="2"/>
        <v/>
      </c>
      <c r="C101" s="558"/>
      <c r="D101" s="605"/>
      <c r="E101" s="593"/>
      <c r="F101" s="559"/>
      <c r="G101" s="559"/>
      <c r="H101" s="597"/>
      <c r="I101" s="614"/>
      <c r="J101" s="392"/>
    </row>
    <row r="102" spans="1:10" hidden="1">
      <c r="A102" s="401"/>
      <c r="B102" s="604" t="str">
        <f t="shared" si="2"/>
        <v/>
      </c>
      <c r="C102" s="558"/>
      <c r="D102" s="605"/>
      <c r="E102" s="593"/>
      <c r="F102" s="559"/>
      <c r="G102" s="559"/>
      <c r="H102" s="597"/>
      <c r="I102" s="614"/>
      <c r="J102" s="392"/>
    </row>
    <row r="103" spans="1:10" hidden="1">
      <c r="A103" s="401"/>
      <c r="B103" s="604" t="str">
        <f t="shared" si="2"/>
        <v/>
      </c>
      <c r="C103" s="558"/>
      <c r="D103" s="605"/>
      <c r="E103" s="593"/>
      <c r="F103" s="559"/>
      <c r="G103" s="559"/>
      <c r="H103" s="597"/>
      <c r="I103" s="614"/>
      <c r="J103" s="392"/>
    </row>
    <row r="104" spans="1:10" hidden="1">
      <c r="A104" s="401"/>
      <c r="B104" s="604" t="str">
        <f t="shared" si="2"/>
        <v/>
      </c>
      <c r="C104" s="558"/>
      <c r="D104" s="605"/>
      <c r="E104" s="593"/>
      <c r="F104" s="559"/>
      <c r="G104" s="559"/>
      <c r="H104" s="597"/>
      <c r="I104" s="614"/>
      <c r="J104" s="392"/>
    </row>
    <row r="105" spans="1:10" hidden="1">
      <c r="A105" s="401"/>
      <c r="B105" s="604" t="str">
        <f t="shared" si="2"/>
        <v/>
      </c>
      <c r="C105" s="558"/>
      <c r="D105" s="605"/>
      <c r="E105" s="593"/>
      <c r="F105" s="559"/>
      <c r="G105" s="559"/>
      <c r="H105" s="597"/>
      <c r="I105" s="614"/>
      <c r="J105" s="392"/>
    </row>
    <row r="106" spans="1:10" hidden="1">
      <c r="A106" s="401"/>
      <c r="B106" s="604" t="str">
        <f t="shared" si="2"/>
        <v/>
      </c>
      <c r="C106" s="558"/>
      <c r="D106" s="605"/>
      <c r="E106" s="593"/>
      <c r="F106" s="559"/>
      <c r="G106" s="559"/>
      <c r="H106" s="597"/>
      <c r="I106" s="614"/>
      <c r="J106" s="392"/>
    </row>
    <row r="107" spans="1:10" hidden="1">
      <c r="A107" s="401"/>
      <c r="B107" s="604" t="str">
        <f t="shared" si="2"/>
        <v/>
      </c>
      <c r="C107" s="558"/>
      <c r="D107" s="605"/>
      <c r="E107" s="593"/>
      <c r="F107" s="559"/>
      <c r="G107" s="559"/>
      <c r="H107" s="597"/>
      <c r="I107" s="614"/>
      <c r="J107" s="392"/>
    </row>
    <row r="108" spans="1:10" hidden="1">
      <c r="A108" s="401"/>
      <c r="B108" s="604" t="str">
        <f t="shared" si="2"/>
        <v/>
      </c>
      <c r="C108" s="558"/>
      <c r="D108" s="605"/>
      <c r="E108" s="593"/>
      <c r="F108" s="559"/>
      <c r="G108" s="559"/>
      <c r="H108" s="597"/>
      <c r="I108" s="614"/>
      <c r="J108" s="392"/>
    </row>
    <row r="109" spans="1:10" hidden="1">
      <c r="A109" s="401"/>
      <c r="B109" s="604" t="str">
        <f t="shared" si="2"/>
        <v/>
      </c>
      <c r="C109" s="558"/>
      <c r="D109" s="605"/>
      <c r="E109" s="593"/>
      <c r="F109" s="559"/>
      <c r="G109" s="559"/>
      <c r="H109" s="597"/>
      <c r="I109" s="614"/>
      <c r="J109" s="392"/>
    </row>
    <row r="110" spans="1:10" hidden="1">
      <c r="A110" s="401"/>
      <c r="B110" s="604" t="str">
        <f t="shared" si="2"/>
        <v/>
      </c>
      <c r="C110" s="558"/>
      <c r="D110" s="605"/>
      <c r="E110" s="593"/>
      <c r="F110" s="559"/>
      <c r="G110" s="559"/>
      <c r="H110" s="597"/>
      <c r="I110" s="614"/>
      <c r="J110" s="392"/>
    </row>
    <row r="111" spans="1:10" hidden="1">
      <c r="A111" s="401"/>
      <c r="B111" s="604" t="str">
        <f t="shared" si="2"/>
        <v/>
      </c>
      <c r="C111" s="558"/>
      <c r="D111" s="605"/>
      <c r="E111" s="593"/>
      <c r="F111" s="559"/>
      <c r="G111" s="559"/>
      <c r="H111" s="597"/>
      <c r="I111" s="614"/>
      <c r="J111" s="392"/>
    </row>
    <row r="112" spans="1:10" hidden="1">
      <c r="A112" s="401"/>
      <c r="B112" s="604" t="str">
        <f t="shared" si="2"/>
        <v/>
      </c>
      <c r="C112" s="558"/>
      <c r="D112" s="605"/>
      <c r="E112" s="593"/>
      <c r="F112" s="559"/>
      <c r="G112" s="559"/>
      <c r="H112" s="597"/>
      <c r="I112" s="614"/>
      <c r="J112" s="392"/>
    </row>
    <row r="113" spans="1:10" hidden="1">
      <c r="A113" s="401"/>
      <c r="B113" s="604" t="str">
        <f t="shared" si="2"/>
        <v/>
      </c>
      <c r="C113" s="558"/>
      <c r="D113" s="605"/>
      <c r="E113" s="593"/>
      <c r="F113" s="559"/>
      <c r="G113" s="559"/>
      <c r="H113" s="597"/>
      <c r="I113" s="614"/>
      <c r="J113" s="392"/>
    </row>
    <row r="114" spans="1:10" hidden="1">
      <c r="A114" s="401"/>
      <c r="B114" s="604" t="str">
        <f t="shared" si="2"/>
        <v/>
      </c>
      <c r="C114" s="558"/>
      <c r="D114" s="605"/>
      <c r="E114" s="593"/>
      <c r="F114" s="559"/>
      <c r="G114" s="559"/>
      <c r="H114" s="597"/>
      <c r="I114" s="614"/>
      <c r="J114" s="392"/>
    </row>
    <row r="115" spans="1:10" hidden="1">
      <c r="A115" s="401"/>
      <c r="B115" s="604" t="str">
        <f t="shared" si="2"/>
        <v/>
      </c>
      <c r="C115" s="558"/>
      <c r="D115" s="605"/>
      <c r="E115" s="593"/>
      <c r="F115" s="559"/>
      <c r="G115" s="559"/>
      <c r="H115" s="597"/>
      <c r="I115" s="614"/>
      <c r="J115" s="392"/>
    </row>
    <row r="116" spans="1:10" hidden="1">
      <c r="A116" s="401"/>
      <c r="B116" s="604" t="str">
        <f t="shared" si="2"/>
        <v/>
      </c>
      <c r="C116" s="558"/>
      <c r="D116" s="605"/>
      <c r="E116" s="593"/>
      <c r="F116" s="559"/>
      <c r="G116" s="559"/>
      <c r="H116" s="597"/>
      <c r="I116" s="614"/>
      <c r="J116" s="392"/>
    </row>
    <row r="117" spans="1:10" hidden="1">
      <c r="A117" s="401"/>
      <c r="B117" s="604" t="str">
        <f t="shared" si="2"/>
        <v/>
      </c>
      <c r="C117" s="558"/>
      <c r="D117" s="605"/>
      <c r="E117" s="593"/>
      <c r="F117" s="559"/>
      <c r="G117" s="559"/>
      <c r="H117" s="597"/>
      <c r="I117" s="614"/>
      <c r="J117" s="392"/>
    </row>
    <row r="118" spans="1:10" hidden="1">
      <c r="A118" s="401"/>
      <c r="B118" s="604" t="str">
        <f t="shared" si="2"/>
        <v/>
      </c>
      <c r="C118" s="558"/>
      <c r="D118" s="605"/>
      <c r="E118" s="593"/>
      <c r="F118" s="559"/>
      <c r="G118" s="559"/>
      <c r="H118" s="597"/>
      <c r="I118" s="614"/>
      <c r="J118" s="392"/>
    </row>
    <row r="119" spans="1:10" hidden="1">
      <c r="A119" s="401"/>
      <c r="B119" s="604" t="str">
        <f t="shared" si="2"/>
        <v/>
      </c>
      <c r="C119" s="558"/>
      <c r="D119" s="605"/>
      <c r="E119" s="593"/>
      <c r="F119" s="559"/>
      <c r="G119" s="559"/>
      <c r="H119" s="597"/>
      <c r="I119" s="614"/>
      <c r="J119" s="392"/>
    </row>
    <row r="120" spans="1:10" hidden="1">
      <c r="A120" s="401"/>
      <c r="B120" s="604" t="str">
        <f t="shared" si="2"/>
        <v/>
      </c>
      <c r="C120" s="558"/>
      <c r="D120" s="605"/>
      <c r="E120" s="593"/>
      <c r="F120" s="559"/>
      <c r="G120" s="559"/>
      <c r="H120" s="597"/>
      <c r="I120" s="614"/>
      <c r="J120" s="392"/>
    </row>
    <row r="121" spans="1:10" hidden="1">
      <c r="A121" s="401"/>
      <c r="B121" s="604" t="str">
        <f t="shared" si="2"/>
        <v/>
      </c>
      <c r="C121" s="558"/>
      <c r="D121" s="605"/>
      <c r="E121" s="593"/>
      <c r="F121" s="559"/>
      <c r="G121" s="559"/>
      <c r="H121" s="597"/>
      <c r="I121" s="614"/>
      <c r="J121" s="392"/>
    </row>
    <row r="122" spans="1:10" hidden="1">
      <c r="A122" s="401"/>
      <c r="B122" s="604" t="str">
        <f t="shared" si="2"/>
        <v/>
      </c>
      <c r="C122" s="558"/>
      <c r="D122" s="605"/>
      <c r="E122" s="593"/>
      <c r="F122" s="559"/>
      <c r="G122" s="559"/>
      <c r="H122" s="597"/>
      <c r="I122" s="614"/>
      <c r="J122" s="392"/>
    </row>
    <row r="123" spans="1:10" hidden="1">
      <c r="A123" s="401"/>
      <c r="B123" s="604" t="str">
        <f t="shared" si="2"/>
        <v/>
      </c>
      <c r="C123" s="558"/>
      <c r="D123" s="605"/>
      <c r="E123" s="593"/>
      <c r="F123" s="559"/>
      <c r="G123" s="559"/>
      <c r="H123" s="597"/>
      <c r="I123" s="614"/>
      <c r="J123" s="392"/>
    </row>
    <row r="124" spans="1:10" hidden="1">
      <c r="A124" s="401"/>
      <c r="B124" s="604" t="str">
        <f t="shared" si="2"/>
        <v/>
      </c>
      <c r="C124" s="558"/>
      <c r="D124" s="605"/>
      <c r="E124" s="593"/>
      <c r="F124" s="559"/>
      <c r="G124" s="559"/>
      <c r="H124" s="597"/>
      <c r="I124" s="614"/>
      <c r="J124" s="392"/>
    </row>
    <row r="125" spans="1:10" hidden="1">
      <c r="A125" s="401"/>
      <c r="B125" s="604" t="str">
        <f t="shared" si="2"/>
        <v/>
      </c>
      <c r="C125" s="558"/>
      <c r="D125" s="605"/>
      <c r="E125" s="593"/>
      <c r="F125" s="559"/>
      <c r="G125" s="559"/>
      <c r="H125" s="597"/>
      <c r="I125" s="614"/>
      <c r="J125" s="392"/>
    </row>
    <row r="126" spans="1:10" hidden="1">
      <c r="A126" s="401"/>
      <c r="B126" s="604" t="str">
        <f t="shared" si="2"/>
        <v/>
      </c>
      <c r="C126" s="558"/>
      <c r="D126" s="605"/>
      <c r="E126" s="593"/>
      <c r="F126" s="559"/>
      <c r="G126" s="559"/>
      <c r="H126" s="597"/>
      <c r="I126" s="614"/>
      <c r="J126" s="392"/>
    </row>
    <row r="127" spans="1:10" hidden="1">
      <c r="A127" s="401"/>
      <c r="B127" s="604" t="str">
        <f t="shared" si="2"/>
        <v/>
      </c>
      <c r="C127" s="558"/>
      <c r="D127" s="605"/>
      <c r="E127" s="593"/>
      <c r="F127" s="559"/>
      <c r="G127" s="559"/>
      <c r="H127" s="597"/>
      <c r="I127" s="614"/>
      <c r="J127" s="392"/>
    </row>
    <row r="128" spans="1:10" hidden="1">
      <c r="A128" s="401"/>
      <c r="B128" s="604" t="str">
        <f t="shared" si="2"/>
        <v/>
      </c>
      <c r="C128" s="558"/>
      <c r="D128" s="605"/>
      <c r="E128" s="593"/>
      <c r="F128" s="559"/>
      <c r="G128" s="559"/>
      <c r="H128" s="597"/>
      <c r="I128" s="614"/>
      <c r="J128" s="392"/>
    </row>
    <row r="129" spans="1:10" hidden="1">
      <c r="A129" s="401"/>
      <c r="B129" s="604" t="str">
        <f t="shared" si="2"/>
        <v/>
      </c>
      <c r="C129" s="558"/>
      <c r="D129" s="605"/>
      <c r="E129" s="593"/>
      <c r="F129" s="559"/>
      <c r="G129" s="559"/>
      <c r="H129" s="597"/>
      <c r="I129" s="614"/>
      <c r="J129" s="392"/>
    </row>
    <row r="130" spans="1:10" hidden="1">
      <c r="A130" s="401"/>
      <c r="B130" s="604" t="str">
        <f t="shared" si="2"/>
        <v/>
      </c>
      <c r="C130" s="558"/>
      <c r="D130" s="605"/>
      <c r="E130" s="593"/>
      <c r="F130" s="559"/>
      <c r="G130" s="559"/>
      <c r="H130" s="597"/>
      <c r="I130" s="614"/>
      <c r="J130" s="392"/>
    </row>
    <row r="131" spans="1:10" hidden="1">
      <c r="A131" s="401"/>
      <c r="B131" s="604" t="str">
        <f t="shared" si="2"/>
        <v/>
      </c>
      <c r="C131" s="558"/>
      <c r="D131" s="605"/>
      <c r="E131" s="593"/>
      <c r="F131" s="559"/>
      <c r="G131" s="559"/>
      <c r="H131" s="597"/>
      <c r="I131" s="614"/>
      <c r="J131" s="392"/>
    </row>
    <row r="132" spans="1:10" hidden="1">
      <c r="A132" s="401"/>
      <c r="B132" s="604" t="str">
        <f t="shared" si="2"/>
        <v/>
      </c>
      <c r="C132" s="558"/>
      <c r="D132" s="605"/>
      <c r="E132" s="593"/>
      <c r="F132" s="559"/>
      <c r="G132" s="559"/>
      <c r="H132" s="597"/>
      <c r="I132" s="614"/>
      <c r="J132" s="392"/>
    </row>
    <row r="133" spans="1:10" hidden="1">
      <c r="A133" s="401"/>
      <c r="B133" s="604" t="str">
        <f t="shared" si="2"/>
        <v/>
      </c>
      <c r="C133" s="558"/>
      <c r="D133" s="605"/>
      <c r="E133" s="593"/>
      <c r="F133" s="559"/>
      <c r="G133" s="559"/>
      <c r="H133" s="597"/>
      <c r="I133" s="614"/>
      <c r="J133" s="392"/>
    </row>
    <row r="134" spans="1:10" hidden="1">
      <c r="A134" s="401"/>
      <c r="B134" s="604" t="str">
        <f t="shared" si="2"/>
        <v/>
      </c>
      <c r="C134" s="558"/>
      <c r="D134" s="605"/>
      <c r="E134" s="593"/>
      <c r="F134" s="559"/>
      <c r="G134" s="559"/>
      <c r="H134" s="597"/>
      <c r="I134" s="614"/>
      <c r="J134" s="392"/>
    </row>
    <row r="135" spans="1:10" hidden="1">
      <c r="A135" s="401"/>
      <c r="B135" s="604" t="str">
        <f t="shared" si="2"/>
        <v/>
      </c>
      <c r="C135" s="558"/>
      <c r="D135" s="605"/>
      <c r="E135" s="593"/>
      <c r="F135" s="559"/>
      <c r="G135" s="559"/>
      <c r="H135" s="597"/>
      <c r="I135" s="614"/>
      <c r="J135" s="392"/>
    </row>
    <row r="136" spans="1:10" hidden="1">
      <c r="A136" s="401"/>
      <c r="B136" s="604" t="str">
        <f t="shared" si="2"/>
        <v/>
      </c>
      <c r="C136" s="558"/>
      <c r="D136" s="605"/>
      <c r="E136" s="593"/>
      <c r="F136" s="559"/>
      <c r="G136" s="559"/>
      <c r="H136" s="597"/>
      <c r="I136" s="614"/>
      <c r="J136" s="392"/>
    </row>
    <row r="137" spans="1:10" hidden="1">
      <c r="A137" s="401"/>
      <c r="B137" s="604" t="str">
        <f t="shared" si="2"/>
        <v/>
      </c>
      <c r="C137" s="558"/>
      <c r="D137" s="605"/>
      <c r="E137" s="593"/>
      <c r="F137" s="559"/>
      <c r="G137" s="559"/>
      <c r="H137" s="597"/>
      <c r="I137" s="614"/>
      <c r="J137" s="392"/>
    </row>
    <row r="138" spans="1:10" hidden="1">
      <c r="A138" s="401"/>
      <c r="B138" s="604" t="str">
        <f t="shared" ref="B138:B201" si="3">IF(C138="","",B137+1)</f>
        <v/>
      </c>
      <c r="C138" s="558"/>
      <c r="D138" s="605"/>
      <c r="E138" s="593"/>
      <c r="F138" s="559"/>
      <c r="G138" s="559"/>
      <c r="H138" s="597"/>
      <c r="I138" s="614"/>
      <c r="J138" s="392"/>
    </row>
    <row r="139" spans="1:10" hidden="1">
      <c r="A139" s="401"/>
      <c r="B139" s="604" t="str">
        <f t="shared" si="3"/>
        <v/>
      </c>
      <c r="C139" s="558"/>
      <c r="D139" s="605"/>
      <c r="E139" s="593"/>
      <c r="F139" s="559"/>
      <c r="G139" s="559"/>
      <c r="H139" s="597"/>
      <c r="I139" s="614"/>
      <c r="J139" s="392"/>
    </row>
    <row r="140" spans="1:10" hidden="1">
      <c r="A140" s="401"/>
      <c r="B140" s="604" t="str">
        <f t="shared" si="3"/>
        <v/>
      </c>
      <c r="C140" s="558"/>
      <c r="D140" s="605"/>
      <c r="E140" s="593"/>
      <c r="F140" s="559"/>
      <c r="G140" s="559"/>
      <c r="H140" s="597"/>
      <c r="I140" s="614"/>
      <c r="J140" s="392"/>
    </row>
    <row r="141" spans="1:10" hidden="1">
      <c r="A141" s="401"/>
      <c r="B141" s="604" t="str">
        <f t="shared" si="3"/>
        <v/>
      </c>
      <c r="C141" s="558"/>
      <c r="D141" s="605"/>
      <c r="E141" s="593"/>
      <c r="F141" s="559"/>
      <c r="G141" s="559"/>
      <c r="H141" s="597"/>
      <c r="I141" s="614"/>
      <c r="J141" s="392"/>
    </row>
    <row r="142" spans="1:10" hidden="1">
      <c r="A142" s="401"/>
      <c r="B142" s="604" t="str">
        <f t="shared" si="3"/>
        <v/>
      </c>
      <c r="C142" s="558"/>
      <c r="D142" s="605"/>
      <c r="E142" s="593"/>
      <c r="F142" s="559"/>
      <c r="G142" s="559"/>
      <c r="H142" s="597"/>
      <c r="I142" s="614"/>
      <c r="J142" s="392"/>
    </row>
    <row r="143" spans="1:10" hidden="1">
      <c r="A143" s="401"/>
      <c r="B143" s="604" t="str">
        <f t="shared" si="3"/>
        <v/>
      </c>
      <c r="C143" s="558"/>
      <c r="D143" s="605"/>
      <c r="E143" s="593"/>
      <c r="F143" s="559"/>
      <c r="G143" s="559"/>
      <c r="H143" s="597"/>
      <c r="I143" s="614"/>
      <c r="J143" s="392"/>
    </row>
    <row r="144" spans="1:10" hidden="1">
      <c r="A144" s="401"/>
      <c r="B144" s="604" t="str">
        <f t="shared" si="3"/>
        <v/>
      </c>
      <c r="C144" s="558"/>
      <c r="D144" s="605"/>
      <c r="E144" s="593"/>
      <c r="F144" s="559"/>
      <c r="G144" s="559"/>
      <c r="H144" s="597"/>
      <c r="I144" s="614"/>
      <c r="J144" s="392"/>
    </row>
    <row r="145" spans="1:10" hidden="1">
      <c r="A145" s="401"/>
      <c r="B145" s="604" t="str">
        <f t="shared" si="3"/>
        <v/>
      </c>
      <c r="C145" s="558"/>
      <c r="D145" s="605"/>
      <c r="E145" s="593"/>
      <c r="F145" s="559"/>
      <c r="G145" s="559"/>
      <c r="H145" s="597"/>
      <c r="I145" s="614"/>
      <c r="J145" s="392"/>
    </row>
    <row r="146" spans="1:10" hidden="1">
      <c r="A146" s="401"/>
      <c r="B146" s="604" t="str">
        <f t="shared" si="3"/>
        <v/>
      </c>
      <c r="C146" s="558"/>
      <c r="D146" s="605"/>
      <c r="E146" s="593"/>
      <c r="F146" s="559"/>
      <c r="G146" s="559"/>
      <c r="H146" s="597"/>
      <c r="I146" s="614"/>
      <c r="J146" s="392"/>
    </row>
    <row r="147" spans="1:10" hidden="1">
      <c r="A147" s="401"/>
      <c r="B147" s="604" t="str">
        <f t="shared" si="3"/>
        <v/>
      </c>
      <c r="C147" s="558"/>
      <c r="D147" s="605"/>
      <c r="E147" s="593"/>
      <c r="F147" s="559"/>
      <c r="G147" s="559"/>
      <c r="H147" s="597"/>
      <c r="I147" s="614"/>
      <c r="J147" s="392"/>
    </row>
    <row r="148" spans="1:10" hidden="1">
      <c r="A148" s="401"/>
      <c r="B148" s="604" t="str">
        <f t="shared" si="3"/>
        <v/>
      </c>
      <c r="C148" s="558"/>
      <c r="D148" s="605"/>
      <c r="E148" s="593"/>
      <c r="F148" s="559"/>
      <c r="G148" s="559"/>
      <c r="H148" s="597"/>
      <c r="I148" s="614"/>
      <c r="J148" s="392"/>
    </row>
    <row r="149" spans="1:10" hidden="1">
      <c r="A149" s="401"/>
      <c r="B149" s="604" t="str">
        <f t="shared" si="3"/>
        <v/>
      </c>
      <c r="C149" s="558"/>
      <c r="D149" s="605"/>
      <c r="E149" s="593"/>
      <c r="F149" s="559"/>
      <c r="G149" s="559"/>
      <c r="H149" s="597"/>
      <c r="I149" s="614"/>
      <c r="J149" s="392"/>
    </row>
    <row r="150" spans="1:10" hidden="1">
      <c r="A150" s="401"/>
      <c r="B150" s="604" t="str">
        <f t="shared" si="3"/>
        <v/>
      </c>
      <c r="C150" s="558"/>
      <c r="D150" s="605"/>
      <c r="E150" s="593"/>
      <c r="F150" s="559"/>
      <c r="G150" s="559"/>
      <c r="H150" s="597"/>
      <c r="I150" s="614"/>
      <c r="J150" s="392"/>
    </row>
    <row r="151" spans="1:10" hidden="1">
      <c r="A151" s="401"/>
      <c r="B151" s="604" t="str">
        <f t="shared" si="3"/>
        <v/>
      </c>
      <c r="C151" s="558"/>
      <c r="D151" s="605"/>
      <c r="E151" s="593"/>
      <c r="F151" s="559"/>
      <c r="G151" s="559"/>
      <c r="H151" s="597"/>
      <c r="I151" s="614"/>
      <c r="J151" s="392"/>
    </row>
    <row r="152" spans="1:10" hidden="1">
      <c r="A152" s="401"/>
      <c r="B152" s="604" t="str">
        <f t="shared" si="3"/>
        <v/>
      </c>
      <c r="C152" s="558"/>
      <c r="D152" s="605"/>
      <c r="E152" s="593"/>
      <c r="F152" s="559"/>
      <c r="G152" s="559"/>
      <c r="H152" s="597"/>
      <c r="I152" s="614"/>
      <c r="J152" s="392"/>
    </row>
    <row r="153" spans="1:10" hidden="1">
      <c r="A153" s="401"/>
      <c r="B153" s="604" t="str">
        <f t="shared" si="3"/>
        <v/>
      </c>
      <c r="C153" s="558"/>
      <c r="D153" s="605"/>
      <c r="E153" s="593"/>
      <c r="F153" s="559"/>
      <c r="G153" s="559"/>
      <c r="H153" s="597"/>
      <c r="I153" s="614"/>
      <c r="J153" s="392"/>
    </row>
    <row r="154" spans="1:10" hidden="1">
      <c r="A154" s="401"/>
      <c r="B154" s="604" t="str">
        <f t="shared" si="3"/>
        <v/>
      </c>
      <c r="C154" s="558"/>
      <c r="D154" s="605"/>
      <c r="E154" s="593"/>
      <c r="F154" s="559"/>
      <c r="G154" s="559"/>
      <c r="H154" s="597"/>
      <c r="I154" s="614"/>
      <c r="J154" s="392"/>
    </row>
    <row r="155" spans="1:10" hidden="1">
      <c r="A155" s="401"/>
      <c r="B155" s="604" t="str">
        <f t="shared" si="3"/>
        <v/>
      </c>
      <c r="C155" s="558"/>
      <c r="D155" s="605"/>
      <c r="E155" s="593"/>
      <c r="F155" s="559"/>
      <c r="G155" s="559"/>
      <c r="H155" s="597"/>
      <c r="I155" s="614"/>
      <c r="J155" s="392"/>
    </row>
    <row r="156" spans="1:10" hidden="1">
      <c r="A156" s="401"/>
      <c r="B156" s="604" t="str">
        <f t="shared" si="3"/>
        <v/>
      </c>
      <c r="C156" s="558"/>
      <c r="D156" s="605"/>
      <c r="E156" s="593"/>
      <c r="F156" s="559"/>
      <c r="G156" s="559"/>
      <c r="H156" s="597"/>
      <c r="I156" s="614"/>
      <c r="J156" s="392"/>
    </row>
    <row r="157" spans="1:10" hidden="1">
      <c r="A157" s="401"/>
      <c r="B157" s="604" t="str">
        <f t="shared" si="3"/>
        <v/>
      </c>
      <c r="C157" s="558"/>
      <c r="D157" s="605"/>
      <c r="E157" s="593"/>
      <c r="F157" s="559"/>
      <c r="G157" s="559"/>
      <c r="H157" s="597"/>
      <c r="I157" s="614"/>
      <c r="J157" s="392"/>
    </row>
    <row r="158" spans="1:10" hidden="1">
      <c r="A158" s="401"/>
      <c r="B158" s="604" t="str">
        <f t="shared" si="3"/>
        <v/>
      </c>
      <c r="C158" s="558"/>
      <c r="D158" s="605"/>
      <c r="E158" s="593"/>
      <c r="F158" s="559"/>
      <c r="G158" s="559"/>
      <c r="H158" s="597"/>
      <c r="I158" s="614"/>
      <c r="J158" s="392"/>
    </row>
    <row r="159" spans="1:10" hidden="1">
      <c r="A159" s="401"/>
      <c r="B159" s="604" t="str">
        <f t="shared" si="3"/>
        <v/>
      </c>
      <c r="C159" s="558"/>
      <c r="D159" s="605"/>
      <c r="E159" s="593"/>
      <c r="F159" s="559"/>
      <c r="G159" s="559"/>
      <c r="H159" s="597"/>
      <c r="I159" s="614"/>
      <c r="J159" s="392"/>
    </row>
    <row r="160" spans="1:10" hidden="1">
      <c r="A160" s="401"/>
      <c r="B160" s="604" t="str">
        <f t="shared" si="3"/>
        <v/>
      </c>
      <c r="C160" s="558"/>
      <c r="D160" s="605"/>
      <c r="E160" s="593"/>
      <c r="F160" s="559"/>
      <c r="G160" s="559"/>
      <c r="H160" s="597"/>
      <c r="I160" s="614"/>
      <c r="J160" s="392"/>
    </row>
    <row r="161" spans="1:10" hidden="1">
      <c r="A161" s="401"/>
      <c r="B161" s="604" t="str">
        <f t="shared" si="3"/>
        <v/>
      </c>
      <c r="C161" s="558"/>
      <c r="D161" s="605"/>
      <c r="E161" s="593"/>
      <c r="F161" s="559"/>
      <c r="G161" s="559"/>
      <c r="H161" s="597"/>
      <c r="I161" s="614"/>
      <c r="J161" s="392"/>
    </row>
    <row r="162" spans="1:10" hidden="1">
      <c r="A162" s="401"/>
      <c r="B162" s="604" t="str">
        <f t="shared" si="3"/>
        <v/>
      </c>
      <c r="C162" s="558"/>
      <c r="D162" s="605"/>
      <c r="E162" s="593"/>
      <c r="F162" s="559"/>
      <c r="G162" s="559"/>
      <c r="H162" s="597"/>
      <c r="I162" s="614"/>
      <c r="J162" s="392"/>
    </row>
    <row r="163" spans="1:10" hidden="1">
      <c r="A163" s="401"/>
      <c r="B163" s="604" t="str">
        <f t="shared" si="3"/>
        <v/>
      </c>
      <c r="C163" s="558"/>
      <c r="D163" s="605"/>
      <c r="E163" s="593"/>
      <c r="F163" s="559"/>
      <c r="G163" s="559"/>
      <c r="H163" s="597"/>
      <c r="I163" s="614"/>
      <c r="J163" s="392"/>
    </row>
    <row r="164" spans="1:10" hidden="1">
      <c r="A164" s="401"/>
      <c r="B164" s="604" t="str">
        <f t="shared" si="3"/>
        <v/>
      </c>
      <c r="C164" s="558"/>
      <c r="D164" s="605"/>
      <c r="E164" s="593"/>
      <c r="F164" s="559"/>
      <c r="G164" s="559"/>
      <c r="H164" s="597"/>
      <c r="I164" s="614"/>
      <c r="J164" s="392"/>
    </row>
    <row r="165" spans="1:10" hidden="1">
      <c r="A165" s="401"/>
      <c r="B165" s="604" t="str">
        <f t="shared" si="3"/>
        <v/>
      </c>
      <c r="C165" s="558"/>
      <c r="D165" s="605"/>
      <c r="E165" s="593"/>
      <c r="F165" s="559"/>
      <c r="G165" s="559"/>
      <c r="H165" s="597"/>
      <c r="I165" s="614"/>
      <c r="J165" s="392"/>
    </row>
    <row r="166" spans="1:10" hidden="1">
      <c r="A166" s="401"/>
      <c r="B166" s="604" t="str">
        <f t="shared" si="3"/>
        <v/>
      </c>
      <c r="C166" s="558"/>
      <c r="D166" s="605"/>
      <c r="E166" s="593"/>
      <c r="F166" s="559"/>
      <c r="G166" s="559"/>
      <c r="H166" s="597"/>
      <c r="I166" s="614"/>
      <c r="J166" s="392"/>
    </row>
    <row r="167" spans="1:10" hidden="1">
      <c r="A167" s="401"/>
      <c r="B167" s="604" t="str">
        <f t="shared" si="3"/>
        <v/>
      </c>
      <c r="C167" s="558"/>
      <c r="D167" s="605"/>
      <c r="E167" s="593"/>
      <c r="F167" s="559"/>
      <c r="G167" s="559"/>
      <c r="H167" s="597"/>
      <c r="I167" s="614"/>
      <c r="J167" s="392"/>
    </row>
    <row r="168" spans="1:10" hidden="1">
      <c r="A168" s="401"/>
      <c r="B168" s="604" t="str">
        <f t="shared" si="3"/>
        <v/>
      </c>
      <c r="C168" s="558"/>
      <c r="D168" s="605"/>
      <c r="E168" s="593"/>
      <c r="F168" s="559"/>
      <c r="G168" s="559"/>
      <c r="H168" s="597"/>
      <c r="I168" s="614"/>
      <c r="J168" s="392"/>
    </row>
    <row r="169" spans="1:10" hidden="1">
      <c r="A169" s="401"/>
      <c r="B169" s="604" t="str">
        <f t="shared" si="3"/>
        <v/>
      </c>
      <c r="C169" s="558"/>
      <c r="D169" s="605"/>
      <c r="E169" s="593"/>
      <c r="F169" s="559"/>
      <c r="G169" s="559"/>
      <c r="H169" s="597"/>
      <c r="I169" s="614"/>
      <c r="J169" s="392"/>
    </row>
    <row r="170" spans="1:10" hidden="1">
      <c r="A170" s="401"/>
      <c r="B170" s="604" t="str">
        <f t="shared" si="3"/>
        <v/>
      </c>
      <c r="C170" s="558"/>
      <c r="D170" s="605"/>
      <c r="E170" s="593"/>
      <c r="F170" s="559"/>
      <c r="G170" s="559"/>
      <c r="H170" s="597"/>
      <c r="I170" s="614"/>
      <c r="J170" s="392"/>
    </row>
    <row r="171" spans="1:10" hidden="1">
      <c r="A171" s="401"/>
      <c r="B171" s="604" t="str">
        <f t="shared" si="3"/>
        <v/>
      </c>
      <c r="C171" s="558"/>
      <c r="D171" s="605"/>
      <c r="E171" s="593"/>
      <c r="F171" s="559"/>
      <c r="G171" s="559"/>
      <c r="H171" s="597"/>
      <c r="I171" s="614"/>
      <c r="J171" s="392"/>
    </row>
    <row r="172" spans="1:10" hidden="1">
      <c r="A172" s="401"/>
      <c r="B172" s="604" t="str">
        <f t="shared" si="3"/>
        <v/>
      </c>
      <c r="C172" s="558"/>
      <c r="D172" s="605"/>
      <c r="E172" s="593"/>
      <c r="F172" s="559"/>
      <c r="G172" s="559"/>
      <c r="H172" s="597"/>
      <c r="I172" s="614"/>
      <c r="J172" s="392"/>
    </row>
    <row r="173" spans="1:10" hidden="1">
      <c r="A173" s="401"/>
      <c r="B173" s="604" t="str">
        <f t="shared" si="3"/>
        <v/>
      </c>
      <c r="C173" s="558"/>
      <c r="D173" s="605"/>
      <c r="E173" s="593"/>
      <c r="F173" s="559"/>
      <c r="G173" s="559"/>
      <c r="H173" s="597"/>
      <c r="I173" s="614"/>
      <c r="J173" s="392"/>
    </row>
    <row r="174" spans="1:10" hidden="1">
      <c r="A174" s="401"/>
      <c r="B174" s="604" t="str">
        <f t="shared" si="3"/>
        <v/>
      </c>
      <c r="C174" s="558"/>
      <c r="D174" s="605"/>
      <c r="E174" s="593"/>
      <c r="F174" s="559"/>
      <c r="G174" s="559"/>
      <c r="H174" s="597"/>
      <c r="I174" s="614"/>
      <c r="J174" s="392"/>
    </row>
    <row r="175" spans="1:10" hidden="1">
      <c r="A175" s="401"/>
      <c r="B175" s="604" t="str">
        <f t="shared" si="3"/>
        <v/>
      </c>
      <c r="C175" s="558"/>
      <c r="D175" s="605"/>
      <c r="E175" s="593"/>
      <c r="F175" s="559"/>
      <c r="G175" s="559"/>
      <c r="H175" s="597"/>
      <c r="I175" s="614"/>
      <c r="J175" s="392"/>
    </row>
    <row r="176" spans="1:10" hidden="1">
      <c r="A176" s="401"/>
      <c r="B176" s="604" t="str">
        <f t="shared" si="3"/>
        <v/>
      </c>
      <c r="C176" s="558"/>
      <c r="D176" s="605"/>
      <c r="E176" s="593"/>
      <c r="F176" s="559"/>
      <c r="G176" s="559"/>
      <c r="H176" s="597"/>
      <c r="I176" s="614"/>
      <c r="J176" s="392"/>
    </row>
    <row r="177" spans="1:10" hidden="1">
      <c r="A177" s="401"/>
      <c r="B177" s="604" t="str">
        <f t="shared" si="3"/>
        <v/>
      </c>
      <c r="C177" s="558"/>
      <c r="D177" s="605"/>
      <c r="E177" s="593"/>
      <c r="F177" s="559"/>
      <c r="G177" s="559"/>
      <c r="H177" s="597"/>
      <c r="I177" s="614"/>
      <c r="J177" s="392"/>
    </row>
    <row r="178" spans="1:10" hidden="1">
      <c r="A178" s="401"/>
      <c r="B178" s="604" t="str">
        <f t="shared" si="3"/>
        <v/>
      </c>
      <c r="C178" s="558"/>
      <c r="D178" s="605"/>
      <c r="E178" s="593"/>
      <c r="F178" s="559"/>
      <c r="G178" s="559"/>
      <c r="H178" s="597"/>
      <c r="I178" s="614"/>
      <c r="J178" s="392"/>
    </row>
    <row r="179" spans="1:10" hidden="1">
      <c r="A179" s="401"/>
      <c r="B179" s="604" t="str">
        <f t="shared" si="3"/>
        <v/>
      </c>
      <c r="C179" s="558"/>
      <c r="D179" s="605"/>
      <c r="E179" s="593"/>
      <c r="F179" s="559"/>
      <c r="G179" s="559"/>
      <c r="H179" s="597"/>
      <c r="I179" s="614"/>
      <c r="J179" s="392"/>
    </row>
    <row r="180" spans="1:10" hidden="1">
      <c r="A180" s="401"/>
      <c r="B180" s="604" t="str">
        <f t="shared" si="3"/>
        <v/>
      </c>
      <c r="C180" s="558"/>
      <c r="D180" s="605"/>
      <c r="E180" s="593"/>
      <c r="F180" s="559"/>
      <c r="G180" s="559"/>
      <c r="H180" s="597"/>
      <c r="I180" s="614"/>
      <c r="J180" s="392"/>
    </row>
    <row r="181" spans="1:10" hidden="1">
      <c r="A181" s="401"/>
      <c r="B181" s="604" t="str">
        <f t="shared" si="3"/>
        <v/>
      </c>
      <c r="C181" s="558"/>
      <c r="D181" s="605"/>
      <c r="E181" s="593"/>
      <c r="F181" s="559"/>
      <c r="G181" s="559"/>
      <c r="H181" s="597"/>
      <c r="I181" s="614"/>
      <c r="J181" s="392"/>
    </row>
    <row r="182" spans="1:10" hidden="1">
      <c r="A182" s="401"/>
      <c r="B182" s="604" t="str">
        <f t="shared" si="3"/>
        <v/>
      </c>
      <c r="C182" s="558"/>
      <c r="D182" s="605"/>
      <c r="E182" s="593"/>
      <c r="F182" s="559"/>
      <c r="G182" s="559"/>
      <c r="H182" s="597"/>
      <c r="I182" s="614"/>
      <c r="J182" s="392"/>
    </row>
    <row r="183" spans="1:10" hidden="1">
      <c r="A183" s="401"/>
      <c r="B183" s="604" t="str">
        <f t="shared" si="3"/>
        <v/>
      </c>
      <c r="C183" s="558"/>
      <c r="D183" s="605"/>
      <c r="E183" s="593"/>
      <c r="F183" s="559"/>
      <c r="G183" s="559"/>
      <c r="H183" s="597"/>
      <c r="I183" s="614"/>
      <c r="J183" s="392"/>
    </row>
    <row r="184" spans="1:10" hidden="1">
      <c r="A184" s="401"/>
      <c r="B184" s="604" t="str">
        <f t="shared" si="3"/>
        <v/>
      </c>
      <c r="C184" s="558"/>
      <c r="D184" s="605"/>
      <c r="E184" s="593"/>
      <c r="F184" s="559"/>
      <c r="G184" s="559"/>
      <c r="H184" s="597"/>
      <c r="I184" s="614"/>
      <c r="J184" s="392"/>
    </row>
    <row r="185" spans="1:10" hidden="1">
      <c r="A185" s="401"/>
      <c r="B185" s="604" t="str">
        <f t="shared" si="3"/>
        <v/>
      </c>
      <c r="C185" s="558"/>
      <c r="D185" s="605"/>
      <c r="E185" s="593"/>
      <c r="F185" s="559"/>
      <c r="G185" s="559"/>
      <c r="H185" s="597"/>
      <c r="I185" s="614"/>
      <c r="J185" s="392"/>
    </row>
    <row r="186" spans="1:10" hidden="1">
      <c r="A186" s="401"/>
      <c r="B186" s="604" t="str">
        <f t="shared" si="3"/>
        <v/>
      </c>
      <c r="C186" s="558"/>
      <c r="D186" s="605"/>
      <c r="E186" s="593"/>
      <c r="F186" s="559"/>
      <c r="G186" s="559"/>
      <c r="H186" s="597"/>
      <c r="I186" s="614"/>
      <c r="J186" s="392"/>
    </row>
    <row r="187" spans="1:10" hidden="1">
      <c r="A187" s="401"/>
      <c r="B187" s="604" t="str">
        <f t="shared" si="3"/>
        <v/>
      </c>
      <c r="C187" s="558"/>
      <c r="D187" s="605"/>
      <c r="E187" s="593"/>
      <c r="F187" s="559"/>
      <c r="G187" s="559"/>
      <c r="H187" s="597"/>
      <c r="I187" s="614"/>
      <c r="J187" s="392"/>
    </row>
    <row r="188" spans="1:10" hidden="1">
      <c r="A188" s="401"/>
      <c r="B188" s="604" t="str">
        <f t="shared" si="3"/>
        <v/>
      </c>
      <c r="C188" s="558"/>
      <c r="D188" s="605"/>
      <c r="E188" s="593"/>
      <c r="F188" s="559"/>
      <c r="G188" s="559"/>
      <c r="H188" s="597"/>
      <c r="I188" s="614"/>
      <c r="J188" s="392"/>
    </row>
    <row r="189" spans="1:10" hidden="1">
      <c r="A189" s="401"/>
      <c r="B189" s="604" t="str">
        <f t="shared" si="3"/>
        <v/>
      </c>
      <c r="C189" s="558"/>
      <c r="D189" s="605"/>
      <c r="E189" s="593"/>
      <c r="F189" s="559"/>
      <c r="G189" s="559"/>
      <c r="H189" s="597"/>
      <c r="I189" s="614"/>
      <c r="J189" s="392"/>
    </row>
    <row r="190" spans="1:10" hidden="1">
      <c r="A190" s="401"/>
      <c r="B190" s="604" t="str">
        <f t="shared" si="3"/>
        <v/>
      </c>
      <c r="C190" s="558"/>
      <c r="D190" s="605"/>
      <c r="E190" s="593"/>
      <c r="F190" s="559"/>
      <c r="G190" s="559"/>
      <c r="H190" s="597"/>
      <c r="I190" s="614"/>
      <c r="J190" s="392"/>
    </row>
    <row r="191" spans="1:10" hidden="1">
      <c r="A191" s="401"/>
      <c r="B191" s="604" t="str">
        <f t="shared" si="3"/>
        <v/>
      </c>
      <c r="C191" s="558"/>
      <c r="D191" s="605"/>
      <c r="E191" s="593"/>
      <c r="F191" s="559"/>
      <c r="G191" s="559"/>
      <c r="H191" s="597"/>
      <c r="I191" s="614"/>
      <c r="J191" s="392"/>
    </row>
    <row r="192" spans="1:10" hidden="1">
      <c r="A192" s="401"/>
      <c r="B192" s="604" t="str">
        <f t="shared" si="3"/>
        <v/>
      </c>
      <c r="C192" s="558"/>
      <c r="D192" s="605"/>
      <c r="E192" s="593"/>
      <c r="F192" s="559"/>
      <c r="G192" s="559"/>
      <c r="H192" s="597"/>
      <c r="I192" s="614"/>
      <c r="J192" s="392"/>
    </row>
    <row r="193" spans="1:10" hidden="1">
      <c r="A193" s="401"/>
      <c r="B193" s="604" t="str">
        <f t="shared" si="3"/>
        <v/>
      </c>
      <c r="C193" s="558"/>
      <c r="D193" s="605"/>
      <c r="E193" s="593"/>
      <c r="F193" s="559"/>
      <c r="G193" s="559"/>
      <c r="H193" s="597"/>
      <c r="I193" s="614"/>
      <c r="J193" s="392"/>
    </row>
    <row r="194" spans="1:10" hidden="1">
      <c r="A194" s="401"/>
      <c r="B194" s="604" t="str">
        <f t="shared" si="3"/>
        <v/>
      </c>
      <c r="C194" s="558"/>
      <c r="D194" s="605"/>
      <c r="E194" s="593"/>
      <c r="F194" s="559"/>
      <c r="G194" s="559"/>
      <c r="H194" s="597"/>
      <c r="I194" s="614"/>
      <c r="J194" s="392"/>
    </row>
    <row r="195" spans="1:10" hidden="1">
      <c r="A195" s="401"/>
      <c r="B195" s="604" t="str">
        <f t="shared" si="3"/>
        <v/>
      </c>
      <c r="C195" s="558"/>
      <c r="D195" s="605"/>
      <c r="E195" s="593"/>
      <c r="F195" s="559"/>
      <c r="G195" s="559"/>
      <c r="H195" s="597"/>
      <c r="I195" s="614"/>
      <c r="J195" s="392"/>
    </row>
    <row r="196" spans="1:10" hidden="1">
      <c r="A196" s="401"/>
      <c r="B196" s="604" t="str">
        <f t="shared" si="3"/>
        <v/>
      </c>
      <c r="C196" s="558"/>
      <c r="D196" s="605"/>
      <c r="E196" s="593"/>
      <c r="F196" s="559"/>
      <c r="G196" s="559"/>
      <c r="H196" s="597"/>
      <c r="I196" s="614"/>
      <c r="J196" s="392"/>
    </row>
    <row r="197" spans="1:10" hidden="1">
      <c r="A197" s="401"/>
      <c r="B197" s="604" t="str">
        <f t="shared" si="3"/>
        <v/>
      </c>
      <c r="C197" s="558"/>
      <c r="D197" s="605"/>
      <c r="E197" s="593"/>
      <c r="F197" s="559"/>
      <c r="G197" s="559"/>
      <c r="H197" s="597"/>
      <c r="I197" s="614"/>
      <c r="J197" s="392"/>
    </row>
    <row r="198" spans="1:10" hidden="1">
      <c r="A198" s="401"/>
      <c r="B198" s="604" t="str">
        <f t="shared" si="3"/>
        <v/>
      </c>
      <c r="C198" s="558"/>
      <c r="D198" s="605"/>
      <c r="E198" s="593"/>
      <c r="F198" s="559"/>
      <c r="G198" s="559"/>
      <c r="H198" s="597"/>
      <c r="I198" s="614"/>
      <c r="J198" s="392"/>
    </row>
    <row r="199" spans="1:10" hidden="1">
      <c r="A199" s="401"/>
      <c r="B199" s="604" t="str">
        <f t="shared" si="3"/>
        <v/>
      </c>
      <c r="C199" s="558"/>
      <c r="D199" s="605"/>
      <c r="E199" s="593"/>
      <c r="F199" s="559"/>
      <c r="G199" s="559"/>
      <c r="H199" s="597"/>
      <c r="I199" s="614"/>
      <c r="J199" s="392"/>
    </row>
    <row r="200" spans="1:10" hidden="1">
      <c r="A200" s="401"/>
      <c r="B200" s="604" t="str">
        <f t="shared" si="3"/>
        <v/>
      </c>
      <c r="C200" s="558"/>
      <c r="D200" s="605"/>
      <c r="E200" s="593"/>
      <c r="F200" s="559"/>
      <c r="G200" s="559"/>
      <c r="H200" s="597"/>
      <c r="I200" s="614"/>
      <c r="J200" s="401"/>
    </row>
    <row r="201" spans="1:10" hidden="1">
      <c r="A201" s="401"/>
      <c r="B201" s="604" t="str">
        <f t="shared" si="3"/>
        <v/>
      </c>
      <c r="C201" s="558"/>
      <c r="D201" s="605"/>
      <c r="E201" s="593"/>
      <c r="F201" s="559"/>
      <c r="G201" s="559"/>
      <c r="H201" s="597"/>
      <c r="I201" s="614"/>
      <c r="J201" s="401"/>
    </row>
    <row r="202" spans="1:10" hidden="1">
      <c r="A202" s="401"/>
      <c r="B202" s="604" t="str">
        <f t="shared" ref="B202:B205" si="4">IF(C202="","",B201+1)</f>
        <v/>
      </c>
      <c r="C202" s="558"/>
      <c r="D202" s="605"/>
      <c r="E202" s="593"/>
      <c r="F202" s="559"/>
      <c r="G202" s="559"/>
      <c r="H202" s="597"/>
      <c r="I202" s="614"/>
      <c r="J202" s="401"/>
    </row>
    <row r="203" spans="1:10" hidden="1">
      <c r="A203" s="401"/>
      <c r="B203" s="604" t="str">
        <f t="shared" si="4"/>
        <v/>
      </c>
      <c r="C203" s="558"/>
      <c r="D203" s="605"/>
      <c r="E203" s="593"/>
      <c r="F203" s="559"/>
      <c r="G203" s="559"/>
      <c r="H203" s="597"/>
      <c r="I203" s="614"/>
      <c r="J203" s="401"/>
    </row>
    <row r="204" spans="1:10" hidden="1">
      <c r="A204" s="401"/>
      <c r="B204" s="604" t="str">
        <f t="shared" si="4"/>
        <v/>
      </c>
      <c r="C204" s="558"/>
      <c r="D204" s="605"/>
      <c r="E204" s="593"/>
      <c r="F204" s="559"/>
      <c r="G204" s="559"/>
      <c r="H204" s="597"/>
      <c r="I204" s="614"/>
      <c r="J204" s="401"/>
    </row>
    <row r="205" spans="1:10" ht="13.5" hidden="1" thickBot="1">
      <c r="A205" s="401"/>
      <c r="B205" s="606" t="str">
        <f t="shared" si="4"/>
        <v/>
      </c>
      <c r="C205" s="607"/>
      <c r="D205" s="608"/>
      <c r="E205" s="603"/>
      <c r="F205" s="599"/>
      <c r="G205" s="599"/>
      <c r="H205" s="600"/>
      <c r="I205" s="615"/>
      <c r="J205" s="401"/>
    </row>
    <row r="206" spans="1:10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</row>
    <row r="207" spans="1:10" hidden="1"/>
  </sheetData>
  <mergeCells count="4">
    <mergeCell ref="B1:I1"/>
    <mergeCell ref="B2:I2"/>
    <mergeCell ref="B3:I3"/>
    <mergeCell ref="B5:D5"/>
  </mergeCells>
  <conditionalFormatting sqref="H8:H204">
    <cfRule type="cellIs" dxfId="4" priority="3" operator="lessThan">
      <formula>0</formula>
    </cfRule>
  </conditionalFormatting>
  <conditionalFormatting sqref="H205">
    <cfRule type="cellIs" dxfId="3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206"/>
  <sheetViews>
    <sheetView showRowColHeaders="0" workbookViewId="0">
      <selection activeCell="I206" sqref="I206"/>
    </sheetView>
  </sheetViews>
  <sheetFormatPr defaultColWidth="0" defaultRowHeight="0" customHeight="1" zeroHeight="1"/>
  <cols>
    <col min="1" max="1" width="8.140625" customWidth="1"/>
    <col min="2" max="3" width="7.5703125" customWidth="1"/>
    <col min="4" max="4" width="50.7109375" customWidth="1"/>
    <col min="5" max="9" width="12.85546875" customWidth="1"/>
    <col min="10" max="10" width="8.140625" customWidth="1"/>
    <col min="11" max="11" width="0" hidden="1" customWidth="1"/>
    <col min="12" max="16384" width="9.140625" hidden="1"/>
  </cols>
  <sheetData>
    <row r="1" spans="1:10" ht="20.25">
      <c r="A1" s="401"/>
      <c r="B1" s="1189" t="str">
        <f>MENU!$B$7</f>
        <v>DIRETORIA REGIONAL DE EDUCAÇÃO - CAMPO LIMPO</v>
      </c>
      <c r="C1" s="1189"/>
      <c r="D1" s="1189"/>
      <c r="E1" s="1189"/>
      <c r="F1" s="1189"/>
      <c r="G1" s="1189"/>
      <c r="H1" s="1189"/>
      <c r="I1" s="1189"/>
      <c r="J1" s="392"/>
    </row>
    <row r="2" spans="1:10" ht="20.25">
      <c r="A2" s="401"/>
      <c r="B2" s="1190" t="s">
        <v>414</v>
      </c>
      <c r="C2" s="1190"/>
      <c r="D2" s="1190"/>
      <c r="E2" s="1190"/>
      <c r="F2" s="1190"/>
      <c r="G2" s="1190"/>
      <c r="H2" s="1190"/>
      <c r="I2" s="1190"/>
      <c r="J2" s="392"/>
    </row>
    <row r="3" spans="1:10" ht="40.5" customHeight="1" thickBot="1">
      <c r="A3" s="401"/>
      <c r="B3" s="1191" t="str">
        <f>MENU!$B$5</f>
        <v>1º Repasse de 2020</v>
      </c>
      <c r="C3" s="1191"/>
      <c r="D3" s="1191"/>
      <c r="E3" s="1191"/>
      <c r="F3" s="1191"/>
      <c r="G3" s="1191"/>
      <c r="H3" s="1191"/>
      <c r="I3" s="1191"/>
      <c r="J3" s="392"/>
    </row>
    <row r="4" spans="1:10" ht="12.75">
      <c r="A4" s="401"/>
      <c r="B4" s="392"/>
      <c r="C4" s="557"/>
      <c r="D4" s="452"/>
      <c r="E4" s="578" t="s">
        <v>410</v>
      </c>
      <c r="F4" s="579" t="s">
        <v>8</v>
      </c>
      <c r="G4" s="579" t="s">
        <v>411</v>
      </c>
      <c r="H4" s="580" t="s">
        <v>11</v>
      </c>
      <c r="I4" s="609" t="s">
        <v>412</v>
      </c>
      <c r="J4" s="392"/>
    </row>
    <row r="5" spans="1:10" ht="13.5" thickBot="1">
      <c r="A5" s="401"/>
      <c r="B5" s="1192" t="s">
        <v>69</v>
      </c>
      <c r="C5" s="1192"/>
      <c r="D5" s="1192"/>
      <c r="E5" s="581">
        <f>SUM(E8:E204)</f>
        <v>0</v>
      </c>
      <c r="F5" s="582">
        <f>SUM(F8:F204)</f>
        <v>0</v>
      </c>
      <c r="G5" s="582">
        <f>SUM(G8:G204)</f>
        <v>0</v>
      </c>
      <c r="H5" s="583">
        <f>SUM(H8:H204)</f>
        <v>0</v>
      </c>
      <c r="I5" s="610">
        <f>SUM(I8:I204)</f>
        <v>0</v>
      </c>
      <c r="J5" s="392"/>
    </row>
    <row r="6" spans="1:10" ht="13.5" thickBot="1">
      <c r="A6" s="401"/>
      <c r="B6" s="392"/>
      <c r="C6" s="392"/>
      <c r="D6" s="392"/>
      <c r="E6" s="392"/>
      <c r="F6" s="392"/>
      <c r="G6" s="392"/>
      <c r="H6" s="392"/>
      <c r="I6" s="392"/>
      <c r="J6" s="392"/>
    </row>
    <row r="7" spans="1:10" ht="13.5" thickBot="1">
      <c r="A7" s="401"/>
      <c r="B7" s="586" t="s">
        <v>326</v>
      </c>
      <c r="C7" s="587" t="s">
        <v>224</v>
      </c>
      <c r="D7" s="648" t="s">
        <v>413</v>
      </c>
      <c r="E7" s="586" t="s">
        <v>410</v>
      </c>
      <c r="F7" s="587" t="s">
        <v>8</v>
      </c>
      <c r="G7" s="587" t="s">
        <v>411</v>
      </c>
      <c r="H7" s="588" t="s">
        <v>11</v>
      </c>
      <c r="I7" s="612" t="s">
        <v>412</v>
      </c>
      <c r="J7" s="392"/>
    </row>
    <row r="8" spans="1:10" ht="12.75">
      <c r="A8" s="401"/>
      <c r="B8" s="632">
        <f>IF(C8="","",1)</f>
        <v>1</v>
      </c>
      <c r="C8" s="633">
        <f>[1]Dados!$E$3</f>
        <v>400090</v>
      </c>
      <c r="D8" s="634" t="str">
        <f>[1]Dados!$E$69</f>
        <v>CEI - JARDIM KAGOHARA</v>
      </c>
      <c r="E8" s="645">
        <f>[1]MOD_2_futuro!$C$15</f>
        <v>0</v>
      </c>
      <c r="F8" s="643">
        <f>[1]MOD_2_futuro!$G$15</f>
        <v>0</v>
      </c>
      <c r="G8" s="643">
        <f>[1]MOD_2_futuro!$P$15</f>
        <v>0</v>
      </c>
      <c r="H8" s="644">
        <f t="shared" ref="H8:H12" si="0">(E8+F8)-G8</f>
        <v>0</v>
      </c>
      <c r="I8" s="646">
        <f>[1]MENU!$X$83</f>
        <v>0</v>
      </c>
      <c r="J8" s="392"/>
    </row>
    <row r="9" spans="1:10" ht="12.75">
      <c r="A9" s="401"/>
      <c r="B9" s="604">
        <f>IF(C9="","",B8+1)</f>
        <v>2</v>
      </c>
      <c r="C9" s="558">
        <f>[2]Dados!$E$3</f>
        <v>92908</v>
      </c>
      <c r="D9" s="605" t="str">
        <f>[2]Dados!$E$69</f>
        <v>EMEF - CLEMENTE PASTORE, PROF.</v>
      </c>
      <c r="E9" s="593">
        <f>[2]MOD_2_futuro!$C$15</f>
        <v>0</v>
      </c>
      <c r="F9" s="559">
        <f>[2]MOD_2_futuro!$G$15</f>
        <v>0</v>
      </c>
      <c r="G9" s="559">
        <f>[2]MOD_2_futuro!$P$15</f>
        <v>0</v>
      </c>
      <c r="H9" s="597">
        <f t="shared" si="0"/>
        <v>0</v>
      </c>
      <c r="I9" s="614">
        <f>[2]MENU!$X$83</f>
        <v>0</v>
      </c>
      <c r="J9" s="392"/>
    </row>
    <row r="10" spans="1:10" ht="12.75">
      <c r="A10" s="401"/>
      <c r="B10" s="604">
        <f t="shared" ref="B10:B73" si="1">IF(C10="","",B9+1)</f>
        <v>3</v>
      </c>
      <c r="C10" s="558">
        <f>[3]Dados!$E$3</f>
        <v>99228</v>
      </c>
      <c r="D10" s="605" t="str">
        <f>[3]Dados!$E$69</f>
        <v>EMEF - JOAO PEDRO DE CARVALHO NETO, DR.</v>
      </c>
      <c r="E10" s="593">
        <f>[3]MOD_2_futuro!$C$15</f>
        <v>0</v>
      </c>
      <c r="F10" s="559">
        <f>[3]MOD_2_futuro!$G$15</f>
        <v>0</v>
      </c>
      <c r="G10" s="559">
        <f>[3]MOD_2_futuro!$P$15</f>
        <v>0</v>
      </c>
      <c r="H10" s="597">
        <f t="shared" si="0"/>
        <v>0</v>
      </c>
      <c r="I10" s="614">
        <f>[3]MENU!$X$83</f>
        <v>0</v>
      </c>
      <c r="J10" s="392"/>
    </row>
    <row r="11" spans="1:10" ht="12.75">
      <c r="A11" s="401"/>
      <c r="B11" s="604">
        <f t="shared" si="1"/>
        <v>4</v>
      </c>
      <c r="C11" s="558">
        <f>[4]Dados!$E$3</f>
        <v>19490</v>
      </c>
      <c r="D11" s="605" t="str">
        <f>[4]Dados!$E$69</f>
        <v>EMEI - CAMPO LIMPO VI</v>
      </c>
      <c r="E11" s="593">
        <f>[4]MOD_2_futuro!$C$15</f>
        <v>0</v>
      </c>
      <c r="F11" s="559">
        <f>[4]MOD_2_futuro!$G$15</f>
        <v>0</v>
      </c>
      <c r="G11" s="559">
        <f>[4]MOD_2_futuro!$P$15</f>
        <v>0</v>
      </c>
      <c r="H11" s="597">
        <f t="shared" si="0"/>
        <v>0</v>
      </c>
      <c r="I11" s="614">
        <f>[4]MENU!$X$83</f>
        <v>0</v>
      </c>
      <c r="J11" s="392"/>
    </row>
    <row r="12" spans="1:10" ht="13.5" thickBot="1">
      <c r="A12" s="401"/>
      <c r="B12" s="606">
        <f t="shared" si="1"/>
        <v>5</v>
      </c>
      <c r="C12" s="607">
        <f>[5]Dados!$E$3</f>
        <v>200252</v>
      </c>
      <c r="D12" s="608" t="str">
        <f>[5]Dados!$E$69</f>
        <v>CEU - CAPAO REDONDO - CELSO SEIXAS RIBEIRO BASTOS, PROF. E DR.</v>
      </c>
      <c r="E12" s="603">
        <f>[5]MOD_2_futuro!$C$15</f>
        <v>0</v>
      </c>
      <c r="F12" s="599">
        <f>[5]MOD_2_futuro!$G$15</f>
        <v>0</v>
      </c>
      <c r="G12" s="599">
        <f>[5]MOD_2_futuro!$P$15</f>
        <v>0</v>
      </c>
      <c r="H12" s="600">
        <f t="shared" si="0"/>
        <v>0</v>
      </c>
      <c r="I12" s="615">
        <f>[5]MENU!$X$83</f>
        <v>0</v>
      </c>
      <c r="J12" s="392"/>
    </row>
    <row r="13" spans="1:10" ht="12.75" hidden="1">
      <c r="A13" s="401"/>
      <c r="B13" s="639" t="str">
        <f t="shared" si="1"/>
        <v/>
      </c>
      <c r="C13" s="640"/>
      <c r="D13" s="641"/>
      <c r="E13" s="592"/>
      <c r="F13" s="584"/>
      <c r="G13" s="584"/>
      <c r="H13" s="595"/>
      <c r="I13" s="613"/>
      <c r="J13" s="392"/>
    </row>
    <row r="14" spans="1:10" ht="12.75" hidden="1">
      <c r="A14" s="401"/>
      <c r="B14" s="604" t="str">
        <f t="shared" si="1"/>
        <v/>
      </c>
      <c r="C14" s="558"/>
      <c r="D14" s="605"/>
      <c r="E14" s="593"/>
      <c r="F14" s="559"/>
      <c r="G14" s="559"/>
      <c r="H14" s="597"/>
      <c r="I14" s="614"/>
      <c r="J14" s="392"/>
    </row>
    <row r="15" spans="1:10" ht="12.75" hidden="1">
      <c r="A15" s="401"/>
      <c r="B15" s="604" t="str">
        <f t="shared" si="1"/>
        <v/>
      </c>
      <c r="C15" s="558"/>
      <c r="D15" s="605"/>
      <c r="E15" s="593"/>
      <c r="F15" s="559"/>
      <c r="G15" s="559"/>
      <c r="H15" s="597"/>
      <c r="I15" s="614"/>
      <c r="J15" s="392"/>
    </row>
    <row r="16" spans="1:10" ht="12.75" hidden="1">
      <c r="A16" s="401"/>
      <c r="B16" s="604" t="str">
        <f t="shared" si="1"/>
        <v/>
      </c>
      <c r="C16" s="558"/>
      <c r="D16" s="605"/>
      <c r="E16" s="593"/>
      <c r="F16" s="559"/>
      <c r="G16" s="559"/>
      <c r="H16" s="597"/>
      <c r="I16" s="614"/>
      <c r="J16" s="392"/>
    </row>
    <row r="17" spans="1:10" ht="12.75" hidden="1">
      <c r="A17" s="401"/>
      <c r="B17" s="604" t="str">
        <f t="shared" si="1"/>
        <v/>
      </c>
      <c r="C17" s="558"/>
      <c r="D17" s="605"/>
      <c r="E17" s="593"/>
      <c r="F17" s="559"/>
      <c r="G17" s="559"/>
      <c r="H17" s="597"/>
      <c r="I17" s="614"/>
      <c r="J17" s="392"/>
    </row>
    <row r="18" spans="1:10" ht="12.75" hidden="1">
      <c r="A18" s="401"/>
      <c r="B18" s="604" t="str">
        <f t="shared" si="1"/>
        <v/>
      </c>
      <c r="C18" s="558"/>
      <c r="D18" s="605"/>
      <c r="E18" s="593"/>
      <c r="F18" s="559"/>
      <c r="G18" s="559"/>
      <c r="H18" s="597"/>
      <c r="I18" s="614"/>
      <c r="J18" s="392"/>
    </row>
    <row r="19" spans="1:10" ht="12.75" hidden="1">
      <c r="A19" s="401"/>
      <c r="B19" s="604" t="str">
        <f t="shared" si="1"/>
        <v/>
      </c>
      <c r="C19" s="558"/>
      <c r="D19" s="605"/>
      <c r="E19" s="593"/>
      <c r="F19" s="559"/>
      <c r="G19" s="559"/>
      <c r="H19" s="597"/>
      <c r="I19" s="614"/>
      <c r="J19" s="392"/>
    </row>
    <row r="20" spans="1:10" ht="12.75" hidden="1">
      <c r="A20" s="401"/>
      <c r="B20" s="604" t="str">
        <f t="shared" si="1"/>
        <v/>
      </c>
      <c r="C20" s="558"/>
      <c r="D20" s="605"/>
      <c r="E20" s="593"/>
      <c r="F20" s="559"/>
      <c r="G20" s="559"/>
      <c r="H20" s="597"/>
      <c r="I20" s="614"/>
      <c r="J20" s="392"/>
    </row>
    <row r="21" spans="1:10" ht="12.75" hidden="1">
      <c r="A21" s="401"/>
      <c r="B21" s="604" t="str">
        <f t="shared" si="1"/>
        <v/>
      </c>
      <c r="C21" s="558"/>
      <c r="D21" s="605"/>
      <c r="E21" s="593"/>
      <c r="F21" s="559"/>
      <c r="G21" s="559"/>
      <c r="H21" s="597"/>
      <c r="I21" s="614"/>
      <c r="J21" s="392"/>
    </row>
    <row r="22" spans="1:10" ht="12.75" hidden="1">
      <c r="A22" s="401"/>
      <c r="B22" s="604" t="str">
        <f t="shared" si="1"/>
        <v/>
      </c>
      <c r="C22" s="558"/>
      <c r="D22" s="605"/>
      <c r="E22" s="593"/>
      <c r="F22" s="559"/>
      <c r="G22" s="559"/>
      <c r="H22" s="597"/>
      <c r="I22" s="614"/>
      <c r="J22" s="392"/>
    </row>
    <row r="23" spans="1:10" ht="12.75" hidden="1">
      <c r="A23" s="401"/>
      <c r="B23" s="604" t="str">
        <f t="shared" si="1"/>
        <v/>
      </c>
      <c r="C23" s="558"/>
      <c r="D23" s="605"/>
      <c r="E23" s="593"/>
      <c r="F23" s="559"/>
      <c r="G23" s="559"/>
      <c r="H23" s="597"/>
      <c r="I23" s="614"/>
      <c r="J23" s="392"/>
    </row>
    <row r="24" spans="1:10" ht="12.75" hidden="1">
      <c r="A24" s="401"/>
      <c r="B24" s="604" t="str">
        <f t="shared" si="1"/>
        <v/>
      </c>
      <c r="C24" s="558"/>
      <c r="D24" s="605"/>
      <c r="E24" s="593"/>
      <c r="F24" s="559"/>
      <c r="G24" s="559"/>
      <c r="H24" s="597"/>
      <c r="I24" s="614"/>
      <c r="J24" s="392"/>
    </row>
    <row r="25" spans="1:10" ht="12.75" hidden="1">
      <c r="A25" s="401"/>
      <c r="B25" s="604" t="str">
        <f t="shared" si="1"/>
        <v/>
      </c>
      <c r="C25" s="558"/>
      <c r="D25" s="605"/>
      <c r="E25" s="593"/>
      <c r="F25" s="559"/>
      <c r="G25" s="559"/>
      <c r="H25" s="597"/>
      <c r="I25" s="614"/>
      <c r="J25" s="392"/>
    </row>
    <row r="26" spans="1:10" ht="12.75" hidden="1">
      <c r="A26" s="401"/>
      <c r="B26" s="604" t="str">
        <f t="shared" si="1"/>
        <v/>
      </c>
      <c r="C26" s="558"/>
      <c r="D26" s="605"/>
      <c r="E26" s="593"/>
      <c r="F26" s="559"/>
      <c r="G26" s="559"/>
      <c r="H26" s="597"/>
      <c r="I26" s="614"/>
      <c r="J26" s="392"/>
    </row>
    <row r="27" spans="1:10" ht="12.75" hidden="1">
      <c r="A27" s="401"/>
      <c r="B27" s="604" t="str">
        <f t="shared" si="1"/>
        <v/>
      </c>
      <c r="C27" s="558"/>
      <c r="D27" s="605"/>
      <c r="E27" s="593"/>
      <c r="F27" s="559"/>
      <c r="G27" s="559"/>
      <c r="H27" s="597"/>
      <c r="I27" s="614"/>
      <c r="J27" s="392"/>
    </row>
    <row r="28" spans="1:10" ht="12.75" hidden="1">
      <c r="A28" s="401"/>
      <c r="B28" s="604" t="str">
        <f t="shared" si="1"/>
        <v/>
      </c>
      <c r="C28" s="558"/>
      <c r="D28" s="605"/>
      <c r="E28" s="593"/>
      <c r="F28" s="559"/>
      <c r="G28" s="559"/>
      <c r="H28" s="597"/>
      <c r="I28" s="614"/>
      <c r="J28" s="392"/>
    </row>
    <row r="29" spans="1:10" ht="12.75" hidden="1">
      <c r="A29" s="401"/>
      <c r="B29" s="604" t="str">
        <f t="shared" si="1"/>
        <v/>
      </c>
      <c r="C29" s="558"/>
      <c r="D29" s="605"/>
      <c r="E29" s="593"/>
      <c r="F29" s="559"/>
      <c r="G29" s="559"/>
      <c r="H29" s="597"/>
      <c r="I29" s="614"/>
      <c r="J29" s="392"/>
    </row>
    <row r="30" spans="1:10" ht="12.75" hidden="1">
      <c r="A30" s="401"/>
      <c r="B30" s="604" t="str">
        <f t="shared" si="1"/>
        <v/>
      </c>
      <c r="C30" s="558"/>
      <c r="D30" s="605"/>
      <c r="E30" s="593"/>
      <c r="F30" s="559"/>
      <c r="G30" s="559"/>
      <c r="H30" s="597"/>
      <c r="I30" s="614"/>
      <c r="J30" s="392"/>
    </row>
    <row r="31" spans="1:10" ht="12.75" hidden="1">
      <c r="A31" s="401"/>
      <c r="B31" s="604" t="str">
        <f t="shared" si="1"/>
        <v/>
      </c>
      <c r="C31" s="558"/>
      <c r="D31" s="605"/>
      <c r="E31" s="593"/>
      <c r="F31" s="559"/>
      <c r="G31" s="559"/>
      <c r="H31" s="597"/>
      <c r="I31" s="614"/>
      <c r="J31" s="392"/>
    </row>
    <row r="32" spans="1:10" ht="12.75" hidden="1">
      <c r="A32" s="401"/>
      <c r="B32" s="604" t="str">
        <f t="shared" si="1"/>
        <v/>
      </c>
      <c r="C32" s="558"/>
      <c r="D32" s="605"/>
      <c r="E32" s="593"/>
      <c r="F32" s="559"/>
      <c r="G32" s="559"/>
      <c r="H32" s="597"/>
      <c r="I32" s="614"/>
      <c r="J32" s="392"/>
    </row>
    <row r="33" spans="1:10" ht="12.75" hidden="1">
      <c r="A33" s="401"/>
      <c r="B33" s="604" t="str">
        <f t="shared" si="1"/>
        <v/>
      </c>
      <c r="C33" s="558"/>
      <c r="D33" s="605"/>
      <c r="E33" s="593"/>
      <c r="F33" s="559"/>
      <c r="G33" s="559"/>
      <c r="H33" s="597"/>
      <c r="I33" s="614"/>
      <c r="J33" s="392"/>
    </row>
    <row r="34" spans="1:10" ht="12.75" hidden="1">
      <c r="A34" s="401"/>
      <c r="B34" s="604" t="str">
        <f t="shared" si="1"/>
        <v/>
      </c>
      <c r="C34" s="558"/>
      <c r="D34" s="605"/>
      <c r="E34" s="593"/>
      <c r="F34" s="559"/>
      <c r="G34" s="559"/>
      <c r="H34" s="597"/>
      <c r="I34" s="614"/>
      <c r="J34" s="392"/>
    </row>
    <row r="35" spans="1:10" ht="12.75" hidden="1">
      <c r="A35" s="401"/>
      <c r="B35" s="604" t="str">
        <f t="shared" si="1"/>
        <v/>
      </c>
      <c r="C35" s="558"/>
      <c r="D35" s="605"/>
      <c r="E35" s="593"/>
      <c r="F35" s="559"/>
      <c r="G35" s="559"/>
      <c r="H35" s="597"/>
      <c r="I35" s="614"/>
      <c r="J35" s="392"/>
    </row>
    <row r="36" spans="1:10" ht="12.75" hidden="1">
      <c r="A36" s="401"/>
      <c r="B36" s="604" t="str">
        <f t="shared" si="1"/>
        <v/>
      </c>
      <c r="C36" s="558"/>
      <c r="D36" s="605"/>
      <c r="E36" s="593"/>
      <c r="F36" s="559"/>
      <c r="G36" s="559"/>
      <c r="H36" s="597"/>
      <c r="I36" s="614"/>
      <c r="J36" s="392"/>
    </row>
    <row r="37" spans="1:10" ht="12.75" hidden="1">
      <c r="A37" s="401"/>
      <c r="B37" s="604" t="str">
        <f t="shared" si="1"/>
        <v/>
      </c>
      <c r="C37" s="558"/>
      <c r="D37" s="605"/>
      <c r="E37" s="593"/>
      <c r="F37" s="559"/>
      <c r="G37" s="559"/>
      <c r="H37" s="597"/>
      <c r="I37" s="614"/>
      <c r="J37" s="392"/>
    </row>
    <row r="38" spans="1:10" ht="12.75" hidden="1">
      <c r="A38" s="401"/>
      <c r="B38" s="604" t="str">
        <f t="shared" si="1"/>
        <v/>
      </c>
      <c r="C38" s="558"/>
      <c r="D38" s="605"/>
      <c r="E38" s="593"/>
      <c r="F38" s="559"/>
      <c r="G38" s="559"/>
      <c r="H38" s="597"/>
      <c r="I38" s="614"/>
      <c r="J38" s="392"/>
    </row>
    <row r="39" spans="1:10" ht="12.75" hidden="1">
      <c r="A39" s="401"/>
      <c r="B39" s="604" t="str">
        <f t="shared" si="1"/>
        <v/>
      </c>
      <c r="C39" s="558"/>
      <c r="D39" s="605"/>
      <c r="E39" s="593"/>
      <c r="F39" s="559"/>
      <c r="G39" s="559"/>
      <c r="H39" s="597"/>
      <c r="I39" s="614"/>
      <c r="J39" s="392"/>
    </row>
    <row r="40" spans="1:10" ht="12.75" hidden="1">
      <c r="A40" s="401"/>
      <c r="B40" s="604" t="str">
        <f t="shared" si="1"/>
        <v/>
      </c>
      <c r="C40" s="558"/>
      <c r="D40" s="605"/>
      <c r="E40" s="593"/>
      <c r="F40" s="559"/>
      <c r="G40" s="559"/>
      <c r="H40" s="597"/>
      <c r="I40" s="614"/>
      <c r="J40" s="392"/>
    </row>
    <row r="41" spans="1:10" ht="12.75" hidden="1">
      <c r="A41" s="401"/>
      <c r="B41" s="604" t="str">
        <f t="shared" si="1"/>
        <v/>
      </c>
      <c r="C41" s="558"/>
      <c r="D41" s="605"/>
      <c r="E41" s="593"/>
      <c r="F41" s="559"/>
      <c r="G41" s="559"/>
      <c r="H41" s="597"/>
      <c r="I41" s="614"/>
      <c r="J41" s="392"/>
    </row>
    <row r="42" spans="1:10" ht="12.75" hidden="1">
      <c r="A42" s="401"/>
      <c r="B42" s="604" t="str">
        <f t="shared" si="1"/>
        <v/>
      </c>
      <c r="C42" s="558"/>
      <c r="D42" s="605"/>
      <c r="E42" s="593"/>
      <c r="F42" s="559"/>
      <c r="G42" s="559"/>
      <c r="H42" s="597"/>
      <c r="I42" s="614"/>
      <c r="J42" s="392"/>
    </row>
    <row r="43" spans="1:10" ht="12.75" hidden="1">
      <c r="A43" s="401"/>
      <c r="B43" s="604" t="str">
        <f t="shared" si="1"/>
        <v/>
      </c>
      <c r="C43" s="558"/>
      <c r="D43" s="605"/>
      <c r="E43" s="593"/>
      <c r="F43" s="559"/>
      <c r="G43" s="559"/>
      <c r="H43" s="597"/>
      <c r="I43" s="614"/>
      <c r="J43" s="392"/>
    </row>
    <row r="44" spans="1:10" ht="12.75" hidden="1">
      <c r="A44" s="401"/>
      <c r="B44" s="604" t="str">
        <f t="shared" si="1"/>
        <v/>
      </c>
      <c r="C44" s="558"/>
      <c r="D44" s="605"/>
      <c r="E44" s="593"/>
      <c r="F44" s="559"/>
      <c r="G44" s="559"/>
      <c r="H44" s="597"/>
      <c r="I44" s="614"/>
      <c r="J44" s="392"/>
    </row>
    <row r="45" spans="1:10" ht="12.75" hidden="1">
      <c r="A45" s="401"/>
      <c r="B45" s="604" t="str">
        <f t="shared" si="1"/>
        <v/>
      </c>
      <c r="C45" s="558"/>
      <c r="D45" s="605"/>
      <c r="E45" s="593"/>
      <c r="F45" s="559"/>
      <c r="G45" s="559"/>
      <c r="H45" s="597"/>
      <c r="I45" s="614"/>
      <c r="J45" s="392"/>
    </row>
    <row r="46" spans="1:10" ht="12.75" hidden="1">
      <c r="A46" s="401"/>
      <c r="B46" s="604" t="str">
        <f t="shared" si="1"/>
        <v/>
      </c>
      <c r="C46" s="558"/>
      <c r="D46" s="605"/>
      <c r="E46" s="593"/>
      <c r="F46" s="559"/>
      <c r="G46" s="559"/>
      <c r="H46" s="650"/>
      <c r="I46" s="651"/>
      <c r="J46" s="392"/>
    </row>
    <row r="47" spans="1:10" ht="12.75" hidden="1">
      <c r="A47" s="401"/>
      <c r="B47" s="604" t="str">
        <f t="shared" si="1"/>
        <v/>
      </c>
      <c r="C47" s="558"/>
      <c r="D47" s="605"/>
      <c r="E47" s="593"/>
      <c r="F47" s="559"/>
      <c r="G47" s="559"/>
      <c r="H47" s="597"/>
      <c r="I47" s="614"/>
      <c r="J47" s="392"/>
    </row>
    <row r="48" spans="1:10" ht="12.75" hidden="1">
      <c r="A48" s="401"/>
      <c r="B48" s="604" t="str">
        <f t="shared" si="1"/>
        <v/>
      </c>
      <c r="C48" s="558"/>
      <c r="D48" s="605"/>
      <c r="E48" s="593"/>
      <c r="F48" s="559"/>
      <c r="G48" s="559"/>
      <c r="H48" s="597"/>
      <c r="I48" s="614"/>
      <c r="J48" s="392"/>
    </row>
    <row r="49" spans="1:10" ht="12.75" hidden="1">
      <c r="A49" s="401"/>
      <c r="B49" s="604" t="str">
        <f t="shared" si="1"/>
        <v/>
      </c>
      <c r="C49" s="558"/>
      <c r="D49" s="605"/>
      <c r="E49" s="593"/>
      <c r="F49" s="559"/>
      <c r="G49" s="559"/>
      <c r="H49" s="597"/>
      <c r="I49" s="614"/>
      <c r="J49" s="392"/>
    </row>
    <row r="50" spans="1:10" ht="12.75" hidden="1">
      <c r="A50" s="401"/>
      <c r="B50" s="604" t="str">
        <f t="shared" si="1"/>
        <v/>
      </c>
      <c r="C50" s="558"/>
      <c r="D50" s="605"/>
      <c r="E50" s="593"/>
      <c r="F50" s="559"/>
      <c r="G50" s="559"/>
      <c r="H50" s="597"/>
      <c r="I50" s="614"/>
      <c r="J50" s="392"/>
    </row>
    <row r="51" spans="1:10" ht="12.75" hidden="1">
      <c r="A51" s="401"/>
      <c r="B51" s="604" t="str">
        <f t="shared" si="1"/>
        <v/>
      </c>
      <c r="C51" s="558"/>
      <c r="D51" s="605"/>
      <c r="E51" s="593"/>
      <c r="F51" s="559"/>
      <c r="G51" s="559"/>
      <c r="H51" s="597"/>
      <c r="I51" s="614"/>
      <c r="J51" s="392"/>
    </row>
    <row r="52" spans="1:10" ht="12.75" hidden="1">
      <c r="A52" s="401"/>
      <c r="B52" s="604" t="str">
        <f t="shared" si="1"/>
        <v/>
      </c>
      <c r="C52" s="558"/>
      <c r="D52" s="605"/>
      <c r="E52" s="593"/>
      <c r="F52" s="559"/>
      <c r="G52" s="559"/>
      <c r="H52" s="597"/>
      <c r="I52" s="614"/>
      <c r="J52" s="392"/>
    </row>
    <row r="53" spans="1:10" ht="12.75" hidden="1">
      <c r="A53" s="401"/>
      <c r="B53" s="604" t="str">
        <f t="shared" si="1"/>
        <v/>
      </c>
      <c r="C53" s="558"/>
      <c r="D53" s="605"/>
      <c r="E53" s="593"/>
      <c r="F53" s="559"/>
      <c r="G53" s="559"/>
      <c r="H53" s="597"/>
      <c r="I53" s="614"/>
      <c r="J53" s="392"/>
    </row>
    <row r="54" spans="1:10" ht="12.75" hidden="1">
      <c r="A54" s="401"/>
      <c r="B54" s="604" t="str">
        <f t="shared" si="1"/>
        <v/>
      </c>
      <c r="C54" s="558"/>
      <c r="D54" s="605"/>
      <c r="E54" s="593"/>
      <c r="F54" s="559"/>
      <c r="G54" s="559"/>
      <c r="H54" s="597"/>
      <c r="I54" s="614"/>
      <c r="J54" s="392"/>
    </row>
    <row r="55" spans="1:10" ht="12.75" hidden="1">
      <c r="A55" s="401"/>
      <c r="B55" s="604" t="str">
        <f t="shared" si="1"/>
        <v/>
      </c>
      <c r="C55" s="558"/>
      <c r="D55" s="605"/>
      <c r="E55" s="593"/>
      <c r="F55" s="559"/>
      <c r="G55" s="559"/>
      <c r="H55" s="597"/>
      <c r="I55" s="614"/>
      <c r="J55" s="392"/>
    </row>
    <row r="56" spans="1:10" ht="12.75" hidden="1">
      <c r="A56" s="401"/>
      <c r="B56" s="604" t="str">
        <f t="shared" si="1"/>
        <v/>
      </c>
      <c r="C56" s="558"/>
      <c r="D56" s="605"/>
      <c r="E56" s="593"/>
      <c r="F56" s="559"/>
      <c r="G56" s="559"/>
      <c r="H56" s="597"/>
      <c r="I56" s="614"/>
      <c r="J56" s="392"/>
    </row>
    <row r="57" spans="1:10" ht="12.75" hidden="1">
      <c r="A57" s="401"/>
      <c r="B57" s="604" t="str">
        <f t="shared" si="1"/>
        <v/>
      </c>
      <c r="C57" s="558"/>
      <c r="D57" s="605"/>
      <c r="E57" s="593"/>
      <c r="F57" s="559"/>
      <c r="G57" s="559"/>
      <c r="H57" s="597"/>
      <c r="I57" s="614"/>
      <c r="J57" s="392"/>
    </row>
    <row r="58" spans="1:10" ht="12.75" hidden="1">
      <c r="A58" s="401"/>
      <c r="B58" s="604" t="str">
        <f t="shared" si="1"/>
        <v/>
      </c>
      <c r="C58" s="558"/>
      <c r="D58" s="605"/>
      <c r="E58" s="593"/>
      <c r="F58" s="559"/>
      <c r="G58" s="559"/>
      <c r="H58" s="597"/>
      <c r="I58" s="614"/>
      <c r="J58" s="392"/>
    </row>
    <row r="59" spans="1:10" ht="12.75" hidden="1">
      <c r="A59" s="401"/>
      <c r="B59" s="604" t="str">
        <f t="shared" si="1"/>
        <v/>
      </c>
      <c r="C59" s="558"/>
      <c r="D59" s="605"/>
      <c r="E59" s="593"/>
      <c r="F59" s="559"/>
      <c r="G59" s="559"/>
      <c r="H59" s="597"/>
      <c r="I59" s="614"/>
      <c r="J59" s="392"/>
    </row>
    <row r="60" spans="1:10" ht="12.75" hidden="1">
      <c r="A60" s="401"/>
      <c r="B60" s="604" t="str">
        <f t="shared" si="1"/>
        <v/>
      </c>
      <c r="C60" s="558"/>
      <c r="D60" s="605"/>
      <c r="E60" s="593"/>
      <c r="F60" s="559"/>
      <c r="G60" s="559"/>
      <c r="H60" s="597"/>
      <c r="I60" s="614"/>
      <c r="J60" s="392"/>
    </row>
    <row r="61" spans="1:10" ht="12.75" hidden="1">
      <c r="A61" s="401"/>
      <c r="B61" s="604" t="str">
        <f t="shared" si="1"/>
        <v/>
      </c>
      <c r="C61" s="558"/>
      <c r="D61" s="605"/>
      <c r="E61" s="593"/>
      <c r="F61" s="559"/>
      <c r="G61" s="559"/>
      <c r="H61" s="597"/>
      <c r="I61" s="614"/>
      <c r="J61" s="392"/>
    </row>
    <row r="62" spans="1:10" ht="12.75" hidden="1">
      <c r="A62" s="401"/>
      <c r="B62" s="604" t="str">
        <f t="shared" si="1"/>
        <v/>
      </c>
      <c r="C62" s="558"/>
      <c r="D62" s="605"/>
      <c r="E62" s="593"/>
      <c r="F62" s="559"/>
      <c r="G62" s="559"/>
      <c r="H62" s="597"/>
      <c r="I62" s="614"/>
      <c r="J62" s="392"/>
    </row>
    <row r="63" spans="1:10" ht="12.75" hidden="1">
      <c r="A63" s="401"/>
      <c r="B63" s="604" t="str">
        <f t="shared" si="1"/>
        <v/>
      </c>
      <c r="C63" s="558"/>
      <c r="D63" s="605"/>
      <c r="E63" s="593"/>
      <c r="F63" s="559"/>
      <c r="G63" s="559"/>
      <c r="H63" s="597"/>
      <c r="I63" s="614"/>
      <c r="J63" s="392"/>
    </row>
    <row r="64" spans="1:10" ht="12.75" hidden="1">
      <c r="A64" s="401"/>
      <c r="B64" s="604" t="str">
        <f t="shared" si="1"/>
        <v/>
      </c>
      <c r="C64" s="558"/>
      <c r="D64" s="605"/>
      <c r="E64" s="593"/>
      <c r="F64" s="559"/>
      <c r="G64" s="559"/>
      <c r="H64" s="597"/>
      <c r="I64" s="614"/>
      <c r="J64" s="392"/>
    </row>
    <row r="65" spans="1:10" ht="12.75" hidden="1">
      <c r="A65" s="401"/>
      <c r="B65" s="604" t="str">
        <f t="shared" si="1"/>
        <v/>
      </c>
      <c r="C65" s="558"/>
      <c r="D65" s="605"/>
      <c r="E65" s="593"/>
      <c r="F65" s="559"/>
      <c r="G65" s="559"/>
      <c r="H65" s="597"/>
      <c r="I65" s="614"/>
      <c r="J65" s="392"/>
    </row>
    <row r="66" spans="1:10" ht="12.75" hidden="1">
      <c r="A66" s="401"/>
      <c r="B66" s="604" t="str">
        <f t="shared" si="1"/>
        <v/>
      </c>
      <c r="C66" s="558"/>
      <c r="D66" s="605"/>
      <c r="E66" s="593"/>
      <c r="F66" s="559"/>
      <c r="G66" s="559"/>
      <c r="H66" s="597"/>
      <c r="I66" s="614"/>
      <c r="J66" s="392"/>
    </row>
    <row r="67" spans="1:10" ht="12.75" hidden="1">
      <c r="A67" s="401"/>
      <c r="B67" s="604" t="str">
        <f t="shared" si="1"/>
        <v/>
      </c>
      <c r="C67" s="558"/>
      <c r="D67" s="605"/>
      <c r="E67" s="593"/>
      <c r="F67" s="559"/>
      <c r="G67" s="559"/>
      <c r="H67" s="597"/>
      <c r="I67" s="614"/>
      <c r="J67" s="392"/>
    </row>
    <row r="68" spans="1:10" ht="12.75" hidden="1">
      <c r="A68" s="401"/>
      <c r="B68" s="604" t="str">
        <f t="shared" si="1"/>
        <v/>
      </c>
      <c r="C68" s="558"/>
      <c r="D68" s="605"/>
      <c r="E68" s="593"/>
      <c r="F68" s="559"/>
      <c r="G68" s="559"/>
      <c r="H68" s="597"/>
      <c r="I68" s="614"/>
      <c r="J68" s="392"/>
    </row>
    <row r="69" spans="1:10" ht="12.75" hidden="1">
      <c r="A69" s="401"/>
      <c r="B69" s="604" t="str">
        <f t="shared" si="1"/>
        <v/>
      </c>
      <c r="C69" s="558"/>
      <c r="D69" s="605"/>
      <c r="E69" s="593"/>
      <c r="F69" s="559"/>
      <c r="G69" s="559"/>
      <c r="H69" s="597"/>
      <c r="I69" s="614"/>
      <c r="J69" s="392"/>
    </row>
    <row r="70" spans="1:10" ht="12.75" hidden="1">
      <c r="A70" s="401"/>
      <c r="B70" s="604" t="str">
        <f t="shared" si="1"/>
        <v/>
      </c>
      <c r="C70" s="558"/>
      <c r="D70" s="605"/>
      <c r="E70" s="593"/>
      <c r="F70" s="559"/>
      <c r="G70" s="559"/>
      <c r="H70" s="597"/>
      <c r="I70" s="614"/>
      <c r="J70" s="392"/>
    </row>
    <row r="71" spans="1:10" ht="12.75" hidden="1">
      <c r="A71" s="401"/>
      <c r="B71" s="604" t="str">
        <f t="shared" si="1"/>
        <v/>
      </c>
      <c r="C71" s="558"/>
      <c r="D71" s="605"/>
      <c r="E71" s="593"/>
      <c r="F71" s="559"/>
      <c r="G71" s="559"/>
      <c r="H71" s="597"/>
      <c r="I71" s="614"/>
      <c r="J71" s="392"/>
    </row>
    <row r="72" spans="1:10" ht="12.75" hidden="1">
      <c r="A72" s="401"/>
      <c r="B72" s="604" t="str">
        <f t="shared" si="1"/>
        <v/>
      </c>
      <c r="C72" s="558"/>
      <c r="D72" s="605"/>
      <c r="E72" s="593"/>
      <c r="F72" s="559"/>
      <c r="G72" s="559"/>
      <c r="H72" s="597"/>
      <c r="I72" s="614"/>
      <c r="J72" s="392"/>
    </row>
    <row r="73" spans="1:10" ht="12.75" hidden="1">
      <c r="A73" s="401"/>
      <c r="B73" s="604" t="str">
        <f t="shared" si="1"/>
        <v/>
      </c>
      <c r="C73" s="558"/>
      <c r="D73" s="605"/>
      <c r="E73" s="593"/>
      <c r="F73" s="559"/>
      <c r="G73" s="559"/>
      <c r="H73" s="597"/>
      <c r="I73" s="614"/>
      <c r="J73" s="392"/>
    </row>
    <row r="74" spans="1:10" ht="12.75" hidden="1">
      <c r="A74" s="401"/>
      <c r="B74" s="604" t="str">
        <f t="shared" ref="B74:B137" si="2">IF(C74="","",B73+1)</f>
        <v/>
      </c>
      <c r="C74" s="558"/>
      <c r="D74" s="605"/>
      <c r="E74" s="593"/>
      <c r="F74" s="559"/>
      <c r="G74" s="559"/>
      <c r="H74" s="597"/>
      <c r="I74" s="614"/>
      <c r="J74" s="392"/>
    </row>
    <row r="75" spans="1:10" ht="12.75" hidden="1">
      <c r="A75" s="401"/>
      <c r="B75" s="604" t="str">
        <f t="shared" si="2"/>
        <v/>
      </c>
      <c r="C75" s="558"/>
      <c r="D75" s="605"/>
      <c r="E75" s="593"/>
      <c r="F75" s="559"/>
      <c r="G75" s="559"/>
      <c r="H75" s="597"/>
      <c r="I75" s="614"/>
      <c r="J75" s="392"/>
    </row>
    <row r="76" spans="1:10" ht="12.75" hidden="1">
      <c r="A76" s="401"/>
      <c r="B76" s="604" t="str">
        <f t="shared" si="2"/>
        <v/>
      </c>
      <c r="C76" s="558"/>
      <c r="D76" s="605"/>
      <c r="E76" s="593"/>
      <c r="F76" s="559"/>
      <c r="G76" s="559"/>
      <c r="H76" s="597"/>
      <c r="I76" s="614"/>
      <c r="J76" s="392"/>
    </row>
    <row r="77" spans="1:10" ht="12.75" hidden="1">
      <c r="A77" s="401"/>
      <c r="B77" s="604" t="str">
        <f t="shared" si="2"/>
        <v/>
      </c>
      <c r="C77" s="558"/>
      <c r="D77" s="605"/>
      <c r="E77" s="593"/>
      <c r="F77" s="559"/>
      <c r="G77" s="559"/>
      <c r="H77" s="597"/>
      <c r="I77" s="614"/>
      <c r="J77" s="392"/>
    </row>
    <row r="78" spans="1:10" ht="12.75" hidden="1">
      <c r="A78" s="401"/>
      <c r="B78" s="604" t="str">
        <f t="shared" si="2"/>
        <v/>
      </c>
      <c r="C78" s="558"/>
      <c r="D78" s="605"/>
      <c r="E78" s="593"/>
      <c r="F78" s="559"/>
      <c r="G78" s="559"/>
      <c r="H78" s="597"/>
      <c r="I78" s="614"/>
      <c r="J78" s="392"/>
    </row>
    <row r="79" spans="1:10" ht="12.75" hidden="1">
      <c r="A79" s="401"/>
      <c r="B79" s="604" t="str">
        <f t="shared" si="2"/>
        <v/>
      </c>
      <c r="C79" s="558"/>
      <c r="D79" s="605"/>
      <c r="E79" s="593"/>
      <c r="F79" s="559"/>
      <c r="G79" s="559"/>
      <c r="H79" s="597"/>
      <c r="I79" s="614"/>
      <c r="J79" s="392"/>
    </row>
    <row r="80" spans="1:10" ht="12.75" hidden="1">
      <c r="A80" s="401"/>
      <c r="B80" s="604" t="str">
        <f t="shared" si="2"/>
        <v/>
      </c>
      <c r="C80" s="558"/>
      <c r="D80" s="605"/>
      <c r="E80" s="593"/>
      <c r="F80" s="559"/>
      <c r="G80" s="559"/>
      <c r="H80" s="597"/>
      <c r="I80" s="614"/>
      <c r="J80" s="392"/>
    </row>
    <row r="81" spans="1:10" ht="12.75" hidden="1">
      <c r="A81" s="401"/>
      <c r="B81" s="604" t="str">
        <f t="shared" si="2"/>
        <v/>
      </c>
      <c r="C81" s="558"/>
      <c r="D81" s="605"/>
      <c r="E81" s="593"/>
      <c r="F81" s="559"/>
      <c r="G81" s="559"/>
      <c r="H81" s="597"/>
      <c r="I81" s="614"/>
      <c r="J81" s="392"/>
    </row>
    <row r="82" spans="1:10" ht="12.75" hidden="1">
      <c r="A82" s="401"/>
      <c r="B82" s="604" t="str">
        <f t="shared" si="2"/>
        <v/>
      </c>
      <c r="C82" s="558"/>
      <c r="D82" s="605"/>
      <c r="E82" s="593"/>
      <c r="F82" s="559"/>
      <c r="G82" s="559"/>
      <c r="H82" s="597"/>
      <c r="I82" s="614"/>
      <c r="J82" s="392"/>
    </row>
    <row r="83" spans="1:10" ht="12.75" hidden="1">
      <c r="A83" s="401"/>
      <c r="B83" s="604" t="str">
        <f t="shared" si="2"/>
        <v/>
      </c>
      <c r="C83" s="558"/>
      <c r="D83" s="605"/>
      <c r="E83" s="593"/>
      <c r="F83" s="559"/>
      <c r="G83" s="559"/>
      <c r="H83" s="597"/>
      <c r="I83" s="614"/>
      <c r="J83" s="392"/>
    </row>
    <row r="84" spans="1:10" ht="12.75" hidden="1">
      <c r="A84" s="401"/>
      <c r="B84" s="604" t="str">
        <f t="shared" si="2"/>
        <v/>
      </c>
      <c r="C84" s="558"/>
      <c r="D84" s="605"/>
      <c r="E84" s="593"/>
      <c r="F84" s="559"/>
      <c r="G84" s="559"/>
      <c r="H84" s="597"/>
      <c r="I84" s="614"/>
      <c r="J84" s="392"/>
    </row>
    <row r="85" spans="1:10" ht="12.75" hidden="1">
      <c r="A85" s="401"/>
      <c r="B85" s="604" t="str">
        <f t="shared" si="2"/>
        <v/>
      </c>
      <c r="C85" s="558"/>
      <c r="D85" s="605"/>
      <c r="E85" s="593"/>
      <c r="F85" s="559"/>
      <c r="G85" s="559"/>
      <c r="H85" s="597"/>
      <c r="I85" s="614"/>
      <c r="J85" s="392"/>
    </row>
    <row r="86" spans="1:10" ht="12.75" hidden="1">
      <c r="A86" s="401"/>
      <c r="B86" s="604" t="str">
        <f t="shared" si="2"/>
        <v/>
      </c>
      <c r="C86" s="558"/>
      <c r="D86" s="605"/>
      <c r="E86" s="593"/>
      <c r="F86" s="559"/>
      <c r="G86" s="559"/>
      <c r="H86" s="597"/>
      <c r="I86" s="614"/>
      <c r="J86" s="392"/>
    </row>
    <row r="87" spans="1:10" ht="12.75" hidden="1">
      <c r="A87" s="401"/>
      <c r="B87" s="604" t="str">
        <f t="shared" si="2"/>
        <v/>
      </c>
      <c r="C87" s="558"/>
      <c r="D87" s="605"/>
      <c r="E87" s="593"/>
      <c r="F87" s="559"/>
      <c r="G87" s="559"/>
      <c r="H87" s="597"/>
      <c r="I87" s="614"/>
      <c r="J87" s="392"/>
    </row>
    <row r="88" spans="1:10" ht="12.75" hidden="1">
      <c r="A88" s="401"/>
      <c r="B88" s="604" t="str">
        <f t="shared" si="2"/>
        <v/>
      </c>
      <c r="C88" s="558"/>
      <c r="D88" s="605"/>
      <c r="E88" s="593"/>
      <c r="F88" s="559"/>
      <c r="G88" s="559"/>
      <c r="H88" s="597"/>
      <c r="I88" s="614"/>
      <c r="J88" s="392"/>
    </row>
    <row r="89" spans="1:10" ht="12.75" hidden="1">
      <c r="A89" s="401"/>
      <c r="B89" s="604" t="str">
        <f t="shared" si="2"/>
        <v/>
      </c>
      <c r="C89" s="558"/>
      <c r="D89" s="605"/>
      <c r="E89" s="593"/>
      <c r="F89" s="559"/>
      <c r="G89" s="559"/>
      <c r="H89" s="597"/>
      <c r="I89" s="614"/>
      <c r="J89" s="392"/>
    </row>
    <row r="90" spans="1:10" ht="12.75" hidden="1">
      <c r="A90" s="401"/>
      <c r="B90" s="604" t="str">
        <f t="shared" si="2"/>
        <v/>
      </c>
      <c r="C90" s="558"/>
      <c r="D90" s="605"/>
      <c r="E90" s="593"/>
      <c r="F90" s="559"/>
      <c r="G90" s="559"/>
      <c r="H90" s="597"/>
      <c r="I90" s="614"/>
      <c r="J90" s="392"/>
    </row>
    <row r="91" spans="1:10" ht="12.75" hidden="1">
      <c r="A91" s="401"/>
      <c r="B91" s="604" t="str">
        <f t="shared" si="2"/>
        <v/>
      </c>
      <c r="C91" s="558"/>
      <c r="D91" s="605"/>
      <c r="E91" s="593"/>
      <c r="F91" s="559"/>
      <c r="G91" s="559"/>
      <c r="H91" s="597"/>
      <c r="I91" s="614"/>
      <c r="J91" s="392"/>
    </row>
    <row r="92" spans="1:10" ht="12.75" hidden="1">
      <c r="A92" s="401"/>
      <c r="B92" s="604" t="str">
        <f t="shared" si="2"/>
        <v/>
      </c>
      <c r="C92" s="558"/>
      <c r="D92" s="605"/>
      <c r="E92" s="593"/>
      <c r="F92" s="559"/>
      <c r="G92" s="559"/>
      <c r="H92" s="597"/>
      <c r="I92" s="614"/>
      <c r="J92" s="392"/>
    </row>
    <row r="93" spans="1:10" ht="12.75" hidden="1">
      <c r="A93" s="401"/>
      <c r="B93" s="604" t="str">
        <f t="shared" si="2"/>
        <v/>
      </c>
      <c r="C93" s="558"/>
      <c r="D93" s="605"/>
      <c r="E93" s="593"/>
      <c r="F93" s="559"/>
      <c r="G93" s="559"/>
      <c r="H93" s="597"/>
      <c r="I93" s="614"/>
      <c r="J93" s="392"/>
    </row>
    <row r="94" spans="1:10" ht="12.75" hidden="1">
      <c r="A94" s="401"/>
      <c r="B94" s="604" t="str">
        <f t="shared" si="2"/>
        <v/>
      </c>
      <c r="C94" s="558"/>
      <c r="D94" s="605"/>
      <c r="E94" s="593"/>
      <c r="F94" s="559"/>
      <c r="G94" s="559"/>
      <c r="H94" s="597"/>
      <c r="I94" s="614"/>
      <c r="J94" s="392"/>
    </row>
    <row r="95" spans="1:10" ht="12.75" hidden="1">
      <c r="A95" s="401"/>
      <c r="B95" s="604" t="str">
        <f t="shared" si="2"/>
        <v/>
      </c>
      <c r="C95" s="558"/>
      <c r="D95" s="605"/>
      <c r="E95" s="593"/>
      <c r="F95" s="559"/>
      <c r="G95" s="559"/>
      <c r="H95" s="597"/>
      <c r="I95" s="614"/>
      <c r="J95" s="392"/>
    </row>
    <row r="96" spans="1:10" ht="12.75" hidden="1">
      <c r="A96" s="401"/>
      <c r="B96" s="604" t="str">
        <f t="shared" si="2"/>
        <v/>
      </c>
      <c r="C96" s="558"/>
      <c r="D96" s="605"/>
      <c r="E96" s="593"/>
      <c r="F96" s="559"/>
      <c r="G96" s="559"/>
      <c r="H96" s="597"/>
      <c r="I96" s="614"/>
      <c r="J96" s="392"/>
    </row>
    <row r="97" spans="1:10" ht="12.75" hidden="1">
      <c r="A97" s="401"/>
      <c r="B97" s="604" t="str">
        <f t="shared" si="2"/>
        <v/>
      </c>
      <c r="C97" s="558"/>
      <c r="D97" s="605"/>
      <c r="E97" s="593"/>
      <c r="F97" s="559"/>
      <c r="G97" s="559"/>
      <c r="H97" s="597"/>
      <c r="I97" s="614"/>
      <c r="J97" s="392"/>
    </row>
    <row r="98" spans="1:10" ht="12.75" hidden="1">
      <c r="A98" s="401"/>
      <c r="B98" s="604" t="str">
        <f t="shared" si="2"/>
        <v/>
      </c>
      <c r="C98" s="558"/>
      <c r="D98" s="605"/>
      <c r="E98" s="593"/>
      <c r="F98" s="559"/>
      <c r="G98" s="559"/>
      <c r="H98" s="597"/>
      <c r="I98" s="614"/>
      <c r="J98" s="392"/>
    </row>
    <row r="99" spans="1:10" ht="12.75" hidden="1">
      <c r="A99" s="401"/>
      <c r="B99" s="604" t="str">
        <f t="shared" si="2"/>
        <v/>
      </c>
      <c r="C99" s="558"/>
      <c r="D99" s="605"/>
      <c r="E99" s="593"/>
      <c r="F99" s="559"/>
      <c r="G99" s="559"/>
      <c r="H99" s="597"/>
      <c r="I99" s="614"/>
      <c r="J99" s="392"/>
    </row>
    <row r="100" spans="1:10" ht="12.75" hidden="1">
      <c r="A100" s="401"/>
      <c r="B100" s="604" t="str">
        <f t="shared" si="2"/>
        <v/>
      </c>
      <c r="C100" s="558"/>
      <c r="D100" s="605"/>
      <c r="E100" s="593"/>
      <c r="F100" s="559"/>
      <c r="G100" s="559"/>
      <c r="H100" s="597"/>
      <c r="I100" s="614"/>
      <c r="J100" s="392"/>
    </row>
    <row r="101" spans="1:10" ht="12.75" hidden="1">
      <c r="A101" s="401"/>
      <c r="B101" s="604" t="str">
        <f t="shared" si="2"/>
        <v/>
      </c>
      <c r="C101" s="558"/>
      <c r="D101" s="605"/>
      <c r="E101" s="593"/>
      <c r="F101" s="559"/>
      <c r="G101" s="559"/>
      <c r="H101" s="597"/>
      <c r="I101" s="614"/>
      <c r="J101" s="392"/>
    </row>
    <row r="102" spans="1:10" ht="12.75" hidden="1">
      <c r="A102" s="401"/>
      <c r="B102" s="604" t="str">
        <f t="shared" si="2"/>
        <v/>
      </c>
      <c r="C102" s="558"/>
      <c r="D102" s="605"/>
      <c r="E102" s="593"/>
      <c r="F102" s="559"/>
      <c r="G102" s="559"/>
      <c r="H102" s="597"/>
      <c r="I102" s="614"/>
      <c r="J102" s="392"/>
    </row>
    <row r="103" spans="1:10" ht="12.75" hidden="1">
      <c r="A103" s="401"/>
      <c r="B103" s="604" t="str">
        <f t="shared" si="2"/>
        <v/>
      </c>
      <c r="C103" s="558"/>
      <c r="D103" s="605"/>
      <c r="E103" s="593"/>
      <c r="F103" s="559"/>
      <c r="G103" s="559"/>
      <c r="H103" s="597"/>
      <c r="I103" s="614"/>
      <c r="J103" s="392"/>
    </row>
    <row r="104" spans="1:10" ht="12.75" hidden="1">
      <c r="A104" s="401"/>
      <c r="B104" s="604" t="str">
        <f t="shared" si="2"/>
        <v/>
      </c>
      <c r="C104" s="558"/>
      <c r="D104" s="605"/>
      <c r="E104" s="593"/>
      <c r="F104" s="559"/>
      <c r="G104" s="559"/>
      <c r="H104" s="597"/>
      <c r="I104" s="614"/>
      <c r="J104" s="392"/>
    </row>
    <row r="105" spans="1:10" ht="12.75" hidden="1">
      <c r="A105" s="401"/>
      <c r="B105" s="604" t="str">
        <f t="shared" si="2"/>
        <v/>
      </c>
      <c r="C105" s="558"/>
      <c r="D105" s="605"/>
      <c r="E105" s="593"/>
      <c r="F105" s="559"/>
      <c r="G105" s="559"/>
      <c r="H105" s="597"/>
      <c r="I105" s="614"/>
      <c r="J105" s="392"/>
    </row>
    <row r="106" spans="1:10" ht="12.75" hidden="1">
      <c r="A106" s="401"/>
      <c r="B106" s="604" t="str">
        <f t="shared" si="2"/>
        <v/>
      </c>
      <c r="C106" s="558"/>
      <c r="D106" s="605"/>
      <c r="E106" s="593"/>
      <c r="F106" s="559"/>
      <c r="G106" s="559"/>
      <c r="H106" s="597"/>
      <c r="I106" s="614"/>
      <c r="J106" s="392"/>
    </row>
    <row r="107" spans="1:10" ht="12.75" hidden="1">
      <c r="A107" s="401"/>
      <c r="B107" s="604" t="str">
        <f t="shared" si="2"/>
        <v/>
      </c>
      <c r="C107" s="558"/>
      <c r="D107" s="605"/>
      <c r="E107" s="593"/>
      <c r="F107" s="559"/>
      <c r="G107" s="559"/>
      <c r="H107" s="597"/>
      <c r="I107" s="614"/>
      <c r="J107" s="392"/>
    </row>
    <row r="108" spans="1:10" ht="12.75" hidden="1">
      <c r="A108" s="401"/>
      <c r="B108" s="604" t="str">
        <f t="shared" si="2"/>
        <v/>
      </c>
      <c r="C108" s="558"/>
      <c r="D108" s="605"/>
      <c r="E108" s="593"/>
      <c r="F108" s="559"/>
      <c r="G108" s="559"/>
      <c r="H108" s="597"/>
      <c r="I108" s="614"/>
      <c r="J108" s="392"/>
    </row>
    <row r="109" spans="1:10" ht="12.75" hidden="1">
      <c r="A109" s="401"/>
      <c r="B109" s="604" t="str">
        <f t="shared" si="2"/>
        <v/>
      </c>
      <c r="C109" s="558"/>
      <c r="D109" s="605"/>
      <c r="E109" s="593"/>
      <c r="F109" s="559"/>
      <c r="G109" s="559"/>
      <c r="H109" s="597"/>
      <c r="I109" s="614"/>
      <c r="J109" s="392"/>
    </row>
    <row r="110" spans="1:10" ht="12.75" hidden="1">
      <c r="A110" s="401"/>
      <c r="B110" s="604" t="str">
        <f t="shared" si="2"/>
        <v/>
      </c>
      <c r="C110" s="558"/>
      <c r="D110" s="605"/>
      <c r="E110" s="593"/>
      <c r="F110" s="559"/>
      <c r="G110" s="559"/>
      <c r="H110" s="597"/>
      <c r="I110" s="614"/>
      <c r="J110" s="392"/>
    </row>
    <row r="111" spans="1:10" ht="12.75" hidden="1">
      <c r="A111" s="401"/>
      <c r="B111" s="604" t="str">
        <f t="shared" si="2"/>
        <v/>
      </c>
      <c r="C111" s="558"/>
      <c r="D111" s="605"/>
      <c r="E111" s="593"/>
      <c r="F111" s="559"/>
      <c r="G111" s="559"/>
      <c r="H111" s="597"/>
      <c r="I111" s="614"/>
      <c r="J111" s="392"/>
    </row>
    <row r="112" spans="1:10" ht="12.75" hidden="1">
      <c r="A112" s="401"/>
      <c r="B112" s="604" t="str">
        <f t="shared" si="2"/>
        <v/>
      </c>
      <c r="C112" s="558"/>
      <c r="D112" s="605"/>
      <c r="E112" s="593"/>
      <c r="F112" s="559"/>
      <c r="G112" s="559"/>
      <c r="H112" s="597"/>
      <c r="I112" s="614"/>
      <c r="J112" s="392"/>
    </row>
    <row r="113" spans="1:10" ht="12.75" hidden="1">
      <c r="A113" s="401"/>
      <c r="B113" s="604" t="str">
        <f t="shared" si="2"/>
        <v/>
      </c>
      <c r="C113" s="558"/>
      <c r="D113" s="605"/>
      <c r="E113" s="593"/>
      <c r="F113" s="559"/>
      <c r="G113" s="559"/>
      <c r="H113" s="597"/>
      <c r="I113" s="614"/>
      <c r="J113" s="392"/>
    </row>
    <row r="114" spans="1:10" ht="12.75" hidden="1">
      <c r="A114" s="401"/>
      <c r="B114" s="604" t="str">
        <f t="shared" si="2"/>
        <v/>
      </c>
      <c r="C114" s="558"/>
      <c r="D114" s="605"/>
      <c r="E114" s="593"/>
      <c r="F114" s="559"/>
      <c r="G114" s="559"/>
      <c r="H114" s="597"/>
      <c r="I114" s="614"/>
      <c r="J114" s="392"/>
    </row>
    <row r="115" spans="1:10" ht="12.75" hidden="1">
      <c r="A115" s="401"/>
      <c r="B115" s="604" t="str">
        <f t="shared" si="2"/>
        <v/>
      </c>
      <c r="C115" s="558"/>
      <c r="D115" s="605"/>
      <c r="E115" s="593"/>
      <c r="F115" s="559"/>
      <c r="G115" s="559"/>
      <c r="H115" s="597"/>
      <c r="I115" s="614"/>
      <c r="J115" s="392"/>
    </row>
    <row r="116" spans="1:10" ht="12.75" hidden="1">
      <c r="A116" s="401"/>
      <c r="B116" s="604" t="str">
        <f t="shared" si="2"/>
        <v/>
      </c>
      <c r="C116" s="558"/>
      <c r="D116" s="605"/>
      <c r="E116" s="593"/>
      <c r="F116" s="559"/>
      <c r="G116" s="559"/>
      <c r="H116" s="597"/>
      <c r="I116" s="614"/>
      <c r="J116" s="392"/>
    </row>
    <row r="117" spans="1:10" ht="12.75" hidden="1">
      <c r="A117" s="401"/>
      <c r="B117" s="604" t="str">
        <f t="shared" si="2"/>
        <v/>
      </c>
      <c r="C117" s="558"/>
      <c r="D117" s="605"/>
      <c r="E117" s="593"/>
      <c r="F117" s="559"/>
      <c r="G117" s="559"/>
      <c r="H117" s="597"/>
      <c r="I117" s="614"/>
      <c r="J117" s="392"/>
    </row>
    <row r="118" spans="1:10" ht="12.75" hidden="1">
      <c r="A118" s="401"/>
      <c r="B118" s="604" t="str">
        <f t="shared" si="2"/>
        <v/>
      </c>
      <c r="C118" s="558"/>
      <c r="D118" s="605"/>
      <c r="E118" s="593"/>
      <c r="F118" s="559"/>
      <c r="G118" s="559"/>
      <c r="H118" s="597"/>
      <c r="I118" s="614"/>
      <c r="J118" s="392"/>
    </row>
    <row r="119" spans="1:10" ht="12.75" hidden="1">
      <c r="A119" s="401"/>
      <c r="B119" s="604" t="str">
        <f t="shared" si="2"/>
        <v/>
      </c>
      <c r="C119" s="558"/>
      <c r="D119" s="605"/>
      <c r="E119" s="593"/>
      <c r="F119" s="559"/>
      <c r="G119" s="559"/>
      <c r="H119" s="597"/>
      <c r="I119" s="614"/>
      <c r="J119" s="392"/>
    </row>
    <row r="120" spans="1:10" ht="12.75" hidden="1">
      <c r="A120" s="401"/>
      <c r="B120" s="604" t="str">
        <f t="shared" si="2"/>
        <v/>
      </c>
      <c r="C120" s="558"/>
      <c r="D120" s="605"/>
      <c r="E120" s="593"/>
      <c r="F120" s="559"/>
      <c r="G120" s="559"/>
      <c r="H120" s="597"/>
      <c r="I120" s="614"/>
      <c r="J120" s="392"/>
    </row>
    <row r="121" spans="1:10" ht="12.75" hidden="1">
      <c r="A121" s="401"/>
      <c r="B121" s="604" t="str">
        <f t="shared" si="2"/>
        <v/>
      </c>
      <c r="C121" s="558"/>
      <c r="D121" s="605"/>
      <c r="E121" s="593"/>
      <c r="F121" s="559"/>
      <c r="G121" s="559"/>
      <c r="H121" s="597"/>
      <c r="I121" s="614"/>
      <c r="J121" s="392"/>
    </row>
    <row r="122" spans="1:10" ht="12.75" hidden="1">
      <c r="A122" s="401"/>
      <c r="B122" s="604" t="str">
        <f t="shared" si="2"/>
        <v/>
      </c>
      <c r="C122" s="558"/>
      <c r="D122" s="605"/>
      <c r="E122" s="593"/>
      <c r="F122" s="559"/>
      <c r="G122" s="559"/>
      <c r="H122" s="597"/>
      <c r="I122" s="614"/>
      <c r="J122" s="392"/>
    </row>
    <row r="123" spans="1:10" ht="12.75" hidden="1">
      <c r="A123" s="401"/>
      <c r="B123" s="604" t="str">
        <f t="shared" si="2"/>
        <v/>
      </c>
      <c r="C123" s="558"/>
      <c r="D123" s="605"/>
      <c r="E123" s="593"/>
      <c r="F123" s="559"/>
      <c r="G123" s="559"/>
      <c r="H123" s="597"/>
      <c r="I123" s="614"/>
      <c r="J123" s="392"/>
    </row>
    <row r="124" spans="1:10" ht="12.75" hidden="1">
      <c r="A124" s="401"/>
      <c r="B124" s="604" t="str">
        <f t="shared" si="2"/>
        <v/>
      </c>
      <c r="C124" s="558"/>
      <c r="D124" s="605"/>
      <c r="E124" s="593"/>
      <c r="F124" s="559"/>
      <c r="G124" s="559"/>
      <c r="H124" s="597"/>
      <c r="I124" s="614"/>
      <c r="J124" s="392"/>
    </row>
    <row r="125" spans="1:10" ht="12.75" hidden="1">
      <c r="A125" s="401"/>
      <c r="B125" s="604" t="str">
        <f t="shared" si="2"/>
        <v/>
      </c>
      <c r="C125" s="558"/>
      <c r="D125" s="605"/>
      <c r="E125" s="593"/>
      <c r="F125" s="559"/>
      <c r="G125" s="559"/>
      <c r="H125" s="597"/>
      <c r="I125" s="614"/>
      <c r="J125" s="392"/>
    </row>
    <row r="126" spans="1:10" ht="12.75" hidden="1">
      <c r="A126" s="401"/>
      <c r="B126" s="604" t="str">
        <f t="shared" si="2"/>
        <v/>
      </c>
      <c r="C126" s="558"/>
      <c r="D126" s="605"/>
      <c r="E126" s="593"/>
      <c r="F126" s="559"/>
      <c r="G126" s="559"/>
      <c r="H126" s="597"/>
      <c r="I126" s="614"/>
      <c r="J126" s="392"/>
    </row>
    <row r="127" spans="1:10" ht="12.75" hidden="1">
      <c r="A127" s="401"/>
      <c r="B127" s="604" t="str">
        <f t="shared" si="2"/>
        <v/>
      </c>
      <c r="C127" s="558"/>
      <c r="D127" s="605"/>
      <c r="E127" s="593"/>
      <c r="F127" s="559"/>
      <c r="G127" s="559"/>
      <c r="H127" s="597"/>
      <c r="I127" s="614"/>
      <c r="J127" s="392"/>
    </row>
    <row r="128" spans="1:10" ht="12.75" hidden="1">
      <c r="A128" s="401"/>
      <c r="B128" s="604" t="str">
        <f t="shared" si="2"/>
        <v/>
      </c>
      <c r="C128" s="558"/>
      <c r="D128" s="605"/>
      <c r="E128" s="593"/>
      <c r="F128" s="559"/>
      <c r="G128" s="559"/>
      <c r="H128" s="597"/>
      <c r="I128" s="614"/>
      <c r="J128" s="392"/>
    </row>
    <row r="129" spans="1:10" ht="12.75" hidden="1">
      <c r="A129" s="401"/>
      <c r="B129" s="604" t="str">
        <f t="shared" si="2"/>
        <v/>
      </c>
      <c r="C129" s="558"/>
      <c r="D129" s="605"/>
      <c r="E129" s="593"/>
      <c r="F129" s="559"/>
      <c r="G129" s="559"/>
      <c r="H129" s="597"/>
      <c r="I129" s="614"/>
      <c r="J129" s="392"/>
    </row>
    <row r="130" spans="1:10" ht="12.75" hidden="1">
      <c r="A130" s="401"/>
      <c r="B130" s="604" t="str">
        <f t="shared" si="2"/>
        <v/>
      </c>
      <c r="C130" s="558"/>
      <c r="D130" s="605"/>
      <c r="E130" s="593"/>
      <c r="F130" s="559"/>
      <c r="G130" s="559"/>
      <c r="H130" s="597"/>
      <c r="I130" s="614"/>
      <c r="J130" s="392"/>
    </row>
    <row r="131" spans="1:10" ht="12.75" hidden="1">
      <c r="A131" s="401"/>
      <c r="B131" s="604" t="str">
        <f t="shared" si="2"/>
        <v/>
      </c>
      <c r="C131" s="558"/>
      <c r="D131" s="605"/>
      <c r="E131" s="593"/>
      <c r="F131" s="559"/>
      <c r="G131" s="559"/>
      <c r="H131" s="597"/>
      <c r="I131" s="614"/>
      <c r="J131" s="392"/>
    </row>
    <row r="132" spans="1:10" ht="12.75" hidden="1">
      <c r="A132" s="401"/>
      <c r="B132" s="604" t="str">
        <f t="shared" si="2"/>
        <v/>
      </c>
      <c r="C132" s="558"/>
      <c r="D132" s="605"/>
      <c r="E132" s="593"/>
      <c r="F132" s="559"/>
      <c r="G132" s="559"/>
      <c r="H132" s="597"/>
      <c r="I132" s="614"/>
      <c r="J132" s="392"/>
    </row>
    <row r="133" spans="1:10" ht="12.75" hidden="1">
      <c r="A133" s="401"/>
      <c r="B133" s="604" t="str">
        <f t="shared" si="2"/>
        <v/>
      </c>
      <c r="C133" s="558"/>
      <c r="D133" s="605"/>
      <c r="E133" s="593"/>
      <c r="F133" s="559"/>
      <c r="G133" s="559"/>
      <c r="H133" s="597"/>
      <c r="I133" s="614"/>
      <c r="J133" s="392"/>
    </row>
    <row r="134" spans="1:10" ht="12.75" hidden="1">
      <c r="A134" s="401"/>
      <c r="B134" s="604" t="str">
        <f t="shared" si="2"/>
        <v/>
      </c>
      <c r="C134" s="558"/>
      <c r="D134" s="605"/>
      <c r="E134" s="593"/>
      <c r="F134" s="559"/>
      <c r="G134" s="559"/>
      <c r="H134" s="597"/>
      <c r="I134" s="614"/>
      <c r="J134" s="392"/>
    </row>
    <row r="135" spans="1:10" ht="12.75" hidden="1">
      <c r="A135" s="401"/>
      <c r="B135" s="604" t="str">
        <f t="shared" si="2"/>
        <v/>
      </c>
      <c r="C135" s="558"/>
      <c r="D135" s="605"/>
      <c r="E135" s="593"/>
      <c r="F135" s="559"/>
      <c r="G135" s="559"/>
      <c r="H135" s="597"/>
      <c r="I135" s="614"/>
      <c r="J135" s="392"/>
    </row>
    <row r="136" spans="1:10" ht="12.75" hidden="1">
      <c r="A136" s="401"/>
      <c r="B136" s="604" t="str">
        <f t="shared" si="2"/>
        <v/>
      </c>
      <c r="C136" s="558"/>
      <c r="D136" s="605"/>
      <c r="E136" s="593"/>
      <c r="F136" s="559"/>
      <c r="G136" s="559"/>
      <c r="H136" s="597"/>
      <c r="I136" s="614"/>
      <c r="J136" s="392"/>
    </row>
    <row r="137" spans="1:10" ht="12.75" hidden="1">
      <c r="A137" s="401"/>
      <c r="B137" s="604" t="str">
        <f t="shared" si="2"/>
        <v/>
      </c>
      <c r="C137" s="558"/>
      <c r="D137" s="605"/>
      <c r="E137" s="593"/>
      <c r="F137" s="559"/>
      <c r="G137" s="559"/>
      <c r="H137" s="597"/>
      <c r="I137" s="614"/>
      <c r="J137" s="392"/>
    </row>
    <row r="138" spans="1:10" ht="12.75" hidden="1">
      <c r="A138" s="401"/>
      <c r="B138" s="604" t="str">
        <f t="shared" ref="B138:B201" si="3">IF(C138="","",B137+1)</f>
        <v/>
      </c>
      <c r="C138" s="558"/>
      <c r="D138" s="605"/>
      <c r="E138" s="593"/>
      <c r="F138" s="559"/>
      <c r="G138" s="559"/>
      <c r="H138" s="597"/>
      <c r="I138" s="614"/>
      <c r="J138" s="392"/>
    </row>
    <row r="139" spans="1:10" ht="12.75" hidden="1">
      <c r="A139" s="401"/>
      <c r="B139" s="604" t="str">
        <f t="shared" si="3"/>
        <v/>
      </c>
      <c r="C139" s="558"/>
      <c r="D139" s="605"/>
      <c r="E139" s="593"/>
      <c r="F139" s="559"/>
      <c r="G139" s="559"/>
      <c r="H139" s="597"/>
      <c r="I139" s="614"/>
      <c r="J139" s="392"/>
    </row>
    <row r="140" spans="1:10" ht="12.75" hidden="1">
      <c r="A140" s="401"/>
      <c r="B140" s="604" t="str">
        <f t="shared" si="3"/>
        <v/>
      </c>
      <c r="C140" s="558"/>
      <c r="D140" s="605"/>
      <c r="E140" s="593"/>
      <c r="F140" s="559"/>
      <c r="G140" s="559"/>
      <c r="H140" s="597"/>
      <c r="I140" s="614"/>
      <c r="J140" s="392"/>
    </row>
    <row r="141" spans="1:10" ht="12.75" hidden="1">
      <c r="A141" s="401"/>
      <c r="B141" s="604" t="str">
        <f t="shared" si="3"/>
        <v/>
      </c>
      <c r="C141" s="558"/>
      <c r="D141" s="605"/>
      <c r="E141" s="593"/>
      <c r="F141" s="559"/>
      <c r="G141" s="559"/>
      <c r="H141" s="597"/>
      <c r="I141" s="614"/>
      <c r="J141" s="392"/>
    </row>
    <row r="142" spans="1:10" ht="12.75" hidden="1">
      <c r="A142" s="401"/>
      <c r="B142" s="604" t="str">
        <f t="shared" si="3"/>
        <v/>
      </c>
      <c r="C142" s="558"/>
      <c r="D142" s="605"/>
      <c r="E142" s="593"/>
      <c r="F142" s="559"/>
      <c r="G142" s="559"/>
      <c r="H142" s="597"/>
      <c r="I142" s="614"/>
      <c r="J142" s="392"/>
    </row>
    <row r="143" spans="1:10" ht="12.75" hidden="1">
      <c r="A143" s="401"/>
      <c r="B143" s="604" t="str">
        <f t="shared" si="3"/>
        <v/>
      </c>
      <c r="C143" s="558"/>
      <c r="D143" s="605"/>
      <c r="E143" s="593"/>
      <c r="F143" s="559"/>
      <c r="G143" s="559"/>
      <c r="H143" s="597"/>
      <c r="I143" s="614"/>
      <c r="J143" s="392"/>
    </row>
    <row r="144" spans="1:10" ht="12.75" hidden="1">
      <c r="A144" s="401"/>
      <c r="B144" s="604" t="str">
        <f t="shared" si="3"/>
        <v/>
      </c>
      <c r="C144" s="558"/>
      <c r="D144" s="605"/>
      <c r="E144" s="593"/>
      <c r="F144" s="559"/>
      <c r="G144" s="559"/>
      <c r="H144" s="597"/>
      <c r="I144" s="614"/>
      <c r="J144" s="392"/>
    </row>
    <row r="145" spans="1:10" ht="12.75" hidden="1">
      <c r="A145" s="401"/>
      <c r="B145" s="604" t="str">
        <f t="shared" si="3"/>
        <v/>
      </c>
      <c r="C145" s="558"/>
      <c r="D145" s="605"/>
      <c r="E145" s="593"/>
      <c r="F145" s="559"/>
      <c r="G145" s="559"/>
      <c r="H145" s="597"/>
      <c r="I145" s="614"/>
      <c r="J145" s="392"/>
    </row>
    <row r="146" spans="1:10" ht="12.75" hidden="1">
      <c r="A146" s="401"/>
      <c r="B146" s="604" t="str">
        <f t="shared" si="3"/>
        <v/>
      </c>
      <c r="C146" s="558"/>
      <c r="D146" s="605"/>
      <c r="E146" s="593"/>
      <c r="F146" s="559"/>
      <c r="G146" s="559"/>
      <c r="H146" s="597"/>
      <c r="I146" s="614"/>
      <c r="J146" s="392"/>
    </row>
    <row r="147" spans="1:10" ht="12.75" hidden="1">
      <c r="A147" s="401"/>
      <c r="B147" s="604" t="str">
        <f t="shared" si="3"/>
        <v/>
      </c>
      <c r="C147" s="558"/>
      <c r="D147" s="605"/>
      <c r="E147" s="593"/>
      <c r="F147" s="559"/>
      <c r="G147" s="559"/>
      <c r="H147" s="597"/>
      <c r="I147" s="614"/>
      <c r="J147" s="392"/>
    </row>
    <row r="148" spans="1:10" ht="12.75" hidden="1">
      <c r="A148" s="401"/>
      <c r="B148" s="604" t="str">
        <f t="shared" si="3"/>
        <v/>
      </c>
      <c r="C148" s="558"/>
      <c r="D148" s="605"/>
      <c r="E148" s="593"/>
      <c r="F148" s="559"/>
      <c r="G148" s="559"/>
      <c r="H148" s="597"/>
      <c r="I148" s="614"/>
      <c r="J148" s="392"/>
    </row>
    <row r="149" spans="1:10" ht="12.75" hidden="1">
      <c r="A149" s="401"/>
      <c r="B149" s="604" t="str">
        <f t="shared" si="3"/>
        <v/>
      </c>
      <c r="C149" s="558"/>
      <c r="D149" s="605"/>
      <c r="E149" s="593"/>
      <c r="F149" s="559"/>
      <c r="G149" s="559"/>
      <c r="H149" s="597"/>
      <c r="I149" s="614"/>
      <c r="J149" s="392"/>
    </row>
    <row r="150" spans="1:10" ht="12.75" hidden="1">
      <c r="A150" s="401"/>
      <c r="B150" s="604" t="str">
        <f t="shared" si="3"/>
        <v/>
      </c>
      <c r="C150" s="558"/>
      <c r="D150" s="605"/>
      <c r="E150" s="593"/>
      <c r="F150" s="559"/>
      <c r="G150" s="559"/>
      <c r="H150" s="597"/>
      <c r="I150" s="614"/>
      <c r="J150" s="392"/>
    </row>
    <row r="151" spans="1:10" ht="12.75" hidden="1">
      <c r="A151" s="401"/>
      <c r="B151" s="604" t="str">
        <f t="shared" si="3"/>
        <v/>
      </c>
      <c r="C151" s="558"/>
      <c r="D151" s="605"/>
      <c r="E151" s="593"/>
      <c r="F151" s="559"/>
      <c r="G151" s="559"/>
      <c r="H151" s="597"/>
      <c r="I151" s="614"/>
      <c r="J151" s="392"/>
    </row>
    <row r="152" spans="1:10" ht="12.75" hidden="1">
      <c r="A152" s="401"/>
      <c r="B152" s="604" t="str">
        <f t="shared" si="3"/>
        <v/>
      </c>
      <c r="C152" s="558"/>
      <c r="D152" s="605"/>
      <c r="E152" s="593"/>
      <c r="F152" s="559"/>
      <c r="G152" s="559"/>
      <c r="H152" s="597"/>
      <c r="I152" s="614"/>
      <c r="J152" s="392"/>
    </row>
    <row r="153" spans="1:10" ht="12.75" hidden="1">
      <c r="A153" s="401"/>
      <c r="B153" s="604" t="str">
        <f t="shared" si="3"/>
        <v/>
      </c>
      <c r="C153" s="558"/>
      <c r="D153" s="605"/>
      <c r="E153" s="593"/>
      <c r="F153" s="559"/>
      <c r="G153" s="559"/>
      <c r="H153" s="597"/>
      <c r="I153" s="614"/>
      <c r="J153" s="392"/>
    </row>
    <row r="154" spans="1:10" ht="12.75" hidden="1">
      <c r="A154" s="401"/>
      <c r="B154" s="604" t="str">
        <f t="shared" si="3"/>
        <v/>
      </c>
      <c r="C154" s="558"/>
      <c r="D154" s="605"/>
      <c r="E154" s="593"/>
      <c r="F154" s="559"/>
      <c r="G154" s="559"/>
      <c r="H154" s="597"/>
      <c r="I154" s="614"/>
      <c r="J154" s="392"/>
    </row>
    <row r="155" spans="1:10" ht="12.75" hidden="1">
      <c r="A155" s="401"/>
      <c r="B155" s="604" t="str">
        <f t="shared" si="3"/>
        <v/>
      </c>
      <c r="C155" s="558"/>
      <c r="D155" s="605"/>
      <c r="E155" s="593"/>
      <c r="F155" s="559"/>
      <c r="G155" s="559"/>
      <c r="H155" s="597"/>
      <c r="I155" s="614"/>
      <c r="J155" s="392"/>
    </row>
    <row r="156" spans="1:10" ht="12.75" hidden="1">
      <c r="A156" s="401"/>
      <c r="B156" s="604" t="str">
        <f t="shared" si="3"/>
        <v/>
      </c>
      <c r="C156" s="558"/>
      <c r="D156" s="605"/>
      <c r="E156" s="593"/>
      <c r="F156" s="559"/>
      <c r="G156" s="559"/>
      <c r="H156" s="597"/>
      <c r="I156" s="614"/>
      <c r="J156" s="392"/>
    </row>
    <row r="157" spans="1:10" ht="12.75" hidden="1">
      <c r="A157" s="401"/>
      <c r="B157" s="604" t="str">
        <f t="shared" si="3"/>
        <v/>
      </c>
      <c r="C157" s="558"/>
      <c r="D157" s="605"/>
      <c r="E157" s="593"/>
      <c r="F157" s="559"/>
      <c r="G157" s="559"/>
      <c r="H157" s="597"/>
      <c r="I157" s="614"/>
      <c r="J157" s="392"/>
    </row>
    <row r="158" spans="1:10" ht="12.75" hidden="1">
      <c r="A158" s="401"/>
      <c r="B158" s="604" t="str">
        <f t="shared" si="3"/>
        <v/>
      </c>
      <c r="C158" s="558"/>
      <c r="D158" s="605"/>
      <c r="E158" s="593"/>
      <c r="F158" s="559"/>
      <c r="G158" s="559"/>
      <c r="H158" s="597"/>
      <c r="I158" s="614"/>
      <c r="J158" s="392"/>
    </row>
    <row r="159" spans="1:10" ht="12.75" hidden="1">
      <c r="A159" s="401"/>
      <c r="B159" s="604" t="str">
        <f t="shared" si="3"/>
        <v/>
      </c>
      <c r="C159" s="558"/>
      <c r="D159" s="605"/>
      <c r="E159" s="593"/>
      <c r="F159" s="559"/>
      <c r="G159" s="559"/>
      <c r="H159" s="597"/>
      <c r="I159" s="614"/>
      <c r="J159" s="392"/>
    </row>
    <row r="160" spans="1:10" ht="12.75" hidden="1">
      <c r="A160" s="401"/>
      <c r="B160" s="604" t="str">
        <f t="shared" si="3"/>
        <v/>
      </c>
      <c r="C160" s="558"/>
      <c r="D160" s="605"/>
      <c r="E160" s="593"/>
      <c r="F160" s="559"/>
      <c r="G160" s="559"/>
      <c r="H160" s="597"/>
      <c r="I160" s="614"/>
      <c r="J160" s="392"/>
    </row>
    <row r="161" spans="1:10" ht="12.75" hidden="1">
      <c r="A161" s="401"/>
      <c r="B161" s="604" t="str">
        <f t="shared" si="3"/>
        <v/>
      </c>
      <c r="C161" s="558"/>
      <c r="D161" s="605"/>
      <c r="E161" s="593"/>
      <c r="F161" s="559"/>
      <c r="G161" s="559"/>
      <c r="H161" s="597"/>
      <c r="I161" s="614"/>
      <c r="J161" s="392"/>
    </row>
    <row r="162" spans="1:10" ht="12.75" hidden="1">
      <c r="A162" s="401"/>
      <c r="B162" s="604" t="str">
        <f t="shared" si="3"/>
        <v/>
      </c>
      <c r="C162" s="558"/>
      <c r="D162" s="605"/>
      <c r="E162" s="593"/>
      <c r="F162" s="559"/>
      <c r="G162" s="559"/>
      <c r="H162" s="597"/>
      <c r="I162" s="614"/>
      <c r="J162" s="392"/>
    </row>
    <row r="163" spans="1:10" ht="12.75" hidden="1">
      <c r="A163" s="401"/>
      <c r="B163" s="604" t="str">
        <f t="shared" si="3"/>
        <v/>
      </c>
      <c r="C163" s="558"/>
      <c r="D163" s="605"/>
      <c r="E163" s="593"/>
      <c r="F163" s="559"/>
      <c r="G163" s="559"/>
      <c r="H163" s="597"/>
      <c r="I163" s="614"/>
      <c r="J163" s="392"/>
    </row>
    <row r="164" spans="1:10" ht="12.75" hidden="1">
      <c r="A164" s="401"/>
      <c r="B164" s="604" t="str">
        <f t="shared" si="3"/>
        <v/>
      </c>
      <c r="C164" s="558"/>
      <c r="D164" s="605"/>
      <c r="E164" s="593"/>
      <c r="F164" s="559"/>
      <c r="G164" s="559"/>
      <c r="H164" s="597"/>
      <c r="I164" s="614"/>
      <c r="J164" s="392"/>
    </row>
    <row r="165" spans="1:10" ht="12.75" hidden="1">
      <c r="A165" s="401"/>
      <c r="B165" s="604" t="str">
        <f t="shared" si="3"/>
        <v/>
      </c>
      <c r="C165" s="558"/>
      <c r="D165" s="605"/>
      <c r="E165" s="593"/>
      <c r="F165" s="559"/>
      <c r="G165" s="559"/>
      <c r="H165" s="597"/>
      <c r="I165" s="614"/>
      <c r="J165" s="392"/>
    </row>
    <row r="166" spans="1:10" ht="12.75" hidden="1">
      <c r="A166" s="401"/>
      <c r="B166" s="604" t="str">
        <f t="shared" si="3"/>
        <v/>
      </c>
      <c r="C166" s="558"/>
      <c r="D166" s="605"/>
      <c r="E166" s="593"/>
      <c r="F166" s="559"/>
      <c r="G166" s="559"/>
      <c r="H166" s="597"/>
      <c r="I166" s="614"/>
      <c r="J166" s="392"/>
    </row>
    <row r="167" spans="1:10" ht="12.75" hidden="1">
      <c r="A167" s="401"/>
      <c r="B167" s="604" t="str">
        <f t="shared" si="3"/>
        <v/>
      </c>
      <c r="C167" s="558"/>
      <c r="D167" s="605"/>
      <c r="E167" s="593"/>
      <c r="F167" s="559"/>
      <c r="G167" s="559"/>
      <c r="H167" s="597"/>
      <c r="I167" s="614"/>
      <c r="J167" s="392"/>
    </row>
    <row r="168" spans="1:10" ht="12.75" hidden="1">
      <c r="A168" s="401"/>
      <c r="B168" s="604" t="str">
        <f t="shared" si="3"/>
        <v/>
      </c>
      <c r="C168" s="558"/>
      <c r="D168" s="605"/>
      <c r="E168" s="593"/>
      <c r="F168" s="559"/>
      <c r="G168" s="559"/>
      <c r="H168" s="597"/>
      <c r="I168" s="614"/>
      <c r="J168" s="392"/>
    </row>
    <row r="169" spans="1:10" ht="12.75" hidden="1">
      <c r="A169" s="401"/>
      <c r="B169" s="604" t="str">
        <f t="shared" si="3"/>
        <v/>
      </c>
      <c r="C169" s="558"/>
      <c r="D169" s="605"/>
      <c r="E169" s="593"/>
      <c r="F169" s="559"/>
      <c r="G169" s="559"/>
      <c r="H169" s="597"/>
      <c r="I169" s="614"/>
      <c r="J169" s="392"/>
    </row>
    <row r="170" spans="1:10" ht="12.75" hidden="1">
      <c r="A170" s="401"/>
      <c r="B170" s="604" t="str">
        <f t="shared" si="3"/>
        <v/>
      </c>
      <c r="C170" s="558"/>
      <c r="D170" s="605"/>
      <c r="E170" s="593"/>
      <c r="F170" s="559"/>
      <c r="G170" s="559"/>
      <c r="H170" s="597"/>
      <c r="I170" s="614"/>
      <c r="J170" s="392"/>
    </row>
    <row r="171" spans="1:10" ht="12.75" hidden="1">
      <c r="A171" s="401"/>
      <c r="B171" s="604" t="str">
        <f t="shared" si="3"/>
        <v/>
      </c>
      <c r="C171" s="558"/>
      <c r="D171" s="605"/>
      <c r="E171" s="593"/>
      <c r="F171" s="559"/>
      <c r="G171" s="559"/>
      <c r="H171" s="597"/>
      <c r="I171" s="614"/>
      <c r="J171" s="392"/>
    </row>
    <row r="172" spans="1:10" ht="12.75" hidden="1">
      <c r="A172" s="401"/>
      <c r="B172" s="604" t="str">
        <f t="shared" si="3"/>
        <v/>
      </c>
      <c r="C172" s="558"/>
      <c r="D172" s="605"/>
      <c r="E172" s="593"/>
      <c r="F172" s="559"/>
      <c r="G172" s="559"/>
      <c r="H172" s="597"/>
      <c r="I172" s="614"/>
      <c r="J172" s="392"/>
    </row>
    <row r="173" spans="1:10" ht="12.75" hidden="1">
      <c r="A173" s="401"/>
      <c r="B173" s="604" t="str">
        <f t="shared" si="3"/>
        <v/>
      </c>
      <c r="C173" s="558"/>
      <c r="D173" s="605"/>
      <c r="E173" s="593"/>
      <c r="F173" s="559"/>
      <c r="G173" s="559"/>
      <c r="H173" s="597"/>
      <c r="I173" s="614"/>
      <c r="J173" s="392"/>
    </row>
    <row r="174" spans="1:10" ht="12.75" hidden="1">
      <c r="A174" s="401"/>
      <c r="B174" s="604" t="str">
        <f t="shared" si="3"/>
        <v/>
      </c>
      <c r="C174" s="558"/>
      <c r="D174" s="605"/>
      <c r="E174" s="593"/>
      <c r="F174" s="559"/>
      <c r="G174" s="559"/>
      <c r="H174" s="597"/>
      <c r="I174" s="614"/>
      <c r="J174" s="392"/>
    </row>
    <row r="175" spans="1:10" ht="12.75" hidden="1">
      <c r="A175" s="401"/>
      <c r="B175" s="604" t="str">
        <f t="shared" si="3"/>
        <v/>
      </c>
      <c r="C175" s="558"/>
      <c r="D175" s="605"/>
      <c r="E175" s="593"/>
      <c r="F175" s="559"/>
      <c r="G175" s="559"/>
      <c r="H175" s="597"/>
      <c r="I175" s="614"/>
      <c r="J175" s="392"/>
    </row>
    <row r="176" spans="1:10" ht="12.75" hidden="1">
      <c r="A176" s="401"/>
      <c r="B176" s="604" t="str">
        <f t="shared" si="3"/>
        <v/>
      </c>
      <c r="C176" s="558"/>
      <c r="D176" s="605"/>
      <c r="E176" s="593"/>
      <c r="F176" s="559"/>
      <c r="G176" s="559"/>
      <c r="H176" s="597"/>
      <c r="I176" s="614"/>
      <c r="J176" s="392"/>
    </row>
    <row r="177" spans="1:10" ht="12.75" hidden="1">
      <c r="A177" s="401"/>
      <c r="B177" s="604" t="str">
        <f t="shared" si="3"/>
        <v/>
      </c>
      <c r="C177" s="558"/>
      <c r="D177" s="605"/>
      <c r="E177" s="593"/>
      <c r="F177" s="559"/>
      <c r="G177" s="559"/>
      <c r="H177" s="597"/>
      <c r="I177" s="614"/>
      <c r="J177" s="392"/>
    </row>
    <row r="178" spans="1:10" ht="12.75" hidden="1">
      <c r="A178" s="401"/>
      <c r="B178" s="604" t="str">
        <f t="shared" si="3"/>
        <v/>
      </c>
      <c r="C178" s="558"/>
      <c r="D178" s="605"/>
      <c r="E178" s="593"/>
      <c r="F178" s="559"/>
      <c r="G178" s="559"/>
      <c r="H178" s="597"/>
      <c r="I178" s="614"/>
      <c r="J178" s="392"/>
    </row>
    <row r="179" spans="1:10" ht="12.75" hidden="1">
      <c r="A179" s="401"/>
      <c r="B179" s="604" t="str">
        <f t="shared" si="3"/>
        <v/>
      </c>
      <c r="C179" s="558"/>
      <c r="D179" s="605"/>
      <c r="E179" s="593"/>
      <c r="F179" s="559"/>
      <c r="G179" s="559"/>
      <c r="H179" s="597"/>
      <c r="I179" s="614"/>
      <c r="J179" s="392"/>
    </row>
    <row r="180" spans="1:10" ht="12.75" hidden="1">
      <c r="A180" s="401"/>
      <c r="B180" s="604" t="str">
        <f t="shared" si="3"/>
        <v/>
      </c>
      <c r="C180" s="558"/>
      <c r="D180" s="605"/>
      <c r="E180" s="593"/>
      <c r="F180" s="559"/>
      <c r="G180" s="559"/>
      <c r="H180" s="597"/>
      <c r="I180" s="614"/>
      <c r="J180" s="392"/>
    </row>
    <row r="181" spans="1:10" ht="12.75" hidden="1">
      <c r="A181" s="401"/>
      <c r="B181" s="604" t="str">
        <f t="shared" si="3"/>
        <v/>
      </c>
      <c r="C181" s="558"/>
      <c r="D181" s="605"/>
      <c r="E181" s="593"/>
      <c r="F181" s="559"/>
      <c r="G181" s="559"/>
      <c r="H181" s="597"/>
      <c r="I181" s="614"/>
      <c r="J181" s="392"/>
    </row>
    <row r="182" spans="1:10" ht="12.75" hidden="1">
      <c r="A182" s="401"/>
      <c r="B182" s="604" t="str">
        <f t="shared" si="3"/>
        <v/>
      </c>
      <c r="C182" s="558"/>
      <c r="D182" s="605"/>
      <c r="E182" s="593"/>
      <c r="F182" s="559"/>
      <c r="G182" s="559"/>
      <c r="H182" s="597"/>
      <c r="I182" s="614"/>
      <c r="J182" s="392"/>
    </row>
    <row r="183" spans="1:10" ht="12.75" hidden="1">
      <c r="A183" s="401"/>
      <c r="B183" s="604" t="str">
        <f t="shared" si="3"/>
        <v/>
      </c>
      <c r="C183" s="558"/>
      <c r="D183" s="605"/>
      <c r="E183" s="593"/>
      <c r="F183" s="559"/>
      <c r="G183" s="559"/>
      <c r="H183" s="597"/>
      <c r="I183" s="614"/>
      <c r="J183" s="392"/>
    </row>
    <row r="184" spans="1:10" ht="12.75" hidden="1">
      <c r="A184" s="401"/>
      <c r="B184" s="604" t="str">
        <f t="shared" si="3"/>
        <v/>
      </c>
      <c r="C184" s="558"/>
      <c r="D184" s="605"/>
      <c r="E184" s="593"/>
      <c r="F184" s="559"/>
      <c r="G184" s="559"/>
      <c r="H184" s="597"/>
      <c r="I184" s="614"/>
      <c r="J184" s="392"/>
    </row>
    <row r="185" spans="1:10" ht="12.75" hidden="1">
      <c r="A185" s="401"/>
      <c r="B185" s="604" t="str">
        <f t="shared" si="3"/>
        <v/>
      </c>
      <c r="C185" s="558"/>
      <c r="D185" s="605"/>
      <c r="E185" s="593"/>
      <c r="F185" s="559"/>
      <c r="G185" s="559"/>
      <c r="H185" s="597"/>
      <c r="I185" s="614"/>
      <c r="J185" s="392"/>
    </row>
    <row r="186" spans="1:10" ht="12.75" hidden="1">
      <c r="A186" s="401"/>
      <c r="B186" s="604" t="str">
        <f t="shared" si="3"/>
        <v/>
      </c>
      <c r="C186" s="558"/>
      <c r="D186" s="605"/>
      <c r="E186" s="593"/>
      <c r="F186" s="559"/>
      <c r="G186" s="559"/>
      <c r="H186" s="597"/>
      <c r="I186" s="614"/>
      <c r="J186" s="392"/>
    </row>
    <row r="187" spans="1:10" ht="12.75" hidden="1">
      <c r="A187" s="401"/>
      <c r="B187" s="604" t="str">
        <f t="shared" si="3"/>
        <v/>
      </c>
      <c r="C187" s="558"/>
      <c r="D187" s="605"/>
      <c r="E187" s="593"/>
      <c r="F187" s="559"/>
      <c r="G187" s="559"/>
      <c r="H187" s="597"/>
      <c r="I187" s="614"/>
      <c r="J187" s="392"/>
    </row>
    <row r="188" spans="1:10" ht="12.75" hidden="1">
      <c r="A188" s="401"/>
      <c r="B188" s="604" t="str">
        <f t="shared" si="3"/>
        <v/>
      </c>
      <c r="C188" s="558"/>
      <c r="D188" s="605"/>
      <c r="E188" s="593"/>
      <c r="F188" s="559"/>
      <c r="G188" s="559"/>
      <c r="H188" s="597"/>
      <c r="I188" s="614"/>
      <c r="J188" s="392"/>
    </row>
    <row r="189" spans="1:10" ht="12.75" hidden="1">
      <c r="A189" s="401"/>
      <c r="B189" s="604" t="str">
        <f t="shared" si="3"/>
        <v/>
      </c>
      <c r="C189" s="558"/>
      <c r="D189" s="605"/>
      <c r="E189" s="593"/>
      <c r="F189" s="559"/>
      <c r="G189" s="559"/>
      <c r="H189" s="597"/>
      <c r="I189" s="614"/>
      <c r="J189" s="392"/>
    </row>
    <row r="190" spans="1:10" ht="12.75" hidden="1">
      <c r="A190" s="401"/>
      <c r="B190" s="604" t="str">
        <f t="shared" si="3"/>
        <v/>
      </c>
      <c r="C190" s="558"/>
      <c r="D190" s="605"/>
      <c r="E190" s="593"/>
      <c r="F190" s="559"/>
      <c r="G190" s="559"/>
      <c r="H190" s="597"/>
      <c r="I190" s="614"/>
      <c r="J190" s="392"/>
    </row>
    <row r="191" spans="1:10" ht="12.75" hidden="1">
      <c r="A191" s="401"/>
      <c r="B191" s="604" t="str">
        <f t="shared" si="3"/>
        <v/>
      </c>
      <c r="C191" s="558"/>
      <c r="D191" s="605"/>
      <c r="E191" s="593"/>
      <c r="F191" s="559"/>
      <c r="G191" s="559"/>
      <c r="H191" s="597"/>
      <c r="I191" s="614"/>
      <c r="J191" s="392"/>
    </row>
    <row r="192" spans="1:10" ht="12.75" hidden="1">
      <c r="A192" s="401"/>
      <c r="B192" s="604" t="str">
        <f t="shared" si="3"/>
        <v/>
      </c>
      <c r="C192" s="558"/>
      <c r="D192" s="605"/>
      <c r="E192" s="593"/>
      <c r="F192" s="559"/>
      <c r="G192" s="559"/>
      <c r="H192" s="597"/>
      <c r="I192" s="614"/>
      <c r="J192" s="392"/>
    </row>
    <row r="193" spans="1:10" ht="12.75" hidden="1">
      <c r="A193" s="401"/>
      <c r="B193" s="604" t="str">
        <f t="shared" si="3"/>
        <v/>
      </c>
      <c r="C193" s="558"/>
      <c r="D193" s="605"/>
      <c r="E193" s="593"/>
      <c r="F193" s="559"/>
      <c r="G193" s="559"/>
      <c r="H193" s="597"/>
      <c r="I193" s="614"/>
      <c r="J193" s="392"/>
    </row>
    <row r="194" spans="1:10" ht="12.75" hidden="1">
      <c r="A194" s="401"/>
      <c r="B194" s="604" t="str">
        <f t="shared" si="3"/>
        <v/>
      </c>
      <c r="C194" s="558"/>
      <c r="D194" s="605"/>
      <c r="E194" s="593"/>
      <c r="F194" s="559"/>
      <c r="G194" s="559"/>
      <c r="H194" s="597"/>
      <c r="I194" s="614"/>
      <c r="J194" s="392"/>
    </row>
    <row r="195" spans="1:10" ht="12.75" hidden="1">
      <c r="A195" s="401"/>
      <c r="B195" s="604" t="str">
        <f t="shared" si="3"/>
        <v/>
      </c>
      <c r="C195" s="558"/>
      <c r="D195" s="605"/>
      <c r="E195" s="593"/>
      <c r="F195" s="559"/>
      <c r="G195" s="559"/>
      <c r="H195" s="597"/>
      <c r="I195" s="614"/>
      <c r="J195" s="392"/>
    </row>
    <row r="196" spans="1:10" ht="12.75" hidden="1">
      <c r="A196" s="401"/>
      <c r="B196" s="604" t="str">
        <f t="shared" si="3"/>
        <v/>
      </c>
      <c r="C196" s="558"/>
      <c r="D196" s="605"/>
      <c r="E196" s="593"/>
      <c r="F196" s="559"/>
      <c r="G196" s="559"/>
      <c r="H196" s="597"/>
      <c r="I196" s="614"/>
      <c r="J196" s="392"/>
    </row>
    <row r="197" spans="1:10" ht="12.75" hidden="1">
      <c r="A197" s="401"/>
      <c r="B197" s="604" t="str">
        <f t="shared" si="3"/>
        <v/>
      </c>
      <c r="C197" s="558"/>
      <c r="D197" s="605"/>
      <c r="E197" s="593"/>
      <c r="F197" s="559"/>
      <c r="G197" s="559"/>
      <c r="H197" s="597"/>
      <c r="I197" s="614"/>
      <c r="J197" s="392"/>
    </row>
    <row r="198" spans="1:10" ht="12.75" hidden="1">
      <c r="A198" s="401"/>
      <c r="B198" s="604" t="str">
        <f t="shared" si="3"/>
        <v/>
      </c>
      <c r="C198" s="558"/>
      <c r="D198" s="605"/>
      <c r="E198" s="593"/>
      <c r="F198" s="559"/>
      <c r="G198" s="559"/>
      <c r="H198" s="597"/>
      <c r="I198" s="614"/>
      <c r="J198" s="392"/>
    </row>
    <row r="199" spans="1:10" ht="12.75" hidden="1">
      <c r="A199" s="401"/>
      <c r="B199" s="604" t="str">
        <f t="shared" si="3"/>
        <v/>
      </c>
      <c r="C199" s="558"/>
      <c r="D199" s="605"/>
      <c r="E199" s="593"/>
      <c r="F199" s="559"/>
      <c r="G199" s="559"/>
      <c r="H199" s="597"/>
      <c r="I199" s="614"/>
      <c r="J199" s="392"/>
    </row>
    <row r="200" spans="1:10" ht="12.75" hidden="1">
      <c r="A200" s="401"/>
      <c r="B200" s="604" t="str">
        <f t="shared" si="3"/>
        <v/>
      </c>
      <c r="C200" s="558"/>
      <c r="D200" s="605"/>
      <c r="E200" s="593"/>
      <c r="F200" s="559"/>
      <c r="G200" s="559"/>
      <c r="H200" s="597"/>
      <c r="I200" s="614"/>
      <c r="J200" s="401"/>
    </row>
    <row r="201" spans="1:10" ht="12.75" hidden="1">
      <c r="A201" s="401"/>
      <c r="B201" s="604" t="str">
        <f t="shared" si="3"/>
        <v/>
      </c>
      <c r="C201" s="558"/>
      <c r="D201" s="605"/>
      <c r="E201" s="593"/>
      <c r="F201" s="559"/>
      <c r="G201" s="559"/>
      <c r="H201" s="597"/>
      <c r="I201" s="614"/>
      <c r="J201" s="401"/>
    </row>
    <row r="202" spans="1:10" ht="12.75" hidden="1">
      <c r="A202" s="401"/>
      <c r="B202" s="604" t="str">
        <f t="shared" ref="B202:B205" si="4">IF(C202="","",B201+1)</f>
        <v/>
      </c>
      <c r="C202" s="558"/>
      <c r="D202" s="605"/>
      <c r="E202" s="593"/>
      <c r="F202" s="559"/>
      <c r="G202" s="559"/>
      <c r="H202" s="597"/>
      <c r="I202" s="614"/>
      <c r="J202" s="401"/>
    </row>
    <row r="203" spans="1:10" ht="12.75" hidden="1">
      <c r="A203" s="401"/>
      <c r="B203" s="604" t="str">
        <f t="shared" si="4"/>
        <v/>
      </c>
      <c r="C203" s="558"/>
      <c r="D203" s="605"/>
      <c r="E203" s="593"/>
      <c r="F203" s="559"/>
      <c r="G203" s="559"/>
      <c r="H203" s="597"/>
      <c r="I203" s="614"/>
      <c r="J203" s="401"/>
    </row>
    <row r="204" spans="1:10" ht="12.75" hidden="1">
      <c r="A204" s="401"/>
      <c r="B204" s="604" t="str">
        <f t="shared" si="4"/>
        <v/>
      </c>
      <c r="C204" s="558"/>
      <c r="D204" s="605"/>
      <c r="E204" s="593"/>
      <c r="F204" s="559"/>
      <c r="G204" s="559"/>
      <c r="H204" s="597"/>
      <c r="I204" s="614"/>
      <c r="J204" s="401"/>
    </row>
    <row r="205" spans="1:10" ht="12.75" hidden="1" customHeight="1" thickBot="1">
      <c r="A205" s="401"/>
      <c r="B205" s="606" t="str">
        <f t="shared" si="4"/>
        <v/>
      </c>
      <c r="C205" s="607"/>
      <c r="D205" s="608"/>
      <c r="E205" s="603"/>
      <c r="F205" s="599"/>
      <c r="G205" s="599"/>
      <c r="H205" s="600"/>
      <c r="I205" s="615"/>
      <c r="J205" s="401"/>
    </row>
    <row r="206" spans="1:10" ht="12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</row>
  </sheetData>
  <mergeCells count="4">
    <mergeCell ref="B1:I1"/>
    <mergeCell ref="B2:I2"/>
    <mergeCell ref="B3:I3"/>
    <mergeCell ref="B5:D5"/>
  </mergeCells>
  <conditionalFormatting sqref="H8:H203">
    <cfRule type="cellIs" dxfId="2" priority="3" operator="lessThan">
      <formula>0</formula>
    </cfRule>
  </conditionalFormatting>
  <conditionalFormatting sqref="H204">
    <cfRule type="cellIs" dxfId="1" priority="2" operator="lessThan">
      <formula>0</formula>
    </cfRule>
  </conditionalFormatting>
  <conditionalFormatting sqref="H205">
    <cfRule type="cellIs" dxfId="0" priority="1" operator="lessThan">
      <formula>0</formula>
    </cfRule>
  </conditionalFormatting>
  <printOptions horizontalCentered="1"/>
  <pageMargins left="0.15748031496062992" right="0.19685039370078741" top="0.35433070866141736" bottom="0.43307086614173229" header="0.19685039370078741" footer="0.19685039370078741"/>
  <pageSetup paperSize="9" scale="75" orientation="portrait" r:id="rId1"/>
  <headerFooter>
    <oddFooter>&amp;C&amp;P/&amp;N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39</vt:i4>
      </vt:variant>
    </vt:vector>
  </HeadingPairs>
  <TitlesOfParts>
    <vt:vector size="40" baseType="lpstr">
      <vt:lpstr>MENU</vt:lpstr>
      <vt:lpstr>ano_extenso</vt:lpstr>
      <vt:lpstr>ATA!Area_de_impressao</vt:lpstr>
      <vt:lpstr>BASE!Area_de_impressao</vt:lpstr>
      <vt:lpstr>basico!Area_de_impressao</vt:lpstr>
      <vt:lpstr>CONSOLIDA!Area_de_impressao</vt:lpstr>
      <vt:lpstr>formacao!Area_de_impressao</vt:lpstr>
      <vt:lpstr>futuro!Area_de_impressao</vt:lpstr>
      <vt:lpstr>gremio!Area_de_impressao</vt:lpstr>
      <vt:lpstr>imprensa!Area_de_impressao</vt:lpstr>
      <vt:lpstr>LAUDA!Area_de_impressao</vt:lpstr>
      <vt:lpstr>livre_aplicacao!Area_de_impressao</vt:lpstr>
      <vt:lpstr>mais_escola!Area_de_impressao</vt:lpstr>
      <vt:lpstr>MENU!Area_de_impressao</vt:lpstr>
      <vt:lpstr>'Modelo 6'!Area_de_impressao</vt:lpstr>
      <vt:lpstr>'Modelo 7'!Area_de_impressao</vt:lpstr>
      <vt:lpstr>'Modelo 8'!Area_de_impressao</vt:lpstr>
      <vt:lpstr>'Modelo 9'!Area_de_impressao</vt:lpstr>
      <vt:lpstr>OFICIO!Area_de_impressao</vt:lpstr>
      <vt:lpstr>transporte!Area_de_impressao</vt:lpstr>
      <vt:lpstr>volta_aulas!Area_de_impressao</vt:lpstr>
      <vt:lpstr>hora_extenso</vt:lpstr>
      <vt:lpstr>mes_extenso</vt:lpstr>
      <vt:lpstr>minuto_extenso</vt:lpstr>
      <vt:lpstr>publicado</vt:lpstr>
      <vt:lpstr>rec_repasse_c</vt:lpstr>
      <vt:lpstr>rec_repasse_k</vt:lpstr>
      <vt:lpstr>saldo_correto</vt:lpstr>
      <vt:lpstr>status</vt:lpstr>
      <vt:lpstr>stop</vt:lpstr>
      <vt:lpstr>basico!Titulos_de_impressao</vt:lpstr>
      <vt:lpstr>CONSOLIDA!Titulos_de_impressao</vt:lpstr>
      <vt:lpstr>formacao!Titulos_de_impressao</vt:lpstr>
      <vt:lpstr>futuro!Titulos_de_impressao</vt:lpstr>
      <vt:lpstr>gremio!Titulos_de_impressao</vt:lpstr>
      <vt:lpstr>imprensa!Titulos_de_impressao</vt:lpstr>
      <vt:lpstr>livre_aplicacao!Titulos_de_impressao</vt:lpstr>
      <vt:lpstr>mais_escola!Titulos_de_impressao</vt:lpstr>
      <vt:lpstr>transporte!Titulos_de_impressao</vt:lpstr>
      <vt:lpstr>volta_aulas!Titulos_de_impressao</vt:lpstr>
    </vt:vector>
  </TitlesOfParts>
  <Company>SME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d561158</dc:creator>
  <cp:lastModifiedBy>Roberto Carlos Ribeiro</cp:lastModifiedBy>
  <cp:lastPrinted>2019-10-25T14:22:15Z</cp:lastPrinted>
  <dcterms:created xsi:type="dcterms:W3CDTF">2006-11-06T21:01:24Z</dcterms:created>
  <dcterms:modified xsi:type="dcterms:W3CDTF">2020-09-15T11:19:51Z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ReviewCycleID">
    <vt:i4>-65946776</vt:i4>
  </property>
  <property fmtid="{D5CDD505-2E9C-101B-9397-08002B2CF9AE}" pid="3" name="_EmailEntryID">
    <vt:lpwstr>000000002CF190DAFEC0E84FB9289F71D1E21ED907005D72F47805B61E44A4C847F721C62D41000001F21E090000F4AD753D7A4EC64F976D1BD2882840F10000016F64080000</vt:lpwstr>
  </property>
  <property fmtid="{D5CDD505-2E9C-101B-9397-08002B2CF9AE}" pid="4" name="_EmailStoreID">
    <vt:lpwstr>0000000038A1BB1005E5101AA1BB08002B2A56C20000454D534D44422E444C4C00000000000000001B55FA20AA6611CD9BC800AA002FC45A0C0000004350524F44414D494253313938002F6F3D50524F44414D2F6F753D504D53502F636E3D5573756172696F7320646520534D452F636E3D677061636865636F00</vt:lpwstr>
  </property>
  <property fmtid="{D5CDD505-2E9C-101B-9397-08002B2CF9AE}" pid="5" name="_ReviewingToolsShownOnce">
    <vt:lpwstr/>
  </property>
</Properties>
</file>