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OTA\Excle\Working Sheet\Growmore\"/>
    </mc:Choice>
  </mc:AlternateContent>
  <xr:revisionPtr revIDLastSave="0" documentId="13_ncr:1_{6EC4CD9D-490C-4685-8568-7D90736A2932}" xr6:coauthVersionLast="47" xr6:coauthVersionMax="47" xr10:uidLastSave="{00000000-0000-0000-0000-000000000000}"/>
  <bookViews>
    <workbookView xWindow="-120" yWindow="-120" windowWidth="20730" windowHeight="11760" activeTab="2" xr2:uid="{BE5C5699-2FCA-4049-B110-D479E5FF1EB0}"/>
  </bookViews>
  <sheets>
    <sheet name="Q1" sheetId="1" r:id="rId1"/>
    <sheet name="Q2" sheetId="2" r:id="rId2"/>
    <sheet name="Q3" sheetId="4" r:id="rId3"/>
    <sheet name="Q4" sheetId="5" r:id="rId4"/>
    <sheet name="Q5" sheetId="6" r:id="rId5"/>
  </sheets>
  <definedNames>
    <definedName name="_xlnm._FilterDatabase" localSheetId="0" hidden="1">'Q1'!$B$1:$H$201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4" l="1"/>
  <c r="N7" i="4"/>
  <c r="N8" i="4"/>
  <c r="N9" i="4"/>
  <c r="N5" i="4"/>
  <c r="L6" i="4"/>
  <c r="L7" i="4"/>
  <c r="L8" i="4"/>
  <c r="L9" i="4"/>
  <c r="L5" i="4"/>
  <c r="B19" i="6"/>
  <c r="B12" i="6"/>
  <c r="B5" i="6"/>
  <c r="B23" i="6" l="1"/>
  <c r="B6" i="6" l="1"/>
  <c r="C2" i="5"/>
  <c r="K28" i="5"/>
  <c r="J28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4" i="5"/>
  <c r="B20" i="6"/>
  <c r="B13" i="6"/>
  <c r="K5" i="6"/>
  <c r="K6" i="6" s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4" i="5"/>
  <c r="L4" i="5" s="1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I27" i="5"/>
  <c r="I25" i="5"/>
  <c r="I26" i="5"/>
  <c r="I6" i="5"/>
  <c r="I7" i="5"/>
  <c r="I8" i="5"/>
  <c r="I9" i="5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5" i="5"/>
  <c r="E5" i="6"/>
  <c r="E6" i="6" s="1"/>
  <c r="E7" i="6" s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U20" i="1"/>
  <c r="K7" i="6" l="1"/>
  <c r="L5" i="5"/>
  <c r="Y21" i="1"/>
  <c r="Y19" i="1"/>
  <c r="V17" i="1"/>
  <c r="Y16" i="1"/>
  <c r="X16" i="1"/>
  <c r="W16" i="1"/>
  <c r="V16" i="1"/>
  <c r="Y22" i="1"/>
  <c r="X22" i="1"/>
  <c r="W22" i="1"/>
  <c r="X21" i="1"/>
  <c r="W21" i="1"/>
  <c r="V21" i="1"/>
  <c r="Y20" i="1"/>
  <c r="X20" i="1"/>
  <c r="W20" i="1"/>
  <c r="V20" i="1"/>
  <c r="X19" i="1"/>
  <c r="W19" i="1"/>
  <c r="Y18" i="1"/>
  <c r="X18" i="1"/>
  <c r="W18" i="1"/>
  <c r="V18" i="1"/>
  <c r="Y17" i="1"/>
  <c r="X17" i="1"/>
  <c r="W17" i="1"/>
  <c r="U17" i="1"/>
  <c r="U22" i="1"/>
  <c r="U21" i="1"/>
  <c r="V19" i="1"/>
  <c r="U19" i="1"/>
  <c r="V22" i="1"/>
  <c r="U18" i="1"/>
  <c r="K8" i="6" l="1"/>
  <c r="L6" i="5"/>
  <c r="L7" i="5" s="1"/>
  <c r="M26" i="4"/>
  <c r="F26" i="4" s="1"/>
  <c r="M25" i="4"/>
  <c r="M7" i="4" s="1"/>
  <c r="M24" i="4"/>
  <c r="M6" i="4"/>
  <c r="M23" i="4"/>
  <c r="F23" i="4" s="1"/>
  <c r="G23" i="4" s="1"/>
  <c r="M27" i="4"/>
  <c r="F27" i="4" s="1"/>
  <c r="U23" i="4"/>
  <c r="U22" i="4"/>
  <c r="V22" i="4"/>
  <c r="Q21" i="1"/>
  <c r="Q20" i="1"/>
  <c r="Q19" i="1"/>
  <c r="R17" i="1"/>
  <c r="Q17" i="1"/>
  <c r="Q22" i="1"/>
  <c r="Q18" i="1"/>
  <c r="Q16" i="1"/>
  <c r="P21" i="1"/>
  <c r="P20" i="1"/>
  <c r="P19" i="1"/>
  <c r="P18" i="1"/>
  <c r="P17" i="1"/>
  <c r="P22" i="1"/>
  <c r="R18" i="1"/>
  <c r="O18" i="1"/>
  <c r="N18" i="1"/>
  <c r="R19" i="1"/>
  <c r="R20" i="1"/>
  <c r="R21" i="1"/>
  <c r="R22" i="1"/>
  <c r="R16" i="1"/>
  <c r="E24" i="4"/>
  <c r="E25" i="4"/>
  <c r="E26" i="4"/>
  <c r="E27" i="4"/>
  <c r="E23" i="4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17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3" i="2"/>
  <c r="K9" i="6" l="1"/>
  <c r="L8" i="5"/>
  <c r="F24" i="4"/>
  <c r="M9" i="4"/>
  <c r="M8" i="4"/>
  <c r="F25" i="4"/>
  <c r="G25" i="4" s="1"/>
  <c r="M5" i="4"/>
  <c r="G27" i="4"/>
  <c r="G26" i="4"/>
  <c r="G24" i="4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" i="1"/>
  <c r="F3" i="1"/>
  <c r="F4" i="1"/>
  <c r="F5" i="1"/>
  <c r="H5" i="1" s="1"/>
  <c r="F6" i="1"/>
  <c r="F7" i="1"/>
  <c r="H7" i="1" s="1"/>
  <c r="F8" i="1"/>
  <c r="H8" i="1" s="1"/>
  <c r="F9" i="1"/>
  <c r="H9" i="1" s="1"/>
  <c r="F10" i="1"/>
  <c r="H10" i="1" s="1"/>
  <c r="F11" i="1"/>
  <c r="H11" i="1" s="1"/>
  <c r="F12" i="1"/>
  <c r="H12" i="1" s="1"/>
  <c r="F13" i="1"/>
  <c r="H13" i="1" s="1"/>
  <c r="F14" i="1"/>
  <c r="F15" i="1"/>
  <c r="H15" i="1" s="1"/>
  <c r="F16" i="1"/>
  <c r="F17" i="1"/>
  <c r="H17" i="1" s="1"/>
  <c r="F18" i="1"/>
  <c r="H18" i="1" s="1"/>
  <c r="F19" i="1"/>
  <c r="H19" i="1" s="1"/>
  <c r="F20" i="1"/>
  <c r="H20" i="1" s="1"/>
  <c r="F21" i="1"/>
  <c r="H21" i="1" s="1"/>
  <c r="F22" i="1"/>
  <c r="H22" i="1" s="1"/>
  <c r="F23" i="1"/>
  <c r="H23" i="1" s="1"/>
  <c r="F24" i="1"/>
  <c r="H24" i="1" s="1"/>
  <c r="F25" i="1"/>
  <c r="H25" i="1" s="1"/>
  <c r="F26" i="1"/>
  <c r="H26" i="1" s="1"/>
  <c r="F27" i="1"/>
  <c r="H27" i="1" s="1"/>
  <c r="F28" i="1"/>
  <c r="H28" i="1" s="1"/>
  <c r="F29" i="1"/>
  <c r="F30" i="1"/>
  <c r="H30" i="1" s="1"/>
  <c r="F31" i="1"/>
  <c r="H31" i="1" s="1"/>
  <c r="F32" i="1"/>
  <c r="H32" i="1" s="1"/>
  <c r="F33" i="1"/>
  <c r="H33" i="1" s="1"/>
  <c r="F34" i="1"/>
  <c r="H34" i="1" s="1"/>
  <c r="F35" i="1"/>
  <c r="H35" i="1" s="1"/>
  <c r="F36" i="1"/>
  <c r="H36" i="1" s="1"/>
  <c r="F37" i="1"/>
  <c r="H37" i="1" s="1"/>
  <c r="F38" i="1"/>
  <c r="H38" i="1" s="1"/>
  <c r="F39" i="1"/>
  <c r="H39" i="1" s="1"/>
  <c r="F40" i="1"/>
  <c r="H40" i="1" s="1"/>
  <c r="F41" i="1"/>
  <c r="F42" i="1"/>
  <c r="H42" i="1" s="1"/>
  <c r="F43" i="1"/>
  <c r="H43" i="1" s="1"/>
  <c r="F44" i="1"/>
  <c r="H44" i="1" s="1"/>
  <c r="F45" i="1"/>
  <c r="H45" i="1" s="1"/>
  <c r="F46" i="1"/>
  <c r="H46" i="1" s="1"/>
  <c r="F47" i="1"/>
  <c r="H47" i="1" s="1"/>
  <c r="F48" i="1"/>
  <c r="H48" i="1" s="1"/>
  <c r="F49" i="1"/>
  <c r="H49" i="1" s="1"/>
  <c r="F50" i="1"/>
  <c r="H50" i="1" s="1"/>
  <c r="F51" i="1"/>
  <c r="H51" i="1" s="1"/>
  <c r="F52" i="1"/>
  <c r="H52" i="1" s="1"/>
  <c r="F53" i="1"/>
  <c r="H53" i="1" s="1"/>
  <c r="F54" i="1"/>
  <c r="H54" i="1" s="1"/>
  <c r="F55" i="1"/>
  <c r="H55" i="1" s="1"/>
  <c r="F56" i="1"/>
  <c r="H56" i="1" s="1"/>
  <c r="F57" i="1"/>
  <c r="H57" i="1" s="1"/>
  <c r="F58" i="1"/>
  <c r="H58" i="1" s="1"/>
  <c r="F59" i="1"/>
  <c r="H59" i="1" s="1"/>
  <c r="F60" i="1"/>
  <c r="H60" i="1" s="1"/>
  <c r="F61" i="1"/>
  <c r="H61" i="1" s="1"/>
  <c r="F62" i="1"/>
  <c r="H62" i="1" s="1"/>
  <c r="F63" i="1"/>
  <c r="H63" i="1" s="1"/>
  <c r="F64" i="1"/>
  <c r="H64" i="1" s="1"/>
  <c r="F65" i="1"/>
  <c r="H65" i="1" s="1"/>
  <c r="F66" i="1"/>
  <c r="H66" i="1" s="1"/>
  <c r="F67" i="1"/>
  <c r="H67" i="1" s="1"/>
  <c r="F68" i="1"/>
  <c r="H68" i="1" s="1"/>
  <c r="F69" i="1"/>
  <c r="H69" i="1" s="1"/>
  <c r="F70" i="1"/>
  <c r="H70" i="1" s="1"/>
  <c r="F71" i="1"/>
  <c r="H71" i="1" s="1"/>
  <c r="F72" i="1"/>
  <c r="H72" i="1" s="1"/>
  <c r="F73" i="1"/>
  <c r="H73" i="1" s="1"/>
  <c r="F74" i="1"/>
  <c r="H74" i="1" s="1"/>
  <c r="F75" i="1"/>
  <c r="H75" i="1" s="1"/>
  <c r="F76" i="1"/>
  <c r="H76" i="1" s="1"/>
  <c r="F77" i="1"/>
  <c r="H77" i="1" s="1"/>
  <c r="F78" i="1"/>
  <c r="H78" i="1" s="1"/>
  <c r="F79" i="1"/>
  <c r="H79" i="1" s="1"/>
  <c r="F80" i="1"/>
  <c r="H80" i="1" s="1"/>
  <c r="F81" i="1"/>
  <c r="H81" i="1" s="1"/>
  <c r="F82" i="1"/>
  <c r="H82" i="1" s="1"/>
  <c r="F83" i="1"/>
  <c r="H83" i="1" s="1"/>
  <c r="F84" i="1"/>
  <c r="H84" i="1" s="1"/>
  <c r="F85" i="1"/>
  <c r="H85" i="1" s="1"/>
  <c r="F86" i="1"/>
  <c r="H86" i="1" s="1"/>
  <c r="F87" i="1"/>
  <c r="H87" i="1" s="1"/>
  <c r="F88" i="1"/>
  <c r="H88" i="1" s="1"/>
  <c r="F89" i="1"/>
  <c r="H89" i="1" s="1"/>
  <c r="F90" i="1"/>
  <c r="H90" i="1" s="1"/>
  <c r="F91" i="1"/>
  <c r="H91" i="1" s="1"/>
  <c r="F92" i="1"/>
  <c r="H92" i="1" s="1"/>
  <c r="F93" i="1"/>
  <c r="H93" i="1" s="1"/>
  <c r="F94" i="1"/>
  <c r="H94" i="1" s="1"/>
  <c r="F95" i="1"/>
  <c r="H95" i="1" s="1"/>
  <c r="F96" i="1"/>
  <c r="H96" i="1" s="1"/>
  <c r="F97" i="1"/>
  <c r="H97" i="1" s="1"/>
  <c r="F98" i="1"/>
  <c r="H98" i="1" s="1"/>
  <c r="F99" i="1"/>
  <c r="H99" i="1" s="1"/>
  <c r="F100" i="1"/>
  <c r="H100" i="1" s="1"/>
  <c r="F101" i="1"/>
  <c r="H101" i="1" s="1"/>
  <c r="F102" i="1"/>
  <c r="H102" i="1" s="1"/>
  <c r="F103" i="1"/>
  <c r="H103" i="1" s="1"/>
  <c r="F104" i="1"/>
  <c r="H104" i="1" s="1"/>
  <c r="F105" i="1"/>
  <c r="H105" i="1" s="1"/>
  <c r="F106" i="1"/>
  <c r="H106" i="1" s="1"/>
  <c r="F107" i="1"/>
  <c r="H107" i="1" s="1"/>
  <c r="F108" i="1"/>
  <c r="H108" i="1" s="1"/>
  <c r="F109" i="1"/>
  <c r="H109" i="1" s="1"/>
  <c r="F110" i="1"/>
  <c r="H110" i="1" s="1"/>
  <c r="F111" i="1"/>
  <c r="H111" i="1" s="1"/>
  <c r="F112" i="1"/>
  <c r="H112" i="1" s="1"/>
  <c r="F113" i="1"/>
  <c r="H113" i="1" s="1"/>
  <c r="F114" i="1"/>
  <c r="H114" i="1" s="1"/>
  <c r="F115" i="1"/>
  <c r="H115" i="1" s="1"/>
  <c r="F116" i="1"/>
  <c r="H116" i="1" s="1"/>
  <c r="F117" i="1"/>
  <c r="H117" i="1" s="1"/>
  <c r="F118" i="1"/>
  <c r="H118" i="1" s="1"/>
  <c r="F119" i="1"/>
  <c r="H119" i="1" s="1"/>
  <c r="F120" i="1"/>
  <c r="H120" i="1" s="1"/>
  <c r="F121" i="1"/>
  <c r="H121" i="1" s="1"/>
  <c r="F122" i="1"/>
  <c r="H122" i="1" s="1"/>
  <c r="F123" i="1"/>
  <c r="H123" i="1" s="1"/>
  <c r="F124" i="1"/>
  <c r="H124" i="1" s="1"/>
  <c r="F125" i="1"/>
  <c r="H125" i="1" s="1"/>
  <c r="F126" i="1"/>
  <c r="H126" i="1" s="1"/>
  <c r="F127" i="1"/>
  <c r="H127" i="1" s="1"/>
  <c r="F128" i="1"/>
  <c r="H128" i="1" s="1"/>
  <c r="F129" i="1"/>
  <c r="H129" i="1" s="1"/>
  <c r="F130" i="1"/>
  <c r="H130" i="1" s="1"/>
  <c r="F131" i="1"/>
  <c r="H131" i="1" s="1"/>
  <c r="F132" i="1"/>
  <c r="H132" i="1" s="1"/>
  <c r="F133" i="1"/>
  <c r="H133" i="1" s="1"/>
  <c r="F134" i="1"/>
  <c r="H134" i="1" s="1"/>
  <c r="F135" i="1"/>
  <c r="H135" i="1" s="1"/>
  <c r="F136" i="1"/>
  <c r="H136" i="1" s="1"/>
  <c r="F137" i="1"/>
  <c r="H137" i="1" s="1"/>
  <c r="F138" i="1"/>
  <c r="H138" i="1" s="1"/>
  <c r="F139" i="1"/>
  <c r="H139" i="1" s="1"/>
  <c r="F140" i="1"/>
  <c r="H140" i="1" s="1"/>
  <c r="F141" i="1"/>
  <c r="H141" i="1" s="1"/>
  <c r="F142" i="1"/>
  <c r="H142" i="1" s="1"/>
  <c r="F143" i="1"/>
  <c r="H143" i="1" s="1"/>
  <c r="F144" i="1"/>
  <c r="H144" i="1" s="1"/>
  <c r="F145" i="1"/>
  <c r="H145" i="1" s="1"/>
  <c r="F146" i="1"/>
  <c r="H146" i="1" s="1"/>
  <c r="F147" i="1"/>
  <c r="H147" i="1" s="1"/>
  <c r="F148" i="1"/>
  <c r="H148" i="1" s="1"/>
  <c r="F149" i="1"/>
  <c r="H149" i="1" s="1"/>
  <c r="F150" i="1"/>
  <c r="H150" i="1" s="1"/>
  <c r="F151" i="1"/>
  <c r="H151" i="1" s="1"/>
  <c r="F152" i="1"/>
  <c r="H152" i="1" s="1"/>
  <c r="F153" i="1"/>
  <c r="H153" i="1" s="1"/>
  <c r="F154" i="1"/>
  <c r="H154" i="1" s="1"/>
  <c r="F155" i="1"/>
  <c r="H155" i="1" s="1"/>
  <c r="F156" i="1"/>
  <c r="H156" i="1" s="1"/>
  <c r="F157" i="1"/>
  <c r="H157" i="1" s="1"/>
  <c r="F158" i="1"/>
  <c r="H158" i="1" s="1"/>
  <c r="F159" i="1"/>
  <c r="H159" i="1" s="1"/>
  <c r="F160" i="1"/>
  <c r="H160" i="1" s="1"/>
  <c r="F161" i="1"/>
  <c r="H161" i="1" s="1"/>
  <c r="F162" i="1"/>
  <c r="H162" i="1" s="1"/>
  <c r="F163" i="1"/>
  <c r="H163" i="1" s="1"/>
  <c r="F164" i="1"/>
  <c r="H164" i="1" s="1"/>
  <c r="F165" i="1"/>
  <c r="H165" i="1" s="1"/>
  <c r="F166" i="1"/>
  <c r="H166" i="1" s="1"/>
  <c r="F167" i="1"/>
  <c r="H167" i="1" s="1"/>
  <c r="F168" i="1"/>
  <c r="H168" i="1" s="1"/>
  <c r="F169" i="1"/>
  <c r="H169" i="1" s="1"/>
  <c r="F170" i="1"/>
  <c r="H170" i="1" s="1"/>
  <c r="F171" i="1"/>
  <c r="H171" i="1" s="1"/>
  <c r="F172" i="1"/>
  <c r="H172" i="1" s="1"/>
  <c r="F173" i="1"/>
  <c r="H173" i="1" s="1"/>
  <c r="F174" i="1"/>
  <c r="H174" i="1" s="1"/>
  <c r="F175" i="1"/>
  <c r="H175" i="1" s="1"/>
  <c r="F176" i="1"/>
  <c r="H176" i="1" s="1"/>
  <c r="F177" i="1"/>
  <c r="H177" i="1" s="1"/>
  <c r="F178" i="1"/>
  <c r="H178" i="1" s="1"/>
  <c r="F179" i="1"/>
  <c r="H179" i="1" s="1"/>
  <c r="F180" i="1"/>
  <c r="H180" i="1" s="1"/>
  <c r="F181" i="1"/>
  <c r="H181" i="1" s="1"/>
  <c r="F182" i="1"/>
  <c r="H182" i="1" s="1"/>
  <c r="F183" i="1"/>
  <c r="H183" i="1" s="1"/>
  <c r="F184" i="1"/>
  <c r="H184" i="1" s="1"/>
  <c r="F185" i="1"/>
  <c r="H185" i="1" s="1"/>
  <c r="F186" i="1"/>
  <c r="H186" i="1" s="1"/>
  <c r="F187" i="1"/>
  <c r="H187" i="1" s="1"/>
  <c r="F188" i="1"/>
  <c r="H188" i="1" s="1"/>
  <c r="F189" i="1"/>
  <c r="H189" i="1" s="1"/>
  <c r="F190" i="1"/>
  <c r="H190" i="1" s="1"/>
  <c r="F191" i="1"/>
  <c r="H191" i="1" s="1"/>
  <c r="F192" i="1"/>
  <c r="H192" i="1" s="1"/>
  <c r="F193" i="1"/>
  <c r="H193" i="1" s="1"/>
  <c r="F194" i="1"/>
  <c r="H194" i="1" s="1"/>
  <c r="F195" i="1"/>
  <c r="H195" i="1" s="1"/>
  <c r="F196" i="1"/>
  <c r="H196" i="1" s="1"/>
  <c r="F197" i="1"/>
  <c r="H197" i="1" s="1"/>
  <c r="F198" i="1"/>
  <c r="H198" i="1" s="1"/>
  <c r="F199" i="1"/>
  <c r="H199" i="1" s="1"/>
  <c r="F200" i="1"/>
  <c r="H200" i="1" s="1"/>
  <c r="F201" i="1"/>
  <c r="H201" i="1" s="1"/>
  <c r="F2" i="1"/>
  <c r="D2" i="1"/>
  <c r="V20" i="4"/>
  <c r="V19" i="4"/>
  <c r="V18" i="4"/>
  <c r="V17" i="4"/>
  <c r="V16" i="4"/>
  <c r="V15" i="4"/>
  <c r="K10" i="6" l="1"/>
  <c r="L9" i="5"/>
  <c r="N17" i="1"/>
  <c r="N16" i="1"/>
  <c r="U16" i="1" s="1"/>
  <c r="O19" i="1"/>
  <c r="O20" i="1"/>
  <c r="O22" i="1"/>
  <c r="O17" i="1"/>
  <c r="O21" i="1"/>
  <c r="O16" i="1"/>
  <c r="P16" i="1"/>
  <c r="H14" i="1"/>
  <c r="H29" i="1"/>
  <c r="H3" i="1"/>
  <c r="N19" i="1"/>
  <c r="H2" i="1"/>
  <c r="N20" i="1"/>
  <c r="H6" i="1"/>
  <c r="N22" i="1"/>
  <c r="H16" i="1"/>
  <c r="N21" i="1"/>
  <c r="H41" i="1"/>
  <c r="H4" i="1"/>
  <c r="K11" i="6" l="1"/>
  <c r="L10" i="5"/>
  <c r="K12" i="6" l="1"/>
  <c r="L11" i="5"/>
  <c r="K13" i="6" l="1"/>
  <c r="L12" i="5"/>
  <c r="K14" i="6" l="1"/>
  <c r="L13" i="5"/>
  <c r="K15" i="6" l="1"/>
  <c r="L14" i="5"/>
  <c r="K16" i="6" l="1"/>
  <c r="L15" i="5"/>
  <c r="K17" i="6" l="1"/>
  <c r="L16" i="5"/>
  <c r="K18" i="6" l="1"/>
  <c r="L17" i="5"/>
  <c r="K19" i="6" l="1"/>
  <c r="L18" i="5"/>
  <c r="K20" i="6" l="1"/>
  <c r="L19" i="5"/>
  <c r="L20" i="5" l="1"/>
  <c r="L21" i="5" l="1"/>
  <c r="L22" i="5" l="1"/>
  <c r="L23" i="5" l="1"/>
  <c r="L24" i="5" l="1"/>
  <c r="L25" i="5" l="1"/>
  <c r="L26" i="5" l="1"/>
  <c r="L27" i="5" l="1"/>
  <c r="B4" i="6"/>
  <c r="N3" i="6" l="1"/>
  <c r="H3" i="6"/>
  <c r="F4" i="6" l="1"/>
  <c r="G4" i="6"/>
  <c r="G9" i="6"/>
  <c r="G6" i="6"/>
  <c r="G27" i="6"/>
  <c r="G10" i="6"/>
  <c r="G30" i="6"/>
  <c r="G22" i="6"/>
  <c r="G24" i="6"/>
  <c r="G13" i="6"/>
  <c r="G15" i="6"/>
  <c r="G18" i="6"/>
  <c r="G32" i="6"/>
  <c r="G16" i="6"/>
  <c r="G11" i="6"/>
  <c r="H4" i="6"/>
  <c r="G26" i="6"/>
  <c r="G14" i="6"/>
  <c r="G7" i="6"/>
  <c r="G20" i="6"/>
  <c r="G23" i="6"/>
  <c r="G19" i="6"/>
  <c r="G5" i="6"/>
  <c r="G21" i="6"/>
  <c r="G31" i="6"/>
  <c r="G33" i="6"/>
  <c r="G28" i="6"/>
  <c r="G29" i="6"/>
  <c r="G8" i="6"/>
  <c r="G12" i="6"/>
  <c r="G25" i="6"/>
  <c r="G17" i="6"/>
  <c r="G34" i="6"/>
  <c r="M13" i="6"/>
  <c r="M8" i="6"/>
  <c r="M14" i="6"/>
  <c r="M20" i="6"/>
  <c r="M5" i="6"/>
  <c r="M6" i="6"/>
  <c r="M19" i="6"/>
  <c r="L4" i="6"/>
  <c r="M9" i="6"/>
  <c r="M15" i="6"/>
  <c r="M10" i="6"/>
  <c r="M12" i="6"/>
  <c r="M11" i="6"/>
  <c r="M17" i="6"/>
  <c r="M7" i="6"/>
  <c r="M18" i="6"/>
  <c r="M16" i="6"/>
  <c r="M4" i="6"/>
  <c r="N4" i="6" s="1"/>
  <c r="F5" i="6" l="1"/>
  <c r="H5" i="6"/>
  <c r="L5" i="6"/>
  <c r="N5" i="6"/>
  <c r="M21" i="6"/>
  <c r="G35" i="6"/>
  <c r="L6" i="6" l="1"/>
  <c r="N6" i="6"/>
  <c r="H6" i="6"/>
  <c r="F6" i="6"/>
  <c r="F7" i="6" l="1"/>
  <c r="H7" i="6"/>
  <c r="L7" i="6"/>
  <c r="N7" i="6"/>
  <c r="F8" i="6" l="1"/>
  <c r="H8" i="6"/>
  <c r="N8" i="6"/>
  <c r="L8" i="6"/>
  <c r="L9" i="6" l="1"/>
  <c r="N9" i="6"/>
  <c r="F9" i="6"/>
  <c r="H9" i="6"/>
  <c r="F10" i="6" l="1"/>
  <c r="H10" i="6"/>
  <c r="L10" i="6"/>
  <c r="N10" i="6"/>
  <c r="N11" i="6" l="1"/>
  <c r="L11" i="6"/>
  <c r="F11" i="6"/>
  <c r="H11" i="6"/>
  <c r="L12" i="6" l="1"/>
  <c r="N12" i="6"/>
  <c r="F12" i="6"/>
  <c r="H12" i="6"/>
  <c r="F13" i="6" l="1"/>
  <c r="H13" i="6"/>
  <c r="N13" i="6"/>
  <c r="L13" i="6"/>
  <c r="N14" i="6" l="1"/>
  <c r="L14" i="6"/>
  <c r="F14" i="6"/>
  <c r="H14" i="6"/>
  <c r="L15" i="6" l="1"/>
  <c r="N15" i="6"/>
  <c r="H15" i="6"/>
  <c r="F15" i="6"/>
  <c r="F16" i="6" l="1"/>
  <c r="H16" i="6"/>
  <c r="N16" i="6"/>
  <c r="L16" i="6"/>
  <c r="L17" i="6" l="1"/>
  <c r="N17" i="6"/>
  <c r="F17" i="6"/>
  <c r="H17" i="6"/>
  <c r="F18" i="6" l="1"/>
  <c r="H18" i="6"/>
  <c r="L18" i="6"/>
  <c r="N18" i="6"/>
  <c r="N19" i="6" l="1"/>
  <c r="L19" i="6"/>
  <c r="F19" i="6"/>
  <c r="H19" i="6"/>
  <c r="N20" i="6" l="1"/>
  <c r="L20" i="6"/>
  <c r="L21" i="6" s="1"/>
  <c r="F20" i="6"/>
  <c r="H20" i="6"/>
  <c r="F21" i="6" l="1"/>
  <c r="H21" i="6"/>
  <c r="F22" i="6" l="1"/>
  <c r="H22" i="6"/>
  <c r="H23" i="6" l="1"/>
  <c r="F23" i="6"/>
  <c r="F24" i="6" l="1"/>
  <c r="H24" i="6"/>
  <c r="F25" i="6" l="1"/>
  <c r="H25" i="6"/>
  <c r="F26" i="6" l="1"/>
  <c r="H26" i="6"/>
  <c r="F27" i="6" l="1"/>
  <c r="H27" i="6"/>
  <c r="F28" i="6" l="1"/>
  <c r="H28" i="6"/>
  <c r="F29" i="6" l="1"/>
  <c r="H29" i="6"/>
  <c r="F30" i="6" l="1"/>
  <c r="H30" i="6"/>
  <c r="F31" i="6" l="1"/>
  <c r="H31" i="6"/>
  <c r="F32" i="6" l="1"/>
  <c r="H32" i="6"/>
  <c r="F33" i="6" l="1"/>
  <c r="H33" i="6"/>
  <c r="H34" i="6" l="1"/>
  <c r="F34" i="6"/>
  <c r="F35" i="6" s="1"/>
</calcChain>
</file>

<file path=xl/sharedStrings.xml><?xml version="1.0" encoding="utf-8"?>
<sst xmlns="http://schemas.openxmlformats.org/spreadsheetml/2006/main" count="270" uniqueCount="124">
  <si>
    <t>Credit Bureau Score</t>
  </si>
  <si>
    <t>Annual Income (INR)</t>
  </si>
  <si>
    <t>Sl. No.</t>
  </si>
  <si>
    <t>25-30 years</t>
  </si>
  <si>
    <t>31 to 35 years</t>
  </si>
  <si>
    <t>36 to 40 years</t>
  </si>
  <si>
    <t>41 to 50 years</t>
  </si>
  <si>
    <t>50 to 55 years</t>
  </si>
  <si>
    <t>8L to 10L</t>
  </si>
  <si>
    <t>&lt;= 8L</t>
  </si>
  <si>
    <t>10L to 14L</t>
  </si>
  <si>
    <t>14L to 20L</t>
  </si>
  <si>
    <t>20L to 25L</t>
  </si>
  <si>
    <t>*For Age categories, both upper and lower limits are inclusive</t>
  </si>
  <si>
    <t>*For Income, upper limit is inclusive</t>
  </si>
  <si>
    <t>Age (Yrs)</t>
  </si>
  <si>
    <t>13/05/2020</t>
  </si>
  <si>
    <t>20/02/2020</t>
  </si>
  <si>
    <t>24/06/2020</t>
  </si>
  <si>
    <t>29/02/2020</t>
  </si>
  <si>
    <t>17/12/2020</t>
  </si>
  <si>
    <t>28/12/2020</t>
  </si>
  <si>
    <t>15/11/2020</t>
  </si>
  <si>
    <t>13/10/2020</t>
  </si>
  <si>
    <t>29/03/2020</t>
  </si>
  <si>
    <t>16/08/2020</t>
  </si>
  <si>
    <t>25/10/2020</t>
  </si>
  <si>
    <t>27/02/2020</t>
  </si>
  <si>
    <t>20/03/2020</t>
  </si>
  <si>
    <t>16/05/2020</t>
  </si>
  <si>
    <t>25/11/2020</t>
  </si>
  <si>
    <t>26/06/2020</t>
  </si>
  <si>
    <t>13/03/2020</t>
  </si>
  <si>
    <t>22/07/2020</t>
  </si>
  <si>
    <t>sunday</t>
  </si>
  <si>
    <t>saturday</t>
  </si>
  <si>
    <t>Chhatrapati Shivaji Maharaj Jayanti</t>
  </si>
  <si>
    <t>Mahashivratri</t>
  </si>
  <si>
    <t>Holi (Second Day)</t>
  </si>
  <si>
    <t>Gudhi Padwa</t>
  </si>
  <si>
    <t>Annual closing of banks</t>
  </si>
  <si>
    <t>Ram Navami</t>
  </si>
  <si>
    <t>Mahavir Jayanti</t>
  </si>
  <si>
    <t>Good Friday</t>
  </si>
  <si>
    <t>Dr. Babasaheb Ambedkar Jayanti</t>
  </si>
  <si>
    <t>Buddha Pournima</t>
  </si>
  <si>
    <t>Ramzan Id (Id-Ul-Fitr) (Shawal-1)</t>
  </si>
  <si>
    <t>Bakri ID (Id-Ul-Zuha)</t>
  </si>
  <si>
    <t>Independence Day</t>
  </si>
  <si>
    <t>Mahatma Gandhi Jayanti</t>
  </si>
  <si>
    <t>Id-E-Milad (Milad-un-Nabi)</t>
  </si>
  <si>
    <t>Diwali (Balipratipada)</t>
  </si>
  <si>
    <t>Guru Nanak Jayanti</t>
  </si>
  <si>
    <t>Christmas</t>
  </si>
  <si>
    <t>Days</t>
  </si>
  <si>
    <t>Holidays</t>
  </si>
  <si>
    <t>Maharashtra Day</t>
  </si>
  <si>
    <t>No. of Working Days</t>
  </si>
  <si>
    <t>&lt;= 24 years</t>
  </si>
  <si>
    <t>&gt;= 56 years</t>
  </si>
  <si>
    <t>Copied Date</t>
  </si>
  <si>
    <t>Correct Date</t>
  </si>
  <si>
    <t>TCS</t>
  </si>
  <si>
    <t>Infosys</t>
  </si>
  <si>
    <t>HDFC Bank</t>
  </si>
  <si>
    <t>HUL</t>
  </si>
  <si>
    <t>Kotak</t>
  </si>
  <si>
    <t>Average Stock Price</t>
  </si>
  <si>
    <t>Company</t>
  </si>
  <si>
    <t>Rate of Interest  (Annual)</t>
  </si>
  <si>
    <t>Tenure</t>
  </si>
  <si>
    <t>weeks</t>
  </si>
  <si>
    <t>Repayment Frequency</t>
  </si>
  <si>
    <t>Weekly</t>
  </si>
  <si>
    <t>Loan Product</t>
  </si>
  <si>
    <t>Principal Amount</t>
  </si>
  <si>
    <t>Year</t>
  </si>
  <si>
    <t>Annual Growth Rate</t>
  </si>
  <si>
    <t>AAGR</t>
  </si>
  <si>
    <t>CAGR</t>
  </si>
  <si>
    <t>Annual Income (INR)in Lakhs</t>
  </si>
  <si>
    <t xml:space="preserve">Age Group </t>
  </si>
  <si>
    <t>INR Rage</t>
  </si>
  <si>
    <t xml:space="preserve"> Count Of Customer </t>
  </si>
  <si>
    <t xml:space="preserve">Count Of Customers </t>
  </si>
  <si>
    <t xml:space="preserve"> Criteria 1</t>
  </si>
  <si>
    <t xml:space="preserve">Criteria 2 </t>
  </si>
  <si>
    <t xml:space="preserve"> Cretiria 2 </t>
  </si>
  <si>
    <t xml:space="preserve"> Cretiria 1</t>
  </si>
  <si>
    <t>Decision 1</t>
  </si>
  <si>
    <t>Decision 3</t>
  </si>
  <si>
    <t>Decision 2</t>
  </si>
  <si>
    <t xml:space="preserve">Creteria  Table </t>
  </si>
  <si>
    <t xml:space="preserve">Desicion Table </t>
  </si>
  <si>
    <t>Result</t>
  </si>
  <si>
    <t>Final amont</t>
  </si>
  <si>
    <t xml:space="preserve">Bank Profit </t>
  </si>
  <si>
    <t>P.No</t>
  </si>
  <si>
    <t xml:space="preserve">Payment </t>
  </si>
  <si>
    <t xml:space="preserve">Intrest  </t>
  </si>
  <si>
    <t xml:space="preserve"> Balance </t>
  </si>
  <si>
    <t xml:space="preserve">Balance Sheet </t>
  </si>
  <si>
    <t xml:space="preserve"> First 31 Month </t>
  </si>
  <si>
    <t xml:space="preserve">R 17 months Priciple </t>
  </si>
  <si>
    <t xml:space="preserve"> Last 17 Month </t>
  </si>
  <si>
    <t xml:space="preserve">Instalment </t>
  </si>
  <si>
    <t xml:space="preserve">Installement </t>
  </si>
  <si>
    <t xml:space="preserve">31 month Amount  </t>
  </si>
  <si>
    <t>R 17 month Amount</t>
  </si>
  <si>
    <t xml:space="preserve">First 31 month Principle </t>
  </si>
  <si>
    <t>Monthly EMI</t>
  </si>
  <si>
    <t>Principle Amount</t>
  </si>
  <si>
    <t>Prev Monthly principle</t>
  </si>
  <si>
    <t xml:space="preserve">Last 17 Month Statics </t>
  </si>
  <si>
    <t xml:space="preserve">First 31 Month Statics </t>
  </si>
  <si>
    <t>Previous Amount (66 month)</t>
  </si>
  <si>
    <t>New Amount (48 month)</t>
  </si>
  <si>
    <t xml:space="preserve">Total </t>
  </si>
  <si>
    <t xml:space="preserve">Number of Installment </t>
  </si>
  <si>
    <t xml:space="preserve"> </t>
  </si>
  <si>
    <t>Initial Loan Status</t>
  </si>
  <si>
    <t xml:space="preserve">Interst Rate </t>
  </si>
  <si>
    <t xml:space="preserve">Intrest Rate 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</si>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</sst>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8" formatCode="&quot;₹&quot;\ #,##0.00;[Red]&quot;₹&quot;\ \-#,##0.00"/>
    <numFmt numFmtId="43" formatCode="_ * #,##0.00_ ;_ * \-#,##0.00_ ;_ * &quot;-&quot;??_ ;_ @_ "/>
    <numFmt numFmtId="164" formatCode="_(* #,##0.00_);_(* \(#,##0.00\);_(* &quot;-&quot;??_);_(@_)"/>
    <numFmt numFmtId="165" formatCode="_(* #,##0_);_(* \(#,##0\);_(* &quot;-&quot;??_);_(@_)"/>
    <numFmt numFmtId="166" formatCode="mm/dd/yyyy;@"/>
    <numFmt numFmtId="167" formatCode="0.0%"/>
    <numFmt numFmtId="168" formatCode="&quot;₹&quot;\ #,##0.00"/>
    <numFmt numFmtId="169" formatCode="[$-F800]dddd\,\ mmmm\ dd\,\ yyyy"/>
  </numFmts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/>
    <xf numFmtId="166" fontId="0" fillId="0" borderId="0" xfId="0" applyNumberFormat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66" fontId="2" fillId="0" borderId="1" xfId="0" applyNumberFormat="1" applyFont="1" applyBorder="1"/>
    <xf numFmtId="166" fontId="0" fillId="0" borderId="0" xfId="0" applyNumberFormat="1" applyAlignment="1">
      <alignment horizontal="left"/>
    </xf>
    <xf numFmtId="166" fontId="2" fillId="0" borderId="1" xfId="0" applyNumberFormat="1" applyFont="1" applyBorder="1" applyAlignment="1">
      <alignment horizontal="left"/>
    </xf>
    <xf numFmtId="166" fontId="0" fillId="0" borderId="1" xfId="0" applyNumberFormat="1" applyBorder="1" applyAlignment="1">
      <alignment horizontal="left"/>
    </xf>
    <xf numFmtId="0" fontId="2" fillId="0" borderId="0" xfId="0" applyFont="1"/>
    <xf numFmtId="8" fontId="0" fillId="0" borderId="0" xfId="0" applyNumberFormat="1"/>
    <xf numFmtId="10" fontId="0" fillId="0" borderId="0" xfId="2" applyNumberFormat="1" applyFont="1"/>
    <xf numFmtId="1" fontId="0" fillId="0" borderId="0" xfId="0" applyNumberFormat="1" applyAlignment="1">
      <alignment horizontal="left"/>
    </xf>
    <xf numFmtId="9" fontId="0" fillId="0" borderId="0" xfId="2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1" xfId="1" applyNumberFormat="1" applyFont="1" applyFill="1" applyBorder="1"/>
    <xf numFmtId="9" fontId="0" fillId="0" borderId="1" xfId="2" applyFont="1" applyBorder="1"/>
    <xf numFmtId="9" fontId="2" fillId="0" borderId="0" xfId="0" applyNumberFormat="1" applyFont="1"/>
    <xf numFmtId="167" fontId="2" fillId="0" borderId="0" xfId="2" applyNumberFormat="1" applyFont="1"/>
    <xf numFmtId="9" fontId="0" fillId="0" borderId="0" xfId="2" applyFont="1" applyFill="1" applyBorder="1"/>
    <xf numFmtId="9" fontId="0" fillId="0" borderId="0" xfId="2" applyFont="1" applyBorder="1"/>
    <xf numFmtId="167" fontId="2" fillId="0" borderId="0" xfId="2" applyNumberFormat="1" applyFont="1" applyBorder="1"/>
    <xf numFmtId="43" fontId="0" fillId="0" borderId="0" xfId="0" applyNumberFormat="1"/>
    <xf numFmtId="9" fontId="0" fillId="0" borderId="1" xfId="2" applyFont="1" applyBorder="1" applyAlignment="1">
      <alignment horizontal="left"/>
    </xf>
    <xf numFmtId="0" fontId="0" fillId="0" borderId="0" xfId="2" applyNumberFormat="1" applyFont="1" applyFill="1" applyBorder="1"/>
    <xf numFmtId="167" fontId="0" fillId="0" borderId="1" xfId="2" applyNumberFormat="1" applyFont="1" applyBorder="1" applyAlignment="1">
      <alignment horizontal="left"/>
    </xf>
    <xf numFmtId="1" fontId="0" fillId="2" borderId="1" xfId="0" applyNumberFormat="1" applyFill="1" applyBorder="1"/>
    <xf numFmtId="1" fontId="0" fillId="0" borderId="0" xfId="0" applyNumberFormat="1"/>
    <xf numFmtId="168" fontId="0" fillId="0" borderId="0" xfId="0" applyNumberFormat="1"/>
    <xf numFmtId="2" fontId="0" fillId="0" borderId="0" xfId="0" applyNumberFormat="1"/>
    <xf numFmtId="9" fontId="0" fillId="0" borderId="0" xfId="2" applyFont="1"/>
    <xf numFmtId="2" fontId="0" fillId="0" borderId="0" xfId="2" applyNumberFormat="1" applyFont="1"/>
    <xf numFmtId="169" fontId="0" fillId="0" borderId="1" xfId="0" applyNumberFormat="1" applyBorder="1" applyAlignment="1">
      <alignment horizontal="left"/>
    </xf>
    <xf numFmtId="8" fontId="0" fillId="0" borderId="1" xfId="0" applyNumberFormat="1" applyBorder="1"/>
    <xf numFmtId="168" fontId="0" fillId="0" borderId="1" xfId="0" applyNumberFormat="1" applyBorder="1"/>
    <xf numFmtId="0" fontId="2" fillId="2" borderId="0" xfId="0" applyFont="1" applyFill="1"/>
    <xf numFmtId="0" fontId="2" fillId="2" borderId="1" xfId="0" applyFont="1" applyFill="1" applyBorder="1"/>
    <xf numFmtId="0" fontId="0" fillId="3" borderId="0" xfId="0" applyFill="1"/>
    <xf numFmtId="168" fontId="0" fillId="3" borderId="0" xfId="0" applyNumberFormat="1" applyFill="1"/>
    <xf numFmtId="0" fontId="2" fillId="3" borderId="0" xfId="0" applyFont="1" applyFill="1" applyAlignment="1">
      <alignment horizontal="left"/>
    </xf>
    <xf numFmtId="1" fontId="0" fillId="3" borderId="0" xfId="1" applyNumberFormat="1" applyFont="1" applyFill="1" applyAlignment="1">
      <alignment horizontal="left"/>
    </xf>
    <xf numFmtId="8" fontId="0" fillId="2" borderId="0" xfId="0" applyNumberFormat="1" applyFill="1"/>
    <xf numFmtId="0" fontId="2" fillId="2" borderId="1" xfId="0" applyFont="1" applyFill="1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1" defaultTableStyle="TableStyleMedium2" defaultPivotStyle="PivotStyleLight16">
    <tableStyle name="Invisible" pivot="0" table="0" count="0" xr9:uid="{27090951-4987-4649-9B7E-2075530C58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662C-82A6-4887-B197-E2E4714D817B}">
  <dimension ref="B1:Y201"/>
  <sheetViews>
    <sheetView showGridLines="0" topLeftCell="I2" zoomScale="112" zoomScaleNormal="100" workbookViewId="0">
      <selection activeCell="T22" sqref="T22"/>
    </sheetView>
  </sheetViews>
  <sheetFormatPr defaultRowHeight="15" x14ac:dyDescent="0.25"/>
  <cols>
    <col min="2" max="2" width="9.28515625" style="6"/>
    <col min="4" max="4" width="13.28515625" customWidth="1"/>
    <col min="5" max="5" width="12.7109375" customWidth="1"/>
    <col min="7" max="8" width="12.7109375" customWidth="1"/>
    <col min="13" max="13" width="12.7109375" bestFit="1" customWidth="1"/>
    <col min="16" max="18" width="9.85546875" bestFit="1" customWidth="1"/>
    <col min="20" max="20" width="12.7109375" bestFit="1" customWidth="1"/>
  </cols>
  <sheetData>
    <row r="1" spans="2:25" s="1" customFormat="1" ht="60" x14ac:dyDescent="0.25">
      <c r="B1" s="2" t="s">
        <v>2</v>
      </c>
      <c r="C1" s="2" t="s">
        <v>15</v>
      </c>
      <c r="D1" s="2" t="s">
        <v>1</v>
      </c>
      <c r="E1" s="2" t="s">
        <v>0</v>
      </c>
      <c r="F1" s="2" t="s">
        <v>80</v>
      </c>
      <c r="G1" s="2" t="s">
        <v>81</v>
      </c>
      <c r="H1" s="2" t="s">
        <v>82</v>
      </c>
      <c r="M1" s="49" t="s">
        <v>83</v>
      </c>
      <c r="N1" s="49"/>
      <c r="O1" s="49"/>
      <c r="P1" s="49"/>
      <c r="Q1" s="49"/>
      <c r="R1" s="49"/>
    </row>
    <row r="2" spans="2:25" x14ac:dyDescent="0.25">
      <c r="B2" s="5">
        <v>1</v>
      </c>
      <c r="C2" s="3">
        <v>41</v>
      </c>
      <c r="D2" s="4">
        <f>2420000</f>
        <v>2420000</v>
      </c>
      <c r="E2" s="3">
        <v>682</v>
      </c>
      <c r="F2" s="28">
        <f t="shared" ref="F2:F33" si="0">D2/100000</f>
        <v>24.2</v>
      </c>
      <c r="G2" t="str">
        <f>IF(C2&gt;=56,$M$9,IF(C2&gt;50,$M$8,IF(C2&gt;=41,$M$7,IF(C2&gt;=36,$M$6,IF(C2&gt;=31,$M$5,IF(C2&gt;=25,$M$4,$M$3))))))</f>
        <v>41 to 50 years</v>
      </c>
      <c r="H2" t="str">
        <f>IF(F2&gt;20,$R$2,IF(F2&gt;14,$Q$2,IF(F2&gt;10,$P$2,IF(F2&gt;8,$O$2,$N$2))))</f>
        <v>20L to 25L</v>
      </c>
      <c r="M2" s="3"/>
      <c r="N2" s="3" t="s">
        <v>9</v>
      </c>
      <c r="O2" s="3" t="s">
        <v>8</v>
      </c>
      <c r="P2" s="3" t="s">
        <v>10</v>
      </c>
      <c r="Q2" s="3" t="s">
        <v>11</v>
      </c>
      <c r="R2" s="3" t="s">
        <v>12</v>
      </c>
      <c r="T2" s="3"/>
      <c r="U2" s="3" t="s">
        <v>9</v>
      </c>
      <c r="V2" s="3" t="s">
        <v>8</v>
      </c>
      <c r="W2" s="3" t="s">
        <v>10</v>
      </c>
      <c r="X2" s="3" t="s">
        <v>11</v>
      </c>
      <c r="Y2" s="3" t="s">
        <v>12</v>
      </c>
    </row>
    <row r="3" spans="2:25" x14ac:dyDescent="0.25">
      <c r="B3" s="5">
        <v>2</v>
      </c>
      <c r="C3" s="3">
        <v>36</v>
      </c>
      <c r="D3" s="4">
        <v>2060000</v>
      </c>
      <c r="E3" s="3">
        <v>625</v>
      </c>
      <c r="F3" s="28">
        <f t="shared" si="0"/>
        <v>20.6</v>
      </c>
      <c r="G3" t="str">
        <f t="shared" ref="G3:G66" si="1">IF(C3&gt;=56,$M$9,IF(C3&gt;50,$M$8,IF(C3&gt;=41,$M$7,IF(C3&gt;=36,$M$6,IF(C3&gt;=31,$M$5,IF(C3&gt;=25,$M$4,$M$3))))))</f>
        <v>36 to 40 years</v>
      </c>
      <c r="H3" t="str">
        <f t="shared" ref="H3:H66" si="2">IF(F3&gt;20,$R$2,IF(F3&gt;14,$Q$2,IF(F3&gt;10,$P$2,IF(F3&gt;8,$O$2,$N$2))))</f>
        <v>20L to 25L</v>
      </c>
      <c r="M3" s="3" t="s">
        <v>58</v>
      </c>
      <c r="N3" s="7">
        <v>3</v>
      </c>
      <c r="O3" s="7"/>
      <c r="P3" s="7"/>
      <c r="Q3" s="7"/>
      <c r="R3" s="7"/>
      <c r="T3" s="3" t="s">
        <v>58</v>
      </c>
      <c r="U3" s="7">
        <v>732</v>
      </c>
      <c r="V3" s="7"/>
      <c r="W3" s="7"/>
      <c r="X3" s="7"/>
      <c r="Y3" s="7"/>
    </row>
    <row r="4" spans="2:25" x14ac:dyDescent="0.25">
      <c r="B4" s="5">
        <v>3</v>
      </c>
      <c r="C4" s="3">
        <v>24</v>
      </c>
      <c r="D4" s="4">
        <v>1480000</v>
      </c>
      <c r="E4" s="3">
        <v>580</v>
      </c>
      <c r="F4" s="28">
        <f t="shared" si="0"/>
        <v>14.8</v>
      </c>
      <c r="G4" t="str">
        <f t="shared" si="1"/>
        <v>&lt;= 24 years</v>
      </c>
      <c r="H4" t="str">
        <f t="shared" si="2"/>
        <v>14L to 20L</v>
      </c>
      <c r="M4" s="3" t="s">
        <v>3</v>
      </c>
      <c r="N4" s="7"/>
      <c r="O4" s="7"/>
      <c r="P4" s="7"/>
      <c r="Q4" s="7"/>
      <c r="R4" s="7"/>
      <c r="T4" s="3" t="s">
        <v>3</v>
      </c>
      <c r="U4" s="7"/>
      <c r="V4" s="7"/>
      <c r="W4" s="7"/>
      <c r="X4" s="7"/>
      <c r="Y4" s="7"/>
    </row>
    <row r="5" spans="2:25" x14ac:dyDescent="0.25">
      <c r="B5" s="5">
        <v>4</v>
      </c>
      <c r="C5" s="3">
        <v>46</v>
      </c>
      <c r="D5" s="4">
        <v>1380000</v>
      </c>
      <c r="E5" s="3">
        <v>770</v>
      </c>
      <c r="F5" s="28">
        <f t="shared" si="0"/>
        <v>13.8</v>
      </c>
      <c r="G5" t="str">
        <f t="shared" si="1"/>
        <v>41 to 50 years</v>
      </c>
      <c r="H5" t="str">
        <f t="shared" si="2"/>
        <v>10L to 14L</v>
      </c>
      <c r="M5" s="3" t="s">
        <v>4</v>
      </c>
      <c r="N5" s="7"/>
      <c r="O5" s="7"/>
      <c r="P5" s="7"/>
      <c r="Q5" s="7"/>
      <c r="R5" s="7"/>
      <c r="T5" s="3" t="s">
        <v>4</v>
      </c>
      <c r="U5" s="7"/>
      <c r="V5" s="7"/>
      <c r="W5" s="7"/>
      <c r="X5" s="7"/>
      <c r="Y5" s="7"/>
    </row>
    <row r="6" spans="2:25" x14ac:dyDescent="0.25">
      <c r="B6" s="5">
        <v>5</v>
      </c>
      <c r="C6" s="3">
        <v>62</v>
      </c>
      <c r="D6" s="4">
        <v>640000</v>
      </c>
      <c r="E6" s="3">
        <v>774</v>
      </c>
      <c r="F6" s="28">
        <f t="shared" si="0"/>
        <v>6.4</v>
      </c>
      <c r="G6" t="str">
        <f t="shared" si="1"/>
        <v>&gt;= 56 years</v>
      </c>
      <c r="H6" t="str">
        <f t="shared" si="2"/>
        <v>&lt;= 8L</v>
      </c>
      <c r="M6" s="3" t="s">
        <v>5</v>
      </c>
      <c r="N6" s="7"/>
      <c r="O6" s="7"/>
      <c r="P6" s="7"/>
      <c r="Q6" s="7"/>
      <c r="R6" s="7"/>
      <c r="T6" s="3" t="s">
        <v>5</v>
      </c>
      <c r="U6" s="7"/>
      <c r="V6" s="7"/>
      <c r="W6" s="7"/>
      <c r="X6" s="7"/>
      <c r="Y6" s="7"/>
    </row>
    <row r="7" spans="2:25" x14ac:dyDescent="0.25">
      <c r="B7" s="5">
        <v>6</v>
      </c>
      <c r="C7" s="3">
        <v>55</v>
      </c>
      <c r="D7" s="4">
        <v>1520000</v>
      </c>
      <c r="E7" s="3">
        <v>683</v>
      </c>
      <c r="F7" s="28">
        <f t="shared" si="0"/>
        <v>15.2</v>
      </c>
      <c r="G7" t="str">
        <f t="shared" si="1"/>
        <v>50 to 55 years</v>
      </c>
      <c r="H7" t="str">
        <f t="shared" si="2"/>
        <v>14L to 20L</v>
      </c>
      <c r="M7" s="3" t="s">
        <v>6</v>
      </c>
      <c r="N7" s="7"/>
      <c r="O7" s="7"/>
      <c r="P7" s="7"/>
      <c r="Q7" s="7"/>
      <c r="R7" s="7"/>
      <c r="T7" s="3" t="s">
        <v>6</v>
      </c>
      <c r="U7" s="7"/>
      <c r="V7" s="7"/>
      <c r="W7" s="7"/>
      <c r="X7" s="7"/>
      <c r="Y7" s="7"/>
    </row>
    <row r="8" spans="2:25" x14ac:dyDescent="0.25">
      <c r="B8" s="5">
        <v>7</v>
      </c>
      <c r="C8" s="3">
        <v>62</v>
      </c>
      <c r="D8" s="4">
        <v>1840000</v>
      </c>
      <c r="E8" s="3">
        <v>844</v>
      </c>
      <c r="F8" s="28">
        <f t="shared" si="0"/>
        <v>18.399999999999999</v>
      </c>
      <c r="G8" t="str">
        <f t="shared" si="1"/>
        <v>&gt;= 56 years</v>
      </c>
      <c r="H8" t="str">
        <f t="shared" si="2"/>
        <v>14L to 20L</v>
      </c>
      <c r="M8" s="3" t="s">
        <v>7</v>
      </c>
      <c r="N8" s="7"/>
      <c r="O8" s="7"/>
      <c r="P8" s="7"/>
      <c r="Q8" s="7"/>
      <c r="R8" s="7"/>
      <c r="T8" s="3" t="s">
        <v>7</v>
      </c>
      <c r="U8" s="7"/>
      <c r="V8" s="7"/>
      <c r="W8" s="7"/>
      <c r="X8" s="7"/>
      <c r="Y8" s="7"/>
    </row>
    <row r="9" spans="2:25" x14ac:dyDescent="0.25">
      <c r="B9" s="5">
        <v>8</v>
      </c>
      <c r="C9" s="3">
        <v>49</v>
      </c>
      <c r="D9" s="4">
        <v>2210000</v>
      </c>
      <c r="E9" s="3">
        <v>578</v>
      </c>
      <c r="F9" s="28">
        <f t="shared" si="0"/>
        <v>22.1</v>
      </c>
      <c r="G9" t="str">
        <f t="shared" si="1"/>
        <v>41 to 50 years</v>
      </c>
      <c r="H9" t="str">
        <f t="shared" si="2"/>
        <v>20L to 25L</v>
      </c>
      <c r="M9" s="3" t="s">
        <v>59</v>
      </c>
      <c r="N9" s="7"/>
      <c r="O9" s="7"/>
      <c r="P9" s="7"/>
      <c r="Q9" s="7"/>
      <c r="R9" s="7"/>
      <c r="T9" s="3" t="s">
        <v>59</v>
      </c>
      <c r="U9" s="7"/>
      <c r="V9" s="7"/>
      <c r="W9" s="7"/>
      <c r="X9" s="7"/>
      <c r="Y9" s="7"/>
    </row>
    <row r="10" spans="2:25" x14ac:dyDescent="0.25">
      <c r="B10" s="5">
        <v>9</v>
      </c>
      <c r="C10" s="3">
        <v>45</v>
      </c>
      <c r="D10" s="4">
        <v>2050000</v>
      </c>
      <c r="E10" s="3">
        <v>717</v>
      </c>
      <c r="F10" s="28">
        <f t="shared" si="0"/>
        <v>20.5</v>
      </c>
      <c r="G10" t="str">
        <f t="shared" si="1"/>
        <v>41 to 50 years</v>
      </c>
      <c r="H10" t="str">
        <f t="shared" si="2"/>
        <v>20L to 25L</v>
      </c>
    </row>
    <row r="11" spans="2:25" x14ac:dyDescent="0.25">
      <c r="B11" s="5">
        <v>10</v>
      </c>
      <c r="C11" s="3">
        <v>63</v>
      </c>
      <c r="D11" s="4">
        <v>1270000</v>
      </c>
      <c r="E11" s="3">
        <v>857</v>
      </c>
      <c r="F11" s="28">
        <f t="shared" si="0"/>
        <v>12.7</v>
      </c>
      <c r="G11" t="str">
        <f t="shared" si="1"/>
        <v>&gt;= 56 years</v>
      </c>
      <c r="H11" t="str">
        <f t="shared" si="2"/>
        <v>10L to 14L</v>
      </c>
    </row>
    <row r="12" spans="2:25" x14ac:dyDescent="0.25">
      <c r="B12" s="5">
        <v>11</v>
      </c>
      <c r="C12" s="3">
        <v>67</v>
      </c>
      <c r="D12" s="4">
        <v>2500000</v>
      </c>
      <c r="E12" s="3">
        <v>698</v>
      </c>
      <c r="F12" s="28">
        <f t="shared" si="0"/>
        <v>25</v>
      </c>
      <c r="G12" t="str">
        <f t="shared" si="1"/>
        <v>&gt;= 56 years</v>
      </c>
      <c r="H12" t="str">
        <f t="shared" si="2"/>
        <v>20L to 25L</v>
      </c>
      <c r="M12" t="s">
        <v>13</v>
      </c>
    </row>
    <row r="13" spans="2:25" x14ac:dyDescent="0.25">
      <c r="B13" s="5">
        <v>12</v>
      </c>
      <c r="C13" s="3">
        <v>47</v>
      </c>
      <c r="D13" s="4">
        <v>590000</v>
      </c>
      <c r="E13" s="3">
        <v>789</v>
      </c>
      <c r="F13" s="28">
        <f t="shared" si="0"/>
        <v>5.9</v>
      </c>
      <c r="G13" t="str">
        <f t="shared" si="1"/>
        <v>41 to 50 years</v>
      </c>
      <c r="H13" t="str">
        <f t="shared" si="2"/>
        <v>&lt;= 8L</v>
      </c>
      <c r="M13" t="s">
        <v>14</v>
      </c>
    </row>
    <row r="14" spans="2:25" x14ac:dyDescent="0.25">
      <c r="B14" s="5">
        <v>13</v>
      </c>
      <c r="C14" s="3">
        <v>34</v>
      </c>
      <c r="D14" s="4">
        <v>1760000</v>
      </c>
      <c r="E14" s="3">
        <v>649</v>
      </c>
      <c r="F14" s="28">
        <f t="shared" si="0"/>
        <v>17.600000000000001</v>
      </c>
      <c r="G14" t="str">
        <f t="shared" si="1"/>
        <v>31 to 35 years</v>
      </c>
      <c r="H14" t="str">
        <f t="shared" si="2"/>
        <v>14L to 20L</v>
      </c>
      <c r="M14" s="50" t="s">
        <v>84</v>
      </c>
      <c r="N14" s="50"/>
      <c r="O14" s="50"/>
      <c r="P14" s="50"/>
      <c r="Q14" s="50"/>
      <c r="R14" s="50"/>
    </row>
    <row r="15" spans="2:25" x14ac:dyDescent="0.25">
      <c r="B15" s="5">
        <v>14</v>
      </c>
      <c r="C15" s="3">
        <v>62</v>
      </c>
      <c r="D15" s="4">
        <v>1550000</v>
      </c>
      <c r="E15" s="3">
        <v>698</v>
      </c>
      <c r="F15" s="28">
        <f t="shared" si="0"/>
        <v>15.5</v>
      </c>
      <c r="G15" t="str">
        <f t="shared" si="1"/>
        <v>&gt;= 56 years</v>
      </c>
      <c r="H15" t="str">
        <f t="shared" si="2"/>
        <v>14L to 20L</v>
      </c>
      <c r="M15" s="3"/>
      <c r="N15" s="3" t="s">
        <v>9</v>
      </c>
      <c r="O15" s="3" t="s">
        <v>8</v>
      </c>
      <c r="P15" s="3" t="s">
        <v>10</v>
      </c>
      <c r="Q15" s="3" t="s">
        <v>11</v>
      </c>
      <c r="R15" s="3" t="s">
        <v>12</v>
      </c>
      <c r="T15" s="3"/>
      <c r="U15" s="3" t="s">
        <v>9</v>
      </c>
      <c r="V15" s="3" t="s">
        <v>8</v>
      </c>
      <c r="W15" s="3" t="s">
        <v>10</v>
      </c>
      <c r="X15" s="3" t="s">
        <v>11</v>
      </c>
      <c r="Y15" s="3" t="s">
        <v>12</v>
      </c>
    </row>
    <row r="16" spans="2:25" x14ac:dyDescent="0.25">
      <c r="B16" s="5">
        <v>15</v>
      </c>
      <c r="C16" s="3">
        <v>51</v>
      </c>
      <c r="D16" s="4">
        <v>2470000</v>
      </c>
      <c r="E16" s="3">
        <v>538</v>
      </c>
      <c r="F16" s="28">
        <f t="shared" si="0"/>
        <v>24.7</v>
      </c>
      <c r="G16" t="str">
        <f t="shared" si="1"/>
        <v>50 to 55 years</v>
      </c>
      <c r="H16" t="str">
        <f t="shared" si="2"/>
        <v>20L to 25L</v>
      </c>
      <c r="M16" s="3" t="s">
        <v>58</v>
      </c>
      <c r="N16" s="7">
        <f>COUNTIFS($C:$C,"&lt;=24",$F:$F,"&lt;=8")</f>
        <v>3</v>
      </c>
      <c r="O16" s="7">
        <f>COUNTIFS($C:$C,"&lt;=24",$F:$F,"&gt;8",F:F,"&lt;10")</f>
        <v>0</v>
      </c>
      <c r="P16" s="7">
        <f>COUNTIFS($C:$C,"&lt;=24",$F:$F,"&gt;=10",F:F,"&lt;14")</f>
        <v>8</v>
      </c>
      <c r="Q16" s="7">
        <f>COUNTIFS($C:$C,"&lt;=24",$F:$F,"&gt;=14",F:F,"&lt;=20")</f>
        <v>7</v>
      </c>
      <c r="R16" s="7">
        <f>COUNTIFS($C:$C,"&lt;=24",$F:$F,"&gt;=20",F:F,"&lt;=25")</f>
        <v>3</v>
      </c>
      <c r="T16" s="3" t="s">
        <v>58</v>
      </c>
      <c r="U16" s="32">
        <f>SUMIFS($E:$E,$F:$F,"&lt;=8",$C:$C,"&lt;=24")/N16</f>
        <v>731.66666666666663</v>
      </c>
      <c r="V16" s="32">
        <f>IFERROR(SUMIFS($E:$E,$F:$F,"&gt;=8",$F:$F,"&lt;=10",$C:$C,"&lt;=24")/O16,SUMIFS($E:$E,$F:$F,"&gt;8",$F:$F,"&lt;10,$C:$C,"&lt;="24"))</f>
        <v>0</v>
      </c>
      <c r="W16" s="32">
        <f>SUMIFS($E:$E,$F:$F,"&gt;=10",$F:$F,"&lt;=14",$C:$C,"&lt;=24")/P16</f>
        <v>671</v>
      </c>
      <c r="X16" s="32">
        <f>SUMIFS($E:$E,$F:$F,"&gt;=14",F:F,"&lt;=20",$C:$C,"&lt;=24")/Q16</f>
        <v>720.14285714285711</v>
      </c>
      <c r="Y16" s="32">
        <f>SUMIFS($E:$E,$F:$F,"&gt;=20",F:F,"&lt;=25",$C:$C,"&lt;=24")/R16</f>
        <v>761</v>
      </c>
    </row>
    <row r="17" spans="2:25" x14ac:dyDescent="0.25">
      <c r="B17" s="5">
        <v>16</v>
      </c>
      <c r="C17" s="3">
        <v>46</v>
      </c>
      <c r="D17" s="4">
        <v>2130000</v>
      </c>
      <c r="E17" s="3">
        <v>717</v>
      </c>
      <c r="F17" s="28">
        <f t="shared" si="0"/>
        <v>21.3</v>
      </c>
      <c r="G17" t="str">
        <f t="shared" si="1"/>
        <v>41 to 50 years</v>
      </c>
      <c r="H17" t="str">
        <f t="shared" si="2"/>
        <v>20L to 25L</v>
      </c>
      <c r="M17" s="3" t="s">
        <v>3</v>
      </c>
      <c r="N17" s="7">
        <f>COUNTIFS($C:$C,"&gt;=25",$C:$C,"&lt;30",$F:$F,"&lt;=8")</f>
        <v>5</v>
      </c>
      <c r="O17" s="7">
        <f>COUNTIFS($C:$C,"&gt;=25",$C:$C,"&lt;30",$F:$F,"&gt;8",F:F,"&lt;10")</f>
        <v>0</v>
      </c>
      <c r="P17" s="7">
        <f>COUNTIFS($C:$C,"&gt;=25",$C:$C,"&lt;=30",$F:$F,"&gt;=10",F:F,"&lt;=14")</f>
        <v>7</v>
      </c>
      <c r="Q17" s="7">
        <f>COUNTIFS($C:$C,"&gt;=25",$C:$C,"&lt;=30",$F:$F,"&gt;=14",F:F,"&lt;=20")</f>
        <v>6</v>
      </c>
      <c r="R17" s="7">
        <f>COUNTIFS($C:$C,"&gt;=25",$C:$C,"&lt;=30",$F:$F,"&gt;=20",F:F,"&lt;=25")</f>
        <v>10</v>
      </c>
      <c r="T17" s="3" t="s">
        <v>3</v>
      </c>
      <c r="U17" s="32">
        <f>SUMIFS($E:$E,$F:$F,"&lt;=8",$C:$C,"&gt;=25",$C:$C,"&lt;=30")/N17</f>
        <v>574</v>
      </c>
      <c r="V17" s="32">
        <f>IFERROR(SUMIFS($E:$E,$F:$F,"&gt;=8",$F:$F,"&lt;=10",$C:$C,"&gt;=25",$C:$C,"&lt;30")/O17,SUMIFS($E:$E,$F:$F,"&gt;8",$F:$F,"&lt;10",$C:$C,"&gt;=25",$C:$C,"&lt;30"))</f>
        <v>0</v>
      </c>
      <c r="W17" s="32">
        <f>SUMIFS($E:$E,$F:$F,"&gt;=10",$F:$F,"&lt;=14",$C:$C,"&gt;=25",$C:$C,"&lt;=30")/P17</f>
        <v>666</v>
      </c>
      <c r="X17" s="32">
        <f>SUMIFS($E:$E,$F:$F,"&gt;=14",F:F,"&lt;=20",$C:$C,"&gt;=25",$C:$C,"&lt;=30")/Q17</f>
        <v>734.33333333333337</v>
      </c>
      <c r="Y17" s="32">
        <f>SUMIFS($E:$E,$F:$F,"&gt;=20",F:F,"&lt;=25",$C:$C,"&gt;=25",$C:$C,"&lt;=30")/R17</f>
        <v>754.8</v>
      </c>
    </row>
    <row r="18" spans="2:25" x14ac:dyDescent="0.25">
      <c r="B18" s="5">
        <v>17</v>
      </c>
      <c r="C18" s="3">
        <v>21</v>
      </c>
      <c r="D18" s="4">
        <v>1150000</v>
      </c>
      <c r="E18" s="3">
        <v>713</v>
      </c>
      <c r="F18" s="28">
        <f t="shared" si="0"/>
        <v>11.5</v>
      </c>
      <c r="G18" t="str">
        <f t="shared" si="1"/>
        <v>&lt;= 24 years</v>
      </c>
      <c r="H18" t="str">
        <f t="shared" si="2"/>
        <v>10L to 14L</v>
      </c>
      <c r="M18" s="3" t="s">
        <v>4</v>
      </c>
      <c r="N18" s="7">
        <f>COUNTIFS($C:$C,"&gt;=31",$C:$C,"&lt;=35",$F:$F,"&lt;=8")</f>
        <v>3</v>
      </c>
      <c r="O18" s="7">
        <f>COUNTIFS($C:$C,"&gt;=31",$C:$C,"&lt;=35",$F:$F,"&gt;8",F:F,"&lt;10")</f>
        <v>1</v>
      </c>
      <c r="P18" s="7">
        <f>COUNTIFS($C:$C,"&gt;=31",$C:$C,"&lt;=35",$F:$F,"&gt;=10",F:F,"&lt;=14")</f>
        <v>7</v>
      </c>
      <c r="Q18" s="7">
        <f>COUNTIFS($C:$C,"&gt;=31",$C:$C,"&lt;=35",$F:$F,"&gt;=14",F:F,"&lt;=20")</f>
        <v>8</v>
      </c>
      <c r="R18" s="7">
        <f>COUNTIFS($C:$C,"&gt;=31",$C:$C,"&lt;=35",$F:$F,"&gt;=20",F:F,"&lt;=25")</f>
        <v>4</v>
      </c>
      <c r="T18" s="3" t="s">
        <v>4</v>
      </c>
      <c r="U18" s="32">
        <f>SUMIFS($E:$E,$F:$F,"&lt;=8",$C:$C,"&gt;=31",$C:$C,"&lt;=35")/N18</f>
        <v>761</v>
      </c>
      <c r="V18" s="32">
        <f>SUMIFS($E:$E,$F:$F,"&gt;=8",$F:$F,"&lt;=10",$C:$C,"&gt;=31",$C:$C,"&lt;=35")/O18</f>
        <v>839</v>
      </c>
      <c r="W18" s="32">
        <f>SUMIFS($E:$E,$F:$F,"&gt;=10",$F:$F,"&lt;=14",$C:$C,"&gt;=31",$C:$C,"&lt;=35")/P18</f>
        <v>738.85714285714289</v>
      </c>
      <c r="X18" s="32">
        <f>SUMIFS($E:$E,$F:$F,"&gt;=14",F:F,"&lt;=20",$C:$C,"&gt;=31",$C:$C,"&lt;=35")/Q18</f>
        <v>697.625</v>
      </c>
      <c r="Y18" s="32">
        <f>SUMIFS($E:$E,$F:$F,"&gt;=20",F:F,"&lt;=25",$C:$C,"&gt;=31",$C:$C,"&lt;=35")/R18</f>
        <v>565.5</v>
      </c>
    </row>
    <row r="19" spans="2:25" x14ac:dyDescent="0.25">
      <c r="B19" s="5">
        <v>18</v>
      </c>
      <c r="C19" s="3">
        <v>50</v>
      </c>
      <c r="D19" s="4">
        <v>1510000</v>
      </c>
      <c r="E19" s="3">
        <v>629</v>
      </c>
      <c r="F19" s="28">
        <f t="shared" si="0"/>
        <v>15.1</v>
      </c>
      <c r="G19" t="str">
        <f t="shared" si="1"/>
        <v>41 to 50 years</v>
      </c>
      <c r="H19" t="str">
        <f t="shared" si="2"/>
        <v>14L to 20L</v>
      </c>
      <c r="M19" s="3" t="s">
        <v>5</v>
      </c>
      <c r="N19" s="7">
        <f>COUNTIFS($C:$C,"&gt;=36",$C:$C,"&lt;40",$F:$F,"&lt;=8")</f>
        <v>0</v>
      </c>
      <c r="O19" s="7">
        <f>COUNTIFS($C:$C,"&gt;=36",$C:$C,"&lt;40",$F:$F,"&gt;8",F:F,"&lt;10")</f>
        <v>1</v>
      </c>
      <c r="P19" s="7">
        <f>COUNTIFS($C:$C,"&gt;=36",$C:$C,"&lt;=40",$F:$F,"&gt;=10",F:F,"&lt;=14")</f>
        <v>3</v>
      </c>
      <c r="Q19" s="7">
        <f>COUNTIFS($C:$C,"&gt;=36",$C:$C,"&lt;=40",$F:$F,"&gt;=14",F:F,"&lt;=20")</f>
        <v>8</v>
      </c>
      <c r="R19" s="7">
        <f>COUNTIFS($C:$C,"&gt;=36",$C:$C,"&lt;40",$F:$F,"&gt;=20",F:F,"&lt;=25")</f>
        <v>5</v>
      </c>
      <c r="T19" s="3" t="s">
        <v>5</v>
      </c>
      <c r="U19" s="32" t="str">
        <f>IFERROR(SUMIFS($E:$E,$F:$F,"&lt;=8",$C:$C,"&gt;=36",$C:$C,"&lt;=40")/N19,"0")</f>
        <v>0</v>
      </c>
      <c r="V19" s="32">
        <f>SUMIFS($E:$E,$F:$F,"&gt;=8",$F:$F,"&lt;=10",$C:$C,"&gt;=36",$C:$C,"&lt;=40")/O19</f>
        <v>582</v>
      </c>
      <c r="W19" s="32">
        <f>SUMIFS($E:$E,$F:$F,"&gt;=10",$F:$F,"&lt;=14",$C:$C,"&gt;=36",$C:$C,"&lt;=40")/P19</f>
        <v>773</v>
      </c>
      <c r="X19" s="32">
        <f>SUMIFS($E:$E,$F:$F,"&gt;=14",F:F,"&lt;=20",$C:$C,"&gt;=36",$C:$C,"&lt;=40")/Q19</f>
        <v>671.375</v>
      </c>
      <c r="Y19" s="32">
        <f>SUMIFS($E:$E,$F:$F,"&gt;=20",$F:$F,"&lt;=25",$C:$C,"&gt;=36",$C:$C,"&lt;=40")/R19</f>
        <v>655.8</v>
      </c>
    </row>
    <row r="20" spans="2:25" x14ac:dyDescent="0.25">
      <c r="B20" s="5">
        <v>19</v>
      </c>
      <c r="C20" s="3">
        <v>38</v>
      </c>
      <c r="D20" s="4">
        <v>1500000</v>
      </c>
      <c r="E20" s="3">
        <v>818</v>
      </c>
      <c r="F20" s="28">
        <f t="shared" si="0"/>
        <v>15</v>
      </c>
      <c r="G20" t="str">
        <f t="shared" si="1"/>
        <v>36 to 40 years</v>
      </c>
      <c r="H20" t="str">
        <f t="shared" si="2"/>
        <v>14L to 20L</v>
      </c>
      <c r="M20" s="3" t="s">
        <v>6</v>
      </c>
      <c r="N20" s="7">
        <f>COUNTIFS($C:$C,"&gt;=41",$C:$C,"&lt;50",$F:$F,"&lt;=8")</f>
        <v>3</v>
      </c>
      <c r="O20" s="7">
        <f>COUNTIFS($C:$C,"&gt;=41",$C:$C,"&lt;50",$F:$F,"&gt;8",F:F,"&lt;10")</f>
        <v>4</v>
      </c>
      <c r="P20" s="7">
        <f>COUNTIFS($C:$C,"&gt;=41",$C:$C,"&lt;=50",$F:$F,"&gt;=10",F:F,"&lt;=14")</f>
        <v>5</v>
      </c>
      <c r="Q20" s="7">
        <f>COUNTIFS($C:$C,"&gt;=41",$C:$C,"&lt;=50",$F:$F,"&gt;=14",F:F,"&lt;=20")</f>
        <v>14</v>
      </c>
      <c r="R20" s="7">
        <f>COUNTIFS($C:$C,"&gt;=41",$C:$C,"&lt;50",$F:$F,"&gt;=20",F:F,"&lt;=25")</f>
        <v>12</v>
      </c>
      <c r="T20" s="3" t="s">
        <v>6</v>
      </c>
      <c r="U20" s="32">
        <f>(SUMIFS($E:$E,$F:$F,"&lt;=8",$C:$C,"&gt;=41",$C:$C,"&lt;=50"))/N20</f>
        <v>1253</v>
      </c>
      <c r="V20" s="32">
        <f>SUMIFS($E:$E,$F:$F,"&gt;=8",$F:$F,"&lt;=10",$C:$C,"&gt;=41",$C:$C,"&lt;=50")/O20</f>
        <v>592.75</v>
      </c>
      <c r="W20" s="32">
        <f>SUMIFS($E:$E,$F:$F,"&gt;=10",$F:$F,"&lt;=14",$C:$C,"&gt;=41",$C:$C,"&lt;=50")/P20</f>
        <v>750.6</v>
      </c>
      <c r="X20" s="32">
        <f>SUMIFS($E:$E,$F:$F,"&gt;=14",F:F,"&lt;=20",$C:$C,"&gt;=41",$C:$C,"&lt;=50")/Q20</f>
        <v>729.07142857142856</v>
      </c>
      <c r="Y20" s="32">
        <f>SUMIFS($E:$E,$F:$F,"&gt;=20",F:F,"&lt;=25",$C:$C,"&gt;=41",$C:$C,"&lt;=50")/R20</f>
        <v>723.58333333333337</v>
      </c>
    </row>
    <row r="21" spans="2:25" x14ac:dyDescent="0.25">
      <c r="B21" s="5">
        <v>20</v>
      </c>
      <c r="C21" s="3">
        <v>48</v>
      </c>
      <c r="D21" s="4">
        <v>920000</v>
      </c>
      <c r="E21" s="3">
        <v>608</v>
      </c>
      <c r="F21" s="28">
        <f t="shared" si="0"/>
        <v>9.1999999999999993</v>
      </c>
      <c r="G21" t="str">
        <f t="shared" si="1"/>
        <v>41 to 50 years</v>
      </c>
      <c r="H21" t="str">
        <f t="shared" si="2"/>
        <v>8L to 10L</v>
      </c>
      <c r="M21" s="3" t="s">
        <v>7</v>
      </c>
      <c r="N21" s="7">
        <f>COUNTIFS($C:$C,"&gt;=50",$C:$C,"&lt;55",$F:$F,"&lt;=8")</f>
        <v>5</v>
      </c>
      <c r="O21" s="7">
        <f>COUNTIFS($C:$C,"&gt;=50",$C:$C,"&lt;55",$F:$F,"&gt;8",F:F,"&lt;10")</f>
        <v>1</v>
      </c>
      <c r="P21" s="7">
        <f>COUNTIFS($C:$C,"&gt;=50",$C:$C,"&lt;=55",$F:$F,"&gt;=10",F:F,"&lt;=14")</f>
        <v>6</v>
      </c>
      <c r="Q21" s="7">
        <f>COUNTIFS($C:$C,"&gt;=50",$C:$C,"&lt;=55",$F:$F,"&gt;=14",F:F,"&lt;=20")</f>
        <v>7</v>
      </c>
      <c r="R21" s="7">
        <f>COUNTIFS($C:$C,"&gt;=50",$C:$C,"&lt;55",$F:$F,"&gt;=20",F:F,"&lt;=25")</f>
        <v>6</v>
      </c>
      <c r="T21" s="3" t="s">
        <v>7</v>
      </c>
      <c r="U21" s="32">
        <f>(SUMIFS($E:$E,$F:$F,"&lt;=8",$C:$C,"&gt;=50",$C:$C,"&lt;=55"))/N21</f>
        <v>883.8</v>
      </c>
      <c r="V21" s="32">
        <f>SUMIFS($E:$E,$F:$F,"&gt;=8",$F:$F,"&lt;=10",$C:$C,"&gt;=50",$C:$C,"&lt;=55")/O21</f>
        <v>652</v>
      </c>
      <c r="W21" s="32">
        <f>SUMIFS($E:$E,$F:$F,"&gt;=10",$F:$F,"&lt;14",$C:$C,"&gt;=50",$C:$C,"&lt;=55")/P21</f>
        <v>755.66666666666663</v>
      </c>
      <c r="X21" s="32">
        <f>SUMIFS($E:$E,$F:$F,"&gt;=14",F:F,"&lt;=20",$C:$C,"&lt;=55",$C:$C,"&gt;=50")/Q21</f>
        <v>737.71428571428567</v>
      </c>
      <c r="Y21" s="32">
        <f>SUMIFS($E:$E,$F:$F,"&gt;=20",F:F,"&lt;=25",$C:$C,"&lt;=55",$C:$C,"&gt;=50")/R21</f>
        <v>775</v>
      </c>
    </row>
    <row r="22" spans="2:25" x14ac:dyDescent="0.25">
      <c r="B22" s="5">
        <v>21</v>
      </c>
      <c r="C22" s="3">
        <v>21</v>
      </c>
      <c r="D22" s="4">
        <v>1100000</v>
      </c>
      <c r="E22" s="3">
        <v>718</v>
      </c>
      <c r="F22" s="28">
        <f t="shared" si="0"/>
        <v>11</v>
      </c>
      <c r="G22" t="str">
        <f t="shared" si="1"/>
        <v>&lt;= 24 years</v>
      </c>
      <c r="H22" t="str">
        <f t="shared" si="2"/>
        <v>10L to 14L</v>
      </c>
      <c r="M22" s="3" t="s">
        <v>59</v>
      </c>
      <c r="N22" s="7">
        <f>COUNTIFS($C:$C,"&gt;=56",$F:$F,"&lt;=8")</f>
        <v>7</v>
      </c>
      <c r="O22" s="7">
        <f>COUNTIFS($C:$C,"&gt;=56",$F:$F,"&gt;8",F:F,"&lt;10")</f>
        <v>1</v>
      </c>
      <c r="P22" s="7">
        <f>COUNTIFS($C:$C,"&gt;=56",$F:$F,"&gt;=10",F:F,"&lt;=14")</f>
        <v>10</v>
      </c>
      <c r="Q22" s="7">
        <f>COUNTIFS($C:$C,"&gt;=56",$F:$F,"&gt;=14",F:F,"&lt;=20")</f>
        <v>15</v>
      </c>
      <c r="R22" s="7">
        <f>COUNTIFS($C:$C,"&gt;=56",$F:$F,"&gt;=20",F:F,"&lt;=25")</f>
        <v>15</v>
      </c>
      <c r="T22" s="3" t="s">
        <v>59</v>
      </c>
      <c r="U22" s="32">
        <f>(SUMIFS($E:$E,$F:$F,"&lt;=8",$C:$C,"&gt;=56"))/N22</f>
        <v>716.42857142857144</v>
      </c>
      <c r="V22" s="32">
        <f>SUMIFS($E:$E,$F:$F,"&gt;=8",$F:$F,"&lt;=10",$C:$C,"&gt;=56")/O22</f>
        <v>741</v>
      </c>
      <c r="W22" s="32">
        <f>SUMIFS($E:$E,$F:$F,"&gt;=10",$F:$F,"&lt;=14",$C:$C,"&gt;=56")/P22</f>
        <v>706.1</v>
      </c>
      <c r="X22" s="32">
        <f>SUMIFS($E:$E,$F:$F,"&gt;=14",F:F,"&lt;=20",$C:$C,"&gt;=56")/Q22</f>
        <v>700.6</v>
      </c>
      <c r="Y22" s="32">
        <f>SUMIFS($E:$E,$F:$F,"&gt;=20",F:F,"&lt;=25",$C:$C,"&gt;=56")/R22</f>
        <v>675.66666666666663</v>
      </c>
    </row>
    <row r="23" spans="2:25" x14ac:dyDescent="0.25">
      <c r="B23" s="5">
        <v>22</v>
      </c>
      <c r="C23" s="3">
        <v>32</v>
      </c>
      <c r="D23" s="4">
        <v>1600000</v>
      </c>
      <c r="E23" s="3">
        <v>849</v>
      </c>
      <c r="F23" s="28">
        <f t="shared" si="0"/>
        <v>16</v>
      </c>
      <c r="G23" t="str">
        <f t="shared" si="1"/>
        <v>31 to 35 years</v>
      </c>
      <c r="H23" t="str">
        <f t="shared" si="2"/>
        <v>14L to 20L</v>
      </c>
    </row>
    <row r="24" spans="2:25" x14ac:dyDescent="0.25">
      <c r="B24" s="5">
        <v>23</v>
      </c>
      <c r="C24" s="3">
        <v>23</v>
      </c>
      <c r="D24" s="4">
        <v>1080000</v>
      </c>
      <c r="E24" s="3">
        <v>804</v>
      </c>
      <c r="F24" s="28">
        <f t="shared" si="0"/>
        <v>10.8</v>
      </c>
      <c r="G24" t="str">
        <f t="shared" si="1"/>
        <v>&lt;= 24 years</v>
      </c>
      <c r="H24" t="str">
        <f t="shared" si="2"/>
        <v>10L to 14L</v>
      </c>
    </row>
    <row r="25" spans="2:25" x14ac:dyDescent="0.25">
      <c r="B25" s="5">
        <v>24</v>
      </c>
      <c r="C25" s="3">
        <v>42</v>
      </c>
      <c r="D25" s="4">
        <v>1910000</v>
      </c>
      <c r="E25" s="3">
        <v>804</v>
      </c>
      <c r="F25" s="28">
        <f t="shared" si="0"/>
        <v>19.100000000000001</v>
      </c>
      <c r="G25" t="str">
        <f t="shared" si="1"/>
        <v>41 to 50 years</v>
      </c>
      <c r="H25" t="str">
        <f t="shared" si="2"/>
        <v>14L to 20L</v>
      </c>
    </row>
    <row r="26" spans="2:25" x14ac:dyDescent="0.25">
      <c r="B26" s="5">
        <v>25</v>
      </c>
      <c r="C26" s="3">
        <v>66</v>
      </c>
      <c r="D26" s="4">
        <v>2200000</v>
      </c>
      <c r="E26" s="3">
        <v>612</v>
      </c>
      <c r="F26" s="28">
        <f t="shared" si="0"/>
        <v>22</v>
      </c>
      <c r="G26" t="str">
        <f t="shared" si="1"/>
        <v>&gt;= 56 years</v>
      </c>
      <c r="H26" t="str">
        <f t="shared" si="2"/>
        <v>20L to 25L</v>
      </c>
    </row>
    <row r="27" spans="2:25" x14ac:dyDescent="0.25">
      <c r="B27" s="5">
        <v>26</v>
      </c>
      <c r="C27" s="3">
        <v>63</v>
      </c>
      <c r="D27" s="4">
        <v>2150000</v>
      </c>
      <c r="E27" s="3">
        <v>652</v>
      </c>
      <c r="F27" s="28">
        <f t="shared" si="0"/>
        <v>21.5</v>
      </c>
      <c r="G27" t="str">
        <f t="shared" si="1"/>
        <v>&gt;= 56 years</v>
      </c>
      <c r="H27" t="str">
        <f t="shared" si="2"/>
        <v>20L to 25L</v>
      </c>
    </row>
    <row r="28" spans="2:25" x14ac:dyDescent="0.25">
      <c r="B28" s="5">
        <v>27</v>
      </c>
      <c r="C28" s="3">
        <v>68</v>
      </c>
      <c r="D28" s="4">
        <v>1850000</v>
      </c>
      <c r="E28" s="3">
        <v>641</v>
      </c>
      <c r="F28" s="28">
        <f t="shared" si="0"/>
        <v>18.5</v>
      </c>
      <c r="G28" t="str">
        <f t="shared" si="1"/>
        <v>&gt;= 56 years</v>
      </c>
      <c r="H28" t="str">
        <f t="shared" si="2"/>
        <v>14L to 20L</v>
      </c>
    </row>
    <row r="29" spans="2:25" x14ac:dyDescent="0.25">
      <c r="B29" s="5">
        <v>28</v>
      </c>
      <c r="C29" s="3">
        <v>25</v>
      </c>
      <c r="D29" s="4">
        <v>1430000</v>
      </c>
      <c r="E29" s="3">
        <v>566</v>
      </c>
      <c r="F29" s="28">
        <f t="shared" si="0"/>
        <v>14.3</v>
      </c>
      <c r="G29" t="str">
        <f t="shared" si="1"/>
        <v>25-30 years</v>
      </c>
      <c r="H29" t="str">
        <f t="shared" si="2"/>
        <v>14L to 20L</v>
      </c>
    </row>
    <row r="30" spans="2:25" x14ac:dyDescent="0.25">
      <c r="B30" s="5">
        <v>29</v>
      </c>
      <c r="C30" s="3">
        <v>63</v>
      </c>
      <c r="D30" s="4">
        <v>2150000</v>
      </c>
      <c r="E30" s="3">
        <v>813</v>
      </c>
      <c r="F30" s="28">
        <f t="shared" si="0"/>
        <v>21.5</v>
      </c>
      <c r="G30" t="str">
        <f t="shared" si="1"/>
        <v>&gt;= 56 years</v>
      </c>
      <c r="H30" t="str">
        <f t="shared" si="2"/>
        <v>20L to 25L</v>
      </c>
    </row>
    <row r="31" spans="2:25" x14ac:dyDescent="0.25">
      <c r="B31" s="5">
        <v>30</v>
      </c>
      <c r="C31" s="3">
        <v>23</v>
      </c>
      <c r="D31" s="4">
        <v>1260000</v>
      </c>
      <c r="E31" s="3">
        <v>684</v>
      </c>
      <c r="F31" s="28">
        <f t="shared" si="0"/>
        <v>12.6</v>
      </c>
      <c r="G31" t="str">
        <f t="shared" si="1"/>
        <v>&lt;= 24 years</v>
      </c>
      <c r="H31" t="str">
        <f t="shared" si="2"/>
        <v>10L to 14L</v>
      </c>
    </row>
    <row r="32" spans="2:25" x14ac:dyDescent="0.25">
      <c r="B32" s="5">
        <v>31</v>
      </c>
      <c r="C32" s="3">
        <v>53</v>
      </c>
      <c r="D32" s="4">
        <v>820000</v>
      </c>
      <c r="E32" s="3">
        <v>652</v>
      </c>
      <c r="F32" s="28">
        <f t="shared" si="0"/>
        <v>8.1999999999999993</v>
      </c>
      <c r="G32" t="str">
        <f t="shared" si="1"/>
        <v>50 to 55 years</v>
      </c>
      <c r="H32" t="str">
        <f t="shared" si="2"/>
        <v>8L to 10L</v>
      </c>
    </row>
    <row r="33" spans="2:8" x14ac:dyDescent="0.25">
      <c r="B33" s="5">
        <v>32</v>
      </c>
      <c r="C33" s="3">
        <v>41</v>
      </c>
      <c r="D33" s="4">
        <v>1440000</v>
      </c>
      <c r="E33" s="3">
        <v>844</v>
      </c>
      <c r="F33" s="28">
        <f t="shared" si="0"/>
        <v>14.4</v>
      </c>
      <c r="G33" t="str">
        <f t="shared" si="1"/>
        <v>41 to 50 years</v>
      </c>
      <c r="H33" t="str">
        <f t="shared" si="2"/>
        <v>14L to 20L</v>
      </c>
    </row>
    <row r="34" spans="2:8" x14ac:dyDescent="0.25">
      <c r="B34" s="5">
        <v>33</v>
      </c>
      <c r="C34" s="3">
        <v>22</v>
      </c>
      <c r="D34" s="4">
        <v>1320000</v>
      </c>
      <c r="E34" s="3">
        <v>598</v>
      </c>
      <c r="F34" s="28">
        <f t="shared" ref="F34:F65" si="3">D34/100000</f>
        <v>13.2</v>
      </c>
      <c r="G34" t="str">
        <f t="shared" si="1"/>
        <v>&lt;= 24 years</v>
      </c>
      <c r="H34" t="str">
        <f t="shared" si="2"/>
        <v>10L to 14L</v>
      </c>
    </row>
    <row r="35" spans="2:8" x14ac:dyDescent="0.25">
      <c r="B35" s="5">
        <v>34</v>
      </c>
      <c r="C35" s="3">
        <v>64</v>
      </c>
      <c r="D35" s="4">
        <v>2050000</v>
      </c>
      <c r="E35" s="3">
        <v>536</v>
      </c>
      <c r="F35" s="28">
        <f t="shared" si="3"/>
        <v>20.5</v>
      </c>
      <c r="G35" t="str">
        <f t="shared" si="1"/>
        <v>&gt;= 56 years</v>
      </c>
      <c r="H35" t="str">
        <f t="shared" si="2"/>
        <v>20L to 25L</v>
      </c>
    </row>
    <row r="36" spans="2:8" x14ac:dyDescent="0.25">
      <c r="B36" s="5">
        <v>35</v>
      </c>
      <c r="C36" s="3">
        <v>53</v>
      </c>
      <c r="D36" s="4">
        <v>2390000</v>
      </c>
      <c r="E36" s="3">
        <v>823</v>
      </c>
      <c r="F36" s="28">
        <f t="shared" si="3"/>
        <v>23.9</v>
      </c>
      <c r="G36" t="str">
        <f t="shared" si="1"/>
        <v>50 to 55 years</v>
      </c>
      <c r="H36" t="str">
        <f t="shared" si="2"/>
        <v>20L to 25L</v>
      </c>
    </row>
    <row r="37" spans="2:8" x14ac:dyDescent="0.25">
      <c r="B37" s="5">
        <v>36</v>
      </c>
      <c r="C37" s="3">
        <v>21</v>
      </c>
      <c r="D37" s="4">
        <v>1070000</v>
      </c>
      <c r="E37" s="3">
        <v>604</v>
      </c>
      <c r="F37" s="28">
        <f t="shared" si="3"/>
        <v>10.7</v>
      </c>
      <c r="G37" t="str">
        <f t="shared" si="1"/>
        <v>&lt;= 24 years</v>
      </c>
      <c r="H37" t="str">
        <f t="shared" si="2"/>
        <v>10L to 14L</v>
      </c>
    </row>
    <row r="38" spans="2:8" x14ac:dyDescent="0.25">
      <c r="B38" s="5">
        <v>37</v>
      </c>
      <c r="C38" s="3">
        <v>36</v>
      </c>
      <c r="D38" s="4">
        <v>1210000</v>
      </c>
      <c r="E38" s="3">
        <v>756</v>
      </c>
      <c r="F38" s="28">
        <f t="shared" si="3"/>
        <v>12.1</v>
      </c>
      <c r="G38" t="str">
        <f t="shared" si="1"/>
        <v>36 to 40 years</v>
      </c>
      <c r="H38" t="str">
        <f t="shared" si="2"/>
        <v>10L to 14L</v>
      </c>
    </row>
    <row r="39" spans="2:8" x14ac:dyDescent="0.25">
      <c r="B39" s="5">
        <v>38</v>
      </c>
      <c r="C39" s="3">
        <v>44</v>
      </c>
      <c r="D39" s="4">
        <v>1500000</v>
      </c>
      <c r="E39" s="3">
        <v>545</v>
      </c>
      <c r="F39" s="28">
        <f t="shared" si="3"/>
        <v>15</v>
      </c>
      <c r="G39" t="str">
        <f t="shared" si="1"/>
        <v>41 to 50 years</v>
      </c>
      <c r="H39" t="str">
        <f t="shared" si="2"/>
        <v>14L to 20L</v>
      </c>
    </row>
    <row r="40" spans="2:8" x14ac:dyDescent="0.25">
      <c r="B40" s="5">
        <v>39</v>
      </c>
      <c r="C40" s="3">
        <v>62</v>
      </c>
      <c r="D40" s="4">
        <v>1310000</v>
      </c>
      <c r="E40" s="3">
        <v>545</v>
      </c>
      <c r="F40" s="28">
        <f t="shared" si="3"/>
        <v>13.1</v>
      </c>
      <c r="G40" t="str">
        <f t="shared" si="1"/>
        <v>&gt;= 56 years</v>
      </c>
      <c r="H40" t="str">
        <f t="shared" si="2"/>
        <v>10L to 14L</v>
      </c>
    </row>
    <row r="41" spans="2:8" x14ac:dyDescent="0.25">
      <c r="B41" s="5">
        <v>40</v>
      </c>
      <c r="C41" s="3">
        <v>29</v>
      </c>
      <c r="D41" s="4">
        <v>1150000</v>
      </c>
      <c r="E41" s="3">
        <v>525</v>
      </c>
      <c r="F41" s="28">
        <f t="shared" si="3"/>
        <v>11.5</v>
      </c>
      <c r="G41" t="str">
        <f t="shared" si="1"/>
        <v>25-30 years</v>
      </c>
      <c r="H41" t="str">
        <f t="shared" si="2"/>
        <v>10L to 14L</v>
      </c>
    </row>
    <row r="42" spans="2:8" x14ac:dyDescent="0.25">
      <c r="B42" s="5">
        <v>41</v>
      </c>
      <c r="C42" s="3">
        <v>54</v>
      </c>
      <c r="D42" s="4">
        <v>620000</v>
      </c>
      <c r="E42" s="3">
        <v>786</v>
      </c>
      <c r="F42" s="28">
        <f t="shared" si="3"/>
        <v>6.2</v>
      </c>
      <c r="G42" t="str">
        <f t="shared" si="1"/>
        <v>50 to 55 years</v>
      </c>
      <c r="H42" t="str">
        <f t="shared" si="2"/>
        <v>&lt;= 8L</v>
      </c>
    </row>
    <row r="43" spans="2:8" x14ac:dyDescent="0.25">
      <c r="B43" s="5">
        <v>42</v>
      </c>
      <c r="C43" s="3">
        <v>68</v>
      </c>
      <c r="D43" s="4">
        <v>1450000</v>
      </c>
      <c r="E43" s="3">
        <v>770</v>
      </c>
      <c r="F43" s="28">
        <f t="shared" si="3"/>
        <v>14.5</v>
      </c>
      <c r="G43" t="str">
        <f t="shared" si="1"/>
        <v>&gt;= 56 years</v>
      </c>
      <c r="H43" t="str">
        <f t="shared" si="2"/>
        <v>14L to 20L</v>
      </c>
    </row>
    <row r="44" spans="2:8" x14ac:dyDescent="0.25">
      <c r="B44" s="5">
        <v>43</v>
      </c>
      <c r="C44" s="3">
        <v>55</v>
      </c>
      <c r="D44" s="4">
        <v>2050000</v>
      </c>
      <c r="E44" s="3">
        <v>852</v>
      </c>
      <c r="F44" s="28">
        <f t="shared" si="3"/>
        <v>20.5</v>
      </c>
      <c r="G44" t="str">
        <f t="shared" si="1"/>
        <v>50 to 55 years</v>
      </c>
      <c r="H44" t="str">
        <f t="shared" si="2"/>
        <v>20L to 25L</v>
      </c>
    </row>
    <row r="45" spans="2:8" x14ac:dyDescent="0.25">
      <c r="B45" s="5">
        <v>44</v>
      </c>
      <c r="C45" s="3">
        <v>31</v>
      </c>
      <c r="D45" s="4">
        <v>1780000</v>
      </c>
      <c r="E45" s="3">
        <v>743</v>
      </c>
      <c r="F45" s="28">
        <f t="shared" si="3"/>
        <v>17.8</v>
      </c>
      <c r="G45" t="str">
        <f t="shared" si="1"/>
        <v>31 to 35 years</v>
      </c>
      <c r="H45" t="str">
        <f t="shared" si="2"/>
        <v>14L to 20L</v>
      </c>
    </row>
    <row r="46" spans="2:8" x14ac:dyDescent="0.25">
      <c r="B46" s="5">
        <v>45</v>
      </c>
      <c r="C46" s="3">
        <v>42</v>
      </c>
      <c r="D46" s="4">
        <v>680000</v>
      </c>
      <c r="E46" s="3">
        <v>614</v>
      </c>
      <c r="F46" s="28">
        <f t="shared" si="3"/>
        <v>6.8</v>
      </c>
      <c r="G46" t="str">
        <f t="shared" si="1"/>
        <v>41 to 50 years</v>
      </c>
      <c r="H46" t="str">
        <f t="shared" si="2"/>
        <v>&lt;= 8L</v>
      </c>
    </row>
    <row r="47" spans="2:8" x14ac:dyDescent="0.25">
      <c r="B47" s="5">
        <v>46</v>
      </c>
      <c r="C47" s="3">
        <v>26</v>
      </c>
      <c r="D47" s="4">
        <v>1830000</v>
      </c>
      <c r="E47" s="3">
        <v>820</v>
      </c>
      <c r="F47" s="28">
        <f t="shared" si="3"/>
        <v>18.3</v>
      </c>
      <c r="G47" t="str">
        <f t="shared" si="1"/>
        <v>25-30 years</v>
      </c>
      <c r="H47" t="str">
        <f t="shared" si="2"/>
        <v>14L to 20L</v>
      </c>
    </row>
    <row r="48" spans="2:8" x14ac:dyDescent="0.25">
      <c r="B48" s="5">
        <v>47</v>
      </c>
      <c r="C48" s="3">
        <v>41</v>
      </c>
      <c r="D48" s="4">
        <v>1870000</v>
      </c>
      <c r="E48" s="3">
        <v>807</v>
      </c>
      <c r="F48" s="28">
        <f t="shared" si="3"/>
        <v>18.7</v>
      </c>
      <c r="G48" t="str">
        <f t="shared" si="1"/>
        <v>41 to 50 years</v>
      </c>
      <c r="H48" t="str">
        <f t="shared" si="2"/>
        <v>14L to 20L</v>
      </c>
    </row>
    <row r="49" spans="2:8" x14ac:dyDescent="0.25">
      <c r="B49" s="5">
        <v>48</v>
      </c>
      <c r="C49" s="3">
        <v>68</v>
      </c>
      <c r="D49" s="4">
        <v>1220000</v>
      </c>
      <c r="E49" s="3">
        <v>812</v>
      </c>
      <c r="F49" s="28">
        <f t="shared" si="3"/>
        <v>12.2</v>
      </c>
      <c r="G49" t="str">
        <f t="shared" si="1"/>
        <v>&gt;= 56 years</v>
      </c>
      <c r="H49" t="str">
        <f t="shared" si="2"/>
        <v>10L to 14L</v>
      </c>
    </row>
    <row r="50" spans="2:8" x14ac:dyDescent="0.25">
      <c r="B50" s="5">
        <v>49</v>
      </c>
      <c r="C50" s="3">
        <v>41</v>
      </c>
      <c r="D50" s="4">
        <v>810000</v>
      </c>
      <c r="E50" s="3">
        <v>546</v>
      </c>
      <c r="F50" s="28">
        <f t="shared" si="3"/>
        <v>8.1</v>
      </c>
      <c r="G50" t="str">
        <f t="shared" si="1"/>
        <v>41 to 50 years</v>
      </c>
      <c r="H50" t="str">
        <f t="shared" si="2"/>
        <v>8L to 10L</v>
      </c>
    </row>
    <row r="51" spans="2:8" x14ac:dyDescent="0.25">
      <c r="B51" s="5">
        <v>50</v>
      </c>
      <c r="C51" s="3">
        <v>32</v>
      </c>
      <c r="D51" s="4">
        <v>680000</v>
      </c>
      <c r="E51" s="3">
        <v>668</v>
      </c>
      <c r="F51" s="28">
        <f t="shared" si="3"/>
        <v>6.8</v>
      </c>
      <c r="G51" t="str">
        <f t="shared" si="1"/>
        <v>31 to 35 years</v>
      </c>
      <c r="H51" t="str">
        <f t="shared" si="2"/>
        <v>&lt;= 8L</v>
      </c>
    </row>
    <row r="52" spans="2:8" x14ac:dyDescent="0.25">
      <c r="B52" s="5">
        <v>51</v>
      </c>
      <c r="C52" s="3">
        <v>27</v>
      </c>
      <c r="D52" s="4">
        <v>2230000</v>
      </c>
      <c r="E52" s="3">
        <v>725</v>
      </c>
      <c r="F52" s="28">
        <f t="shared" si="3"/>
        <v>22.3</v>
      </c>
      <c r="G52" t="str">
        <f t="shared" si="1"/>
        <v>25-30 years</v>
      </c>
      <c r="H52" t="str">
        <f t="shared" si="2"/>
        <v>20L to 25L</v>
      </c>
    </row>
    <row r="53" spans="2:8" x14ac:dyDescent="0.25">
      <c r="B53" s="5">
        <v>52</v>
      </c>
      <c r="C53" s="3">
        <v>60</v>
      </c>
      <c r="D53" s="4">
        <v>760000</v>
      </c>
      <c r="E53" s="3">
        <v>831</v>
      </c>
      <c r="F53" s="28">
        <f t="shared" si="3"/>
        <v>7.6</v>
      </c>
      <c r="G53" t="str">
        <f t="shared" si="1"/>
        <v>&gt;= 56 years</v>
      </c>
      <c r="H53" t="str">
        <f t="shared" si="2"/>
        <v>&lt;= 8L</v>
      </c>
    </row>
    <row r="54" spans="2:8" x14ac:dyDescent="0.25">
      <c r="B54" s="5">
        <v>53</v>
      </c>
      <c r="C54" s="3">
        <v>39</v>
      </c>
      <c r="D54" s="4">
        <v>1760000</v>
      </c>
      <c r="E54" s="3">
        <v>547</v>
      </c>
      <c r="F54" s="28">
        <f t="shared" si="3"/>
        <v>17.600000000000001</v>
      </c>
      <c r="G54" t="str">
        <f t="shared" si="1"/>
        <v>36 to 40 years</v>
      </c>
      <c r="H54" t="str">
        <f t="shared" si="2"/>
        <v>14L to 20L</v>
      </c>
    </row>
    <row r="55" spans="2:8" x14ac:dyDescent="0.25">
      <c r="B55" s="5">
        <v>54</v>
      </c>
      <c r="C55" s="3">
        <v>24</v>
      </c>
      <c r="D55" s="4">
        <v>1030000</v>
      </c>
      <c r="E55" s="3">
        <v>673</v>
      </c>
      <c r="F55" s="28">
        <f t="shared" si="3"/>
        <v>10.3</v>
      </c>
      <c r="G55" t="str">
        <f t="shared" si="1"/>
        <v>&lt;= 24 years</v>
      </c>
      <c r="H55" t="str">
        <f t="shared" si="2"/>
        <v>10L to 14L</v>
      </c>
    </row>
    <row r="56" spans="2:8" x14ac:dyDescent="0.25">
      <c r="B56" s="5">
        <v>55</v>
      </c>
      <c r="C56" s="3">
        <v>55</v>
      </c>
      <c r="D56" s="4">
        <v>1220000</v>
      </c>
      <c r="E56" s="3">
        <v>841</v>
      </c>
      <c r="F56" s="28">
        <f t="shared" si="3"/>
        <v>12.2</v>
      </c>
      <c r="G56" t="str">
        <f t="shared" si="1"/>
        <v>50 to 55 years</v>
      </c>
      <c r="H56" t="str">
        <f t="shared" si="2"/>
        <v>10L to 14L</v>
      </c>
    </row>
    <row r="57" spans="2:8" x14ac:dyDescent="0.25">
      <c r="B57" s="5">
        <v>56</v>
      </c>
      <c r="C57" s="3">
        <v>46</v>
      </c>
      <c r="D57" s="4">
        <v>1760000</v>
      </c>
      <c r="E57" s="3">
        <v>625</v>
      </c>
      <c r="F57" s="28">
        <f t="shared" si="3"/>
        <v>17.600000000000001</v>
      </c>
      <c r="G57" t="str">
        <f t="shared" si="1"/>
        <v>41 to 50 years</v>
      </c>
      <c r="H57" t="str">
        <f t="shared" si="2"/>
        <v>14L to 20L</v>
      </c>
    </row>
    <row r="58" spans="2:8" x14ac:dyDescent="0.25">
      <c r="B58" s="5">
        <v>57</v>
      </c>
      <c r="C58" s="3">
        <v>22</v>
      </c>
      <c r="D58" s="4">
        <v>1410000</v>
      </c>
      <c r="E58" s="3">
        <v>729</v>
      </c>
      <c r="F58" s="28">
        <f t="shared" si="3"/>
        <v>14.1</v>
      </c>
      <c r="G58" t="str">
        <f t="shared" si="1"/>
        <v>&lt;= 24 years</v>
      </c>
      <c r="H58" t="str">
        <f t="shared" si="2"/>
        <v>14L to 20L</v>
      </c>
    </row>
    <row r="59" spans="2:8" x14ac:dyDescent="0.25">
      <c r="B59" s="5">
        <v>58</v>
      </c>
      <c r="C59" s="3">
        <v>48</v>
      </c>
      <c r="D59" s="4">
        <v>1240000</v>
      </c>
      <c r="E59" s="3">
        <v>735</v>
      </c>
      <c r="F59" s="28">
        <f t="shared" si="3"/>
        <v>12.4</v>
      </c>
      <c r="G59" t="str">
        <f t="shared" si="1"/>
        <v>41 to 50 years</v>
      </c>
      <c r="H59" t="str">
        <f t="shared" si="2"/>
        <v>10L to 14L</v>
      </c>
    </row>
    <row r="60" spans="2:8" x14ac:dyDescent="0.25">
      <c r="B60" s="5">
        <v>59</v>
      </c>
      <c r="C60" s="3">
        <v>26</v>
      </c>
      <c r="D60" s="4">
        <v>2450000</v>
      </c>
      <c r="E60" s="3">
        <v>660</v>
      </c>
      <c r="F60" s="28">
        <f t="shared" si="3"/>
        <v>24.5</v>
      </c>
      <c r="G60" t="str">
        <f t="shared" si="1"/>
        <v>25-30 years</v>
      </c>
      <c r="H60" t="str">
        <f t="shared" si="2"/>
        <v>20L to 25L</v>
      </c>
    </row>
    <row r="61" spans="2:8" x14ac:dyDescent="0.25">
      <c r="B61" s="5">
        <v>60</v>
      </c>
      <c r="C61" s="3">
        <v>48</v>
      </c>
      <c r="D61" s="4">
        <v>1640000</v>
      </c>
      <c r="E61" s="3">
        <v>710</v>
      </c>
      <c r="F61" s="28">
        <f t="shared" si="3"/>
        <v>16.399999999999999</v>
      </c>
      <c r="G61" t="str">
        <f t="shared" si="1"/>
        <v>41 to 50 years</v>
      </c>
      <c r="H61" t="str">
        <f t="shared" si="2"/>
        <v>14L to 20L</v>
      </c>
    </row>
    <row r="62" spans="2:8" x14ac:dyDescent="0.25">
      <c r="B62" s="5">
        <v>61</v>
      </c>
      <c r="C62" s="3">
        <v>39</v>
      </c>
      <c r="D62" s="4">
        <v>2070000</v>
      </c>
      <c r="E62" s="3">
        <v>715</v>
      </c>
      <c r="F62" s="28">
        <f t="shared" si="3"/>
        <v>20.7</v>
      </c>
      <c r="G62" t="str">
        <f t="shared" si="1"/>
        <v>36 to 40 years</v>
      </c>
      <c r="H62" t="str">
        <f t="shared" si="2"/>
        <v>20L to 25L</v>
      </c>
    </row>
    <row r="63" spans="2:8" x14ac:dyDescent="0.25">
      <c r="B63" s="5">
        <v>62</v>
      </c>
      <c r="C63" s="3">
        <v>36</v>
      </c>
      <c r="D63" s="4">
        <v>890000</v>
      </c>
      <c r="E63" s="3">
        <v>582</v>
      </c>
      <c r="F63" s="28">
        <f t="shared" si="3"/>
        <v>8.9</v>
      </c>
      <c r="G63" t="str">
        <f t="shared" si="1"/>
        <v>36 to 40 years</v>
      </c>
      <c r="H63" t="str">
        <f t="shared" si="2"/>
        <v>8L to 10L</v>
      </c>
    </row>
    <row r="64" spans="2:8" x14ac:dyDescent="0.25">
      <c r="B64" s="5">
        <v>63</v>
      </c>
      <c r="C64" s="3">
        <v>66</v>
      </c>
      <c r="D64" s="4">
        <v>2030000</v>
      </c>
      <c r="E64" s="3">
        <v>582</v>
      </c>
      <c r="F64" s="28">
        <f t="shared" si="3"/>
        <v>20.3</v>
      </c>
      <c r="G64" t="str">
        <f t="shared" si="1"/>
        <v>&gt;= 56 years</v>
      </c>
      <c r="H64" t="str">
        <f t="shared" si="2"/>
        <v>20L to 25L</v>
      </c>
    </row>
    <row r="65" spans="2:8" x14ac:dyDescent="0.25">
      <c r="B65" s="5">
        <v>64</v>
      </c>
      <c r="C65" s="3">
        <v>60</v>
      </c>
      <c r="D65" s="4">
        <v>1060000</v>
      </c>
      <c r="E65" s="3">
        <v>567</v>
      </c>
      <c r="F65" s="28">
        <f t="shared" si="3"/>
        <v>10.6</v>
      </c>
      <c r="G65" t="str">
        <f t="shared" si="1"/>
        <v>&gt;= 56 years</v>
      </c>
      <c r="H65" t="str">
        <f t="shared" si="2"/>
        <v>10L to 14L</v>
      </c>
    </row>
    <row r="66" spans="2:8" x14ac:dyDescent="0.25">
      <c r="B66" s="5">
        <v>65</v>
      </c>
      <c r="C66" s="3">
        <v>50</v>
      </c>
      <c r="D66" s="4">
        <v>680000</v>
      </c>
      <c r="E66" s="3">
        <v>798</v>
      </c>
      <c r="F66" s="28">
        <f t="shared" ref="F66:F97" si="4">D66/100000</f>
        <v>6.8</v>
      </c>
      <c r="G66" t="str">
        <f t="shared" si="1"/>
        <v>41 to 50 years</v>
      </c>
      <c r="H66" t="str">
        <f t="shared" si="2"/>
        <v>&lt;= 8L</v>
      </c>
    </row>
    <row r="67" spans="2:8" x14ac:dyDescent="0.25">
      <c r="B67" s="5">
        <v>66</v>
      </c>
      <c r="C67" s="3">
        <v>40</v>
      </c>
      <c r="D67" s="4">
        <v>1980000</v>
      </c>
      <c r="E67" s="3">
        <v>820</v>
      </c>
      <c r="F67" s="28">
        <f t="shared" si="4"/>
        <v>19.8</v>
      </c>
      <c r="G67" t="str">
        <f t="shared" ref="G67:G130" si="5">IF(C67&gt;=56,$M$9,IF(C67&gt;50,$M$8,IF(C67&gt;=41,$M$7,IF(C67&gt;=36,$M$6,IF(C67&gt;=31,$M$5,IF(C67&gt;=25,$M$4,$M$3))))))</f>
        <v>36 to 40 years</v>
      </c>
      <c r="H67" t="str">
        <f t="shared" ref="H67:H130" si="6">IF(F67&gt;20,$R$2,IF(F67&gt;14,$Q$2,IF(F67&gt;10,$P$2,IF(F67&gt;8,$O$2,$N$2))))</f>
        <v>14L to 20L</v>
      </c>
    </row>
    <row r="68" spans="2:8" x14ac:dyDescent="0.25">
      <c r="B68" s="5">
        <v>67</v>
      </c>
      <c r="C68" s="3">
        <v>39</v>
      </c>
      <c r="D68" s="4">
        <v>2420000</v>
      </c>
      <c r="E68" s="3">
        <v>525</v>
      </c>
      <c r="F68" s="28">
        <f t="shared" si="4"/>
        <v>24.2</v>
      </c>
      <c r="G68" t="str">
        <f t="shared" si="5"/>
        <v>36 to 40 years</v>
      </c>
      <c r="H68" t="str">
        <f t="shared" si="6"/>
        <v>20L to 25L</v>
      </c>
    </row>
    <row r="69" spans="2:8" x14ac:dyDescent="0.25">
      <c r="B69" s="5">
        <v>68</v>
      </c>
      <c r="C69" s="3">
        <v>59</v>
      </c>
      <c r="D69" s="4">
        <v>1830000</v>
      </c>
      <c r="E69" s="3">
        <v>695</v>
      </c>
      <c r="F69" s="28">
        <f t="shared" si="4"/>
        <v>18.3</v>
      </c>
      <c r="G69" t="str">
        <f t="shared" si="5"/>
        <v>&gt;= 56 years</v>
      </c>
      <c r="H69" t="str">
        <f t="shared" si="6"/>
        <v>14L to 20L</v>
      </c>
    </row>
    <row r="70" spans="2:8" x14ac:dyDescent="0.25">
      <c r="B70" s="5">
        <v>69</v>
      </c>
      <c r="C70" s="3">
        <v>47</v>
      </c>
      <c r="D70" s="4">
        <v>2410000</v>
      </c>
      <c r="E70" s="3">
        <v>719</v>
      </c>
      <c r="F70" s="28">
        <f t="shared" si="4"/>
        <v>24.1</v>
      </c>
      <c r="G70" t="str">
        <f t="shared" si="5"/>
        <v>41 to 50 years</v>
      </c>
      <c r="H70" t="str">
        <f t="shared" si="6"/>
        <v>20L to 25L</v>
      </c>
    </row>
    <row r="71" spans="2:8" x14ac:dyDescent="0.25">
      <c r="B71" s="5">
        <v>70</v>
      </c>
      <c r="C71" s="3">
        <v>48</v>
      </c>
      <c r="D71" s="4">
        <v>760000</v>
      </c>
      <c r="E71" s="3">
        <v>772</v>
      </c>
      <c r="F71" s="28">
        <f t="shared" si="4"/>
        <v>7.6</v>
      </c>
      <c r="G71" t="str">
        <f t="shared" si="5"/>
        <v>41 to 50 years</v>
      </c>
      <c r="H71" t="str">
        <f t="shared" si="6"/>
        <v>&lt;= 8L</v>
      </c>
    </row>
    <row r="72" spans="2:8" x14ac:dyDescent="0.25">
      <c r="B72" s="5">
        <v>71</v>
      </c>
      <c r="C72" s="3">
        <v>60</v>
      </c>
      <c r="D72" s="4">
        <v>2100000</v>
      </c>
      <c r="E72" s="3">
        <v>799</v>
      </c>
      <c r="F72" s="28">
        <f t="shared" si="4"/>
        <v>21</v>
      </c>
      <c r="G72" t="str">
        <f t="shared" si="5"/>
        <v>&gt;= 56 years</v>
      </c>
      <c r="H72" t="str">
        <f t="shared" si="6"/>
        <v>20L to 25L</v>
      </c>
    </row>
    <row r="73" spans="2:8" x14ac:dyDescent="0.25">
      <c r="B73" s="5">
        <v>72</v>
      </c>
      <c r="C73" s="3">
        <v>23</v>
      </c>
      <c r="D73" s="4">
        <v>1460000</v>
      </c>
      <c r="E73" s="3">
        <v>814</v>
      </c>
      <c r="F73" s="28">
        <f t="shared" si="4"/>
        <v>14.6</v>
      </c>
      <c r="G73" t="str">
        <f t="shared" si="5"/>
        <v>&lt;= 24 years</v>
      </c>
      <c r="H73" t="str">
        <f t="shared" si="6"/>
        <v>14L to 20L</v>
      </c>
    </row>
    <row r="74" spans="2:8" x14ac:dyDescent="0.25">
      <c r="B74" s="5">
        <v>73</v>
      </c>
      <c r="C74" s="3">
        <v>34</v>
      </c>
      <c r="D74" s="4">
        <v>1050000</v>
      </c>
      <c r="E74" s="3">
        <v>807</v>
      </c>
      <c r="F74" s="28">
        <f t="shared" si="4"/>
        <v>10.5</v>
      </c>
      <c r="G74" t="str">
        <f t="shared" si="5"/>
        <v>31 to 35 years</v>
      </c>
      <c r="H74" t="str">
        <f t="shared" si="6"/>
        <v>10L to 14L</v>
      </c>
    </row>
    <row r="75" spans="2:8" x14ac:dyDescent="0.25">
      <c r="B75" s="5">
        <v>74</v>
      </c>
      <c r="C75" s="3">
        <v>60</v>
      </c>
      <c r="D75" s="4">
        <v>790000</v>
      </c>
      <c r="E75" s="3">
        <v>858</v>
      </c>
      <c r="F75" s="28">
        <f t="shared" si="4"/>
        <v>7.9</v>
      </c>
      <c r="G75" t="str">
        <f t="shared" si="5"/>
        <v>&gt;= 56 years</v>
      </c>
      <c r="H75" t="str">
        <f t="shared" si="6"/>
        <v>&lt;= 8L</v>
      </c>
    </row>
    <row r="76" spans="2:8" x14ac:dyDescent="0.25">
      <c r="B76" s="5">
        <v>75</v>
      </c>
      <c r="C76" s="3">
        <v>48</v>
      </c>
      <c r="D76" s="4">
        <v>2250000</v>
      </c>
      <c r="E76" s="3">
        <v>736</v>
      </c>
      <c r="F76" s="28">
        <f t="shared" si="4"/>
        <v>22.5</v>
      </c>
      <c r="G76" t="str">
        <f t="shared" si="5"/>
        <v>41 to 50 years</v>
      </c>
      <c r="H76" t="str">
        <f t="shared" si="6"/>
        <v>20L to 25L</v>
      </c>
    </row>
    <row r="77" spans="2:8" x14ac:dyDescent="0.25">
      <c r="B77" s="5">
        <v>76</v>
      </c>
      <c r="C77" s="3">
        <v>52</v>
      </c>
      <c r="D77" s="4">
        <v>1140000</v>
      </c>
      <c r="E77" s="3">
        <v>682</v>
      </c>
      <c r="F77" s="28">
        <f t="shared" si="4"/>
        <v>11.4</v>
      </c>
      <c r="G77" t="str">
        <f t="shared" si="5"/>
        <v>50 to 55 years</v>
      </c>
      <c r="H77" t="str">
        <f t="shared" si="6"/>
        <v>10L to 14L</v>
      </c>
    </row>
    <row r="78" spans="2:8" x14ac:dyDescent="0.25">
      <c r="B78" s="5">
        <v>77</v>
      </c>
      <c r="C78" s="3">
        <v>32</v>
      </c>
      <c r="D78" s="4">
        <v>1960000</v>
      </c>
      <c r="E78" s="3">
        <v>688</v>
      </c>
      <c r="F78" s="28">
        <f t="shared" si="4"/>
        <v>19.600000000000001</v>
      </c>
      <c r="G78" t="str">
        <f t="shared" si="5"/>
        <v>31 to 35 years</v>
      </c>
      <c r="H78" t="str">
        <f t="shared" si="6"/>
        <v>14L to 20L</v>
      </c>
    </row>
    <row r="79" spans="2:8" x14ac:dyDescent="0.25">
      <c r="B79" s="5">
        <v>78</v>
      </c>
      <c r="C79" s="3">
        <v>44</v>
      </c>
      <c r="D79" s="4">
        <v>2140000</v>
      </c>
      <c r="E79" s="3">
        <v>786</v>
      </c>
      <c r="F79" s="28">
        <f t="shared" si="4"/>
        <v>21.4</v>
      </c>
      <c r="G79" t="str">
        <f t="shared" si="5"/>
        <v>41 to 50 years</v>
      </c>
      <c r="H79" t="str">
        <f t="shared" si="6"/>
        <v>20L to 25L</v>
      </c>
    </row>
    <row r="80" spans="2:8" x14ac:dyDescent="0.25">
      <c r="B80" s="5">
        <v>79</v>
      </c>
      <c r="C80" s="3">
        <v>39</v>
      </c>
      <c r="D80" s="4">
        <v>2310000</v>
      </c>
      <c r="E80" s="3">
        <v>723</v>
      </c>
      <c r="F80" s="28">
        <f t="shared" si="4"/>
        <v>23.1</v>
      </c>
      <c r="G80" t="str">
        <f t="shared" si="5"/>
        <v>36 to 40 years</v>
      </c>
      <c r="H80" t="str">
        <f t="shared" si="6"/>
        <v>20L to 25L</v>
      </c>
    </row>
    <row r="81" spans="2:8" x14ac:dyDescent="0.25">
      <c r="B81" s="5">
        <v>80</v>
      </c>
      <c r="C81" s="3">
        <v>26</v>
      </c>
      <c r="D81" s="4">
        <v>1070000</v>
      </c>
      <c r="E81" s="3">
        <v>819</v>
      </c>
      <c r="F81" s="28">
        <f t="shared" si="4"/>
        <v>10.7</v>
      </c>
      <c r="G81" t="str">
        <f t="shared" si="5"/>
        <v>25-30 years</v>
      </c>
      <c r="H81" t="str">
        <f t="shared" si="6"/>
        <v>10L to 14L</v>
      </c>
    </row>
    <row r="82" spans="2:8" x14ac:dyDescent="0.25">
      <c r="B82" s="5">
        <v>81</v>
      </c>
      <c r="C82" s="3">
        <v>49</v>
      </c>
      <c r="D82" s="4">
        <v>1630000</v>
      </c>
      <c r="E82" s="3">
        <v>703</v>
      </c>
      <c r="F82" s="28">
        <f t="shared" si="4"/>
        <v>16.3</v>
      </c>
      <c r="G82" t="str">
        <f t="shared" si="5"/>
        <v>41 to 50 years</v>
      </c>
      <c r="H82" t="str">
        <f t="shared" si="6"/>
        <v>14L to 20L</v>
      </c>
    </row>
    <row r="83" spans="2:8" x14ac:dyDescent="0.25">
      <c r="B83" s="5">
        <v>82</v>
      </c>
      <c r="C83" s="3">
        <v>51</v>
      </c>
      <c r="D83" s="4">
        <v>1900000</v>
      </c>
      <c r="E83" s="3">
        <v>813</v>
      </c>
      <c r="F83" s="28">
        <f t="shared" si="4"/>
        <v>19</v>
      </c>
      <c r="G83" t="str">
        <f t="shared" si="5"/>
        <v>50 to 55 years</v>
      </c>
      <c r="H83" t="str">
        <f t="shared" si="6"/>
        <v>14L to 20L</v>
      </c>
    </row>
    <row r="84" spans="2:8" x14ac:dyDescent="0.25">
      <c r="B84" s="5">
        <v>83</v>
      </c>
      <c r="C84" s="3">
        <v>65</v>
      </c>
      <c r="D84" s="4">
        <v>2040000</v>
      </c>
      <c r="E84" s="3">
        <v>694</v>
      </c>
      <c r="F84" s="28">
        <f t="shared" si="4"/>
        <v>20.399999999999999</v>
      </c>
      <c r="G84" t="str">
        <f t="shared" si="5"/>
        <v>&gt;= 56 years</v>
      </c>
      <c r="H84" t="str">
        <f t="shared" si="6"/>
        <v>20L to 25L</v>
      </c>
    </row>
    <row r="85" spans="2:8" x14ac:dyDescent="0.25">
      <c r="B85" s="5">
        <v>84</v>
      </c>
      <c r="C85" s="3">
        <v>59</v>
      </c>
      <c r="D85" s="4">
        <v>1160000</v>
      </c>
      <c r="E85" s="3">
        <v>637</v>
      </c>
      <c r="F85" s="28">
        <f t="shared" si="4"/>
        <v>11.6</v>
      </c>
      <c r="G85" t="str">
        <f t="shared" si="5"/>
        <v>&gt;= 56 years</v>
      </c>
      <c r="H85" t="str">
        <f t="shared" si="6"/>
        <v>10L to 14L</v>
      </c>
    </row>
    <row r="86" spans="2:8" x14ac:dyDescent="0.25">
      <c r="B86" s="5">
        <v>85</v>
      </c>
      <c r="C86" s="3">
        <v>30</v>
      </c>
      <c r="D86" s="4">
        <v>1460000</v>
      </c>
      <c r="E86" s="3">
        <v>713</v>
      </c>
      <c r="F86" s="28">
        <f t="shared" si="4"/>
        <v>14.6</v>
      </c>
      <c r="G86" t="str">
        <f t="shared" si="5"/>
        <v>25-30 years</v>
      </c>
      <c r="H86" t="str">
        <f t="shared" si="6"/>
        <v>14L to 20L</v>
      </c>
    </row>
    <row r="87" spans="2:8" x14ac:dyDescent="0.25">
      <c r="B87" s="5">
        <v>86</v>
      </c>
      <c r="C87" s="3">
        <v>28</v>
      </c>
      <c r="D87" s="4">
        <v>1360000</v>
      </c>
      <c r="E87" s="3">
        <v>723</v>
      </c>
      <c r="F87" s="28">
        <f t="shared" si="4"/>
        <v>13.6</v>
      </c>
      <c r="G87" t="str">
        <f t="shared" si="5"/>
        <v>25-30 years</v>
      </c>
      <c r="H87" t="str">
        <f t="shared" si="6"/>
        <v>10L to 14L</v>
      </c>
    </row>
    <row r="88" spans="2:8" x14ac:dyDescent="0.25">
      <c r="B88" s="5">
        <v>87</v>
      </c>
      <c r="C88" s="3">
        <v>43</v>
      </c>
      <c r="D88" s="4">
        <v>2110000</v>
      </c>
      <c r="E88" s="3">
        <v>765</v>
      </c>
      <c r="F88" s="28">
        <f t="shared" si="4"/>
        <v>21.1</v>
      </c>
      <c r="G88" t="str">
        <f t="shared" si="5"/>
        <v>41 to 50 years</v>
      </c>
      <c r="H88" t="str">
        <f t="shared" si="6"/>
        <v>20L to 25L</v>
      </c>
    </row>
    <row r="89" spans="2:8" x14ac:dyDescent="0.25">
      <c r="B89" s="5">
        <v>88</v>
      </c>
      <c r="C89" s="3">
        <v>45</v>
      </c>
      <c r="D89" s="4">
        <v>860000</v>
      </c>
      <c r="E89" s="3">
        <v>591</v>
      </c>
      <c r="F89" s="28">
        <f t="shared" si="4"/>
        <v>8.6</v>
      </c>
      <c r="G89" t="str">
        <f t="shared" si="5"/>
        <v>41 to 50 years</v>
      </c>
      <c r="H89" t="str">
        <f t="shared" si="6"/>
        <v>8L to 10L</v>
      </c>
    </row>
    <row r="90" spans="2:8" x14ac:dyDescent="0.25">
      <c r="B90" s="5">
        <v>89</v>
      </c>
      <c r="C90" s="3">
        <v>46</v>
      </c>
      <c r="D90" s="4">
        <v>2050000</v>
      </c>
      <c r="E90" s="3">
        <v>767</v>
      </c>
      <c r="F90" s="28">
        <f t="shared" si="4"/>
        <v>20.5</v>
      </c>
      <c r="G90" t="str">
        <f t="shared" si="5"/>
        <v>41 to 50 years</v>
      </c>
      <c r="H90" t="str">
        <f t="shared" si="6"/>
        <v>20L to 25L</v>
      </c>
    </row>
    <row r="91" spans="2:8" x14ac:dyDescent="0.25">
      <c r="B91" s="5">
        <v>90</v>
      </c>
      <c r="C91" s="3">
        <v>24</v>
      </c>
      <c r="D91" s="4">
        <v>710000</v>
      </c>
      <c r="E91" s="3">
        <v>667</v>
      </c>
      <c r="F91" s="28">
        <f t="shared" si="4"/>
        <v>7.1</v>
      </c>
      <c r="G91" t="str">
        <f t="shared" si="5"/>
        <v>&lt;= 24 years</v>
      </c>
      <c r="H91" t="str">
        <f t="shared" si="6"/>
        <v>&lt;= 8L</v>
      </c>
    </row>
    <row r="92" spans="2:8" x14ac:dyDescent="0.25">
      <c r="B92" s="5">
        <v>91</v>
      </c>
      <c r="C92" s="3">
        <v>27</v>
      </c>
      <c r="D92" s="4">
        <v>2390000</v>
      </c>
      <c r="E92" s="3">
        <v>834</v>
      </c>
      <c r="F92" s="28">
        <f t="shared" si="4"/>
        <v>23.9</v>
      </c>
      <c r="G92" t="str">
        <f t="shared" si="5"/>
        <v>25-30 years</v>
      </c>
      <c r="H92" t="str">
        <f t="shared" si="6"/>
        <v>20L to 25L</v>
      </c>
    </row>
    <row r="93" spans="2:8" x14ac:dyDescent="0.25">
      <c r="B93" s="5">
        <v>92</v>
      </c>
      <c r="C93" s="3">
        <v>55</v>
      </c>
      <c r="D93" s="4">
        <v>620000</v>
      </c>
      <c r="E93" s="3">
        <v>781</v>
      </c>
      <c r="F93" s="28">
        <f t="shared" si="4"/>
        <v>6.2</v>
      </c>
      <c r="G93" t="str">
        <f t="shared" si="5"/>
        <v>50 to 55 years</v>
      </c>
      <c r="H93" t="str">
        <f t="shared" si="6"/>
        <v>&lt;= 8L</v>
      </c>
    </row>
    <row r="94" spans="2:8" x14ac:dyDescent="0.25">
      <c r="B94" s="5">
        <v>93</v>
      </c>
      <c r="C94" s="3">
        <v>66</v>
      </c>
      <c r="D94" s="4">
        <v>2040000</v>
      </c>
      <c r="E94" s="3">
        <v>852</v>
      </c>
      <c r="F94" s="28">
        <f t="shared" si="4"/>
        <v>20.399999999999999</v>
      </c>
      <c r="G94" t="str">
        <f t="shared" si="5"/>
        <v>&gt;= 56 years</v>
      </c>
      <c r="H94" t="str">
        <f t="shared" si="6"/>
        <v>20L to 25L</v>
      </c>
    </row>
    <row r="95" spans="2:8" x14ac:dyDescent="0.25">
      <c r="B95" s="5">
        <v>94</v>
      </c>
      <c r="C95" s="3">
        <v>53</v>
      </c>
      <c r="D95" s="4">
        <v>1810000</v>
      </c>
      <c r="E95" s="3">
        <v>849</v>
      </c>
      <c r="F95" s="28">
        <f t="shared" si="4"/>
        <v>18.100000000000001</v>
      </c>
      <c r="G95" t="str">
        <f t="shared" si="5"/>
        <v>50 to 55 years</v>
      </c>
      <c r="H95" t="str">
        <f t="shared" si="6"/>
        <v>14L to 20L</v>
      </c>
    </row>
    <row r="96" spans="2:8" x14ac:dyDescent="0.25">
      <c r="B96" s="5">
        <v>95</v>
      </c>
      <c r="C96" s="3">
        <v>41</v>
      </c>
      <c r="D96" s="4">
        <v>2040000</v>
      </c>
      <c r="E96" s="3">
        <v>637</v>
      </c>
      <c r="F96" s="28">
        <f t="shared" si="4"/>
        <v>20.399999999999999</v>
      </c>
      <c r="G96" t="str">
        <f t="shared" si="5"/>
        <v>41 to 50 years</v>
      </c>
      <c r="H96" t="str">
        <f t="shared" si="6"/>
        <v>20L to 25L</v>
      </c>
    </row>
    <row r="97" spans="2:8" x14ac:dyDescent="0.25">
      <c r="B97" s="5">
        <v>96</v>
      </c>
      <c r="C97" s="3">
        <v>29</v>
      </c>
      <c r="D97" s="4">
        <v>1950000</v>
      </c>
      <c r="E97" s="3">
        <v>646</v>
      </c>
      <c r="F97" s="28">
        <f t="shared" si="4"/>
        <v>19.5</v>
      </c>
      <c r="G97" t="str">
        <f t="shared" si="5"/>
        <v>25-30 years</v>
      </c>
      <c r="H97" t="str">
        <f t="shared" si="6"/>
        <v>14L to 20L</v>
      </c>
    </row>
    <row r="98" spans="2:8" x14ac:dyDescent="0.25">
      <c r="B98" s="5">
        <v>97</v>
      </c>
      <c r="C98" s="3">
        <v>35</v>
      </c>
      <c r="D98" s="4">
        <v>1150000</v>
      </c>
      <c r="E98" s="3">
        <v>801</v>
      </c>
      <c r="F98" s="28">
        <f t="shared" ref="F98:F129" si="7">D98/100000</f>
        <v>11.5</v>
      </c>
      <c r="G98" t="str">
        <f t="shared" si="5"/>
        <v>31 to 35 years</v>
      </c>
      <c r="H98" t="str">
        <f t="shared" si="6"/>
        <v>10L to 14L</v>
      </c>
    </row>
    <row r="99" spans="2:8" x14ac:dyDescent="0.25">
      <c r="B99" s="5">
        <v>98</v>
      </c>
      <c r="C99" s="3">
        <v>55</v>
      </c>
      <c r="D99" s="4">
        <v>1680000</v>
      </c>
      <c r="E99" s="3">
        <v>537</v>
      </c>
      <c r="F99" s="28">
        <f t="shared" si="7"/>
        <v>16.8</v>
      </c>
      <c r="G99" t="str">
        <f t="shared" si="5"/>
        <v>50 to 55 years</v>
      </c>
      <c r="H99" t="str">
        <f t="shared" si="6"/>
        <v>14L to 20L</v>
      </c>
    </row>
    <row r="100" spans="2:8" x14ac:dyDescent="0.25">
      <c r="B100" s="5">
        <v>99</v>
      </c>
      <c r="C100" s="3">
        <v>28</v>
      </c>
      <c r="D100" s="4">
        <v>2500000</v>
      </c>
      <c r="E100" s="3">
        <v>838</v>
      </c>
      <c r="F100" s="28">
        <f t="shared" si="7"/>
        <v>25</v>
      </c>
      <c r="G100" t="str">
        <f t="shared" si="5"/>
        <v>25-30 years</v>
      </c>
      <c r="H100" t="str">
        <f t="shared" si="6"/>
        <v>20L to 25L</v>
      </c>
    </row>
    <row r="101" spans="2:8" x14ac:dyDescent="0.25">
      <c r="B101" s="5">
        <v>100</v>
      </c>
      <c r="C101" s="3">
        <v>44</v>
      </c>
      <c r="D101" s="4">
        <v>2360000</v>
      </c>
      <c r="E101" s="3">
        <v>797</v>
      </c>
      <c r="F101" s="28">
        <f t="shared" si="7"/>
        <v>23.6</v>
      </c>
      <c r="G101" t="str">
        <f t="shared" si="5"/>
        <v>41 to 50 years</v>
      </c>
      <c r="H101" t="str">
        <f t="shared" si="6"/>
        <v>20L to 25L</v>
      </c>
    </row>
    <row r="102" spans="2:8" x14ac:dyDescent="0.25">
      <c r="B102" s="5">
        <v>101</v>
      </c>
      <c r="C102" s="3">
        <v>35</v>
      </c>
      <c r="D102" s="4">
        <v>1260000</v>
      </c>
      <c r="E102" s="3">
        <v>839</v>
      </c>
      <c r="F102" s="28">
        <f t="shared" si="7"/>
        <v>12.6</v>
      </c>
      <c r="G102" t="str">
        <f t="shared" si="5"/>
        <v>31 to 35 years</v>
      </c>
      <c r="H102" t="str">
        <f t="shared" si="6"/>
        <v>10L to 14L</v>
      </c>
    </row>
    <row r="103" spans="2:8" x14ac:dyDescent="0.25">
      <c r="B103" s="5">
        <v>102</v>
      </c>
      <c r="C103" s="3">
        <v>57</v>
      </c>
      <c r="D103" s="4">
        <v>2110000</v>
      </c>
      <c r="E103" s="3">
        <v>781</v>
      </c>
      <c r="F103" s="28">
        <f t="shared" si="7"/>
        <v>21.1</v>
      </c>
      <c r="G103" t="str">
        <f t="shared" si="5"/>
        <v>&gt;= 56 years</v>
      </c>
      <c r="H103" t="str">
        <f t="shared" si="6"/>
        <v>20L to 25L</v>
      </c>
    </row>
    <row r="104" spans="2:8" x14ac:dyDescent="0.25">
      <c r="B104" s="5">
        <v>103</v>
      </c>
      <c r="C104" s="3">
        <v>23</v>
      </c>
      <c r="D104" s="4">
        <v>1220000</v>
      </c>
      <c r="E104" s="3">
        <v>574</v>
      </c>
      <c r="F104" s="28">
        <f t="shared" si="7"/>
        <v>12.2</v>
      </c>
      <c r="G104" t="str">
        <f t="shared" si="5"/>
        <v>&lt;= 24 years</v>
      </c>
      <c r="H104" t="str">
        <f t="shared" si="6"/>
        <v>10L to 14L</v>
      </c>
    </row>
    <row r="105" spans="2:8" x14ac:dyDescent="0.25">
      <c r="B105" s="5">
        <v>104</v>
      </c>
      <c r="C105" s="3">
        <v>24</v>
      </c>
      <c r="D105" s="4">
        <v>1850000</v>
      </c>
      <c r="E105" s="3">
        <v>665</v>
      </c>
      <c r="F105" s="28">
        <f t="shared" si="7"/>
        <v>18.5</v>
      </c>
      <c r="G105" t="str">
        <f t="shared" si="5"/>
        <v>&lt;= 24 years</v>
      </c>
      <c r="H105" t="str">
        <f t="shared" si="6"/>
        <v>14L to 20L</v>
      </c>
    </row>
    <row r="106" spans="2:8" x14ac:dyDescent="0.25">
      <c r="B106" s="5">
        <v>105</v>
      </c>
      <c r="C106" s="3">
        <v>22</v>
      </c>
      <c r="D106" s="4">
        <v>2020000</v>
      </c>
      <c r="E106" s="3">
        <v>638</v>
      </c>
      <c r="F106" s="28">
        <f t="shared" si="7"/>
        <v>20.2</v>
      </c>
      <c r="G106" t="str">
        <f t="shared" si="5"/>
        <v>&lt;= 24 years</v>
      </c>
      <c r="H106" t="str">
        <f t="shared" si="6"/>
        <v>20L to 25L</v>
      </c>
    </row>
    <row r="107" spans="2:8" x14ac:dyDescent="0.25">
      <c r="B107" s="5">
        <v>106</v>
      </c>
      <c r="C107" s="3">
        <v>65</v>
      </c>
      <c r="D107" s="4">
        <v>1660000</v>
      </c>
      <c r="E107" s="3">
        <v>634</v>
      </c>
      <c r="F107" s="28">
        <f t="shared" si="7"/>
        <v>16.600000000000001</v>
      </c>
      <c r="G107" t="str">
        <f t="shared" si="5"/>
        <v>&gt;= 56 years</v>
      </c>
      <c r="H107" t="str">
        <f t="shared" si="6"/>
        <v>14L to 20L</v>
      </c>
    </row>
    <row r="108" spans="2:8" x14ac:dyDescent="0.25">
      <c r="B108" s="5">
        <v>107</v>
      </c>
      <c r="C108" s="3">
        <v>21</v>
      </c>
      <c r="D108" s="4">
        <v>2100000</v>
      </c>
      <c r="E108" s="3">
        <v>824</v>
      </c>
      <c r="F108" s="28">
        <f t="shared" si="7"/>
        <v>21</v>
      </c>
      <c r="G108" t="str">
        <f t="shared" si="5"/>
        <v>&lt;= 24 years</v>
      </c>
      <c r="H108" t="str">
        <f t="shared" si="6"/>
        <v>20L to 25L</v>
      </c>
    </row>
    <row r="109" spans="2:8" x14ac:dyDescent="0.25">
      <c r="B109" s="5">
        <v>108</v>
      </c>
      <c r="C109" s="3">
        <v>33</v>
      </c>
      <c r="D109" s="4">
        <v>1490000</v>
      </c>
      <c r="E109" s="3">
        <v>768</v>
      </c>
      <c r="F109" s="28">
        <f t="shared" si="7"/>
        <v>14.9</v>
      </c>
      <c r="G109" t="str">
        <f t="shared" si="5"/>
        <v>31 to 35 years</v>
      </c>
      <c r="H109" t="str">
        <f t="shared" si="6"/>
        <v>14L to 20L</v>
      </c>
    </row>
    <row r="110" spans="2:8" x14ac:dyDescent="0.25">
      <c r="B110" s="5">
        <v>109</v>
      </c>
      <c r="C110" s="3">
        <v>33</v>
      </c>
      <c r="D110" s="4">
        <v>710000</v>
      </c>
      <c r="E110" s="3">
        <v>796</v>
      </c>
      <c r="F110" s="28">
        <f t="shared" si="7"/>
        <v>7.1</v>
      </c>
      <c r="G110" t="str">
        <f t="shared" si="5"/>
        <v>31 to 35 years</v>
      </c>
      <c r="H110" t="str">
        <f t="shared" si="6"/>
        <v>&lt;= 8L</v>
      </c>
    </row>
    <row r="111" spans="2:8" x14ac:dyDescent="0.25">
      <c r="B111" s="5">
        <v>110</v>
      </c>
      <c r="C111" s="3">
        <v>68</v>
      </c>
      <c r="D111" s="4">
        <v>2240000</v>
      </c>
      <c r="E111" s="3">
        <v>551</v>
      </c>
      <c r="F111" s="28">
        <f t="shared" si="7"/>
        <v>22.4</v>
      </c>
      <c r="G111" t="str">
        <f t="shared" si="5"/>
        <v>&gt;= 56 years</v>
      </c>
      <c r="H111" t="str">
        <f t="shared" si="6"/>
        <v>20L to 25L</v>
      </c>
    </row>
    <row r="112" spans="2:8" x14ac:dyDescent="0.25">
      <c r="B112" s="5">
        <v>111</v>
      </c>
      <c r="C112" s="3">
        <v>49</v>
      </c>
      <c r="D112" s="4">
        <v>1150000</v>
      </c>
      <c r="E112" s="3">
        <v>814</v>
      </c>
      <c r="F112" s="28">
        <f t="shared" si="7"/>
        <v>11.5</v>
      </c>
      <c r="G112" t="str">
        <f t="shared" si="5"/>
        <v>41 to 50 years</v>
      </c>
      <c r="H112" t="str">
        <f t="shared" si="6"/>
        <v>10L to 14L</v>
      </c>
    </row>
    <row r="113" spans="2:8" x14ac:dyDescent="0.25">
      <c r="B113" s="5">
        <v>112</v>
      </c>
      <c r="C113" s="3">
        <v>54</v>
      </c>
      <c r="D113" s="4">
        <v>2390000</v>
      </c>
      <c r="E113" s="3">
        <v>544</v>
      </c>
      <c r="F113" s="28">
        <f t="shared" si="7"/>
        <v>23.9</v>
      </c>
      <c r="G113" t="str">
        <f t="shared" si="5"/>
        <v>50 to 55 years</v>
      </c>
      <c r="H113" t="str">
        <f t="shared" si="6"/>
        <v>20L to 25L</v>
      </c>
    </row>
    <row r="114" spans="2:8" x14ac:dyDescent="0.25">
      <c r="B114" s="5">
        <v>113</v>
      </c>
      <c r="C114" s="3">
        <v>60</v>
      </c>
      <c r="D114" s="4">
        <v>1090000</v>
      </c>
      <c r="E114" s="3">
        <v>815</v>
      </c>
      <c r="F114" s="28">
        <f t="shared" si="7"/>
        <v>10.9</v>
      </c>
      <c r="G114" t="str">
        <f t="shared" si="5"/>
        <v>&gt;= 56 years</v>
      </c>
      <c r="H114" t="str">
        <f t="shared" si="6"/>
        <v>10L to 14L</v>
      </c>
    </row>
    <row r="115" spans="2:8" x14ac:dyDescent="0.25">
      <c r="B115" s="5">
        <v>114</v>
      </c>
      <c r="C115" s="3">
        <v>32</v>
      </c>
      <c r="D115" s="4">
        <v>1100000</v>
      </c>
      <c r="E115" s="3">
        <v>588</v>
      </c>
      <c r="F115" s="28">
        <f t="shared" si="7"/>
        <v>11</v>
      </c>
      <c r="G115" t="str">
        <f t="shared" si="5"/>
        <v>31 to 35 years</v>
      </c>
      <c r="H115" t="str">
        <f t="shared" si="6"/>
        <v>10L to 14L</v>
      </c>
    </row>
    <row r="116" spans="2:8" x14ac:dyDescent="0.25">
      <c r="B116" s="5">
        <v>115</v>
      </c>
      <c r="C116" s="3">
        <v>67</v>
      </c>
      <c r="D116" s="4">
        <v>1130000</v>
      </c>
      <c r="E116" s="3">
        <v>807</v>
      </c>
      <c r="F116" s="28">
        <f t="shared" si="7"/>
        <v>11.3</v>
      </c>
      <c r="G116" t="str">
        <f t="shared" si="5"/>
        <v>&gt;= 56 years</v>
      </c>
      <c r="H116" t="str">
        <f t="shared" si="6"/>
        <v>10L to 14L</v>
      </c>
    </row>
    <row r="117" spans="2:8" x14ac:dyDescent="0.25">
      <c r="B117" s="5">
        <v>116</v>
      </c>
      <c r="C117" s="3">
        <v>47</v>
      </c>
      <c r="D117" s="4">
        <v>1280000</v>
      </c>
      <c r="E117" s="3">
        <v>683</v>
      </c>
      <c r="F117" s="28">
        <f t="shared" si="7"/>
        <v>12.8</v>
      </c>
      <c r="G117" t="str">
        <f t="shared" si="5"/>
        <v>41 to 50 years</v>
      </c>
      <c r="H117" t="str">
        <f t="shared" si="6"/>
        <v>10L to 14L</v>
      </c>
    </row>
    <row r="118" spans="2:8" x14ac:dyDescent="0.25">
      <c r="B118" s="5">
        <v>117</v>
      </c>
      <c r="C118" s="3">
        <v>26</v>
      </c>
      <c r="D118" s="4">
        <v>2270000</v>
      </c>
      <c r="E118" s="3">
        <v>847</v>
      </c>
      <c r="F118" s="28">
        <f t="shared" si="7"/>
        <v>22.7</v>
      </c>
      <c r="G118" t="str">
        <f t="shared" si="5"/>
        <v>25-30 years</v>
      </c>
      <c r="H118" t="str">
        <f t="shared" si="6"/>
        <v>20L to 25L</v>
      </c>
    </row>
    <row r="119" spans="2:8" x14ac:dyDescent="0.25">
      <c r="B119" s="5">
        <v>118</v>
      </c>
      <c r="C119" s="3">
        <v>52</v>
      </c>
      <c r="D119" s="4">
        <v>2140000</v>
      </c>
      <c r="E119" s="3">
        <v>602</v>
      </c>
      <c r="F119" s="28">
        <f t="shared" si="7"/>
        <v>21.4</v>
      </c>
      <c r="G119" t="str">
        <f t="shared" si="5"/>
        <v>50 to 55 years</v>
      </c>
      <c r="H119" t="str">
        <f t="shared" si="6"/>
        <v>20L to 25L</v>
      </c>
    </row>
    <row r="120" spans="2:8" x14ac:dyDescent="0.25">
      <c r="B120" s="5">
        <v>119</v>
      </c>
      <c r="C120" s="3">
        <v>52</v>
      </c>
      <c r="D120" s="4">
        <v>1620000</v>
      </c>
      <c r="E120" s="3">
        <v>795</v>
      </c>
      <c r="F120" s="28">
        <f t="shared" si="7"/>
        <v>16.2</v>
      </c>
      <c r="G120" t="str">
        <f t="shared" si="5"/>
        <v>50 to 55 years</v>
      </c>
      <c r="H120" t="str">
        <f t="shared" si="6"/>
        <v>14L to 20L</v>
      </c>
    </row>
    <row r="121" spans="2:8" x14ac:dyDescent="0.25">
      <c r="B121" s="5">
        <v>120</v>
      </c>
      <c r="C121" s="3">
        <v>26</v>
      </c>
      <c r="D121" s="4">
        <v>1040000</v>
      </c>
      <c r="E121" s="3">
        <v>680</v>
      </c>
      <c r="F121" s="28">
        <f t="shared" si="7"/>
        <v>10.4</v>
      </c>
      <c r="G121" t="str">
        <f t="shared" si="5"/>
        <v>25-30 years</v>
      </c>
      <c r="H121" t="str">
        <f t="shared" si="6"/>
        <v>10L to 14L</v>
      </c>
    </row>
    <row r="122" spans="2:8" x14ac:dyDescent="0.25">
      <c r="B122" s="5">
        <v>121</v>
      </c>
      <c r="C122" s="3">
        <v>63</v>
      </c>
      <c r="D122" s="4">
        <v>590000</v>
      </c>
      <c r="E122" s="3">
        <v>616</v>
      </c>
      <c r="F122" s="28">
        <f t="shared" si="7"/>
        <v>5.9</v>
      </c>
      <c r="G122" t="str">
        <f t="shared" si="5"/>
        <v>&gt;= 56 years</v>
      </c>
      <c r="H122" t="str">
        <f t="shared" si="6"/>
        <v>&lt;= 8L</v>
      </c>
    </row>
    <row r="123" spans="2:8" x14ac:dyDescent="0.25">
      <c r="B123" s="5">
        <v>122</v>
      </c>
      <c r="C123" s="3">
        <v>63</v>
      </c>
      <c r="D123" s="4">
        <v>2240000</v>
      </c>
      <c r="E123" s="3">
        <v>586</v>
      </c>
      <c r="F123" s="28">
        <f t="shared" si="7"/>
        <v>22.4</v>
      </c>
      <c r="G123" t="str">
        <f t="shared" si="5"/>
        <v>&gt;= 56 years</v>
      </c>
      <c r="H123" t="str">
        <f t="shared" si="6"/>
        <v>20L to 25L</v>
      </c>
    </row>
    <row r="124" spans="2:8" x14ac:dyDescent="0.25">
      <c r="B124" s="5">
        <v>123</v>
      </c>
      <c r="C124" s="3">
        <v>38</v>
      </c>
      <c r="D124" s="4">
        <v>1960000</v>
      </c>
      <c r="E124" s="3">
        <v>534</v>
      </c>
      <c r="F124" s="28">
        <f t="shared" si="7"/>
        <v>19.600000000000001</v>
      </c>
      <c r="G124" t="str">
        <f t="shared" si="5"/>
        <v>36 to 40 years</v>
      </c>
      <c r="H124" t="str">
        <f t="shared" si="6"/>
        <v>14L to 20L</v>
      </c>
    </row>
    <row r="125" spans="2:8" x14ac:dyDescent="0.25">
      <c r="B125" s="5">
        <v>124</v>
      </c>
      <c r="C125" s="3">
        <v>31</v>
      </c>
      <c r="D125" s="4">
        <v>890000</v>
      </c>
      <c r="E125" s="3">
        <v>839</v>
      </c>
      <c r="F125" s="28">
        <f t="shared" si="7"/>
        <v>8.9</v>
      </c>
      <c r="G125" t="str">
        <f t="shared" si="5"/>
        <v>31 to 35 years</v>
      </c>
      <c r="H125" t="str">
        <f t="shared" si="6"/>
        <v>8L to 10L</v>
      </c>
    </row>
    <row r="126" spans="2:8" x14ac:dyDescent="0.25">
      <c r="B126" s="5">
        <v>125</v>
      </c>
      <c r="C126" s="3">
        <v>54</v>
      </c>
      <c r="D126" s="4">
        <v>1580000</v>
      </c>
      <c r="E126" s="3">
        <v>858</v>
      </c>
      <c r="F126" s="28">
        <f t="shared" si="7"/>
        <v>15.8</v>
      </c>
      <c r="G126" t="str">
        <f t="shared" si="5"/>
        <v>50 to 55 years</v>
      </c>
      <c r="H126" t="str">
        <f t="shared" si="6"/>
        <v>14L to 20L</v>
      </c>
    </row>
    <row r="127" spans="2:8" x14ac:dyDescent="0.25">
      <c r="B127" s="5">
        <v>126</v>
      </c>
      <c r="C127" s="3">
        <v>61</v>
      </c>
      <c r="D127" s="4">
        <v>810000</v>
      </c>
      <c r="E127" s="3">
        <v>741</v>
      </c>
      <c r="F127" s="28">
        <f t="shared" si="7"/>
        <v>8.1</v>
      </c>
      <c r="G127" t="str">
        <f t="shared" si="5"/>
        <v>&gt;= 56 years</v>
      </c>
      <c r="H127" t="str">
        <f t="shared" si="6"/>
        <v>8L to 10L</v>
      </c>
    </row>
    <row r="128" spans="2:8" x14ac:dyDescent="0.25">
      <c r="B128" s="5">
        <v>127</v>
      </c>
      <c r="C128" s="3">
        <v>40</v>
      </c>
      <c r="D128" s="4">
        <v>1810000</v>
      </c>
      <c r="E128" s="3">
        <v>535</v>
      </c>
      <c r="F128" s="28">
        <f t="shared" si="7"/>
        <v>18.100000000000001</v>
      </c>
      <c r="G128" t="str">
        <f t="shared" si="5"/>
        <v>36 to 40 years</v>
      </c>
      <c r="H128" t="str">
        <f t="shared" si="6"/>
        <v>14L to 20L</v>
      </c>
    </row>
    <row r="129" spans="2:8" x14ac:dyDescent="0.25">
      <c r="B129" s="5">
        <v>128</v>
      </c>
      <c r="C129" s="3">
        <v>42</v>
      </c>
      <c r="D129" s="4">
        <v>2210000</v>
      </c>
      <c r="E129" s="3">
        <v>782</v>
      </c>
      <c r="F129" s="28">
        <f t="shared" si="7"/>
        <v>22.1</v>
      </c>
      <c r="G129" t="str">
        <f t="shared" si="5"/>
        <v>41 to 50 years</v>
      </c>
      <c r="H129" t="str">
        <f t="shared" si="6"/>
        <v>20L to 25L</v>
      </c>
    </row>
    <row r="130" spans="2:8" x14ac:dyDescent="0.25">
      <c r="B130" s="5">
        <v>129</v>
      </c>
      <c r="C130" s="3">
        <v>27</v>
      </c>
      <c r="D130" s="4">
        <v>1810000</v>
      </c>
      <c r="E130" s="3">
        <v>844</v>
      </c>
      <c r="F130" s="28">
        <f t="shared" ref="F130:F161" si="8">D130/100000</f>
        <v>18.100000000000001</v>
      </c>
      <c r="G130" t="str">
        <f t="shared" si="5"/>
        <v>25-30 years</v>
      </c>
      <c r="H130" t="str">
        <f t="shared" si="6"/>
        <v>14L to 20L</v>
      </c>
    </row>
    <row r="131" spans="2:8" x14ac:dyDescent="0.25">
      <c r="B131" s="5">
        <v>130</v>
      </c>
      <c r="C131" s="3">
        <v>42</v>
      </c>
      <c r="D131" s="4">
        <v>1420000</v>
      </c>
      <c r="E131" s="3">
        <v>765</v>
      </c>
      <c r="F131" s="28">
        <f t="shared" si="8"/>
        <v>14.2</v>
      </c>
      <c r="G131" t="str">
        <f t="shared" ref="G131:G194" si="9">IF(C131&gt;=56,$M$9,IF(C131&gt;50,$M$8,IF(C131&gt;=41,$M$7,IF(C131&gt;=36,$M$6,IF(C131&gt;=31,$M$5,IF(C131&gt;=25,$M$4,$M$3))))))</f>
        <v>41 to 50 years</v>
      </c>
      <c r="H131" t="str">
        <f t="shared" ref="H131:H194" si="10">IF(F131&gt;20,$R$2,IF(F131&gt;14,$Q$2,IF(F131&gt;10,$P$2,IF(F131&gt;8,$O$2,$N$2))))</f>
        <v>14L to 20L</v>
      </c>
    </row>
    <row r="132" spans="2:8" x14ac:dyDescent="0.25">
      <c r="B132" s="5">
        <v>131</v>
      </c>
      <c r="C132" s="3">
        <v>50</v>
      </c>
      <c r="D132" s="4">
        <v>610000</v>
      </c>
      <c r="E132" s="3">
        <v>786</v>
      </c>
      <c r="F132" s="28">
        <f t="shared" si="8"/>
        <v>6.1</v>
      </c>
      <c r="G132" t="str">
        <f t="shared" si="9"/>
        <v>41 to 50 years</v>
      </c>
      <c r="H132" t="str">
        <f t="shared" si="10"/>
        <v>&lt;= 8L</v>
      </c>
    </row>
    <row r="133" spans="2:8" x14ac:dyDescent="0.25">
      <c r="B133" s="5">
        <v>132</v>
      </c>
      <c r="C133" s="3">
        <v>32</v>
      </c>
      <c r="D133" s="4">
        <v>2410000</v>
      </c>
      <c r="E133" s="3">
        <v>576</v>
      </c>
      <c r="F133" s="28">
        <f t="shared" si="8"/>
        <v>24.1</v>
      </c>
      <c r="G133" t="str">
        <f t="shared" si="9"/>
        <v>31 to 35 years</v>
      </c>
      <c r="H133" t="str">
        <f t="shared" si="10"/>
        <v>20L to 25L</v>
      </c>
    </row>
    <row r="134" spans="2:8" x14ac:dyDescent="0.25">
      <c r="B134" s="5">
        <v>133</v>
      </c>
      <c r="C134" s="3">
        <v>60</v>
      </c>
      <c r="D134" s="4">
        <v>1690000</v>
      </c>
      <c r="E134" s="3">
        <v>554</v>
      </c>
      <c r="F134" s="28">
        <f t="shared" si="8"/>
        <v>16.899999999999999</v>
      </c>
      <c r="G134" t="str">
        <f t="shared" si="9"/>
        <v>&gt;= 56 years</v>
      </c>
      <c r="H134" t="str">
        <f t="shared" si="10"/>
        <v>14L to 20L</v>
      </c>
    </row>
    <row r="135" spans="2:8" x14ac:dyDescent="0.25">
      <c r="B135" s="5">
        <v>134</v>
      </c>
      <c r="C135" s="3">
        <v>46</v>
      </c>
      <c r="D135" s="4">
        <v>1840000</v>
      </c>
      <c r="E135" s="3">
        <v>798</v>
      </c>
      <c r="F135" s="28">
        <f t="shared" si="8"/>
        <v>18.399999999999999</v>
      </c>
      <c r="G135" t="str">
        <f t="shared" si="9"/>
        <v>41 to 50 years</v>
      </c>
      <c r="H135" t="str">
        <f t="shared" si="10"/>
        <v>14L to 20L</v>
      </c>
    </row>
    <row r="136" spans="2:8" x14ac:dyDescent="0.25">
      <c r="B136" s="5">
        <v>135</v>
      </c>
      <c r="C136" s="3">
        <v>35</v>
      </c>
      <c r="D136" s="4">
        <v>1590000</v>
      </c>
      <c r="E136" s="3">
        <v>548</v>
      </c>
      <c r="F136" s="28">
        <f t="shared" si="8"/>
        <v>15.9</v>
      </c>
      <c r="G136" t="str">
        <f t="shared" si="9"/>
        <v>31 to 35 years</v>
      </c>
      <c r="H136" t="str">
        <f t="shared" si="10"/>
        <v>14L to 20L</v>
      </c>
    </row>
    <row r="137" spans="2:8" x14ac:dyDescent="0.25">
      <c r="B137" s="5">
        <v>136</v>
      </c>
      <c r="C137" s="3">
        <v>56</v>
      </c>
      <c r="D137" s="4">
        <v>1700000</v>
      </c>
      <c r="E137" s="3">
        <v>533</v>
      </c>
      <c r="F137" s="28">
        <f t="shared" si="8"/>
        <v>17</v>
      </c>
      <c r="G137" t="str">
        <f t="shared" si="9"/>
        <v>&gt;= 56 years</v>
      </c>
      <c r="H137" t="str">
        <f t="shared" si="10"/>
        <v>14L to 20L</v>
      </c>
    </row>
    <row r="138" spans="2:8" x14ac:dyDescent="0.25">
      <c r="B138" s="5">
        <v>137</v>
      </c>
      <c r="C138" s="3">
        <v>54</v>
      </c>
      <c r="D138" s="4">
        <v>2280000</v>
      </c>
      <c r="E138" s="3">
        <v>634</v>
      </c>
      <c r="F138" s="28">
        <f t="shared" si="8"/>
        <v>22.8</v>
      </c>
      <c r="G138" t="str">
        <f t="shared" si="9"/>
        <v>50 to 55 years</v>
      </c>
      <c r="H138" t="str">
        <f t="shared" si="10"/>
        <v>20L to 25L</v>
      </c>
    </row>
    <row r="139" spans="2:8" x14ac:dyDescent="0.25">
      <c r="B139" s="5">
        <v>138</v>
      </c>
      <c r="C139" s="3">
        <v>34</v>
      </c>
      <c r="D139" s="4">
        <v>2240000</v>
      </c>
      <c r="E139" s="3">
        <v>544</v>
      </c>
      <c r="F139" s="28">
        <f t="shared" si="8"/>
        <v>22.4</v>
      </c>
      <c r="G139" t="str">
        <f t="shared" si="9"/>
        <v>31 to 35 years</v>
      </c>
      <c r="H139" t="str">
        <f t="shared" si="10"/>
        <v>20L to 25L</v>
      </c>
    </row>
    <row r="140" spans="2:8" x14ac:dyDescent="0.25">
      <c r="B140" s="5">
        <v>139</v>
      </c>
      <c r="C140" s="3">
        <v>57</v>
      </c>
      <c r="D140" s="4">
        <v>1120000</v>
      </c>
      <c r="E140" s="3">
        <v>834</v>
      </c>
      <c r="F140" s="28">
        <f t="shared" si="8"/>
        <v>11.2</v>
      </c>
      <c r="G140" t="str">
        <f t="shared" si="9"/>
        <v>&gt;= 56 years</v>
      </c>
      <c r="H140" t="str">
        <f t="shared" si="10"/>
        <v>10L to 14L</v>
      </c>
    </row>
    <row r="141" spans="2:8" x14ac:dyDescent="0.25">
      <c r="B141" s="5">
        <v>140</v>
      </c>
      <c r="C141" s="3">
        <v>52</v>
      </c>
      <c r="D141" s="4">
        <v>2490000</v>
      </c>
      <c r="E141" s="3">
        <v>657</v>
      </c>
      <c r="F141" s="28">
        <f t="shared" si="8"/>
        <v>24.9</v>
      </c>
      <c r="G141" t="str">
        <f t="shared" si="9"/>
        <v>50 to 55 years</v>
      </c>
      <c r="H141" t="str">
        <f t="shared" si="10"/>
        <v>20L to 25L</v>
      </c>
    </row>
    <row r="142" spans="2:8" x14ac:dyDescent="0.25">
      <c r="B142" s="5">
        <v>141</v>
      </c>
      <c r="C142" s="3">
        <v>61</v>
      </c>
      <c r="D142" s="4">
        <v>550000</v>
      </c>
      <c r="E142" s="3">
        <v>533</v>
      </c>
      <c r="F142" s="28">
        <f t="shared" si="8"/>
        <v>5.5</v>
      </c>
      <c r="G142" t="str">
        <f t="shared" si="9"/>
        <v>&gt;= 56 years</v>
      </c>
      <c r="H142" t="str">
        <f t="shared" si="10"/>
        <v>&lt;= 8L</v>
      </c>
    </row>
    <row r="143" spans="2:8" x14ac:dyDescent="0.25">
      <c r="B143" s="5">
        <v>142</v>
      </c>
      <c r="C143" s="3">
        <v>38</v>
      </c>
      <c r="D143" s="4">
        <v>1160000</v>
      </c>
      <c r="E143" s="3">
        <v>744</v>
      </c>
      <c r="F143" s="28">
        <f t="shared" si="8"/>
        <v>11.6</v>
      </c>
      <c r="G143" t="str">
        <f t="shared" si="9"/>
        <v>36 to 40 years</v>
      </c>
      <c r="H143" t="str">
        <f t="shared" si="10"/>
        <v>10L to 14L</v>
      </c>
    </row>
    <row r="144" spans="2:8" x14ac:dyDescent="0.25">
      <c r="B144" s="5">
        <v>143</v>
      </c>
      <c r="C144" s="3">
        <v>28</v>
      </c>
      <c r="D144" s="4">
        <v>2190000</v>
      </c>
      <c r="E144" s="3">
        <v>778</v>
      </c>
      <c r="F144" s="28">
        <f t="shared" si="8"/>
        <v>21.9</v>
      </c>
      <c r="G144" t="str">
        <f t="shared" si="9"/>
        <v>25-30 years</v>
      </c>
      <c r="H144" t="str">
        <f t="shared" si="10"/>
        <v>20L to 25L</v>
      </c>
    </row>
    <row r="145" spans="2:8" x14ac:dyDescent="0.25">
      <c r="B145" s="5">
        <v>144</v>
      </c>
      <c r="C145" s="3">
        <v>25</v>
      </c>
      <c r="D145" s="4">
        <v>2420000</v>
      </c>
      <c r="E145" s="3">
        <v>792</v>
      </c>
      <c r="F145" s="28">
        <f t="shared" si="8"/>
        <v>24.2</v>
      </c>
      <c r="G145" t="str">
        <f t="shared" si="9"/>
        <v>25-30 years</v>
      </c>
      <c r="H145" t="str">
        <f t="shared" si="10"/>
        <v>20L to 25L</v>
      </c>
    </row>
    <row r="146" spans="2:8" x14ac:dyDescent="0.25">
      <c r="B146" s="5">
        <v>145</v>
      </c>
      <c r="C146" s="3">
        <v>38</v>
      </c>
      <c r="D146" s="4">
        <v>1630000</v>
      </c>
      <c r="E146" s="3">
        <v>803</v>
      </c>
      <c r="F146" s="28">
        <f t="shared" si="8"/>
        <v>16.3</v>
      </c>
      <c r="G146" t="str">
        <f t="shared" si="9"/>
        <v>36 to 40 years</v>
      </c>
      <c r="H146" t="str">
        <f t="shared" si="10"/>
        <v>14L to 20L</v>
      </c>
    </row>
    <row r="147" spans="2:8" x14ac:dyDescent="0.25">
      <c r="B147" s="5">
        <v>146</v>
      </c>
      <c r="C147" s="3">
        <v>25</v>
      </c>
      <c r="D147" s="4">
        <v>1920000</v>
      </c>
      <c r="E147" s="3">
        <v>817</v>
      </c>
      <c r="F147" s="28">
        <f t="shared" si="8"/>
        <v>19.2</v>
      </c>
      <c r="G147" t="str">
        <f t="shared" si="9"/>
        <v>25-30 years</v>
      </c>
      <c r="H147" t="str">
        <f t="shared" si="10"/>
        <v>14L to 20L</v>
      </c>
    </row>
    <row r="148" spans="2:8" x14ac:dyDescent="0.25">
      <c r="B148" s="5">
        <v>147</v>
      </c>
      <c r="C148" s="3">
        <v>32</v>
      </c>
      <c r="D148" s="4">
        <v>2300000</v>
      </c>
      <c r="E148" s="3">
        <v>572</v>
      </c>
      <c r="F148" s="28">
        <f t="shared" si="8"/>
        <v>23</v>
      </c>
      <c r="G148" t="str">
        <f t="shared" si="9"/>
        <v>31 to 35 years</v>
      </c>
      <c r="H148" t="str">
        <f t="shared" si="10"/>
        <v>20L to 25L</v>
      </c>
    </row>
    <row r="149" spans="2:8" x14ac:dyDescent="0.25">
      <c r="B149" s="5">
        <v>148</v>
      </c>
      <c r="C149" s="3">
        <v>68</v>
      </c>
      <c r="D149" s="4">
        <v>1960000</v>
      </c>
      <c r="E149" s="3">
        <v>572</v>
      </c>
      <c r="F149" s="28">
        <f t="shared" si="8"/>
        <v>19.600000000000001</v>
      </c>
      <c r="G149" t="str">
        <f t="shared" si="9"/>
        <v>&gt;= 56 years</v>
      </c>
      <c r="H149" t="str">
        <f t="shared" si="10"/>
        <v>14L to 20L</v>
      </c>
    </row>
    <row r="150" spans="2:8" x14ac:dyDescent="0.25">
      <c r="B150" s="5">
        <v>149</v>
      </c>
      <c r="C150" s="3">
        <v>30</v>
      </c>
      <c r="D150" s="4">
        <v>1130000</v>
      </c>
      <c r="E150" s="3">
        <v>820</v>
      </c>
      <c r="F150" s="28">
        <f t="shared" si="8"/>
        <v>11.3</v>
      </c>
      <c r="G150" t="str">
        <f t="shared" si="9"/>
        <v>25-30 years</v>
      </c>
      <c r="H150" t="str">
        <f t="shared" si="10"/>
        <v>10L to 14L</v>
      </c>
    </row>
    <row r="151" spans="2:8" x14ac:dyDescent="0.25">
      <c r="B151" s="5">
        <v>150</v>
      </c>
      <c r="C151" s="3">
        <v>44</v>
      </c>
      <c r="D151" s="4">
        <v>1010000</v>
      </c>
      <c r="E151" s="3">
        <v>751</v>
      </c>
      <c r="F151" s="28">
        <f t="shared" si="8"/>
        <v>10.1</v>
      </c>
      <c r="G151" t="str">
        <f t="shared" si="9"/>
        <v>41 to 50 years</v>
      </c>
      <c r="H151" t="str">
        <f t="shared" si="10"/>
        <v>10L to 14L</v>
      </c>
    </row>
    <row r="152" spans="2:8" x14ac:dyDescent="0.25">
      <c r="B152" s="5">
        <v>151</v>
      </c>
      <c r="C152" s="3">
        <v>35</v>
      </c>
      <c r="D152" s="4">
        <v>660000</v>
      </c>
      <c r="E152" s="3">
        <v>819</v>
      </c>
      <c r="F152" s="28">
        <f t="shared" si="8"/>
        <v>6.6</v>
      </c>
      <c r="G152" t="str">
        <f t="shared" si="9"/>
        <v>31 to 35 years</v>
      </c>
      <c r="H152" t="str">
        <f t="shared" si="10"/>
        <v>&lt;= 8L</v>
      </c>
    </row>
    <row r="153" spans="2:8" x14ac:dyDescent="0.25">
      <c r="B153" s="5">
        <v>152</v>
      </c>
      <c r="C153" s="3">
        <v>21</v>
      </c>
      <c r="D153" s="4">
        <v>1490000</v>
      </c>
      <c r="E153" s="3">
        <v>701</v>
      </c>
      <c r="F153" s="28">
        <f t="shared" si="8"/>
        <v>14.9</v>
      </c>
      <c r="G153" t="str">
        <f t="shared" si="9"/>
        <v>&lt;= 24 years</v>
      </c>
      <c r="H153" t="str">
        <f t="shared" si="10"/>
        <v>14L to 20L</v>
      </c>
    </row>
    <row r="154" spans="2:8" x14ac:dyDescent="0.25">
      <c r="B154" s="5">
        <v>153</v>
      </c>
      <c r="C154" s="3">
        <v>67</v>
      </c>
      <c r="D154" s="4">
        <v>1720000</v>
      </c>
      <c r="E154" s="3">
        <v>837</v>
      </c>
      <c r="F154" s="28">
        <f t="shared" si="8"/>
        <v>17.2</v>
      </c>
      <c r="G154" t="str">
        <f t="shared" si="9"/>
        <v>&gt;= 56 years</v>
      </c>
      <c r="H154" t="str">
        <f t="shared" si="10"/>
        <v>14L to 20L</v>
      </c>
    </row>
    <row r="155" spans="2:8" x14ac:dyDescent="0.25">
      <c r="B155" s="5">
        <v>154</v>
      </c>
      <c r="C155" s="3">
        <v>33</v>
      </c>
      <c r="D155" s="4">
        <v>1850000</v>
      </c>
      <c r="E155" s="3">
        <v>583</v>
      </c>
      <c r="F155" s="28">
        <f t="shared" si="8"/>
        <v>18.5</v>
      </c>
      <c r="G155" t="str">
        <f t="shared" si="9"/>
        <v>31 to 35 years</v>
      </c>
      <c r="H155" t="str">
        <f t="shared" si="10"/>
        <v>14L to 20L</v>
      </c>
    </row>
    <row r="156" spans="2:8" x14ac:dyDescent="0.25">
      <c r="B156" s="5">
        <v>155</v>
      </c>
      <c r="C156" s="3">
        <v>62</v>
      </c>
      <c r="D156" s="4">
        <v>1560000</v>
      </c>
      <c r="E156" s="3">
        <v>759</v>
      </c>
      <c r="F156" s="28">
        <f t="shared" si="8"/>
        <v>15.6</v>
      </c>
      <c r="G156" t="str">
        <f t="shared" si="9"/>
        <v>&gt;= 56 years</v>
      </c>
      <c r="H156" t="str">
        <f t="shared" si="10"/>
        <v>14L to 20L</v>
      </c>
    </row>
    <row r="157" spans="2:8" x14ac:dyDescent="0.25">
      <c r="B157" s="5">
        <v>156</v>
      </c>
      <c r="C157" s="3">
        <v>31</v>
      </c>
      <c r="D157" s="4">
        <v>1160000</v>
      </c>
      <c r="E157" s="3">
        <v>662</v>
      </c>
      <c r="F157" s="28">
        <f t="shared" si="8"/>
        <v>11.6</v>
      </c>
      <c r="G157" t="str">
        <f t="shared" si="9"/>
        <v>31 to 35 years</v>
      </c>
      <c r="H157" t="str">
        <f t="shared" si="10"/>
        <v>10L to 14L</v>
      </c>
    </row>
    <row r="158" spans="2:8" x14ac:dyDescent="0.25">
      <c r="B158" s="5">
        <v>157</v>
      </c>
      <c r="C158" s="3">
        <v>28</v>
      </c>
      <c r="D158" s="4">
        <v>650000</v>
      </c>
      <c r="E158" s="3">
        <v>561</v>
      </c>
      <c r="F158" s="28">
        <f t="shared" si="8"/>
        <v>6.5</v>
      </c>
      <c r="G158" t="str">
        <f t="shared" si="9"/>
        <v>25-30 years</v>
      </c>
      <c r="H158" t="str">
        <f t="shared" si="10"/>
        <v>&lt;= 8L</v>
      </c>
    </row>
    <row r="159" spans="2:8" x14ac:dyDescent="0.25">
      <c r="B159" s="5">
        <v>158</v>
      </c>
      <c r="C159" s="3">
        <v>32</v>
      </c>
      <c r="D159" s="4">
        <v>1610000</v>
      </c>
      <c r="E159" s="3">
        <v>753</v>
      </c>
      <c r="F159" s="28">
        <f t="shared" si="8"/>
        <v>16.100000000000001</v>
      </c>
      <c r="G159" t="str">
        <f t="shared" si="9"/>
        <v>31 to 35 years</v>
      </c>
      <c r="H159" t="str">
        <f t="shared" si="10"/>
        <v>14L to 20L</v>
      </c>
    </row>
    <row r="160" spans="2:8" x14ac:dyDescent="0.25">
      <c r="B160" s="5">
        <v>159</v>
      </c>
      <c r="C160" s="3">
        <v>62</v>
      </c>
      <c r="D160" s="4">
        <v>730000</v>
      </c>
      <c r="E160" s="3">
        <v>643</v>
      </c>
      <c r="F160" s="28">
        <f t="shared" si="8"/>
        <v>7.3</v>
      </c>
      <c r="G160" t="str">
        <f t="shared" si="9"/>
        <v>&gt;= 56 years</v>
      </c>
      <c r="H160" t="str">
        <f t="shared" si="10"/>
        <v>&lt;= 8L</v>
      </c>
    </row>
    <row r="161" spans="2:8" x14ac:dyDescent="0.25">
      <c r="B161" s="5">
        <v>160</v>
      </c>
      <c r="C161" s="3">
        <v>31</v>
      </c>
      <c r="D161" s="4">
        <v>2440000</v>
      </c>
      <c r="E161" s="3">
        <v>570</v>
      </c>
      <c r="F161" s="28">
        <f t="shared" si="8"/>
        <v>24.4</v>
      </c>
      <c r="G161" t="str">
        <f t="shared" si="9"/>
        <v>31 to 35 years</v>
      </c>
      <c r="H161" t="str">
        <f t="shared" si="10"/>
        <v>20L to 25L</v>
      </c>
    </row>
    <row r="162" spans="2:8" x14ac:dyDescent="0.25">
      <c r="B162" s="5">
        <v>161</v>
      </c>
      <c r="C162" s="3">
        <v>46</v>
      </c>
      <c r="D162" s="4">
        <v>1620000</v>
      </c>
      <c r="E162" s="3">
        <v>647</v>
      </c>
      <c r="F162" s="28">
        <f t="shared" ref="F162:F193" si="11">D162/100000</f>
        <v>16.2</v>
      </c>
      <c r="G162" t="str">
        <f t="shared" si="9"/>
        <v>41 to 50 years</v>
      </c>
      <c r="H162" t="str">
        <f t="shared" si="10"/>
        <v>14L to 20L</v>
      </c>
    </row>
    <row r="163" spans="2:8" x14ac:dyDescent="0.25">
      <c r="B163" s="5">
        <v>162</v>
      </c>
      <c r="C163" s="3">
        <v>33</v>
      </c>
      <c r="D163" s="4">
        <v>1060000</v>
      </c>
      <c r="E163" s="3">
        <v>623</v>
      </c>
      <c r="F163" s="28">
        <f t="shared" si="11"/>
        <v>10.6</v>
      </c>
      <c r="G163" t="str">
        <f t="shared" si="9"/>
        <v>31 to 35 years</v>
      </c>
      <c r="H163" t="str">
        <f t="shared" si="10"/>
        <v>10L to 14L</v>
      </c>
    </row>
    <row r="164" spans="2:8" x14ac:dyDescent="0.25">
      <c r="B164" s="5">
        <v>163</v>
      </c>
      <c r="C164" s="3">
        <v>26</v>
      </c>
      <c r="D164" s="4">
        <v>2470000</v>
      </c>
      <c r="E164" s="3">
        <v>658</v>
      </c>
      <c r="F164" s="28">
        <f t="shared" si="11"/>
        <v>24.7</v>
      </c>
      <c r="G164" t="str">
        <f t="shared" si="9"/>
        <v>25-30 years</v>
      </c>
      <c r="H164" t="str">
        <f t="shared" si="10"/>
        <v>20L to 25L</v>
      </c>
    </row>
    <row r="165" spans="2:8" x14ac:dyDescent="0.25">
      <c r="B165" s="5">
        <v>164</v>
      </c>
      <c r="C165" s="3">
        <v>25</v>
      </c>
      <c r="D165" s="4">
        <v>740000</v>
      </c>
      <c r="E165" s="3">
        <v>576</v>
      </c>
      <c r="F165" s="28">
        <f t="shared" si="11"/>
        <v>7.4</v>
      </c>
      <c r="G165" t="str">
        <f t="shared" si="9"/>
        <v>25-30 years</v>
      </c>
      <c r="H165" t="str">
        <f t="shared" si="10"/>
        <v>&lt;= 8L</v>
      </c>
    </row>
    <row r="166" spans="2:8" x14ac:dyDescent="0.25">
      <c r="B166" s="5">
        <v>165</v>
      </c>
      <c r="C166" s="3">
        <v>53</v>
      </c>
      <c r="D166" s="4">
        <v>1090000</v>
      </c>
      <c r="E166" s="3">
        <v>792</v>
      </c>
      <c r="F166" s="28">
        <f t="shared" si="11"/>
        <v>10.9</v>
      </c>
      <c r="G166" t="str">
        <f t="shared" si="9"/>
        <v>50 to 55 years</v>
      </c>
      <c r="H166" t="str">
        <f t="shared" si="10"/>
        <v>10L to 14L</v>
      </c>
    </row>
    <row r="167" spans="2:8" x14ac:dyDescent="0.25">
      <c r="B167" s="5">
        <v>166</v>
      </c>
      <c r="C167" s="3">
        <v>53</v>
      </c>
      <c r="D167" s="4">
        <v>670000</v>
      </c>
      <c r="E167" s="3">
        <v>666</v>
      </c>
      <c r="F167" s="28">
        <f t="shared" si="11"/>
        <v>6.7</v>
      </c>
      <c r="G167" t="str">
        <f t="shared" si="9"/>
        <v>50 to 55 years</v>
      </c>
      <c r="H167" t="str">
        <f t="shared" si="10"/>
        <v>&lt;= 8L</v>
      </c>
    </row>
    <row r="168" spans="2:8" x14ac:dyDescent="0.25">
      <c r="B168" s="5">
        <v>167</v>
      </c>
      <c r="C168" s="3">
        <v>27</v>
      </c>
      <c r="D168" s="4">
        <v>2040000</v>
      </c>
      <c r="E168" s="3">
        <v>814</v>
      </c>
      <c r="F168" s="28">
        <f t="shared" si="11"/>
        <v>20.399999999999999</v>
      </c>
      <c r="G168" t="str">
        <f t="shared" si="9"/>
        <v>25-30 years</v>
      </c>
      <c r="H168" t="str">
        <f t="shared" si="10"/>
        <v>20L to 25L</v>
      </c>
    </row>
    <row r="169" spans="2:8" x14ac:dyDescent="0.25">
      <c r="B169" s="5">
        <v>168</v>
      </c>
      <c r="C169" s="3">
        <v>28</v>
      </c>
      <c r="D169" s="4">
        <v>580000</v>
      </c>
      <c r="E169" s="3">
        <v>544</v>
      </c>
      <c r="F169" s="28">
        <f t="shared" si="11"/>
        <v>5.8</v>
      </c>
      <c r="G169" t="str">
        <f t="shared" si="9"/>
        <v>25-30 years</v>
      </c>
      <c r="H169" t="str">
        <f t="shared" si="10"/>
        <v>&lt;= 8L</v>
      </c>
    </row>
    <row r="170" spans="2:8" x14ac:dyDescent="0.25">
      <c r="B170" s="5">
        <v>169</v>
      </c>
      <c r="C170" s="3">
        <v>46</v>
      </c>
      <c r="D170" s="4">
        <v>1750000</v>
      </c>
      <c r="E170" s="3">
        <v>816</v>
      </c>
      <c r="F170" s="28">
        <f t="shared" si="11"/>
        <v>17.5</v>
      </c>
      <c r="G170" t="str">
        <f t="shared" si="9"/>
        <v>41 to 50 years</v>
      </c>
      <c r="H170" t="str">
        <f t="shared" si="10"/>
        <v>14L to 20L</v>
      </c>
    </row>
    <row r="171" spans="2:8" x14ac:dyDescent="0.25">
      <c r="B171" s="5">
        <v>170</v>
      </c>
      <c r="C171" s="3">
        <v>26</v>
      </c>
      <c r="D171" s="4">
        <v>590000</v>
      </c>
      <c r="E171" s="3">
        <v>563</v>
      </c>
      <c r="F171" s="28">
        <f t="shared" si="11"/>
        <v>5.9</v>
      </c>
      <c r="G171" t="str">
        <f t="shared" si="9"/>
        <v>25-30 years</v>
      </c>
      <c r="H171" t="str">
        <f t="shared" si="10"/>
        <v>&lt;= 8L</v>
      </c>
    </row>
    <row r="172" spans="2:8" x14ac:dyDescent="0.25">
      <c r="B172" s="5">
        <v>171</v>
      </c>
      <c r="C172" s="3">
        <v>47</v>
      </c>
      <c r="D172" s="4">
        <v>1610000</v>
      </c>
      <c r="E172" s="3">
        <v>692</v>
      </c>
      <c r="F172" s="28">
        <f t="shared" si="11"/>
        <v>16.100000000000001</v>
      </c>
      <c r="G172" t="str">
        <f t="shared" si="9"/>
        <v>41 to 50 years</v>
      </c>
      <c r="H172" t="str">
        <f t="shared" si="10"/>
        <v>14L to 20L</v>
      </c>
    </row>
    <row r="173" spans="2:8" x14ac:dyDescent="0.25">
      <c r="B173" s="5">
        <v>172</v>
      </c>
      <c r="C173" s="3">
        <v>58</v>
      </c>
      <c r="D173" s="4">
        <v>1170000</v>
      </c>
      <c r="E173" s="3">
        <v>608</v>
      </c>
      <c r="F173" s="28">
        <f t="shared" si="11"/>
        <v>11.7</v>
      </c>
      <c r="G173" t="str">
        <f t="shared" si="9"/>
        <v>&gt;= 56 years</v>
      </c>
      <c r="H173" t="str">
        <f t="shared" si="10"/>
        <v>10L to 14L</v>
      </c>
    </row>
    <row r="174" spans="2:8" x14ac:dyDescent="0.25">
      <c r="B174" s="5">
        <v>173</v>
      </c>
      <c r="C174" s="3">
        <v>40</v>
      </c>
      <c r="D174" s="4">
        <v>1210000</v>
      </c>
      <c r="E174" s="3">
        <v>819</v>
      </c>
      <c r="F174" s="28">
        <f t="shared" si="11"/>
        <v>12.1</v>
      </c>
      <c r="G174" t="str">
        <f t="shared" si="9"/>
        <v>36 to 40 years</v>
      </c>
      <c r="H174" t="str">
        <f t="shared" si="10"/>
        <v>10L to 14L</v>
      </c>
    </row>
    <row r="175" spans="2:8" x14ac:dyDescent="0.25">
      <c r="B175" s="5">
        <v>174</v>
      </c>
      <c r="C175" s="3">
        <v>29</v>
      </c>
      <c r="D175" s="4">
        <v>2460000</v>
      </c>
      <c r="E175" s="3">
        <v>602</v>
      </c>
      <c r="F175" s="28">
        <f t="shared" si="11"/>
        <v>24.6</v>
      </c>
      <c r="G175" t="str">
        <f t="shared" si="9"/>
        <v>25-30 years</v>
      </c>
      <c r="H175" t="str">
        <f t="shared" si="10"/>
        <v>20L to 25L</v>
      </c>
    </row>
    <row r="176" spans="2:8" x14ac:dyDescent="0.25">
      <c r="B176" s="5">
        <v>175</v>
      </c>
      <c r="C176" s="3">
        <v>38</v>
      </c>
      <c r="D176" s="4">
        <v>1530000</v>
      </c>
      <c r="E176" s="3">
        <v>703</v>
      </c>
      <c r="F176" s="28">
        <f t="shared" si="11"/>
        <v>15.3</v>
      </c>
      <c r="G176" t="str">
        <f t="shared" si="9"/>
        <v>36 to 40 years</v>
      </c>
      <c r="H176" t="str">
        <f t="shared" si="10"/>
        <v>14L to 20L</v>
      </c>
    </row>
    <row r="177" spans="2:8" x14ac:dyDescent="0.25">
      <c r="B177" s="5">
        <v>176</v>
      </c>
      <c r="C177" s="3">
        <v>68</v>
      </c>
      <c r="D177" s="4">
        <v>1410000</v>
      </c>
      <c r="E177" s="3">
        <v>819</v>
      </c>
      <c r="F177" s="28">
        <f t="shared" si="11"/>
        <v>14.1</v>
      </c>
      <c r="G177" t="str">
        <f t="shared" si="9"/>
        <v>&gt;= 56 years</v>
      </c>
      <c r="H177" t="str">
        <f t="shared" si="10"/>
        <v>14L to 20L</v>
      </c>
    </row>
    <row r="178" spans="2:8" x14ac:dyDescent="0.25">
      <c r="B178" s="5">
        <v>177</v>
      </c>
      <c r="C178" s="3">
        <v>55</v>
      </c>
      <c r="D178" s="4">
        <v>1250000</v>
      </c>
      <c r="E178" s="3">
        <v>774</v>
      </c>
      <c r="F178" s="28">
        <f t="shared" si="11"/>
        <v>12.5</v>
      </c>
      <c r="G178" t="str">
        <f t="shared" si="9"/>
        <v>50 to 55 years</v>
      </c>
      <c r="H178" t="str">
        <f t="shared" si="10"/>
        <v>10L to 14L</v>
      </c>
    </row>
    <row r="179" spans="2:8" x14ac:dyDescent="0.25">
      <c r="B179" s="5">
        <v>178</v>
      </c>
      <c r="C179" s="3">
        <v>53</v>
      </c>
      <c r="D179" s="4">
        <v>590000</v>
      </c>
      <c r="E179" s="3">
        <v>602</v>
      </c>
      <c r="F179" s="28">
        <f t="shared" si="11"/>
        <v>5.9</v>
      </c>
      <c r="G179" t="str">
        <f t="shared" si="9"/>
        <v>50 to 55 years</v>
      </c>
      <c r="H179" t="str">
        <f t="shared" si="10"/>
        <v>&lt;= 8L</v>
      </c>
    </row>
    <row r="180" spans="2:8" x14ac:dyDescent="0.25">
      <c r="B180" s="5">
        <v>179</v>
      </c>
      <c r="C180" s="3">
        <v>26</v>
      </c>
      <c r="D180" s="4">
        <v>1100000</v>
      </c>
      <c r="E180" s="3">
        <v>567</v>
      </c>
      <c r="F180" s="28">
        <f t="shared" si="11"/>
        <v>11</v>
      </c>
      <c r="G180" t="str">
        <f t="shared" si="9"/>
        <v>25-30 years</v>
      </c>
      <c r="H180" t="str">
        <f t="shared" si="10"/>
        <v>10L to 14L</v>
      </c>
    </row>
    <row r="181" spans="2:8" x14ac:dyDescent="0.25">
      <c r="B181" s="5">
        <v>180</v>
      </c>
      <c r="C181" s="3">
        <v>34</v>
      </c>
      <c r="D181" s="4">
        <v>1300000</v>
      </c>
      <c r="E181" s="3">
        <v>852</v>
      </c>
      <c r="F181" s="28">
        <f t="shared" si="11"/>
        <v>13</v>
      </c>
      <c r="G181" t="str">
        <f t="shared" si="9"/>
        <v>31 to 35 years</v>
      </c>
      <c r="H181" t="str">
        <f t="shared" si="10"/>
        <v>10L to 14L</v>
      </c>
    </row>
    <row r="182" spans="2:8" x14ac:dyDescent="0.25">
      <c r="B182" s="5">
        <v>181</v>
      </c>
      <c r="C182" s="3">
        <v>68</v>
      </c>
      <c r="D182" s="4">
        <v>1400000</v>
      </c>
      <c r="E182" s="3">
        <v>579</v>
      </c>
      <c r="F182" s="28">
        <f t="shared" si="11"/>
        <v>14</v>
      </c>
      <c r="G182" t="str">
        <f t="shared" si="9"/>
        <v>&gt;= 56 years</v>
      </c>
      <c r="H182" t="str">
        <f t="shared" si="10"/>
        <v>10L to 14L</v>
      </c>
    </row>
    <row r="183" spans="2:8" x14ac:dyDescent="0.25">
      <c r="B183" s="5">
        <v>182</v>
      </c>
      <c r="C183" s="3">
        <v>37</v>
      </c>
      <c r="D183" s="4">
        <v>2190000</v>
      </c>
      <c r="E183" s="3">
        <v>691</v>
      </c>
      <c r="F183" s="28">
        <f t="shared" si="11"/>
        <v>21.9</v>
      </c>
      <c r="G183" t="str">
        <f t="shared" si="9"/>
        <v>36 to 40 years</v>
      </c>
      <c r="H183" t="str">
        <f t="shared" si="10"/>
        <v>20L to 25L</v>
      </c>
    </row>
    <row r="184" spans="2:8" x14ac:dyDescent="0.25">
      <c r="B184" s="5">
        <v>183</v>
      </c>
      <c r="C184" s="3">
        <v>65</v>
      </c>
      <c r="D184" s="4">
        <v>2170000</v>
      </c>
      <c r="E184" s="3">
        <v>578</v>
      </c>
      <c r="F184" s="28">
        <f t="shared" si="11"/>
        <v>21.7</v>
      </c>
      <c r="G184" t="str">
        <f t="shared" si="9"/>
        <v>&gt;= 56 years</v>
      </c>
      <c r="H184" t="str">
        <f t="shared" si="10"/>
        <v>20L to 25L</v>
      </c>
    </row>
    <row r="185" spans="2:8" x14ac:dyDescent="0.25">
      <c r="B185" s="5">
        <v>184</v>
      </c>
      <c r="C185" s="3">
        <v>56</v>
      </c>
      <c r="D185" s="4">
        <v>560000</v>
      </c>
      <c r="E185" s="3">
        <v>760</v>
      </c>
      <c r="F185" s="28">
        <f t="shared" si="11"/>
        <v>5.6</v>
      </c>
      <c r="G185" t="str">
        <f t="shared" si="9"/>
        <v>&gt;= 56 years</v>
      </c>
      <c r="H185" t="str">
        <f t="shared" si="10"/>
        <v>&lt;= 8L</v>
      </c>
    </row>
    <row r="186" spans="2:8" x14ac:dyDescent="0.25">
      <c r="B186" s="5">
        <v>185</v>
      </c>
      <c r="C186" s="3">
        <v>22</v>
      </c>
      <c r="D186" s="4">
        <v>580000</v>
      </c>
      <c r="E186" s="3">
        <v>676</v>
      </c>
      <c r="F186" s="28">
        <f t="shared" si="11"/>
        <v>5.8</v>
      </c>
      <c r="G186" t="str">
        <f t="shared" si="9"/>
        <v>&lt;= 24 years</v>
      </c>
      <c r="H186" t="str">
        <f t="shared" si="10"/>
        <v>&lt;= 8L</v>
      </c>
    </row>
    <row r="187" spans="2:8" x14ac:dyDescent="0.25">
      <c r="B187" s="5">
        <v>186</v>
      </c>
      <c r="C187" s="3">
        <v>22</v>
      </c>
      <c r="D187" s="4">
        <v>2110000</v>
      </c>
      <c r="E187" s="3">
        <v>821</v>
      </c>
      <c r="F187" s="28">
        <f t="shared" si="11"/>
        <v>21.1</v>
      </c>
      <c r="G187" t="str">
        <f t="shared" si="9"/>
        <v>&lt;= 24 years</v>
      </c>
      <c r="H187" t="str">
        <f t="shared" si="10"/>
        <v>20L to 25L</v>
      </c>
    </row>
    <row r="188" spans="2:8" x14ac:dyDescent="0.25">
      <c r="B188" s="5">
        <v>187</v>
      </c>
      <c r="C188" s="3">
        <v>29</v>
      </c>
      <c r="D188" s="4">
        <v>1110000</v>
      </c>
      <c r="E188" s="3">
        <v>528</v>
      </c>
      <c r="F188" s="28">
        <f t="shared" si="11"/>
        <v>11.1</v>
      </c>
      <c r="G188" t="str">
        <f t="shared" si="9"/>
        <v>25-30 years</v>
      </c>
      <c r="H188" t="str">
        <f t="shared" si="10"/>
        <v>10L to 14L</v>
      </c>
    </row>
    <row r="189" spans="2:8" x14ac:dyDescent="0.25">
      <c r="B189" s="5">
        <v>188</v>
      </c>
      <c r="C189" s="3">
        <v>56</v>
      </c>
      <c r="D189" s="4">
        <v>1710000</v>
      </c>
      <c r="E189" s="3">
        <v>841</v>
      </c>
      <c r="F189" s="28">
        <f t="shared" si="11"/>
        <v>17.100000000000001</v>
      </c>
      <c r="G189" t="str">
        <f t="shared" si="9"/>
        <v>&gt;= 56 years</v>
      </c>
      <c r="H189" t="str">
        <f t="shared" si="10"/>
        <v>14L to 20L</v>
      </c>
    </row>
    <row r="190" spans="2:8" x14ac:dyDescent="0.25">
      <c r="B190" s="5">
        <v>189</v>
      </c>
      <c r="C190" s="3">
        <v>37</v>
      </c>
      <c r="D190" s="4">
        <v>1930000</v>
      </c>
      <c r="E190" s="3">
        <v>611</v>
      </c>
      <c r="F190" s="28">
        <f t="shared" si="11"/>
        <v>19.3</v>
      </c>
      <c r="G190" t="str">
        <f t="shared" si="9"/>
        <v>36 to 40 years</v>
      </c>
      <c r="H190" t="str">
        <f t="shared" si="10"/>
        <v>14L to 20L</v>
      </c>
    </row>
    <row r="191" spans="2:8" x14ac:dyDescent="0.25">
      <c r="B191" s="5">
        <v>190</v>
      </c>
      <c r="C191" s="3">
        <v>22</v>
      </c>
      <c r="D191" s="4">
        <v>1540000</v>
      </c>
      <c r="E191" s="3">
        <v>800</v>
      </c>
      <c r="F191" s="28">
        <f t="shared" si="11"/>
        <v>15.4</v>
      </c>
      <c r="G191" t="str">
        <f t="shared" si="9"/>
        <v>&lt;= 24 years</v>
      </c>
      <c r="H191" t="str">
        <f t="shared" si="10"/>
        <v>14L to 20L</v>
      </c>
    </row>
    <row r="192" spans="2:8" x14ac:dyDescent="0.25">
      <c r="B192" s="5">
        <v>191</v>
      </c>
      <c r="C192" s="3">
        <v>41</v>
      </c>
      <c r="D192" s="4">
        <v>1810000</v>
      </c>
      <c r="E192" s="3">
        <v>822</v>
      </c>
      <c r="F192" s="28">
        <f t="shared" si="11"/>
        <v>18.100000000000001</v>
      </c>
      <c r="G192" t="str">
        <f t="shared" si="9"/>
        <v>41 to 50 years</v>
      </c>
      <c r="H192" t="str">
        <f t="shared" si="10"/>
        <v>14L to 20L</v>
      </c>
    </row>
    <row r="193" spans="2:8" x14ac:dyDescent="0.25">
      <c r="B193" s="5">
        <v>192</v>
      </c>
      <c r="C193" s="3">
        <v>24</v>
      </c>
      <c r="D193" s="4">
        <v>1410000</v>
      </c>
      <c r="E193" s="3">
        <v>752</v>
      </c>
      <c r="F193" s="28">
        <f t="shared" si="11"/>
        <v>14.1</v>
      </c>
      <c r="G193" t="str">
        <f t="shared" si="9"/>
        <v>&lt;= 24 years</v>
      </c>
      <c r="H193" t="str">
        <f t="shared" si="10"/>
        <v>14L to 20L</v>
      </c>
    </row>
    <row r="194" spans="2:8" x14ac:dyDescent="0.25">
      <c r="B194" s="5">
        <v>193</v>
      </c>
      <c r="C194" s="3">
        <v>60</v>
      </c>
      <c r="D194" s="4">
        <v>2350000</v>
      </c>
      <c r="E194" s="3">
        <v>579</v>
      </c>
      <c r="F194" s="28">
        <f t="shared" ref="F194:F201" si="12">D194/100000</f>
        <v>23.5</v>
      </c>
      <c r="G194" t="str">
        <f t="shared" si="9"/>
        <v>&gt;= 56 years</v>
      </c>
      <c r="H194" t="str">
        <f t="shared" si="10"/>
        <v>20L to 25L</v>
      </c>
    </row>
    <row r="195" spans="2:8" x14ac:dyDescent="0.25">
      <c r="B195" s="5">
        <v>194</v>
      </c>
      <c r="C195" s="3">
        <v>44</v>
      </c>
      <c r="D195" s="4">
        <v>900000</v>
      </c>
      <c r="E195" s="3">
        <v>626</v>
      </c>
      <c r="F195" s="28">
        <f t="shared" si="12"/>
        <v>9</v>
      </c>
      <c r="G195" t="str">
        <f t="shared" ref="G195:G201" si="13">IF(C195&gt;=56,$M$9,IF(C195&gt;50,$M$8,IF(C195&gt;=41,$M$7,IF(C195&gt;=36,$M$6,IF(C195&gt;=31,$M$5,IF(C195&gt;=25,$M$4,$M$3))))))</f>
        <v>41 to 50 years</v>
      </c>
      <c r="H195" t="str">
        <f t="shared" ref="H195:H201" si="14">IF(F195&gt;20,$R$2,IF(F195&gt;14,$Q$2,IF(F195&gt;10,$P$2,IF(F195&gt;8,$O$2,$N$2))))</f>
        <v>8L to 10L</v>
      </c>
    </row>
    <row r="196" spans="2:8" x14ac:dyDescent="0.25">
      <c r="B196" s="5">
        <v>195</v>
      </c>
      <c r="C196" s="3">
        <v>68</v>
      </c>
      <c r="D196" s="4">
        <v>2010000</v>
      </c>
      <c r="E196" s="3">
        <v>822</v>
      </c>
      <c r="F196" s="28">
        <f t="shared" si="12"/>
        <v>20.100000000000001</v>
      </c>
      <c r="G196" t="str">
        <f t="shared" si="13"/>
        <v>&gt;= 56 years</v>
      </c>
      <c r="H196" t="str">
        <f t="shared" si="14"/>
        <v>20L to 25L</v>
      </c>
    </row>
    <row r="197" spans="2:8" x14ac:dyDescent="0.25">
      <c r="B197" s="5">
        <v>196</v>
      </c>
      <c r="C197" s="3">
        <v>61</v>
      </c>
      <c r="D197" s="4">
        <v>1810000</v>
      </c>
      <c r="E197" s="3">
        <v>733</v>
      </c>
      <c r="F197" s="28">
        <f t="shared" si="12"/>
        <v>18.100000000000001</v>
      </c>
      <c r="G197" t="str">
        <f t="shared" si="13"/>
        <v>&gt;= 56 years</v>
      </c>
      <c r="H197" t="str">
        <f t="shared" si="14"/>
        <v>14L to 20L</v>
      </c>
    </row>
    <row r="198" spans="2:8" x14ac:dyDescent="0.25">
      <c r="B198" s="5">
        <v>197</v>
      </c>
      <c r="C198" s="3">
        <v>24</v>
      </c>
      <c r="D198" s="4">
        <v>600000</v>
      </c>
      <c r="E198" s="3">
        <v>852</v>
      </c>
      <c r="F198" s="28">
        <f t="shared" si="12"/>
        <v>6</v>
      </c>
      <c r="G198" t="str">
        <f t="shared" si="13"/>
        <v>&lt;= 24 years</v>
      </c>
      <c r="H198" t="str">
        <f t="shared" si="14"/>
        <v>&lt;= 8L</v>
      </c>
    </row>
    <row r="199" spans="2:8" x14ac:dyDescent="0.25">
      <c r="B199" s="5">
        <v>198</v>
      </c>
      <c r="C199" s="3">
        <v>25</v>
      </c>
      <c r="D199" s="4">
        <v>790000</v>
      </c>
      <c r="E199" s="3">
        <v>626</v>
      </c>
      <c r="F199" s="28">
        <f t="shared" si="12"/>
        <v>7.9</v>
      </c>
      <c r="G199" t="str">
        <f t="shared" si="13"/>
        <v>25-30 years</v>
      </c>
      <c r="H199" t="str">
        <f t="shared" si="14"/>
        <v>&lt;= 8L</v>
      </c>
    </row>
    <row r="200" spans="2:8" x14ac:dyDescent="0.25">
      <c r="B200" s="5">
        <v>199</v>
      </c>
      <c r="C200" s="3">
        <v>53</v>
      </c>
      <c r="D200" s="4">
        <v>1360000</v>
      </c>
      <c r="E200" s="3">
        <v>833</v>
      </c>
      <c r="F200" s="28">
        <f t="shared" si="12"/>
        <v>13.6</v>
      </c>
      <c r="G200" t="str">
        <f t="shared" si="13"/>
        <v>50 to 55 years</v>
      </c>
      <c r="H200" t="str">
        <f t="shared" si="14"/>
        <v>10L to 14L</v>
      </c>
    </row>
    <row r="201" spans="2:8" x14ac:dyDescent="0.25">
      <c r="B201" s="5">
        <v>200</v>
      </c>
      <c r="C201" s="3">
        <v>54</v>
      </c>
      <c r="D201" s="4">
        <v>1180000</v>
      </c>
      <c r="E201" s="3">
        <v>612</v>
      </c>
      <c r="F201" s="28">
        <f t="shared" si="12"/>
        <v>11.8</v>
      </c>
      <c r="G201" t="str">
        <f t="shared" si="13"/>
        <v>50 to 55 years</v>
      </c>
      <c r="H201" t="str">
        <f t="shared" si="14"/>
        <v>10L to 14L</v>
      </c>
    </row>
  </sheetData>
  <autoFilter ref="B1:H201" xr:uid="{8268662C-82A6-4887-B197-E2E4714D817B}"/>
  <mergeCells count="2">
    <mergeCell ref="M1:R1"/>
    <mergeCell ref="M14:R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B58F5-91C7-4CE5-A71D-A1CB6A99E493}">
  <dimension ref="C2:I97"/>
  <sheetViews>
    <sheetView showGridLines="0" workbookViewId="0">
      <selection activeCell="F8" sqref="F8"/>
    </sheetView>
  </sheetViews>
  <sheetFormatPr defaultRowHeight="15" x14ac:dyDescent="0.25"/>
  <cols>
    <col min="3" max="3" width="11.7109375" style="12" bestFit="1" customWidth="1"/>
    <col min="4" max="4" width="17.85546875" style="8" customWidth="1"/>
    <col min="5" max="5" width="19.28515625" bestFit="1" customWidth="1"/>
    <col min="8" max="8" width="18" style="6" bestFit="1" customWidth="1"/>
    <col min="9" max="9" width="32.42578125" bestFit="1" customWidth="1"/>
  </cols>
  <sheetData>
    <row r="2" spans="3:9" x14ac:dyDescent="0.25">
      <c r="C2" s="13" t="s">
        <v>60</v>
      </c>
      <c r="D2" s="11" t="s">
        <v>61</v>
      </c>
      <c r="E2" s="10" t="s">
        <v>57</v>
      </c>
      <c r="H2" s="9" t="s">
        <v>54</v>
      </c>
      <c r="I2" s="10" t="s">
        <v>55</v>
      </c>
    </row>
    <row r="3" spans="3:9" x14ac:dyDescent="0.25">
      <c r="C3" s="14" t="s">
        <v>16</v>
      </c>
      <c r="D3" s="21" t="str">
        <f>TEXT(C3,"DD-MMMM-YYYY")</f>
        <v>13-May-2020</v>
      </c>
      <c r="E3" s="7">
        <f>NETWORKDAYS.INTL(DATE(YEAR(D3),MONTH(D3),DAY(0)),D3,,$H$3:$H$97)</f>
        <v>8</v>
      </c>
      <c r="H3" s="38">
        <v>43835</v>
      </c>
      <c r="I3" s="3" t="s">
        <v>34</v>
      </c>
    </row>
    <row r="4" spans="3:9" x14ac:dyDescent="0.25">
      <c r="C4" s="14" t="s">
        <v>17</v>
      </c>
      <c r="D4" s="21" t="str">
        <f t="shared" ref="D4:D16" si="0">TEXT(C4,"DD-MMMM-YYYY")</f>
        <v>20-February-2020</v>
      </c>
      <c r="E4" s="7">
        <f t="shared" ref="E4:E32" si="1">NETWORKDAYS.INTL(DATE(YEAR(D4),MONTH(D4),DAY(0)),D4,,$H$3:$H$97)</f>
        <v>14</v>
      </c>
      <c r="H4" s="38">
        <v>43841</v>
      </c>
      <c r="I4" s="3" t="s">
        <v>35</v>
      </c>
    </row>
    <row r="5" spans="3:9" x14ac:dyDescent="0.25">
      <c r="C5" s="14" t="s">
        <v>18</v>
      </c>
      <c r="D5" s="21" t="str">
        <f t="shared" si="0"/>
        <v>24-June-2020</v>
      </c>
      <c r="E5" s="7">
        <f t="shared" si="1"/>
        <v>18</v>
      </c>
      <c r="H5" s="38">
        <v>43842</v>
      </c>
      <c r="I5" s="3" t="s">
        <v>34</v>
      </c>
    </row>
    <row r="6" spans="3:9" x14ac:dyDescent="0.25">
      <c r="C6" s="14" t="s">
        <v>19</v>
      </c>
      <c r="D6" s="21" t="str">
        <f t="shared" si="0"/>
        <v>29-February-2020</v>
      </c>
      <c r="E6" s="7">
        <f t="shared" si="1"/>
        <v>19</v>
      </c>
      <c r="H6" s="38">
        <v>43849</v>
      </c>
      <c r="I6" s="3" t="s">
        <v>34</v>
      </c>
    </row>
    <row r="7" spans="3:9" x14ac:dyDescent="0.25">
      <c r="C7" s="14" t="s">
        <v>20</v>
      </c>
      <c r="D7" s="21" t="str">
        <f t="shared" si="0"/>
        <v>17-December-2020</v>
      </c>
      <c r="E7" s="7">
        <f t="shared" si="1"/>
        <v>13</v>
      </c>
      <c r="H7" s="38">
        <v>43855</v>
      </c>
      <c r="I7" s="3" t="s">
        <v>35</v>
      </c>
    </row>
    <row r="8" spans="3:9" x14ac:dyDescent="0.25">
      <c r="C8" s="14" t="s">
        <v>21</v>
      </c>
      <c r="D8" s="21" t="str">
        <f t="shared" si="0"/>
        <v>28-December-2020</v>
      </c>
      <c r="E8" s="7">
        <f t="shared" si="1"/>
        <v>19</v>
      </c>
      <c r="H8" s="38">
        <v>43856</v>
      </c>
      <c r="I8" s="3" t="s">
        <v>34</v>
      </c>
    </row>
    <row r="9" spans="3:9" x14ac:dyDescent="0.25">
      <c r="C9" s="14" t="s">
        <v>22</v>
      </c>
      <c r="D9" s="21" t="str">
        <f t="shared" si="0"/>
        <v>15-November-2020</v>
      </c>
      <c r="E9" s="7">
        <f t="shared" si="1"/>
        <v>10</v>
      </c>
      <c r="H9" s="38">
        <v>43863</v>
      </c>
      <c r="I9" s="3" t="s">
        <v>34</v>
      </c>
    </row>
    <row r="10" spans="3:9" x14ac:dyDescent="0.25">
      <c r="C10" s="14" t="s">
        <v>23</v>
      </c>
      <c r="D10" s="21" t="str">
        <f t="shared" si="0"/>
        <v>13-October-2020</v>
      </c>
      <c r="E10" s="7">
        <f t="shared" si="1"/>
        <v>9</v>
      </c>
      <c r="H10" s="38">
        <v>43869</v>
      </c>
      <c r="I10" s="3" t="s">
        <v>35</v>
      </c>
    </row>
    <row r="11" spans="3:9" x14ac:dyDescent="0.25">
      <c r="C11" s="14">
        <v>43841</v>
      </c>
      <c r="D11" s="21" t="str">
        <f t="shared" si="0"/>
        <v>11-January-2020</v>
      </c>
      <c r="E11" s="7">
        <f t="shared" si="1"/>
        <v>9</v>
      </c>
      <c r="H11" s="38">
        <v>43870</v>
      </c>
      <c r="I11" s="3" t="s">
        <v>34</v>
      </c>
    </row>
    <row r="12" spans="3:9" x14ac:dyDescent="0.25">
      <c r="C12" s="14" t="s">
        <v>24</v>
      </c>
      <c r="D12" s="21" t="str">
        <f t="shared" si="0"/>
        <v>29-March-2020</v>
      </c>
      <c r="E12" s="7">
        <f t="shared" si="1"/>
        <v>18</v>
      </c>
      <c r="H12" s="38">
        <v>43877</v>
      </c>
      <c r="I12" s="3" t="s">
        <v>34</v>
      </c>
    </row>
    <row r="13" spans="3:9" x14ac:dyDescent="0.25">
      <c r="C13" s="14" t="s">
        <v>25</v>
      </c>
      <c r="D13" s="21" t="str">
        <f t="shared" si="0"/>
        <v>16-August-2020</v>
      </c>
      <c r="E13" s="7">
        <f t="shared" si="1"/>
        <v>11</v>
      </c>
      <c r="H13" s="38">
        <v>43880</v>
      </c>
      <c r="I13" s="3" t="s">
        <v>36</v>
      </c>
    </row>
    <row r="14" spans="3:9" x14ac:dyDescent="0.25">
      <c r="C14" s="14" t="s">
        <v>26</v>
      </c>
      <c r="D14" s="21" t="str">
        <f t="shared" si="0"/>
        <v>25-October-2020</v>
      </c>
      <c r="E14" s="7">
        <f t="shared" si="1"/>
        <v>17</v>
      </c>
      <c r="H14" s="38">
        <v>43882</v>
      </c>
      <c r="I14" s="3" t="s">
        <v>37</v>
      </c>
    </row>
    <row r="15" spans="3:9" x14ac:dyDescent="0.25">
      <c r="C15" s="14" t="s">
        <v>27</v>
      </c>
      <c r="D15" s="21" t="str">
        <f t="shared" si="0"/>
        <v>27-February-2020</v>
      </c>
      <c r="E15" s="7">
        <f t="shared" si="1"/>
        <v>18</v>
      </c>
      <c r="H15" s="38">
        <v>43883</v>
      </c>
      <c r="I15" s="3" t="s">
        <v>35</v>
      </c>
    </row>
    <row r="16" spans="3:9" x14ac:dyDescent="0.25">
      <c r="C16" s="14" t="s">
        <v>28</v>
      </c>
      <c r="D16" s="21" t="str">
        <f t="shared" si="0"/>
        <v>20-March-2020</v>
      </c>
      <c r="E16" s="7">
        <f t="shared" si="1"/>
        <v>14</v>
      </c>
      <c r="H16" s="38">
        <v>43884</v>
      </c>
      <c r="I16" s="3" t="s">
        <v>34</v>
      </c>
    </row>
    <row r="17" spans="3:9" x14ac:dyDescent="0.25">
      <c r="C17" s="14">
        <v>43961</v>
      </c>
      <c r="D17" s="21" t="str">
        <f>TEXT(C17,"DD-MMMM-YYYY")</f>
        <v>10-May-2020</v>
      </c>
      <c r="E17" s="7">
        <f t="shared" si="1"/>
        <v>5</v>
      </c>
      <c r="H17" s="38">
        <v>43891</v>
      </c>
      <c r="I17" s="3" t="s">
        <v>34</v>
      </c>
    </row>
    <row r="18" spans="3:9" x14ac:dyDescent="0.25">
      <c r="C18" s="14" t="s">
        <v>29</v>
      </c>
      <c r="D18" s="21" t="str">
        <f>TEXT(C18,"DD-MMMM-YYYY")</f>
        <v>16-May-2020</v>
      </c>
      <c r="E18" s="7">
        <f t="shared" si="1"/>
        <v>10</v>
      </c>
      <c r="H18" s="38">
        <v>43898</v>
      </c>
      <c r="I18" s="3" t="s">
        <v>34</v>
      </c>
    </row>
    <row r="19" spans="3:9" x14ac:dyDescent="0.25">
      <c r="C19" s="14" t="s">
        <v>25</v>
      </c>
      <c r="D19" s="21" t="str">
        <f t="shared" ref="D19:D31" si="2">TEXT(C19,"DD-MMMM-YYYY")</f>
        <v>16-August-2020</v>
      </c>
      <c r="E19" s="7">
        <f t="shared" si="1"/>
        <v>11</v>
      </c>
      <c r="H19" s="38">
        <v>43900</v>
      </c>
      <c r="I19" s="3" t="s">
        <v>38</v>
      </c>
    </row>
    <row r="20" spans="3:9" x14ac:dyDescent="0.25">
      <c r="C20" s="14">
        <v>43931</v>
      </c>
      <c r="D20" s="21" t="str">
        <f t="shared" si="2"/>
        <v>10-April-2020</v>
      </c>
      <c r="E20" s="7">
        <f t="shared" si="1"/>
        <v>5</v>
      </c>
      <c r="H20" s="38">
        <v>43904</v>
      </c>
      <c r="I20" s="3" t="s">
        <v>35</v>
      </c>
    </row>
    <row r="21" spans="3:9" x14ac:dyDescent="0.25">
      <c r="C21" s="14">
        <v>43992</v>
      </c>
      <c r="D21" s="21" t="str">
        <f t="shared" si="2"/>
        <v>10-June-2020</v>
      </c>
      <c r="E21" s="7">
        <f t="shared" si="1"/>
        <v>8</v>
      </c>
      <c r="H21" s="38">
        <v>43905</v>
      </c>
      <c r="I21" s="3" t="s">
        <v>34</v>
      </c>
    </row>
    <row r="22" spans="3:9" x14ac:dyDescent="0.25">
      <c r="C22" s="14">
        <v>43953</v>
      </c>
      <c r="D22" s="21" t="str">
        <f t="shared" si="2"/>
        <v>02-May-2020</v>
      </c>
      <c r="E22" s="7">
        <f t="shared" si="1"/>
        <v>1</v>
      </c>
      <c r="H22" s="38">
        <v>43912</v>
      </c>
      <c r="I22" s="3" t="s">
        <v>34</v>
      </c>
    </row>
    <row r="23" spans="3:9" x14ac:dyDescent="0.25">
      <c r="C23" s="14" t="s">
        <v>30</v>
      </c>
      <c r="D23" s="21" t="str">
        <f t="shared" si="2"/>
        <v>25-November-2020</v>
      </c>
      <c r="E23" s="7">
        <f t="shared" si="1"/>
        <v>17</v>
      </c>
      <c r="H23" s="38">
        <v>43915</v>
      </c>
      <c r="I23" s="3" t="s">
        <v>39</v>
      </c>
    </row>
    <row r="24" spans="3:9" x14ac:dyDescent="0.25">
      <c r="C24" s="14">
        <v>43863</v>
      </c>
      <c r="D24" s="21" t="str">
        <f t="shared" si="2"/>
        <v>02-February-2020</v>
      </c>
      <c r="E24" s="7">
        <f t="shared" si="1"/>
        <v>1</v>
      </c>
      <c r="H24" s="38">
        <v>43918</v>
      </c>
      <c r="I24" s="3" t="s">
        <v>35</v>
      </c>
    </row>
    <row r="25" spans="3:9" x14ac:dyDescent="0.25">
      <c r="C25" s="14">
        <v>44053</v>
      </c>
      <c r="D25" s="21" t="str">
        <f t="shared" si="2"/>
        <v>10-August-2020</v>
      </c>
      <c r="E25" s="7">
        <f t="shared" si="1"/>
        <v>7</v>
      </c>
      <c r="H25" s="38">
        <v>43919</v>
      </c>
      <c r="I25" s="3" t="s">
        <v>34</v>
      </c>
    </row>
    <row r="26" spans="3:9" x14ac:dyDescent="0.25">
      <c r="C26" s="14">
        <v>44109</v>
      </c>
      <c r="D26" s="21" t="str">
        <f t="shared" si="2"/>
        <v>05-October-2020</v>
      </c>
      <c r="E26" s="7">
        <f t="shared" si="1"/>
        <v>3</v>
      </c>
      <c r="H26" s="38">
        <v>43922</v>
      </c>
      <c r="I26" s="3" t="s">
        <v>40</v>
      </c>
    </row>
    <row r="27" spans="3:9" x14ac:dyDescent="0.25">
      <c r="C27" s="14" t="s">
        <v>31</v>
      </c>
      <c r="D27" s="21" t="str">
        <f t="shared" si="2"/>
        <v>26-June-2020</v>
      </c>
      <c r="E27" s="7">
        <f t="shared" si="1"/>
        <v>20</v>
      </c>
      <c r="H27" s="38">
        <v>43923</v>
      </c>
      <c r="I27" s="3" t="s">
        <v>41</v>
      </c>
    </row>
    <row r="28" spans="3:9" x14ac:dyDescent="0.25">
      <c r="C28" s="14" t="s">
        <v>32</v>
      </c>
      <c r="D28" s="21" t="str">
        <f t="shared" si="2"/>
        <v>13-March-2020</v>
      </c>
      <c r="E28" s="7">
        <f t="shared" si="1"/>
        <v>9</v>
      </c>
      <c r="H28" s="38">
        <v>43926</v>
      </c>
      <c r="I28" s="3" t="s">
        <v>34</v>
      </c>
    </row>
    <row r="29" spans="3:9" x14ac:dyDescent="0.25">
      <c r="C29" s="14" t="s">
        <v>31</v>
      </c>
      <c r="D29" s="21" t="str">
        <f t="shared" si="2"/>
        <v>26-June-2020</v>
      </c>
      <c r="E29" s="7">
        <f t="shared" si="1"/>
        <v>20</v>
      </c>
      <c r="H29" s="38">
        <v>43927</v>
      </c>
      <c r="I29" s="3" t="s">
        <v>42</v>
      </c>
    </row>
    <row r="30" spans="3:9" x14ac:dyDescent="0.25">
      <c r="C30" s="14">
        <v>43924</v>
      </c>
      <c r="D30" s="21" t="str">
        <f t="shared" si="2"/>
        <v>03-April-2020</v>
      </c>
      <c r="E30" s="7">
        <f t="shared" si="1"/>
        <v>2</v>
      </c>
      <c r="H30" s="38">
        <v>43931</v>
      </c>
      <c r="I30" s="3" t="s">
        <v>43</v>
      </c>
    </row>
    <row r="31" spans="3:9" x14ac:dyDescent="0.25">
      <c r="C31" s="14" t="s">
        <v>33</v>
      </c>
      <c r="D31" s="21" t="str">
        <f t="shared" si="2"/>
        <v>22-July-2020</v>
      </c>
      <c r="E31" s="7">
        <f t="shared" si="1"/>
        <v>17</v>
      </c>
      <c r="H31" s="38">
        <v>43932</v>
      </c>
      <c r="I31" s="3" t="s">
        <v>35</v>
      </c>
    </row>
    <row r="32" spans="3:9" x14ac:dyDescent="0.25">
      <c r="C32" s="14">
        <v>44079</v>
      </c>
      <c r="D32" s="21" t="str">
        <f>TEXT(C32,"DD-MMMM-YYYY")</f>
        <v>05-September-2020</v>
      </c>
      <c r="E32" s="7">
        <f t="shared" si="1"/>
        <v>5</v>
      </c>
      <c r="H32" s="38">
        <v>43933</v>
      </c>
      <c r="I32" s="3" t="s">
        <v>34</v>
      </c>
    </row>
    <row r="33" spans="8:9" x14ac:dyDescent="0.25">
      <c r="H33" s="38">
        <v>43935</v>
      </c>
      <c r="I33" s="3" t="s">
        <v>44</v>
      </c>
    </row>
    <row r="34" spans="8:9" x14ac:dyDescent="0.25">
      <c r="H34" s="38">
        <v>43940</v>
      </c>
      <c r="I34" s="3" t="s">
        <v>34</v>
      </c>
    </row>
    <row r="35" spans="8:9" x14ac:dyDescent="0.25">
      <c r="H35" s="38">
        <v>43946</v>
      </c>
      <c r="I35" s="3" t="s">
        <v>35</v>
      </c>
    </row>
    <row r="36" spans="8:9" x14ac:dyDescent="0.25">
      <c r="H36" s="38">
        <v>43947</v>
      </c>
      <c r="I36" s="3" t="s">
        <v>34</v>
      </c>
    </row>
    <row r="37" spans="8:9" x14ac:dyDescent="0.25">
      <c r="H37" s="38">
        <v>43952</v>
      </c>
      <c r="I37" s="3" t="s">
        <v>56</v>
      </c>
    </row>
    <row r="38" spans="8:9" x14ac:dyDescent="0.25">
      <c r="H38" s="38">
        <v>43954</v>
      </c>
      <c r="I38" s="3" t="s">
        <v>34</v>
      </c>
    </row>
    <row r="39" spans="8:9" x14ac:dyDescent="0.25">
      <c r="H39" s="38">
        <v>43958</v>
      </c>
      <c r="I39" s="3" t="s">
        <v>45</v>
      </c>
    </row>
    <row r="40" spans="8:9" x14ac:dyDescent="0.25">
      <c r="H40" s="38">
        <v>43960</v>
      </c>
      <c r="I40" s="3" t="s">
        <v>35</v>
      </c>
    </row>
    <row r="41" spans="8:9" x14ac:dyDescent="0.25">
      <c r="H41" s="38">
        <v>43961</v>
      </c>
      <c r="I41" s="3" t="s">
        <v>34</v>
      </c>
    </row>
    <row r="42" spans="8:9" x14ac:dyDescent="0.25">
      <c r="H42" s="38">
        <v>43968</v>
      </c>
      <c r="I42" s="3" t="s">
        <v>34</v>
      </c>
    </row>
    <row r="43" spans="8:9" x14ac:dyDescent="0.25">
      <c r="H43" s="38">
        <v>43974</v>
      </c>
      <c r="I43" s="3" t="s">
        <v>35</v>
      </c>
    </row>
    <row r="44" spans="8:9" x14ac:dyDescent="0.25">
      <c r="H44" s="38">
        <v>43975</v>
      </c>
      <c r="I44" s="3" t="s">
        <v>34</v>
      </c>
    </row>
    <row r="45" spans="8:9" x14ac:dyDescent="0.25">
      <c r="H45" s="38">
        <v>43976</v>
      </c>
      <c r="I45" s="3" t="s">
        <v>46</v>
      </c>
    </row>
    <row r="46" spans="8:9" x14ac:dyDescent="0.25">
      <c r="H46" s="38">
        <v>43982</v>
      </c>
      <c r="I46" s="3" t="s">
        <v>34</v>
      </c>
    </row>
    <row r="47" spans="8:9" x14ac:dyDescent="0.25">
      <c r="H47" s="38">
        <v>43989</v>
      </c>
      <c r="I47" s="3" t="s">
        <v>34</v>
      </c>
    </row>
    <row r="48" spans="8:9" x14ac:dyDescent="0.25">
      <c r="H48" s="38">
        <v>43995</v>
      </c>
      <c r="I48" s="3" t="s">
        <v>35</v>
      </c>
    </row>
    <row r="49" spans="8:9" x14ac:dyDescent="0.25">
      <c r="H49" s="38">
        <v>43996</v>
      </c>
      <c r="I49" s="3" t="s">
        <v>34</v>
      </c>
    </row>
    <row r="50" spans="8:9" x14ac:dyDescent="0.25">
      <c r="H50" s="38">
        <v>44003</v>
      </c>
      <c r="I50" s="3" t="s">
        <v>34</v>
      </c>
    </row>
    <row r="51" spans="8:9" x14ac:dyDescent="0.25">
      <c r="H51" s="38">
        <v>44009</v>
      </c>
      <c r="I51" s="3" t="s">
        <v>35</v>
      </c>
    </row>
    <row r="52" spans="8:9" x14ac:dyDescent="0.25">
      <c r="H52" s="38">
        <v>44010</v>
      </c>
      <c r="I52" s="3" t="s">
        <v>34</v>
      </c>
    </row>
    <row r="53" spans="8:9" x14ac:dyDescent="0.25">
      <c r="H53" s="38">
        <v>44017</v>
      </c>
      <c r="I53" s="3" t="s">
        <v>34</v>
      </c>
    </row>
    <row r="54" spans="8:9" x14ac:dyDescent="0.25">
      <c r="H54" s="38">
        <v>44023</v>
      </c>
      <c r="I54" s="3" t="s">
        <v>35</v>
      </c>
    </row>
    <row r="55" spans="8:9" x14ac:dyDescent="0.25">
      <c r="H55" s="38">
        <v>44024</v>
      </c>
      <c r="I55" s="3" t="s">
        <v>34</v>
      </c>
    </row>
    <row r="56" spans="8:9" x14ac:dyDescent="0.25">
      <c r="H56" s="38">
        <v>44031</v>
      </c>
      <c r="I56" s="3" t="s">
        <v>34</v>
      </c>
    </row>
    <row r="57" spans="8:9" x14ac:dyDescent="0.25">
      <c r="H57" s="38">
        <v>44037</v>
      </c>
      <c r="I57" s="3" t="s">
        <v>35</v>
      </c>
    </row>
    <row r="58" spans="8:9" x14ac:dyDescent="0.25">
      <c r="H58" s="38">
        <v>44038</v>
      </c>
      <c r="I58" s="3" t="s">
        <v>34</v>
      </c>
    </row>
    <row r="59" spans="8:9" x14ac:dyDescent="0.25">
      <c r="H59" s="38">
        <v>44044</v>
      </c>
      <c r="I59" s="3" t="s">
        <v>47</v>
      </c>
    </row>
    <row r="60" spans="8:9" x14ac:dyDescent="0.25">
      <c r="H60" s="38">
        <v>44045</v>
      </c>
      <c r="I60" s="3" t="s">
        <v>34</v>
      </c>
    </row>
    <row r="61" spans="8:9" x14ac:dyDescent="0.25">
      <c r="H61" s="38">
        <v>44051</v>
      </c>
      <c r="I61" s="3" t="s">
        <v>35</v>
      </c>
    </row>
    <row r="62" spans="8:9" x14ac:dyDescent="0.25">
      <c r="H62" s="38">
        <v>44052</v>
      </c>
      <c r="I62" s="3" t="s">
        <v>34</v>
      </c>
    </row>
    <row r="63" spans="8:9" x14ac:dyDescent="0.25">
      <c r="H63" s="38">
        <v>44058</v>
      </c>
      <c r="I63" s="3" t="s">
        <v>48</v>
      </c>
    </row>
    <row r="64" spans="8:9" x14ac:dyDescent="0.25">
      <c r="H64" s="38">
        <v>44059</v>
      </c>
      <c r="I64" s="3" t="s">
        <v>34</v>
      </c>
    </row>
    <row r="65" spans="8:9" x14ac:dyDescent="0.25">
      <c r="H65" s="38">
        <v>44065</v>
      </c>
      <c r="I65" s="3" t="s">
        <v>35</v>
      </c>
    </row>
    <row r="66" spans="8:9" x14ac:dyDescent="0.25">
      <c r="H66" s="38">
        <v>44066</v>
      </c>
      <c r="I66" s="3" t="s">
        <v>34</v>
      </c>
    </row>
    <row r="67" spans="8:9" x14ac:dyDescent="0.25">
      <c r="H67" s="38">
        <v>44073</v>
      </c>
      <c r="I67" s="3" t="s">
        <v>34</v>
      </c>
    </row>
    <row r="68" spans="8:9" x14ac:dyDescent="0.25">
      <c r="H68" s="38">
        <v>44080</v>
      </c>
      <c r="I68" s="3" t="s">
        <v>34</v>
      </c>
    </row>
    <row r="69" spans="8:9" x14ac:dyDescent="0.25">
      <c r="H69" s="38">
        <v>44086</v>
      </c>
      <c r="I69" s="3" t="s">
        <v>35</v>
      </c>
    </row>
    <row r="70" spans="8:9" x14ac:dyDescent="0.25">
      <c r="H70" s="38">
        <v>44087</v>
      </c>
      <c r="I70" s="3" t="s">
        <v>34</v>
      </c>
    </row>
    <row r="71" spans="8:9" x14ac:dyDescent="0.25">
      <c r="H71" s="38">
        <v>44094</v>
      </c>
      <c r="I71" s="3" t="s">
        <v>34</v>
      </c>
    </row>
    <row r="72" spans="8:9" x14ac:dyDescent="0.25">
      <c r="H72" s="38">
        <v>44100</v>
      </c>
      <c r="I72" s="3" t="s">
        <v>35</v>
      </c>
    </row>
    <row r="73" spans="8:9" x14ac:dyDescent="0.25">
      <c r="H73" s="38">
        <v>44101</v>
      </c>
      <c r="I73" s="3" t="s">
        <v>34</v>
      </c>
    </row>
    <row r="74" spans="8:9" x14ac:dyDescent="0.25">
      <c r="H74" s="38">
        <v>44106</v>
      </c>
      <c r="I74" s="3" t="s">
        <v>49</v>
      </c>
    </row>
    <row r="75" spans="8:9" x14ac:dyDescent="0.25">
      <c r="H75" s="38">
        <v>44108</v>
      </c>
      <c r="I75" s="3" t="s">
        <v>34</v>
      </c>
    </row>
    <row r="76" spans="8:9" x14ac:dyDescent="0.25">
      <c r="H76" s="38">
        <v>44114</v>
      </c>
      <c r="I76" s="3" t="s">
        <v>35</v>
      </c>
    </row>
    <row r="77" spans="8:9" x14ac:dyDescent="0.25">
      <c r="H77" s="38">
        <v>44115</v>
      </c>
      <c r="I77" s="3" t="s">
        <v>34</v>
      </c>
    </row>
    <row r="78" spans="8:9" x14ac:dyDescent="0.25">
      <c r="H78" s="38">
        <v>44122</v>
      </c>
      <c r="I78" s="3" t="s">
        <v>34</v>
      </c>
    </row>
    <row r="79" spans="8:9" x14ac:dyDescent="0.25">
      <c r="H79" s="38">
        <v>44128</v>
      </c>
      <c r="I79" s="3" t="s">
        <v>35</v>
      </c>
    </row>
    <row r="80" spans="8:9" x14ac:dyDescent="0.25">
      <c r="H80" s="38">
        <v>44129</v>
      </c>
      <c r="I80" s="3" t="s">
        <v>34</v>
      </c>
    </row>
    <row r="81" spans="8:9" x14ac:dyDescent="0.25">
      <c r="H81" s="38">
        <v>44134</v>
      </c>
      <c r="I81" s="3" t="s">
        <v>50</v>
      </c>
    </row>
    <row r="82" spans="8:9" x14ac:dyDescent="0.25">
      <c r="H82" s="38">
        <v>44136</v>
      </c>
      <c r="I82" s="3" t="s">
        <v>34</v>
      </c>
    </row>
    <row r="83" spans="8:9" x14ac:dyDescent="0.25">
      <c r="H83" s="38">
        <v>44143</v>
      </c>
      <c r="I83" s="3" t="s">
        <v>34</v>
      </c>
    </row>
    <row r="84" spans="8:9" x14ac:dyDescent="0.25">
      <c r="H84" s="38">
        <v>44149</v>
      </c>
      <c r="I84" s="3" t="s">
        <v>35</v>
      </c>
    </row>
    <row r="85" spans="8:9" x14ac:dyDescent="0.25">
      <c r="H85" s="38">
        <v>44150</v>
      </c>
      <c r="I85" s="3" t="s">
        <v>34</v>
      </c>
    </row>
    <row r="86" spans="8:9" x14ac:dyDescent="0.25">
      <c r="H86" s="38">
        <v>44151</v>
      </c>
      <c r="I86" s="3" t="s">
        <v>51</v>
      </c>
    </row>
    <row r="87" spans="8:9" x14ac:dyDescent="0.25">
      <c r="H87" s="38">
        <v>44157</v>
      </c>
      <c r="I87" s="3" t="s">
        <v>34</v>
      </c>
    </row>
    <row r="88" spans="8:9" x14ac:dyDescent="0.25">
      <c r="H88" s="38">
        <v>44163</v>
      </c>
      <c r="I88" s="3" t="s">
        <v>35</v>
      </c>
    </row>
    <row r="89" spans="8:9" x14ac:dyDescent="0.25">
      <c r="H89" s="38">
        <v>44164</v>
      </c>
      <c r="I89" s="3" t="s">
        <v>34</v>
      </c>
    </row>
    <row r="90" spans="8:9" x14ac:dyDescent="0.25">
      <c r="H90" s="38">
        <v>44165</v>
      </c>
      <c r="I90" s="3" t="s">
        <v>52</v>
      </c>
    </row>
    <row r="91" spans="8:9" x14ac:dyDescent="0.25">
      <c r="H91" s="38">
        <v>44171</v>
      </c>
      <c r="I91" s="3" t="s">
        <v>34</v>
      </c>
    </row>
    <row r="92" spans="8:9" x14ac:dyDescent="0.25">
      <c r="H92" s="38">
        <v>44177</v>
      </c>
      <c r="I92" s="3" t="s">
        <v>35</v>
      </c>
    </row>
    <row r="93" spans="8:9" x14ac:dyDescent="0.25">
      <c r="H93" s="38">
        <v>44178</v>
      </c>
      <c r="I93" s="3" t="s">
        <v>34</v>
      </c>
    </row>
    <row r="94" spans="8:9" x14ac:dyDescent="0.25">
      <c r="H94" s="38">
        <v>44185</v>
      </c>
      <c r="I94" s="3" t="s">
        <v>34</v>
      </c>
    </row>
    <row r="95" spans="8:9" x14ac:dyDescent="0.25">
      <c r="H95" s="38">
        <v>44190</v>
      </c>
      <c r="I95" s="3" t="s">
        <v>53</v>
      </c>
    </row>
    <row r="96" spans="8:9" x14ac:dyDescent="0.25">
      <c r="H96" s="38">
        <v>44191</v>
      </c>
      <c r="I96" s="3" t="s">
        <v>35</v>
      </c>
    </row>
    <row r="97" spans="8:9" x14ac:dyDescent="0.25">
      <c r="H97" s="38">
        <v>44192</v>
      </c>
      <c r="I97" s="3" t="s">
        <v>34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5737-E8D1-49B4-817D-D806F3371660}">
  <dimension ref="D2:V27"/>
  <sheetViews>
    <sheetView tabSelected="1" zoomScaleNormal="100" workbookViewId="0">
      <selection activeCell="D3" sqref="D3:I3"/>
    </sheetView>
  </sheetViews>
  <sheetFormatPr defaultRowHeight="15" x14ac:dyDescent="0.25"/>
  <cols>
    <col min="4" max="4" width="10.42578125" bestFit="1" customWidth="1"/>
    <col min="5" max="6" width="9.42578125" bestFit="1" customWidth="1"/>
    <col min="7" max="7" width="12.42578125" customWidth="1"/>
    <col min="8" max="8" width="10.42578125" bestFit="1" customWidth="1"/>
    <col min="9" max="9" width="12.7109375" bestFit="1" customWidth="1"/>
    <col min="10" max="10" width="19.140625" bestFit="1" customWidth="1"/>
    <col min="11" max="11" width="10.42578125" bestFit="1" customWidth="1"/>
    <col min="12" max="14" width="10" bestFit="1" customWidth="1"/>
    <col min="18" max="18" width="19.140625" bestFit="1" customWidth="1"/>
    <col min="20" max="20" width="6.140625" bestFit="1" customWidth="1"/>
    <col min="21" max="21" width="6" bestFit="1" customWidth="1"/>
    <col min="22" max="22" width="19.140625" bestFit="1" customWidth="1"/>
  </cols>
  <sheetData>
    <row r="2" spans="4:22" x14ac:dyDescent="0.25">
      <c r="D2" s="15"/>
    </row>
    <row r="3" spans="4:22" x14ac:dyDescent="0.25">
      <c r="D3" s="55" t="s">
        <v>67</v>
      </c>
      <c r="E3" s="56"/>
      <c r="F3" s="56"/>
      <c r="G3" s="56"/>
      <c r="H3" s="56"/>
      <c r="I3" s="57"/>
      <c r="K3" s="51" t="s">
        <v>93</v>
      </c>
      <c r="L3" s="51"/>
      <c r="M3" s="51"/>
      <c r="N3" s="51"/>
    </row>
    <row r="4" spans="4:22" x14ac:dyDescent="0.25">
      <c r="D4" s="48" t="s">
        <v>68</v>
      </c>
      <c r="E4" s="48" t="s">
        <v>62</v>
      </c>
      <c r="F4" s="48" t="s">
        <v>63</v>
      </c>
      <c r="G4" s="48" t="s">
        <v>64</v>
      </c>
      <c r="H4" s="48" t="s">
        <v>65</v>
      </c>
      <c r="I4" s="48" t="s">
        <v>66</v>
      </c>
      <c r="K4" s="48" t="s">
        <v>68</v>
      </c>
      <c r="L4" s="48" t="s">
        <v>89</v>
      </c>
      <c r="M4" s="48" t="s">
        <v>91</v>
      </c>
      <c r="N4" s="48" t="s">
        <v>90</v>
      </c>
    </row>
    <row r="5" spans="4:22" x14ac:dyDescent="0.25">
      <c r="D5" s="5">
        <v>2015</v>
      </c>
      <c r="E5" s="5">
        <v>4869</v>
      </c>
      <c r="F5" s="5">
        <v>3452</v>
      </c>
      <c r="G5" s="5">
        <v>1232</v>
      </c>
      <c r="H5" s="5">
        <v>4750</v>
      </c>
      <c r="I5" s="5">
        <v>914</v>
      </c>
      <c r="K5" s="9" t="s">
        <v>62</v>
      </c>
      <c r="L5" s="3" t="str">
        <f>IF(G23="Pass","Increase","False")</f>
        <v>False</v>
      </c>
      <c r="M5" s="3" t="b">
        <f>IF(AND(M23&gt;10,K23&gt;J23),"Unchanged")</f>
        <v>0</v>
      </c>
      <c r="N5" s="3" t="str">
        <f>IF('Q3'!K23&lt;'Q3'!J23,"Decease","False")</f>
        <v>False</v>
      </c>
    </row>
    <row r="6" spans="4:22" x14ac:dyDescent="0.25">
      <c r="D6" s="5">
        <v>2016</v>
      </c>
      <c r="E6" s="5">
        <v>2560</v>
      </c>
      <c r="F6" s="5">
        <v>3110</v>
      </c>
      <c r="G6" s="5">
        <v>1332</v>
      </c>
      <c r="H6" s="5">
        <v>4503</v>
      </c>
      <c r="I6" s="5">
        <v>1291</v>
      </c>
      <c r="K6" s="9" t="s">
        <v>63</v>
      </c>
      <c r="L6" s="3" t="str">
        <f t="shared" ref="L6:L9" si="0">IF(G24="Pass","Increase","False")</f>
        <v>False</v>
      </c>
      <c r="M6" s="3" t="b">
        <f>IF(AND(M24&gt;10,K24&gt;J24),"Unchanged")</f>
        <v>0</v>
      </c>
      <c r="N6" s="3" t="str">
        <f>IF('Q3'!K24&lt;'Q3'!J24,"Decease","False")</f>
        <v>False</v>
      </c>
    </row>
    <row r="7" spans="4:22" x14ac:dyDescent="0.25">
      <c r="D7" s="5">
        <v>2017</v>
      </c>
      <c r="E7" s="5">
        <v>1845</v>
      </c>
      <c r="F7" s="5">
        <v>2900</v>
      </c>
      <c r="G7" s="5">
        <v>1563</v>
      </c>
      <c r="H7" s="5">
        <v>4321</v>
      </c>
      <c r="I7" s="5">
        <v>1155</v>
      </c>
      <c r="K7" s="9" t="s">
        <v>64</v>
      </c>
      <c r="L7" s="3" t="str">
        <f t="shared" si="0"/>
        <v>False</v>
      </c>
      <c r="M7" s="3" t="b">
        <f>IF(AND(M25&gt;10,K25&gt;J25),"Unchanged")</f>
        <v>0</v>
      </c>
      <c r="N7" s="3" t="str">
        <f>IF('Q3'!K25&lt;'Q3'!J25,"Decease","False")</f>
        <v>False</v>
      </c>
    </row>
    <row r="8" spans="4:22" x14ac:dyDescent="0.25">
      <c r="D8" s="5">
        <v>2018</v>
      </c>
      <c r="E8" s="5">
        <v>3363</v>
      </c>
      <c r="F8" s="5">
        <v>3393</v>
      </c>
      <c r="G8" s="5">
        <v>1451</v>
      </c>
      <c r="H8" s="5">
        <v>4100</v>
      </c>
      <c r="I8" s="5">
        <v>1301</v>
      </c>
      <c r="K8" s="9" t="s">
        <v>65</v>
      </c>
      <c r="L8" s="3" t="str">
        <f t="shared" si="0"/>
        <v>False</v>
      </c>
      <c r="M8" s="3" t="b">
        <f>IF(AND(M26&gt;10,K26&gt;J26),"Unchanged")</f>
        <v>0</v>
      </c>
      <c r="N8" s="3" t="str">
        <f>IF('Q3'!K26&lt;'Q3'!J26,"Decease","False")</f>
        <v>False</v>
      </c>
    </row>
    <row r="9" spans="4:22" x14ac:dyDescent="0.25">
      <c r="D9" s="5">
        <v>2019</v>
      </c>
      <c r="E9" s="5">
        <v>5339</v>
      </c>
      <c r="F9" s="5">
        <v>3456</v>
      </c>
      <c r="G9" s="5">
        <v>956</v>
      </c>
      <c r="H9" s="5">
        <v>3800</v>
      </c>
      <c r="I9" s="5">
        <v>1434</v>
      </c>
      <c r="K9" s="9" t="s">
        <v>66</v>
      </c>
      <c r="L9" s="3" t="str">
        <f t="shared" si="0"/>
        <v>False</v>
      </c>
      <c r="M9" s="3" t="b">
        <f>IF(AND(M27&gt;10,K27&gt;J27),"Unchanged")</f>
        <v>0</v>
      </c>
      <c r="N9" s="3" t="str">
        <f>IF('Q3'!K27&lt;'Q3'!J27,"Decease","False")</f>
        <v>False</v>
      </c>
    </row>
    <row r="10" spans="4:22" x14ac:dyDescent="0.25">
      <c r="D10" s="5">
        <v>2020</v>
      </c>
      <c r="E10" s="5">
        <v>4890</v>
      </c>
      <c r="F10" s="5">
        <v>3600</v>
      </c>
      <c r="G10" s="5">
        <v>1139</v>
      </c>
      <c r="H10" s="5">
        <v>4250</v>
      </c>
      <c r="I10" s="5">
        <v>1082</v>
      </c>
    </row>
    <row r="11" spans="4:22" x14ac:dyDescent="0.25">
      <c r="D11" s="5">
        <v>2021</v>
      </c>
      <c r="E11" s="5">
        <v>5400</v>
      </c>
      <c r="F11" s="5">
        <v>3890</v>
      </c>
      <c r="G11" s="5">
        <v>1343</v>
      </c>
      <c r="H11" s="5">
        <v>4890</v>
      </c>
      <c r="I11" s="5">
        <v>1025</v>
      </c>
    </row>
    <row r="13" spans="4:22" x14ac:dyDescent="0.25">
      <c r="J13" s="15"/>
      <c r="Q13" s="20"/>
      <c r="R13" s="15"/>
      <c r="T13" s="10" t="s">
        <v>76</v>
      </c>
      <c r="U13" s="9" t="s">
        <v>66</v>
      </c>
      <c r="V13" s="10" t="s">
        <v>77</v>
      </c>
    </row>
    <row r="14" spans="4:22" x14ac:dyDescent="0.25">
      <c r="Q14" s="6"/>
      <c r="T14" s="5">
        <v>2015</v>
      </c>
      <c r="U14" s="5">
        <v>914</v>
      </c>
      <c r="V14" s="3"/>
    </row>
    <row r="15" spans="4:22" x14ac:dyDescent="0.25">
      <c r="J15" s="26"/>
      <c r="Q15" s="6"/>
      <c r="R15" s="26"/>
      <c r="T15" s="5">
        <v>2016</v>
      </c>
      <c r="U15" s="5">
        <v>1291</v>
      </c>
      <c r="V15" s="22">
        <f>(U15-U14)/U14</f>
        <v>0.41247264770240699</v>
      </c>
    </row>
    <row r="16" spans="4:22" x14ac:dyDescent="0.25">
      <c r="J16" s="26"/>
      <c r="Q16" s="6"/>
      <c r="R16" s="26"/>
      <c r="T16" s="5">
        <v>2017</v>
      </c>
      <c r="U16" s="5">
        <v>1155</v>
      </c>
      <c r="V16" s="22">
        <f t="shared" ref="V16:V20" si="1">(U16-U15)/U15</f>
        <v>-0.10534469403563129</v>
      </c>
    </row>
    <row r="17" spans="4:22" x14ac:dyDescent="0.25">
      <c r="J17" s="26"/>
      <c r="P17" s="6"/>
      <c r="Q17" s="6"/>
      <c r="R17" s="26"/>
      <c r="T17" s="5">
        <v>2018</v>
      </c>
      <c r="U17" s="5">
        <v>1301</v>
      </c>
      <c r="V17" s="22">
        <f t="shared" si="1"/>
        <v>0.12640692640692641</v>
      </c>
    </row>
    <row r="18" spans="4:22" x14ac:dyDescent="0.25">
      <c r="J18" s="26"/>
      <c r="P18" s="6"/>
      <c r="Q18" s="6"/>
      <c r="R18" s="26"/>
      <c r="T18" s="5">
        <v>2019</v>
      </c>
      <c r="U18" s="5">
        <v>1434</v>
      </c>
      <c r="V18" s="22">
        <f t="shared" si="1"/>
        <v>0.10222905457340507</v>
      </c>
    </row>
    <row r="19" spans="4:22" x14ac:dyDescent="0.25">
      <c r="J19" s="26"/>
      <c r="P19" s="6"/>
      <c r="Q19" s="6"/>
      <c r="R19" s="26"/>
      <c r="T19" s="5">
        <v>2020</v>
      </c>
      <c r="U19" s="5">
        <v>1082</v>
      </c>
      <c r="V19" s="22">
        <f t="shared" si="1"/>
        <v>-0.24546722454672246</v>
      </c>
    </row>
    <row r="20" spans="4:22" x14ac:dyDescent="0.25">
      <c r="D20" s="6"/>
      <c r="J20" s="26"/>
      <c r="L20" s="6"/>
      <c r="M20" s="6"/>
      <c r="N20" s="26"/>
      <c r="P20" s="6"/>
      <c r="Q20" s="6"/>
      <c r="R20" s="26"/>
      <c r="T20" s="5">
        <v>2021</v>
      </c>
      <c r="U20" s="5">
        <v>1025</v>
      </c>
      <c r="V20" s="22">
        <f t="shared" si="1"/>
        <v>-5.2680221811460259E-2</v>
      </c>
    </row>
    <row r="21" spans="4:22" x14ac:dyDescent="0.25">
      <c r="D21" s="52" t="s">
        <v>92</v>
      </c>
      <c r="E21" s="54"/>
      <c r="F21" s="54"/>
      <c r="G21" s="53"/>
      <c r="I21" s="51" t="s">
        <v>88</v>
      </c>
      <c r="J21" s="51"/>
      <c r="K21" s="51"/>
      <c r="L21" s="52" t="s">
        <v>87</v>
      </c>
      <c r="M21" s="53"/>
    </row>
    <row r="22" spans="4:22" x14ac:dyDescent="0.25">
      <c r="D22" s="48" t="s">
        <v>68</v>
      </c>
      <c r="E22" s="48" t="s">
        <v>85</v>
      </c>
      <c r="F22" s="48" t="s">
        <v>86</v>
      </c>
      <c r="G22" s="48" t="s">
        <v>94</v>
      </c>
      <c r="H22" s="15"/>
      <c r="I22" s="48" t="s">
        <v>68</v>
      </c>
      <c r="J22" s="5">
        <v>2015</v>
      </c>
      <c r="K22" s="5">
        <v>2021</v>
      </c>
      <c r="L22" s="48" t="s">
        <v>68</v>
      </c>
      <c r="M22" s="3" t="s">
        <v>79</v>
      </c>
      <c r="N22" s="25"/>
      <c r="P22" s="15"/>
      <c r="Q22" s="23"/>
      <c r="R22" s="30"/>
      <c r="T22" s="15" t="s">
        <v>78</v>
      </c>
      <c r="U22" s="23">
        <f>AVERAGE(V15:V20)</f>
        <v>3.9602748048154078E-2</v>
      </c>
      <c r="V22" s="25" t="b">
        <f>U14&gt;U20</f>
        <v>0</v>
      </c>
    </row>
    <row r="23" spans="4:22" x14ac:dyDescent="0.25">
      <c r="D23" s="48" t="s">
        <v>62</v>
      </c>
      <c r="E23" s="3" t="str">
        <f>IF(J23&gt;K23,"Yes","No")</f>
        <v>No</v>
      </c>
      <c r="F23" s="3" t="str">
        <f>IF(M23&gt;(10/100)*100,"Yes","No")</f>
        <v>No</v>
      </c>
      <c r="G23" s="3" t="str">
        <f>IF(AND(E23="No",F23="No"),"Fail","Pass")</f>
        <v>Fail</v>
      </c>
      <c r="H23" s="15"/>
      <c r="I23" s="48" t="s">
        <v>62</v>
      </c>
      <c r="J23" s="5">
        <v>4869</v>
      </c>
      <c r="K23" s="5">
        <v>5400</v>
      </c>
      <c r="L23" s="48" t="s">
        <v>62</v>
      </c>
      <c r="M23" s="29">
        <f>(E11/E5)^(1/6)-1</f>
        <v>1.7401399931578077E-2</v>
      </c>
      <c r="P23" s="15"/>
      <c r="Q23" s="27"/>
      <c r="T23" s="15" t="s">
        <v>79</v>
      </c>
      <c r="U23" s="24">
        <f>POWER((U20/U14),(1/(ROW(U20)-ROW(U14))))-1</f>
        <v>1.9286514234612362E-2</v>
      </c>
    </row>
    <row r="24" spans="4:22" x14ac:dyDescent="0.25">
      <c r="D24" s="48" t="s">
        <v>63</v>
      </c>
      <c r="E24" s="3" t="str">
        <f>IF(J24&gt;K24,"Yes","No")</f>
        <v>No</v>
      </c>
      <c r="F24" s="3" t="str">
        <f>IF(M24&gt;(10/100)*100,"Yes","No")</f>
        <v>No</v>
      </c>
      <c r="G24" s="3" t="str">
        <f t="shared" ref="G24:G27" si="2">IF(AND(E24="No",F24="No"),"Fail","Pass")</f>
        <v>Fail</v>
      </c>
      <c r="I24" s="48" t="s">
        <v>63</v>
      </c>
      <c r="J24" s="5">
        <v>3452</v>
      </c>
      <c r="K24" s="5">
        <v>3890</v>
      </c>
      <c r="L24" s="48" t="s">
        <v>63</v>
      </c>
      <c r="M24" s="29">
        <f>(F11/F5)^(1/6)-1</f>
        <v>2.0108741303451527E-2</v>
      </c>
      <c r="U24" s="24"/>
    </row>
    <row r="25" spans="4:22" x14ac:dyDescent="0.25">
      <c r="D25" s="48" t="s">
        <v>64</v>
      </c>
      <c r="E25" s="3" t="str">
        <f>IF(J25&gt;K25,"Yes","No")</f>
        <v>No</v>
      </c>
      <c r="F25" s="3" t="str">
        <f>IF(M25&gt;(10/100)*100,"Yes","No")</f>
        <v>No</v>
      </c>
      <c r="G25" s="3" t="str">
        <f t="shared" si="2"/>
        <v>Fail</v>
      </c>
      <c r="I25" s="48" t="s">
        <v>64</v>
      </c>
      <c r="J25" s="5">
        <v>1232</v>
      </c>
      <c r="K25" s="5">
        <v>1343</v>
      </c>
      <c r="L25" s="48" t="s">
        <v>64</v>
      </c>
      <c r="M25" s="29">
        <f>(G11/G5)^(1/6)-1</f>
        <v>1.4481700398867314E-2</v>
      </c>
    </row>
    <row r="26" spans="4:22" x14ac:dyDescent="0.25">
      <c r="D26" s="48" t="s">
        <v>65</v>
      </c>
      <c r="E26" s="3" t="str">
        <f>IF(J26&gt;K26,"Yes","No")</f>
        <v>No</v>
      </c>
      <c r="F26" s="3" t="str">
        <f>IF(M26&gt;(10/100)*100,"Yes","No")</f>
        <v>No</v>
      </c>
      <c r="G26" s="3" t="str">
        <f t="shared" si="2"/>
        <v>Fail</v>
      </c>
      <c r="I26" s="48" t="s">
        <v>65</v>
      </c>
      <c r="J26" s="5">
        <v>4750</v>
      </c>
      <c r="K26" s="5">
        <v>4890</v>
      </c>
      <c r="L26" s="48" t="s">
        <v>65</v>
      </c>
      <c r="M26" s="29">
        <f>(H11/H5)^(1/6)-1</f>
        <v>4.8530188416828768E-3</v>
      </c>
    </row>
    <row r="27" spans="4:22" x14ac:dyDescent="0.25">
      <c r="D27" s="48" t="s">
        <v>66</v>
      </c>
      <c r="E27" s="3" t="str">
        <f>IF(J27&gt;K27,"Yes","No")</f>
        <v>No</v>
      </c>
      <c r="F27" s="3" t="str">
        <f>IF(M27&gt;(10/100)*100,"Yes","No")</f>
        <v>No</v>
      </c>
      <c r="G27" s="3" t="str">
        <f t="shared" si="2"/>
        <v>Fail</v>
      </c>
      <c r="I27" s="48" t="s">
        <v>66</v>
      </c>
      <c r="J27" s="5">
        <v>914</v>
      </c>
      <c r="K27" s="5">
        <v>1025</v>
      </c>
      <c r="L27" s="48" t="s">
        <v>66</v>
      </c>
      <c r="M27" s="31">
        <f>(I11/I5)^(1/6)-1</f>
        <v>1.9286514234612362E-2</v>
      </c>
    </row>
  </sheetData>
  <mergeCells count="5">
    <mergeCell ref="I21:K21"/>
    <mergeCell ref="K3:N3"/>
    <mergeCell ref="L21:M21"/>
    <mergeCell ref="D21:G21"/>
    <mergeCell ref="D3:I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AC0B-DD03-4E62-B7EE-AD046FD527CD}">
  <dimension ref="B1:L31"/>
  <sheetViews>
    <sheetView zoomScaleNormal="100" workbookViewId="0">
      <selection activeCell="B2" sqref="B2"/>
    </sheetView>
  </sheetViews>
  <sheetFormatPr defaultRowHeight="15" x14ac:dyDescent="0.25"/>
  <cols>
    <col min="2" max="2" width="23.7109375" bestFit="1" customWidth="1"/>
    <col min="3" max="3" width="12.28515625" bestFit="1" customWidth="1"/>
    <col min="4" max="5" width="9.7109375" bestFit="1" customWidth="1"/>
    <col min="7" max="7" width="9.7109375" bestFit="1" customWidth="1"/>
    <col min="8" max="8" width="17.42578125" bestFit="1" customWidth="1"/>
    <col min="10" max="10" width="10.140625" customWidth="1"/>
    <col min="11" max="11" width="12.28515625" bestFit="1" customWidth="1"/>
    <col min="12" max="12" width="22.85546875" bestFit="1" customWidth="1"/>
  </cols>
  <sheetData>
    <row r="1" spans="2:12" x14ac:dyDescent="0.25">
      <c r="B1" s="41" t="s">
        <v>74</v>
      </c>
      <c r="I1" s="51" t="s">
        <v>101</v>
      </c>
      <c r="J1" s="51"/>
      <c r="K1" s="51"/>
      <c r="L1" s="51"/>
    </row>
    <row r="2" spans="2:12" x14ac:dyDescent="0.25">
      <c r="B2" s="41" t="s">
        <v>123</v>
      </c>
      <c r="C2" s="47">
        <f>J28+K28</f>
        <v>104028.85199313783</v>
      </c>
      <c r="F2" s="33"/>
      <c r="G2" s="33"/>
      <c r="I2" s="7" t="s">
        <v>97</v>
      </c>
      <c r="J2" s="7" t="s">
        <v>99</v>
      </c>
      <c r="K2" s="7" t="s">
        <v>98</v>
      </c>
      <c r="L2" s="7" t="s">
        <v>100</v>
      </c>
    </row>
    <row r="3" spans="2:12" x14ac:dyDescent="0.25">
      <c r="B3" s="45" t="s">
        <v>75</v>
      </c>
      <c r="C3" s="46">
        <v>100000</v>
      </c>
      <c r="D3" s="6"/>
      <c r="I3" s="3">
        <v>0</v>
      </c>
      <c r="J3" s="3"/>
      <c r="K3" s="40"/>
      <c r="L3" s="40">
        <v>100000</v>
      </c>
    </row>
    <row r="4" spans="2:12" x14ac:dyDescent="0.25">
      <c r="B4" s="20" t="s">
        <v>69</v>
      </c>
      <c r="C4" s="19">
        <v>0.24</v>
      </c>
      <c r="D4" s="6"/>
      <c r="I4" s="3">
        <v>1</v>
      </c>
      <c r="J4" s="39">
        <f>IPMT($C$4/52,I4,$C$5,-$L3)</f>
        <v>461.53846153846149</v>
      </c>
      <c r="K4" s="40">
        <f>PPMT($C$4/52,I4,$C$5,-$L$3)</f>
        <v>3949.7551296906886</v>
      </c>
      <c r="L4" s="40">
        <f>L3-K4</f>
        <v>96050.24487030931</v>
      </c>
    </row>
    <row r="5" spans="2:12" x14ac:dyDescent="0.25">
      <c r="B5" s="20" t="s">
        <v>70</v>
      </c>
      <c r="C5" s="18">
        <v>24</v>
      </c>
      <c r="D5" s="6" t="s">
        <v>71</v>
      </c>
      <c r="G5" s="16"/>
      <c r="I5" s="3">
        <f>I4+1</f>
        <v>2</v>
      </c>
      <c r="J5" s="39">
        <f t="shared" ref="J5:J27" si="0">IPMT($C$4/52,I5,$C$5,-$L4)</f>
        <v>425.79920952214059</v>
      </c>
      <c r="K5" s="40">
        <f t="shared" ref="K5:K27" si="1">PPMT($C$4/52,I5,$C$5,-$L$3)</f>
        <v>3967.984768750799</v>
      </c>
      <c r="L5" s="40">
        <f t="shared" ref="L5:L27" si="2">L4-K5</f>
        <v>92082.26010155851</v>
      </c>
    </row>
    <row r="6" spans="2:12" x14ac:dyDescent="0.25">
      <c r="B6" s="20" t="s">
        <v>72</v>
      </c>
      <c r="C6" s="18" t="s">
        <v>73</v>
      </c>
      <c r="D6" s="6"/>
      <c r="I6" s="3">
        <f t="shared" ref="I6:I26" si="3">I5+1</f>
        <v>3</v>
      </c>
      <c r="J6" s="39">
        <f t="shared" si="0"/>
        <v>391.34504424974182</v>
      </c>
      <c r="K6" s="40">
        <f t="shared" si="1"/>
        <v>3986.2985446065722</v>
      </c>
      <c r="L6" s="40">
        <f t="shared" si="2"/>
        <v>88095.961556951937</v>
      </c>
    </row>
    <row r="7" spans="2:12" x14ac:dyDescent="0.25">
      <c r="I7" s="3">
        <f t="shared" si="3"/>
        <v>4</v>
      </c>
      <c r="J7" s="39">
        <f t="shared" si="0"/>
        <v>358.19531273741319</v>
      </c>
      <c r="K7" s="40">
        <f t="shared" si="1"/>
        <v>4004.6968455816791</v>
      </c>
      <c r="L7" s="40">
        <f t="shared" si="2"/>
        <v>84091.264711370255</v>
      </c>
    </row>
    <row r="8" spans="2:12" x14ac:dyDescent="0.25">
      <c r="D8" s="16"/>
      <c r="E8" s="16"/>
      <c r="F8" s="16"/>
      <c r="G8" s="17"/>
      <c r="I8" s="3">
        <f t="shared" si="3"/>
        <v>5</v>
      </c>
      <c r="J8" s="39">
        <f t="shared" si="0"/>
        <v>326.36957541958816</v>
      </c>
      <c r="K8" s="40">
        <f t="shared" si="1"/>
        <v>4023.1800617920567</v>
      </c>
      <c r="L8" s="40">
        <f t="shared" si="2"/>
        <v>80068.084649578203</v>
      </c>
    </row>
    <row r="9" spans="2:12" x14ac:dyDescent="0.25">
      <c r="D9" s="16"/>
      <c r="E9" s="16"/>
      <c r="F9" s="16"/>
      <c r="G9" s="17"/>
      <c r="I9" s="3">
        <f t="shared" si="3"/>
        <v>6</v>
      </c>
      <c r="J9" s="39">
        <f t="shared" si="0"/>
        <v>295.88760828240089</v>
      </c>
      <c r="K9" s="40">
        <f t="shared" si="1"/>
        <v>4041.7485851541737</v>
      </c>
      <c r="L9" s="40">
        <f t="shared" si="2"/>
        <v>76026.336064424031</v>
      </c>
    </row>
    <row r="10" spans="2:12" x14ac:dyDescent="0.25">
      <c r="C10" s="37"/>
      <c r="D10" s="16"/>
      <c r="E10" s="16"/>
      <c r="F10" s="16"/>
      <c r="G10" s="17"/>
      <c r="I10" s="3">
        <f t="shared" si="3"/>
        <v>7</v>
      </c>
      <c r="J10" s="39">
        <f t="shared" si="0"/>
        <v>266.76940501757269</v>
      </c>
      <c r="K10" s="40">
        <f t="shared" si="1"/>
        <v>4060.4028093933462</v>
      </c>
      <c r="L10" s="40">
        <f t="shared" si="2"/>
        <v>71965.933255030686</v>
      </c>
    </row>
    <row r="11" spans="2:12" x14ac:dyDescent="0.25">
      <c r="D11" s="16"/>
      <c r="E11" s="16"/>
      <c r="F11" s="16"/>
      <c r="G11" s="17"/>
      <c r="I11" s="3">
        <f t="shared" si="3"/>
        <v>8</v>
      </c>
      <c r="J11" s="39">
        <f t="shared" si="0"/>
        <v>239.03517919696299</v>
      </c>
      <c r="K11" s="40">
        <f t="shared" si="1"/>
        <v>4079.1431300520853</v>
      </c>
      <c r="L11" s="40">
        <f t="shared" si="2"/>
        <v>67886.790124978608</v>
      </c>
    </row>
    <row r="12" spans="2:12" x14ac:dyDescent="0.25">
      <c r="D12" s="16"/>
      <c r="E12" s="16"/>
      <c r="F12" s="16"/>
      <c r="G12" s="17"/>
      <c r="I12" s="3">
        <f t="shared" si="3"/>
        <v>9</v>
      </c>
      <c r="J12" s="39">
        <f t="shared" si="0"/>
        <v>212.70536646797964</v>
      </c>
      <c r="K12" s="40">
        <f t="shared" si="1"/>
        <v>4097.969944498479</v>
      </c>
      <c r="L12" s="40">
        <f t="shared" si="2"/>
        <v>63788.820180480128</v>
      </c>
    </row>
    <row r="13" spans="2:12" x14ac:dyDescent="0.25">
      <c r="D13" s="16"/>
      <c r="E13" s="16"/>
      <c r="F13" s="16"/>
      <c r="G13" s="17"/>
      <c r="I13" s="3">
        <f t="shared" si="3"/>
        <v>10</v>
      </c>
      <c r="J13" s="39">
        <f t="shared" si="0"/>
        <v>187.80062677004437</v>
      </c>
      <c r="K13" s="40">
        <f t="shared" si="1"/>
        <v>4116.883651934626</v>
      </c>
      <c r="L13" s="40">
        <f t="shared" si="2"/>
        <v>59671.936528545499</v>
      </c>
    </row>
    <row r="14" spans="2:12" x14ac:dyDescent="0.25">
      <c r="D14" s="16"/>
      <c r="E14" s="16"/>
      <c r="F14" s="16"/>
      <c r="G14" s="17"/>
      <c r="I14" s="3">
        <f t="shared" si="3"/>
        <v>11</v>
      </c>
      <c r="J14" s="39">
        <f t="shared" si="0"/>
        <v>164.34184657231205</v>
      </c>
      <c r="K14" s="40">
        <f t="shared" si="1"/>
        <v>4135.8846534050936</v>
      </c>
      <c r="L14" s="40">
        <f t="shared" si="2"/>
        <v>55536.051875140402</v>
      </c>
    </row>
    <row r="15" spans="2:12" x14ac:dyDescent="0.25">
      <c r="D15" s="16"/>
      <c r="E15" s="16"/>
      <c r="F15" s="16"/>
      <c r="G15" s="17"/>
      <c r="I15" s="3">
        <f t="shared" si="3"/>
        <v>12</v>
      </c>
      <c r="J15" s="39">
        <f t="shared" si="0"/>
        <v>142.3501411328439</v>
      </c>
      <c r="K15" s="40">
        <f t="shared" si="1"/>
        <v>4154.9733518054254</v>
      </c>
      <c r="L15" s="40">
        <f t="shared" si="2"/>
        <v>51381.078523334974</v>
      </c>
    </row>
    <row r="16" spans="2:12" x14ac:dyDescent="0.25">
      <c r="D16" s="16"/>
      <c r="E16" s="16"/>
      <c r="F16" s="16"/>
      <c r="G16" s="17"/>
      <c r="I16" s="3">
        <f t="shared" si="3"/>
        <v>13</v>
      </c>
      <c r="J16" s="39">
        <f t="shared" si="0"/>
        <v>121.84685677943605</v>
      </c>
      <c r="K16" s="40">
        <f t="shared" si="1"/>
        <v>4174.1501518906807</v>
      </c>
      <c r="L16" s="40">
        <f t="shared" si="2"/>
        <v>47206.928371444294</v>
      </c>
    </row>
    <row r="17" spans="4:12" x14ac:dyDescent="0.25">
      <c r="D17" s="16"/>
      <c r="E17" s="16"/>
      <c r="F17" s="16"/>
      <c r="G17" s="17"/>
      <c r="I17" s="3">
        <f t="shared" si="3"/>
        <v>14</v>
      </c>
      <c r="J17" s="39">
        <f t="shared" si="0"/>
        <v>102.85357321230794</v>
      </c>
      <c r="K17" s="40">
        <f t="shared" si="1"/>
        <v>4193.4154602840226</v>
      </c>
      <c r="L17" s="40">
        <f t="shared" si="2"/>
        <v>43013.512911160273</v>
      </c>
    </row>
    <row r="18" spans="4:12" x14ac:dyDescent="0.25">
      <c r="D18" s="16"/>
      <c r="E18" s="16"/>
      <c r="F18" s="16"/>
      <c r="G18" s="17"/>
      <c r="I18" s="3">
        <f t="shared" si="3"/>
        <v>15</v>
      </c>
      <c r="J18" s="39">
        <f t="shared" si="0"/>
        <v>85.392105828856216</v>
      </c>
      <c r="K18" s="40">
        <f t="shared" si="1"/>
        <v>4212.7696854853339</v>
      </c>
      <c r="L18" s="40">
        <f t="shared" si="2"/>
        <v>38800.743225674938</v>
      </c>
    </row>
    <row r="19" spans="4:12" x14ac:dyDescent="0.25">
      <c r="D19" s="16"/>
      <c r="E19" s="16"/>
      <c r="F19" s="16"/>
      <c r="G19" s="17"/>
      <c r="I19" s="3">
        <f t="shared" si="3"/>
        <v>16</v>
      </c>
      <c r="J19" s="39">
        <f t="shared" si="0"/>
        <v>69.484508070681215</v>
      </c>
      <c r="K19" s="40">
        <f t="shared" si="1"/>
        <v>4232.2132378798806</v>
      </c>
      <c r="L19" s="40">
        <f t="shared" si="2"/>
        <v>34568.52998779506</v>
      </c>
    </row>
    <row r="20" spans="4:12" x14ac:dyDescent="0.25">
      <c r="D20" s="16"/>
      <c r="E20" s="16"/>
      <c r="F20" s="16"/>
      <c r="G20" s="17"/>
      <c r="I20" s="3">
        <f t="shared" si="3"/>
        <v>17</v>
      </c>
      <c r="J20" s="39">
        <f t="shared" si="0"/>
        <v>55.15307379309629</v>
      </c>
      <c r="K20" s="40">
        <f t="shared" si="1"/>
        <v>4251.7465297470189</v>
      </c>
      <c r="L20" s="40">
        <f t="shared" si="2"/>
        <v>30316.783458048041</v>
      </c>
    </row>
    <row r="21" spans="4:12" x14ac:dyDescent="0.25">
      <c r="D21" s="16"/>
      <c r="E21" s="16"/>
      <c r="F21" s="16"/>
      <c r="G21" s="17"/>
      <c r="I21" s="3">
        <f t="shared" si="3"/>
        <v>18</v>
      </c>
      <c r="J21" s="39">
        <f t="shared" si="0"/>
        <v>42.420339657331162</v>
      </c>
      <c r="K21" s="40">
        <f t="shared" si="1"/>
        <v>4271.3699752689281</v>
      </c>
      <c r="L21" s="40">
        <f t="shared" si="2"/>
        <v>26045.413482779113</v>
      </c>
    </row>
    <row r="22" spans="4:12" x14ac:dyDescent="0.25">
      <c r="D22" s="16"/>
      <c r="E22" s="16"/>
      <c r="F22" s="16"/>
      <c r="G22" s="17"/>
      <c r="I22" s="3">
        <f t="shared" si="3"/>
        <v>19</v>
      </c>
      <c r="J22" s="39">
        <f t="shared" si="0"/>
        <v>31.309087545643013</v>
      </c>
      <c r="K22" s="40">
        <f t="shared" si="1"/>
        <v>4291.0839905394005</v>
      </c>
      <c r="L22" s="40">
        <f t="shared" si="2"/>
        <v>21754.329492239711</v>
      </c>
    </row>
    <row r="23" spans="4:12" x14ac:dyDescent="0.25">
      <c r="D23" s="16"/>
      <c r="E23" s="16"/>
      <c r="F23" s="16"/>
      <c r="G23" s="17"/>
      <c r="I23" s="3">
        <f t="shared" si="3"/>
        <v>20</v>
      </c>
      <c r="J23" s="39">
        <f t="shared" si="0"/>
        <v>21.842346999550635</v>
      </c>
      <c r="K23" s="40">
        <f t="shared" si="1"/>
        <v>4310.8889935726584</v>
      </c>
      <c r="L23" s="40">
        <f t="shared" si="2"/>
        <v>17443.440498667052</v>
      </c>
    </row>
    <row r="24" spans="4:12" x14ac:dyDescent="0.25">
      <c r="D24" s="16"/>
      <c r="E24" s="16"/>
      <c r="F24" s="16"/>
      <c r="G24" s="17"/>
      <c r="I24" s="3">
        <f t="shared" si="3"/>
        <v>21</v>
      </c>
      <c r="J24" s="39">
        <f t="shared" si="0"/>
        <v>14.043397681409441</v>
      </c>
      <c r="K24" s="40">
        <f t="shared" si="1"/>
        <v>4330.7854043122252</v>
      </c>
      <c r="L24" s="40">
        <f t="shared" si="2"/>
        <v>13112.655094354828</v>
      </c>
    </row>
    <row r="25" spans="4:12" x14ac:dyDescent="0.25">
      <c r="D25" s="16"/>
      <c r="E25" s="16"/>
      <c r="F25" s="16"/>
      <c r="G25" s="17"/>
      <c r="I25" s="3">
        <f>I24+1</f>
        <v>22</v>
      </c>
      <c r="J25" s="39">
        <f t="shared" si="0"/>
        <v>7.9357718595466</v>
      </c>
      <c r="K25" s="40">
        <f t="shared" si="1"/>
        <v>4350.7736446398194</v>
      </c>
      <c r="L25" s="40">
        <f t="shared" si="2"/>
        <v>8761.8814497150088</v>
      </c>
    </row>
    <row r="26" spans="4:12" x14ac:dyDescent="0.25">
      <c r="D26" s="16"/>
      <c r="E26" s="16"/>
      <c r="F26" s="16"/>
      <c r="G26" s="17"/>
      <c r="I26" s="3">
        <f t="shared" si="3"/>
        <v>23</v>
      </c>
      <c r="J26" s="39">
        <f t="shared" si="0"/>
        <v>3.5432569171781538</v>
      </c>
      <c r="K26" s="40">
        <f t="shared" si="1"/>
        <v>4370.8541383843112</v>
      </c>
      <c r="L26" s="40">
        <f t="shared" si="2"/>
        <v>4391.0273113306976</v>
      </c>
    </row>
    <row r="27" spans="4:12" x14ac:dyDescent="0.25">
      <c r="D27" s="16"/>
      <c r="E27" s="16"/>
      <c r="F27" s="16"/>
      <c r="G27" s="17"/>
      <c r="I27" s="3">
        <f>I26+1</f>
        <v>24</v>
      </c>
      <c r="J27" s="39">
        <f t="shared" si="0"/>
        <v>0.8898978853316355</v>
      </c>
      <c r="K27" s="40">
        <f t="shared" si="1"/>
        <v>4391.0273113307003</v>
      </c>
      <c r="L27" s="40">
        <f t="shared" si="2"/>
        <v>0</v>
      </c>
    </row>
    <row r="28" spans="4:12" x14ac:dyDescent="0.25">
      <c r="D28" s="16"/>
      <c r="E28" s="16"/>
      <c r="F28" s="16"/>
      <c r="G28" s="17"/>
      <c r="I28" t="s">
        <v>117</v>
      </c>
      <c r="J28" s="39">
        <f>SUM(J4:J27)</f>
        <v>4028.8519931378296</v>
      </c>
      <c r="K28" s="34">
        <f>SUM(K4:K27)</f>
        <v>100000</v>
      </c>
    </row>
    <row r="29" spans="4:12" x14ac:dyDescent="0.25">
      <c r="D29" s="16"/>
      <c r="E29" s="16"/>
      <c r="F29" s="16"/>
      <c r="G29" s="17"/>
    </row>
    <row r="30" spans="4:12" x14ac:dyDescent="0.25">
      <c r="D30" s="16"/>
      <c r="E30" s="16"/>
      <c r="F30" s="16"/>
      <c r="G30" s="17"/>
    </row>
    <row r="31" spans="4:12" x14ac:dyDescent="0.25">
      <c r="D31" s="16"/>
      <c r="E31" s="16"/>
      <c r="F31" s="16"/>
      <c r="G31" s="17"/>
    </row>
  </sheetData>
  <mergeCells count="1">
    <mergeCell ref="I1:L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542E-3E63-448B-B105-E782F93E7FF5}">
  <dimension ref="A1:N70"/>
  <sheetViews>
    <sheetView zoomScaleNormal="100" workbookViewId="0">
      <selection activeCell="A2" sqref="A2"/>
    </sheetView>
  </sheetViews>
  <sheetFormatPr defaultRowHeight="15" x14ac:dyDescent="0.25"/>
  <cols>
    <col min="1" max="1" width="22.7109375" customWidth="1"/>
    <col min="2" max="2" width="16" customWidth="1"/>
    <col min="3" max="3" width="16.85546875" bestFit="1" customWidth="1"/>
    <col min="4" max="4" width="13.42578125" bestFit="1" customWidth="1"/>
    <col min="5" max="5" width="12.28515625" bestFit="1" customWidth="1"/>
    <col min="6" max="6" width="13.42578125" bestFit="1" customWidth="1"/>
    <col min="7" max="7" width="16.140625" customWidth="1"/>
    <col min="8" max="8" width="12.28515625" bestFit="1" customWidth="1"/>
    <col min="9" max="10" width="10.7109375" bestFit="1" customWidth="1"/>
    <col min="12" max="12" width="10.7109375" bestFit="1" customWidth="1"/>
    <col min="13" max="14" width="12.28515625" bestFit="1" customWidth="1"/>
    <col min="22" max="22" width="18.28515625" bestFit="1" customWidth="1"/>
    <col min="23" max="23" width="12.28515625" bestFit="1" customWidth="1"/>
  </cols>
  <sheetData>
    <row r="1" spans="1:14" x14ac:dyDescent="0.25">
      <c r="A1" s="58" t="s">
        <v>120</v>
      </c>
      <c r="B1" s="58"/>
      <c r="E1" s="55" t="s">
        <v>102</v>
      </c>
      <c r="F1" s="56"/>
      <c r="G1" s="56"/>
      <c r="H1" s="57"/>
      <c r="K1" s="55" t="s">
        <v>104</v>
      </c>
      <c r="L1" s="56"/>
      <c r="M1" s="56"/>
      <c r="N1" s="57"/>
    </row>
    <row r="2" spans="1:14" x14ac:dyDescent="0.25">
      <c r="A2" t="s">
        <v>118</v>
      </c>
      <c r="B2">
        <v>66</v>
      </c>
      <c r="C2" s="34"/>
      <c r="E2" s="42" t="s">
        <v>97</v>
      </c>
      <c r="F2" s="42" t="s">
        <v>96</v>
      </c>
      <c r="G2" s="42" t="s">
        <v>98</v>
      </c>
      <c r="H2" s="42" t="s">
        <v>95</v>
      </c>
      <c r="K2" s="42" t="s">
        <v>97</v>
      </c>
      <c r="L2" s="42" t="s">
        <v>96</v>
      </c>
      <c r="M2" s="42" t="s">
        <v>98</v>
      </c>
      <c r="N2" s="42" t="s">
        <v>95</v>
      </c>
    </row>
    <row r="3" spans="1:14" x14ac:dyDescent="0.25">
      <c r="A3" t="s">
        <v>110</v>
      </c>
      <c r="B3" s="34">
        <v>11352</v>
      </c>
      <c r="C3" s="34"/>
      <c r="E3" s="3">
        <v>0</v>
      </c>
      <c r="F3" s="3"/>
      <c r="G3" s="3"/>
      <c r="H3" s="40">
        <f>B12</f>
        <v>266632.56826611451</v>
      </c>
      <c r="K3" s="3">
        <v>0</v>
      </c>
      <c r="L3" s="3"/>
      <c r="M3" s="3"/>
      <c r="N3" s="40">
        <f>B19</f>
        <v>329048.83874129999</v>
      </c>
    </row>
    <row r="4" spans="1:14" x14ac:dyDescent="0.25">
      <c r="A4" t="s">
        <v>112</v>
      </c>
      <c r="B4" s="34">
        <f>B5/65</f>
        <v>6654.1815891542192</v>
      </c>
      <c r="E4" s="3">
        <v>1</v>
      </c>
      <c r="F4" s="40">
        <f t="shared" ref="F4:F34" si="0">IPMT($B$14/12,E4,31,-$H3)</f>
        <v>4888.2637515454326</v>
      </c>
      <c r="G4" s="40">
        <f t="shared" ref="G4:G34" si="1">PPMT($B$14/12,E4,31,-$H$3)</f>
        <v>6463.7362484545629</v>
      </c>
      <c r="H4" s="40">
        <f>H3-G4</f>
        <v>260168.83201765994</v>
      </c>
      <c r="K4" s="3">
        <v>1</v>
      </c>
      <c r="L4" s="40">
        <f t="shared" ref="L4:L20" si="2">IPMT($B$21/12,K4,17,-$N3)</f>
        <v>6032.5620435905003</v>
      </c>
      <c r="M4" s="40">
        <f t="shared" ref="M4:M20" si="3">PPMT($B$21/12,K4,17,-$N$3)</f>
        <v>16671.437956409485</v>
      </c>
      <c r="N4" s="40">
        <f>N3-M4</f>
        <v>312377.40078489052</v>
      </c>
    </row>
    <row r="5" spans="1:14" x14ac:dyDescent="0.25">
      <c r="A5" t="s">
        <v>111</v>
      </c>
      <c r="B5" s="34">
        <f>B3*((1+B14/12)^(B2)-1)/((B14/12)*(1+B14/12)^B2)</f>
        <v>432521.80329502426</v>
      </c>
      <c r="C5" s="34"/>
      <c r="D5" s="34"/>
      <c r="E5" s="3">
        <f>E4+1</f>
        <v>2</v>
      </c>
      <c r="F5" s="40">
        <f t="shared" si="0"/>
        <v>4654.1328236182026</v>
      </c>
      <c r="G5" s="40">
        <f t="shared" si="1"/>
        <v>6582.2380796762309</v>
      </c>
      <c r="H5" s="40">
        <f t="shared" ref="H5:H34" si="4">H4-G5</f>
        <v>253586.59393798371</v>
      </c>
      <c r="J5" s="34"/>
      <c r="K5" s="3">
        <f>K4+1</f>
        <v>2</v>
      </c>
      <c r="L5" s="40">
        <f t="shared" si="2"/>
        <v>5436.7615551048902</v>
      </c>
      <c r="M5" s="40">
        <f t="shared" si="3"/>
        <v>16977.080985610326</v>
      </c>
      <c r="N5" s="40">
        <f t="shared" ref="N5:N20" si="5">N4-M5</f>
        <v>295400.3197992802</v>
      </c>
    </row>
    <row r="6" spans="1:14" x14ac:dyDescent="0.25">
      <c r="A6" s="43" t="s">
        <v>115</v>
      </c>
      <c r="B6" s="44">
        <f>B3*65</f>
        <v>737880</v>
      </c>
      <c r="D6" s="34"/>
      <c r="E6" s="3">
        <f t="shared" ref="E6:E33" si="6">E5+1</f>
        <v>3</v>
      </c>
      <c r="F6" s="40">
        <f t="shared" si="0"/>
        <v>4421.613930334227</v>
      </c>
      <c r="G6" s="40">
        <f t="shared" si="1"/>
        <v>6702.9124444702948</v>
      </c>
      <c r="H6" s="40">
        <f t="shared" si="4"/>
        <v>246883.6814935134</v>
      </c>
      <c r="I6" s="34"/>
      <c r="J6" s="34"/>
      <c r="K6" s="3">
        <f t="shared" ref="K6:K20" si="7">K5+1</f>
        <v>3</v>
      </c>
      <c r="L6" s="40">
        <f t="shared" si="2"/>
        <v>4861.8661087133523</v>
      </c>
      <c r="M6" s="40">
        <f t="shared" si="3"/>
        <v>17288.327470346518</v>
      </c>
      <c r="N6" s="40">
        <f t="shared" si="5"/>
        <v>278111.99232893367</v>
      </c>
    </row>
    <row r="7" spans="1:14" x14ac:dyDescent="0.25">
      <c r="E7" s="3">
        <f t="shared" si="6"/>
        <v>4</v>
      </c>
      <c r="F7" s="40">
        <f t="shared" si="0"/>
        <v>4190.9551061577495</v>
      </c>
      <c r="G7" s="40">
        <f t="shared" si="1"/>
        <v>6825.7991726189166</v>
      </c>
      <c r="H7" s="40">
        <f t="shared" si="4"/>
        <v>240057.88232089448</v>
      </c>
      <c r="J7" s="34"/>
      <c r="K7" s="3">
        <f t="shared" si="7"/>
        <v>4</v>
      </c>
      <c r="L7" s="40">
        <f t="shared" si="2"/>
        <v>4309.436689821031</v>
      </c>
      <c r="M7" s="40">
        <f t="shared" si="3"/>
        <v>17605.280140636205</v>
      </c>
      <c r="N7" s="40">
        <f t="shared" si="5"/>
        <v>260506.71218829748</v>
      </c>
    </row>
    <row r="8" spans="1:14" x14ac:dyDescent="0.25">
      <c r="B8" s="35"/>
      <c r="E8" s="3">
        <f t="shared" si="6"/>
        <v>5</v>
      </c>
      <c r="F8" s="40">
        <f t="shared" si="0"/>
        <v>3962.4170172367608</v>
      </c>
      <c r="G8" s="40">
        <f t="shared" si="1"/>
        <v>6950.9388241169299</v>
      </c>
      <c r="H8" s="40">
        <f t="shared" si="4"/>
        <v>233106.94349677756</v>
      </c>
      <c r="J8" s="34"/>
      <c r="K8" s="3">
        <f t="shared" si="7"/>
        <v>5</v>
      </c>
      <c r="L8" s="40">
        <f t="shared" si="2"/>
        <v>3781.1064810434032</v>
      </c>
      <c r="M8" s="40">
        <f t="shared" si="3"/>
        <v>17928.043609881202</v>
      </c>
      <c r="N8" s="40">
        <f t="shared" si="5"/>
        <v>242578.66857841628</v>
      </c>
    </row>
    <row r="9" spans="1:14" x14ac:dyDescent="0.25">
      <c r="A9" s="58" t="s">
        <v>114</v>
      </c>
      <c r="B9" s="58"/>
      <c r="C9" s="34" t="s">
        <v>119</v>
      </c>
      <c r="E9" s="3">
        <f t="shared" si="6"/>
        <v>6</v>
      </c>
      <c r="F9" s="40">
        <f t="shared" si="0"/>
        <v>3736.2734921285783</v>
      </c>
      <c r="G9" s="40">
        <f t="shared" si="1"/>
        <v>7078.3727025590724</v>
      </c>
      <c r="H9" s="40">
        <f t="shared" si="4"/>
        <v>226028.57079421848</v>
      </c>
      <c r="J9" s="34"/>
      <c r="K9" s="3">
        <f t="shared" si="7"/>
        <v>6</v>
      </c>
      <c r="L9" s="40">
        <f t="shared" si="2"/>
        <v>3278.5837983711899</v>
      </c>
      <c r="M9" s="40">
        <f t="shared" si="3"/>
        <v>18256.724409395691</v>
      </c>
      <c r="N9" s="40">
        <f t="shared" si="5"/>
        <v>224321.9441690206</v>
      </c>
    </row>
    <row r="10" spans="1:14" x14ac:dyDescent="0.25">
      <c r="A10" t="s">
        <v>118</v>
      </c>
      <c r="B10">
        <v>31</v>
      </c>
      <c r="C10" s="34"/>
      <c r="E10" s="3">
        <f t="shared" si="6"/>
        <v>7</v>
      </c>
      <c r="F10" s="40">
        <f t="shared" si="0"/>
        <v>3512.8120733245746</v>
      </c>
      <c r="G10" s="40">
        <f t="shared" si="1"/>
        <v>7208.1428687726557</v>
      </c>
      <c r="H10" s="40">
        <f t="shared" si="4"/>
        <v>218820.42792544584</v>
      </c>
      <c r="J10" s="34"/>
      <c r="K10" s="3">
        <f t="shared" si="7"/>
        <v>7</v>
      </c>
      <c r="L10" s="40">
        <f t="shared" si="2"/>
        <v>2803.6551408337914</v>
      </c>
      <c r="M10" s="40">
        <f t="shared" si="3"/>
        <v>18591.431023567944</v>
      </c>
      <c r="N10" s="40">
        <f t="shared" si="5"/>
        <v>205730.51314545266</v>
      </c>
    </row>
    <row r="11" spans="1:14" x14ac:dyDescent="0.25">
      <c r="A11" t="s">
        <v>105</v>
      </c>
      <c r="B11">
        <v>11352</v>
      </c>
      <c r="E11" s="3">
        <f t="shared" si="6"/>
        <v>8</v>
      </c>
      <c r="F11" s="40">
        <f t="shared" si="0"/>
        <v>3292.3345903649756</v>
      </c>
      <c r="G11" s="40">
        <f t="shared" si="1"/>
        <v>7340.2921547001552</v>
      </c>
      <c r="H11" s="40">
        <f t="shared" si="4"/>
        <v>211480.13577074569</v>
      </c>
      <c r="J11" s="34"/>
      <c r="K11" s="3">
        <f t="shared" si="7"/>
        <v>8</v>
      </c>
      <c r="L11" s="40">
        <f t="shared" si="2"/>
        <v>2358.1883579499163</v>
      </c>
      <c r="M11" s="40">
        <f t="shared" si="3"/>
        <v>18932.273925666686</v>
      </c>
      <c r="N11" s="40">
        <f t="shared" si="5"/>
        <v>186798.23921978596</v>
      </c>
    </row>
    <row r="12" spans="1:14" x14ac:dyDescent="0.25">
      <c r="A12" t="s">
        <v>109</v>
      </c>
      <c r="B12" s="34">
        <f>B11*((1+B14/12)^(B10)-1)/((B14/12)*(1+B14/12)^B10)</f>
        <v>266632.56826611451</v>
      </c>
      <c r="C12" s="34"/>
      <c r="E12" s="3">
        <f t="shared" si="6"/>
        <v>9</v>
      </c>
      <c r="F12" s="40">
        <f t="shared" si="0"/>
        <v>3075.1577553642842</v>
      </c>
      <c r="G12" s="40">
        <f t="shared" si="1"/>
        <v>7474.8641775363249</v>
      </c>
      <c r="H12" s="40">
        <f t="shared" si="4"/>
        <v>204005.27159320936</v>
      </c>
      <c r="J12" s="34"/>
      <c r="K12" s="3">
        <f t="shared" si="7"/>
        <v>9</v>
      </c>
      <c r="L12" s="40">
        <f t="shared" si="2"/>
        <v>1944.1359394144777</v>
      </c>
      <c r="M12" s="40">
        <f t="shared" si="3"/>
        <v>19279.365614303912</v>
      </c>
      <c r="N12" s="40">
        <f t="shared" si="5"/>
        <v>167518.87360548205</v>
      </c>
    </row>
    <row r="13" spans="1:14" x14ac:dyDescent="0.25">
      <c r="A13" s="43" t="s">
        <v>107</v>
      </c>
      <c r="B13" s="44">
        <f>B3*31</f>
        <v>351912</v>
      </c>
      <c r="E13" s="3">
        <f t="shared" si="6"/>
        <v>10</v>
      </c>
      <c r="F13" s="40">
        <f t="shared" si="0"/>
        <v>2861.6137817986541</v>
      </c>
      <c r="G13" s="40">
        <f t="shared" si="1"/>
        <v>7611.9033541244899</v>
      </c>
      <c r="H13" s="40">
        <f t="shared" si="4"/>
        <v>196393.36823908487</v>
      </c>
      <c r="J13" s="34"/>
      <c r="K13" s="3">
        <f t="shared" si="7"/>
        <v>10</v>
      </c>
      <c r="L13" s="40">
        <f t="shared" si="2"/>
        <v>1563.5384316370767</v>
      </c>
      <c r="M13" s="40">
        <f t="shared" si="3"/>
        <v>19632.820650566151</v>
      </c>
      <c r="N13" s="40">
        <f t="shared" si="5"/>
        <v>147886.05295491591</v>
      </c>
    </row>
    <row r="14" spans="1:14" x14ac:dyDescent="0.25">
      <c r="A14" t="s">
        <v>121</v>
      </c>
      <c r="B14" s="36">
        <v>0.22</v>
      </c>
      <c r="D14" s="34"/>
      <c r="E14" s="3">
        <f t="shared" si="6"/>
        <v>11</v>
      </c>
      <c r="F14" s="40">
        <f t="shared" si="0"/>
        <v>2652.0510274384487</v>
      </c>
      <c r="G14" s="40">
        <f t="shared" si="1"/>
        <v>7751.4549156167741</v>
      </c>
      <c r="H14" s="40">
        <f t="shared" si="4"/>
        <v>188641.91332346809</v>
      </c>
      <c r="J14" s="34"/>
      <c r="K14" s="3">
        <f t="shared" si="7"/>
        <v>11</v>
      </c>
      <c r="L14" s="40">
        <f t="shared" si="2"/>
        <v>1218.5279859198749</v>
      </c>
      <c r="M14" s="40">
        <f t="shared" si="3"/>
        <v>19992.75569582653</v>
      </c>
      <c r="N14" s="40">
        <f t="shared" si="5"/>
        <v>127893.29725908938</v>
      </c>
    </row>
    <row r="15" spans="1:14" x14ac:dyDescent="0.25">
      <c r="E15" s="3">
        <f t="shared" si="6"/>
        <v>12</v>
      </c>
      <c r="F15" s="40">
        <f t="shared" si="0"/>
        <v>2446.8346623423013</v>
      </c>
      <c r="G15" s="40">
        <f t="shared" si="1"/>
        <v>7893.5649224030803</v>
      </c>
      <c r="H15" s="40">
        <f t="shared" si="4"/>
        <v>180748.34840106501</v>
      </c>
      <c r="J15" s="34"/>
      <c r="K15" s="3">
        <f t="shared" si="7"/>
        <v>12</v>
      </c>
      <c r="L15" s="40">
        <f t="shared" si="2"/>
        <v>911.33204324154383</v>
      </c>
      <c r="M15" s="40">
        <f t="shared" si="3"/>
        <v>20359.289550250018</v>
      </c>
      <c r="N15" s="40">
        <f t="shared" si="5"/>
        <v>107534.00770883936</v>
      </c>
    </row>
    <row r="16" spans="1:14" x14ac:dyDescent="0.25">
      <c r="A16" s="58" t="s">
        <v>113</v>
      </c>
      <c r="B16" s="58"/>
      <c r="E16" s="3">
        <f t="shared" si="6"/>
        <v>13</v>
      </c>
      <c r="F16" s="40">
        <f t="shared" si="0"/>
        <v>2246.3473628633469</v>
      </c>
      <c r="G16" s="40">
        <f t="shared" si="1"/>
        <v>8038.2802793138044</v>
      </c>
      <c r="H16" s="40">
        <f t="shared" si="4"/>
        <v>172710.06812175122</v>
      </c>
      <c r="J16" s="34"/>
      <c r="K16" s="3">
        <f t="shared" si="7"/>
        <v>13</v>
      </c>
      <c r="L16" s="40">
        <f t="shared" si="2"/>
        <v>644.27716079950778</v>
      </c>
      <c r="M16" s="40">
        <f t="shared" si="3"/>
        <v>20732.543192004603</v>
      </c>
      <c r="N16" s="40">
        <f t="shared" si="5"/>
        <v>86801.464516834763</v>
      </c>
    </row>
    <row r="17" spans="1:14" x14ac:dyDescent="0.25">
      <c r="A17" t="s">
        <v>118</v>
      </c>
      <c r="B17">
        <v>17</v>
      </c>
      <c r="E17" s="3">
        <f t="shared" si="6"/>
        <v>14</v>
      </c>
      <c r="F17" s="40">
        <f t="shared" si="0"/>
        <v>2050.9900326538541</v>
      </c>
      <c r="G17" s="40">
        <f t="shared" si="1"/>
        <v>8185.6487511012228</v>
      </c>
      <c r="H17" s="40">
        <f t="shared" si="4"/>
        <v>164524.41937064999</v>
      </c>
      <c r="J17" s="34"/>
      <c r="K17" s="3">
        <f t="shared" si="7"/>
        <v>14</v>
      </c>
      <c r="L17" s="40">
        <f t="shared" si="2"/>
        <v>419.79298565514165</v>
      </c>
      <c r="M17" s="40">
        <f t="shared" si="3"/>
        <v>21112.639817191353</v>
      </c>
      <c r="N17" s="40">
        <f t="shared" si="5"/>
        <v>65688.824699643417</v>
      </c>
    </row>
    <row r="18" spans="1:14" x14ac:dyDescent="0.25">
      <c r="A18" t="s">
        <v>106</v>
      </c>
      <c r="B18">
        <v>22704</v>
      </c>
      <c r="E18" s="3">
        <f t="shared" si="6"/>
        <v>15</v>
      </c>
      <c r="F18" s="40">
        <f t="shared" si="0"/>
        <v>1861.18255169146</v>
      </c>
      <c r="G18" s="40">
        <f t="shared" si="1"/>
        <v>8335.7189782047462</v>
      </c>
      <c r="H18" s="40">
        <f t="shared" si="4"/>
        <v>156188.70039244526</v>
      </c>
      <c r="J18" s="34"/>
      <c r="K18" s="3">
        <f t="shared" si="7"/>
        <v>15</v>
      </c>
      <c r="L18" s="40">
        <f t="shared" si="2"/>
        <v>240.4163810261548</v>
      </c>
      <c r="M18" s="40">
        <f t="shared" si="3"/>
        <v>21499.704880506524</v>
      </c>
      <c r="N18" s="40">
        <f t="shared" si="5"/>
        <v>44189.119819136889</v>
      </c>
    </row>
    <row r="19" spans="1:14" x14ac:dyDescent="0.25">
      <c r="A19" t="s">
        <v>103</v>
      </c>
      <c r="B19" s="34">
        <f>B18*((1+B21/12)^(B17)-1)/((B21/12)*(1+B21/12)^B17)</f>
        <v>329048.83874129999</v>
      </c>
      <c r="E19" s="3">
        <f t="shared" si="6"/>
        <v>16</v>
      </c>
      <c r="F19" s="40">
        <f t="shared" si="0"/>
        <v>1677.3645543884991</v>
      </c>
      <c r="G19" s="40">
        <f t="shared" si="1"/>
        <v>8488.5404928051667</v>
      </c>
      <c r="H19" s="40">
        <f t="shared" si="4"/>
        <v>147700.1598996401</v>
      </c>
      <c r="J19" s="34"/>
      <c r="K19" s="3">
        <f t="shared" si="7"/>
        <v>16</v>
      </c>
      <c r="L19" s="40">
        <f t="shared" si="2"/>
        <v>108.79571097740933</v>
      </c>
      <c r="M19" s="40">
        <f t="shared" si="3"/>
        <v>21893.866136649147</v>
      </c>
      <c r="N19" s="40">
        <f t="shared" si="5"/>
        <v>22295.253682487742</v>
      </c>
    </row>
    <row r="20" spans="1:14" x14ac:dyDescent="0.25">
      <c r="A20" s="43" t="s">
        <v>108</v>
      </c>
      <c r="B20" s="44">
        <f>(B18*17)</f>
        <v>385968</v>
      </c>
      <c r="C20" s="34"/>
      <c r="E20" s="3">
        <f t="shared" si="6"/>
        <v>17</v>
      </c>
      <c r="F20" s="40">
        <f t="shared" si="0"/>
        <v>1499.9962378856219</v>
      </c>
      <c r="G20" s="40">
        <f t="shared" si="1"/>
        <v>8644.1637351732606</v>
      </c>
      <c r="H20" s="40">
        <f t="shared" si="4"/>
        <v>139055.99616446684</v>
      </c>
      <c r="J20" s="34"/>
      <c r="K20" s="3">
        <f t="shared" si="7"/>
        <v>17</v>
      </c>
      <c r="L20" s="40">
        <f t="shared" si="2"/>
        <v>27.695289476112141</v>
      </c>
      <c r="M20" s="40">
        <f t="shared" si="3"/>
        <v>22295.253682487713</v>
      </c>
      <c r="N20" s="40">
        <f t="shared" si="5"/>
        <v>2.9103830456733704E-11</v>
      </c>
    </row>
    <row r="21" spans="1:14" x14ac:dyDescent="0.25">
      <c r="A21" t="s">
        <v>122</v>
      </c>
      <c r="B21" s="36">
        <v>0.22</v>
      </c>
      <c r="E21" s="3">
        <f t="shared" si="6"/>
        <v>18</v>
      </c>
      <c r="F21" s="40">
        <f t="shared" si="0"/>
        <v>1329.5592016721512</v>
      </c>
      <c r="G21" s="40">
        <f t="shared" si="1"/>
        <v>8802.6400703181043</v>
      </c>
      <c r="H21" s="40">
        <f t="shared" si="4"/>
        <v>130253.35609414874</v>
      </c>
      <c r="J21" s="34"/>
      <c r="K21" s="3"/>
      <c r="L21" s="40">
        <f>SUM(L4:L20)</f>
        <v>39940.672103575373</v>
      </c>
      <c r="M21" s="40">
        <f>SUM(M4:M20)</f>
        <v>329048.83874129999</v>
      </c>
      <c r="N21" s="40"/>
    </row>
    <row r="22" spans="1:14" x14ac:dyDescent="0.25">
      <c r="E22" s="3">
        <f t="shared" si="6"/>
        <v>19</v>
      </c>
      <c r="F22" s="40">
        <f t="shared" si="0"/>
        <v>1166.5573197183323</v>
      </c>
      <c r="G22" s="40">
        <f t="shared" si="1"/>
        <v>8964.021804940603</v>
      </c>
      <c r="H22" s="40">
        <f t="shared" si="4"/>
        <v>121289.33428920814</v>
      </c>
      <c r="J22" s="34"/>
    </row>
    <row r="23" spans="1:14" x14ac:dyDescent="0.25">
      <c r="A23" s="43" t="s">
        <v>116</v>
      </c>
      <c r="B23" s="44">
        <f>B20+B13</f>
        <v>737880</v>
      </c>
      <c r="E23" s="3">
        <f t="shared" si="6"/>
        <v>20</v>
      </c>
      <c r="F23" s="40">
        <f t="shared" si="0"/>
        <v>1011.5176463489662</v>
      </c>
      <c r="G23" s="40">
        <f t="shared" si="1"/>
        <v>9128.3622046978471</v>
      </c>
      <c r="H23" s="40">
        <f t="shared" si="4"/>
        <v>112160.9720845103</v>
      </c>
      <c r="J23" s="34"/>
      <c r="L23" s="34"/>
      <c r="M23" s="34"/>
      <c r="N23" s="34"/>
    </row>
    <row r="24" spans="1:14" x14ac:dyDescent="0.25">
      <c r="E24" s="3">
        <f t="shared" si="6"/>
        <v>21</v>
      </c>
      <c r="F24" s="40">
        <f t="shared" si="0"/>
        <v>864.99135713391945</v>
      </c>
      <c r="G24" s="40">
        <f t="shared" si="1"/>
        <v>9295.7155117839739</v>
      </c>
      <c r="H24" s="40">
        <f t="shared" si="4"/>
        <v>102865.25657272633</v>
      </c>
      <c r="J24" s="34"/>
      <c r="L24" s="34"/>
      <c r="M24" s="34"/>
      <c r="N24" s="34"/>
    </row>
    <row r="25" spans="1:14" x14ac:dyDescent="0.25">
      <c r="E25" s="3">
        <f t="shared" si="6"/>
        <v>22</v>
      </c>
      <c r="F25" s="40">
        <f t="shared" si="0"/>
        <v>727.55472611866162</v>
      </c>
      <c r="G25" s="40">
        <f t="shared" si="1"/>
        <v>9466.136962833345</v>
      </c>
      <c r="H25" s="40">
        <f t="shared" si="4"/>
        <v>93399.119609892979</v>
      </c>
      <c r="J25" s="34"/>
      <c r="L25" s="34"/>
      <c r="M25" s="34"/>
      <c r="N25" s="34"/>
    </row>
    <row r="26" spans="1:14" x14ac:dyDescent="0.25">
      <c r="E26" s="3">
        <f t="shared" si="6"/>
        <v>23</v>
      </c>
      <c r="F26" s="40">
        <f t="shared" si="0"/>
        <v>599.81014076746953</v>
      </c>
      <c r="G26" s="40">
        <f t="shared" si="1"/>
        <v>9639.6828071519576</v>
      </c>
      <c r="H26" s="40">
        <f t="shared" si="4"/>
        <v>83759.436802741024</v>
      </c>
      <c r="J26" s="34"/>
      <c r="L26" s="34"/>
      <c r="M26" s="34"/>
      <c r="N26" s="34"/>
    </row>
    <row r="27" spans="1:14" x14ac:dyDescent="0.25">
      <c r="E27" s="3">
        <f t="shared" si="6"/>
        <v>24</v>
      </c>
      <c r="F27" s="40">
        <f t="shared" si="0"/>
        <v>482.38715604323016</v>
      </c>
      <c r="G27" s="40">
        <f t="shared" si="1"/>
        <v>9816.4103252830773</v>
      </c>
      <c r="H27" s="40">
        <f t="shared" si="4"/>
        <v>73943.026477457941</v>
      </c>
      <c r="J27" s="34"/>
      <c r="L27" s="34"/>
      <c r="M27" s="34"/>
      <c r="N27" s="34"/>
    </row>
    <row r="28" spans="1:14" x14ac:dyDescent="0.25">
      <c r="E28" s="3">
        <f t="shared" si="6"/>
        <v>25</v>
      </c>
      <c r="F28" s="40">
        <f t="shared" si="0"/>
        <v>375.94358910098879</v>
      </c>
      <c r="G28" s="40">
        <f t="shared" si="1"/>
        <v>9996.377847913267</v>
      </c>
      <c r="H28" s="40">
        <f t="shared" si="4"/>
        <v>63946.648629544674</v>
      </c>
      <c r="J28" s="34"/>
      <c r="L28" s="34"/>
      <c r="M28" s="34"/>
      <c r="N28" s="34"/>
    </row>
    <row r="29" spans="1:14" x14ac:dyDescent="0.25">
      <c r="E29" s="3">
        <f>E28+1</f>
        <v>26</v>
      </c>
      <c r="F29" s="40">
        <f t="shared" si="0"/>
        <v>281.16665612757788</v>
      </c>
      <c r="G29" s="40">
        <f t="shared" si="1"/>
        <v>10179.644775125011</v>
      </c>
      <c r="H29" s="40">
        <f t="shared" si="4"/>
        <v>53767.003854419665</v>
      </c>
      <c r="J29" s="34"/>
      <c r="L29" s="34"/>
      <c r="M29" s="34"/>
      <c r="N29" s="34"/>
    </row>
    <row r="30" spans="1:14" x14ac:dyDescent="0.25">
      <c r="E30" s="3">
        <f t="shared" si="6"/>
        <v>27</v>
      </c>
      <c r="F30" s="40">
        <f t="shared" si="0"/>
        <v>198.77415291690201</v>
      </c>
      <c r="G30" s="40">
        <f t="shared" si="1"/>
        <v>10366.271596002302</v>
      </c>
      <c r="H30" s="40">
        <f t="shared" si="4"/>
        <v>43400.732258417367</v>
      </c>
      <c r="J30" s="34"/>
      <c r="L30" s="34"/>
      <c r="M30" s="34"/>
      <c r="N30" s="34"/>
    </row>
    <row r="31" spans="1:14" x14ac:dyDescent="0.25">
      <c r="E31" s="3">
        <f t="shared" si="6"/>
        <v>28</v>
      </c>
      <c r="F31" s="40">
        <f t="shared" si="0"/>
        <v>129.51568082982976</v>
      </c>
      <c r="G31" s="40">
        <f t="shared" si="1"/>
        <v>10556.319908595678</v>
      </c>
      <c r="H31" s="40">
        <f t="shared" si="4"/>
        <v>32844.412349821687</v>
      </c>
      <c r="J31" s="34"/>
      <c r="L31" s="34"/>
      <c r="M31" s="34"/>
      <c r="N31" s="34"/>
    </row>
    <row r="32" spans="1:14" x14ac:dyDescent="0.25">
      <c r="E32" s="3">
        <f t="shared" si="6"/>
        <v>29</v>
      </c>
      <c r="F32" s="40">
        <f t="shared" si="0"/>
        <v>74.173919849212766</v>
      </c>
      <c r="G32" s="40">
        <f t="shared" si="1"/>
        <v>10749.852440253264</v>
      </c>
      <c r="H32" s="40">
        <f t="shared" si="4"/>
        <v>22094.559909568423</v>
      </c>
      <c r="J32" s="34"/>
      <c r="L32" s="34"/>
      <c r="M32" s="34"/>
      <c r="N32" s="34"/>
    </row>
    <row r="33" spans="4:14" x14ac:dyDescent="0.25">
      <c r="E33" s="3">
        <f t="shared" si="6"/>
        <v>30</v>
      </c>
      <c r="F33" s="40">
        <f t="shared" si="0"/>
        <v>33.565950504423256</v>
      </c>
      <c r="G33" s="40">
        <f t="shared" si="1"/>
        <v>10946.933068324575</v>
      </c>
      <c r="H33" s="40">
        <f t="shared" si="4"/>
        <v>11147.626841243848</v>
      </c>
      <c r="J33" s="34"/>
      <c r="L33" s="34"/>
      <c r="M33" s="34"/>
      <c r="N33" s="34"/>
    </row>
    <row r="34" spans="4:14" x14ac:dyDescent="0.25">
      <c r="E34" s="3">
        <f>E33+1</f>
        <v>31</v>
      </c>
      <c r="F34" s="40">
        <f t="shared" si="0"/>
        <v>8.5446265060382931</v>
      </c>
      <c r="G34" s="40">
        <f t="shared" si="1"/>
        <v>11147.626841243859</v>
      </c>
      <c r="H34" s="40">
        <f t="shared" si="4"/>
        <v>0</v>
      </c>
      <c r="J34" s="34"/>
      <c r="L34" s="34"/>
      <c r="M34" s="34"/>
      <c r="N34" s="34"/>
    </row>
    <row r="35" spans="4:14" x14ac:dyDescent="0.25">
      <c r="E35" s="40"/>
      <c r="F35" s="40">
        <f>SUM(F4:F34)</f>
        <v>60314.402874774663</v>
      </c>
      <c r="G35" s="40">
        <f>SUM(G4:G34)</f>
        <v>266632.56826611463</v>
      </c>
      <c r="H35" s="3"/>
      <c r="J35" s="34"/>
      <c r="L35" s="34"/>
      <c r="M35" s="34"/>
      <c r="N35" s="34"/>
    </row>
    <row r="36" spans="4:14" x14ac:dyDescent="0.25">
      <c r="D36" s="34"/>
      <c r="J36" s="34"/>
      <c r="L36" s="34"/>
      <c r="M36" s="34"/>
      <c r="N36" s="34"/>
    </row>
    <row r="37" spans="4:14" x14ac:dyDescent="0.25">
      <c r="J37" s="34"/>
      <c r="L37" s="34"/>
      <c r="M37" s="34"/>
      <c r="N37" s="34"/>
    </row>
    <row r="38" spans="4:14" x14ac:dyDescent="0.25">
      <c r="J38" s="34"/>
      <c r="L38" s="34"/>
      <c r="M38" s="34"/>
      <c r="N38" s="34"/>
    </row>
    <row r="39" spans="4:14" x14ac:dyDescent="0.25">
      <c r="J39" s="34"/>
      <c r="L39" s="34"/>
      <c r="M39" s="34"/>
      <c r="N39" s="34"/>
    </row>
    <row r="40" spans="4:14" x14ac:dyDescent="0.25">
      <c r="J40" s="34"/>
      <c r="L40" s="34"/>
      <c r="M40" s="34"/>
      <c r="N40" s="34"/>
    </row>
    <row r="41" spans="4:14" x14ac:dyDescent="0.25">
      <c r="J41" s="34"/>
      <c r="L41" s="34"/>
      <c r="M41" s="34"/>
      <c r="N41" s="34"/>
    </row>
    <row r="42" spans="4:14" x14ac:dyDescent="0.25">
      <c r="J42" s="34"/>
      <c r="L42" s="34"/>
      <c r="M42" s="34"/>
      <c r="N42" s="34"/>
    </row>
    <row r="43" spans="4:14" x14ac:dyDescent="0.25">
      <c r="J43" s="34"/>
      <c r="L43" s="34"/>
      <c r="M43" s="34"/>
      <c r="N43" s="34"/>
    </row>
    <row r="44" spans="4:14" x14ac:dyDescent="0.25">
      <c r="J44" s="34"/>
      <c r="L44" s="34"/>
      <c r="M44" s="34"/>
      <c r="N44" s="34"/>
    </row>
    <row r="45" spans="4:14" x14ac:dyDescent="0.25">
      <c r="J45" s="34"/>
      <c r="L45" s="34"/>
      <c r="M45" s="34"/>
      <c r="N45" s="34"/>
    </row>
    <row r="46" spans="4:14" x14ac:dyDescent="0.25">
      <c r="J46" s="34"/>
      <c r="L46" s="34"/>
      <c r="M46" s="34"/>
      <c r="N46" s="34"/>
    </row>
    <row r="47" spans="4:14" x14ac:dyDescent="0.25">
      <c r="J47" s="34"/>
      <c r="L47" s="34"/>
      <c r="M47" s="34"/>
      <c r="N47" s="34"/>
    </row>
    <row r="48" spans="4:14" x14ac:dyDescent="0.25">
      <c r="J48" s="34"/>
      <c r="L48" s="34"/>
      <c r="M48" s="34"/>
      <c r="N48" s="34"/>
    </row>
    <row r="49" spans="10:14" x14ac:dyDescent="0.25">
      <c r="J49" s="34"/>
      <c r="L49" s="34"/>
      <c r="M49" s="34"/>
      <c r="N49" s="34"/>
    </row>
    <row r="50" spans="10:14" x14ac:dyDescent="0.25">
      <c r="J50" s="34"/>
      <c r="L50" s="34"/>
      <c r="M50" s="34"/>
      <c r="N50" s="34"/>
    </row>
    <row r="51" spans="10:14" x14ac:dyDescent="0.25">
      <c r="J51" s="34"/>
      <c r="L51" s="34"/>
      <c r="M51" s="34"/>
      <c r="N51" s="34"/>
    </row>
    <row r="52" spans="10:14" x14ac:dyDescent="0.25">
      <c r="J52" s="34"/>
      <c r="L52" s="34"/>
      <c r="M52" s="34"/>
      <c r="N52" s="34"/>
    </row>
    <row r="53" spans="10:14" x14ac:dyDescent="0.25">
      <c r="J53" s="34"/>
      <c r="L53" s="34"/>
      <c r="M53" s="34"/>
      <c r="N53" s="34"/>
    </row>
    <row r="54" spans="10:14" x14ac:dyDescent="0.25">
      <c r="J54" s="34"/>
      <c r="L54" s="34"/>
      <c r="M54" s="34"/>
      <c r="N54" s="34"/>
    </row>
    <row r="55" spans="10:14" x14ac:dyDescent="0.25">
      <c r="J55" s="34"/>
      <c r="L55" s="34"/>
      <c r="M55" s="34"/>
      <c r="N55" s="34"/>
    </row>
    <row r="56" spans="10:14" x14ac:dyDescent="0.25">
      <c r="J56" s="34"/>
      <c r="L56" s="34"/>
      <c r="M56" s="34"/>
      <c r="N56" s="34"/>
    </row>
    <row r="57" spans="10:14" x14ac:dyDescent="0.25">
      <c r="J57" s="34"/>
      <c r="L57" s="34"/>
      <c r="M57" s="34"/>
      <c r="N57" s="34"/>
    </row>
    <row r="58" spans="10:14" x14ac:dyDescent="0.25">
      <c r="J58" s="34"/>
      <c r="L58" s="34"/>
      <c r="M58" s="34"/>
      <c r="N58" s="34"/>
    </row>
    <row r="59" spans="10:14" x14ac:dyDescent="0.25">
      <c r="J59" s="34"/>
      <c r="L59" s="34"/>
      <c r="M59" s="34"/>
      <c r="N59" s="34"/>
    </row>
    <row r="60" spans="10:14" x14ac:dyDescent="0.25">
      <c r="J60" s="34"/>
      <c r="L60" s="34"/>
      <c r="M60" s="34"/>
      <c r="N60" s="34"/>
    </row>
    <row r="61" spans="10:14" x14ac:dyDescent="0.25">
      <c r="J61" s="34"/>
      <c r="L61" s="34"/>
      <c r="M61" s="34"/>
      <c r="N61" s="34"/>
    </row>
    <row r="62" spans="10:14" x14ac:dyDescent="0.25">
      <c r="J62" s="34"/>
      <c r="L62" s="34"/>
      <c r="M62" s="34"/>
      <c r="N62" s="34"/>
    </row>
    <row r="63" spans="10:14" x14ac:dyDescent="0.25">
      <c r="J63" s="34"/>
      <c r="L63" s="34"/>
      <c r="M63" s="34"/>
      <c r="N63" s="34"/>
    </row>
    <row r="64" spans="10:14" x14ac:dyDescent="0.25">
      <c r="J64" s="34"/>
      <c r="L64" s="34"/>
      <c r="M64" s="34"/>
      <c r="N64" s="34"/>
    </row>
    <row r="65" spans="10:14" x14ac:dyDescent="0.25">
      <c r="J65" s="34"/>
      <c r="L65" s="34"/>
      <c r="M65" s="34"/>
      <c r="N65" s="34"/>
    </row>
    <row r="66" spans="10:14" x14ac:dyDescent="0.25">
      <c r="J66" s="34"/>
      <c r="L66" s="34"/>
      <c r="M66" s="34"/>
      <c r="N66" s="34"/>
    </row>
    <row r="67" spans="10:14" x14ac:dyDescent="0.25">
      <c r="J67" s="34"/>
      <c r="L67" s="34"/>
      <c r="M67" s="34"/>
      <c r="N67" s="34"/>
    </row>
    <row r="68" spans="10:14" x14ac:dyDescent="0.25">
      <c r="J68" s="34"/>
      <c r="L68" s="34"/>
      <c r="M68" s="34"/>
      <c r="N68" s="34"/>
    </row>
    <row r="69" spans="10:14" x14ac:dyDescent="0.25">
      <c r="J69" s="34"/>
      <c r="L69" s="34"/>
      <c r="M69" s="34"/>
      <c r="N69" s="34"/>
    </row>
    <row r="70" spans="10:14" x14ac:dyDescent="0.25">
      <c r="J70" s="34"/>
      <c r="L70" s="34"/>
      <c r="M70" s="34"/>
      <c r="N70" s="34"/>
    </row>
  </sheetData>
  <mergeCells count="5">
    <mergeCell ref="A9:B9"/>
    <mergeCell ref="A16:B16"/>
    <mergeCell ref="E1:H1"/>
    <mergeCell ref="K1:N1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Gromor Finance Private Limited</dc:creator>
  <cp:lastModifiedBy>Murtaza G</cp:lastModifiedBy>
  <dcterms:created xsi:type="dcterms:W3CDTF">2021-05-15T03:21:33Z</dcterms:created>
  <dcterms:modified xsi:type="dcterms:W3CDTF">2023-03-16T10:25:52Z</dcterms:modified>
</cp:coreProperties>
</file>