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esktop\wfp_official\Distribution\"/>
    </mc:Choice>
  </mc:AlternateContent>
  <xr:revisionPtr revIDLastSave="0" documentId="13_ncr:1_{B061160F-8053-4DD3-B785-FE9DE8E47E91}" xr6:coauthVersionLast="45" xr6:coauthVersionMax="45" xr10:uidLastSave="{00000000-0000-0000-0000-000000000000}"/>
  <bookViews>
    <workbookView xWindow="-108" yWindow="-108" windowWidth="23256" windowHeight="12576" tabRatio="796" xr2:uid="{00000000-000D-0000-FFFF-FFFF00000000}"/>
  </bookViews>
  <sheets>
    <sheet name="GFA cycle 03 2021" sheetId="8" r:id="rId1"/>
    <sheet name="GFA Cycle 02 2021" sheetId="6" r:id="rId2"/>
    <sheet name="GFA Cycle 01 2021" sheetId="5" r:id="rId3"/>
    <sheet name="GFA Cycle 12 2020" sheetId="3" r:id="rId4"/>
    <sheet name="GFA Cycle 11 2020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2" i="8" l="1"/>
  <c r="Z42" i="8"/>
  <c r="Y42" i="8"/>
  <c r="W42" i="8"/>
  <c r="R21" i="8"/>
  <c r="R15" i="8"/>
  <c r="R13" i="8"/>
  <c r="P13" i="8"/>
  <c r="R11" i="8"/>
  <c r="R10" i="8"/>
  <c r="P10" i="8"/>
  <c r="R9" i="8"/>
  <c r="Y30" i="8"/>
  <c r="L10" i="8"/>
  <c r="W30" i="8"/>
  <c r="I10" i="8" s="1"/>
  <c r="Y35" i="8"/>
  <c r="L15" i="8"/>
  <c r="Y33" i="8"/>
  <c r="L13" i="8"/>
  <c r="W33" i="8"/>
  <c r="I13" i="8"/>
  <c r="Y41" i="8"/>
  <c r="L21" i="8"/>
  <c r="Y29" i="8"/>
  <c r="L9" i="8"/>
  <c r="Y31" i="8"/>
  <c r="L11" i="8"/>
  <c r="U42" i="8" l="1"/>
  <c r="S42" i="8"/>
  <c r="O42" i="8"/>
  <c r="U29" i="8"/>
  <c r="U33" i="8"/>
  <c r="U34" i="8"/>
  <c r="U35" i="8"/>
  <c r="U38" i="8"/>
  <c r="U41" i="8"/>
  <c r="L14" i="8"/>
  <c r="L18" i="8"/>
  <c r="R22" i="8" l="1"/>
  <c r="P22" i="8"/>
  <c r="O29" i="8"/>
  <c r="Q35" i="8"/>
  <c r="Q40" i="8" l="1"/>
  <c r="L20" i="8"/>
  <c r="Q33" i="8"/>
  <c r="Q32" i="8"/>
  <c r="L12" i="8"/>
  <c r="Q42" i="8" l="1"/>
  <c r="I37" i="8"/>
  <c r="M33" i="8"/>
  <c r="M42" i="8" s="1"/>
  <c r="M40" i="8"/>
  <c r="I36" i="8"/>
  <c r="M36" i="8"/>
  <c r="M28" i="8"/>
  <c r="I28" i="8"/>
  <c r="M13" i="8"/>
  <c r="M16" i="8"/>
  <c r="L8" i="8"/>
  <c r="L17" i="8"/>
  <c r="M17" i="8" s="1"/>
  <c r="K42" i="8"/>
  <c r="C42" i="8"/>
  <c r="E39" i="8"/>
  <c r="E42" i="8"/>
  <c r="G42" i="8"/>
  <c r="D22" i="8"/>
  <c r="C22" i="8"/>
  <c r="T42" i="8" s="1"/>
  <c r="M21" i="8"/>
  <c r="J21" i="8"/>
  <c r="G21" i="8"/>
  <c r="F21" i="8"/>
  <c r="M20" i="8"/>
  <c r="I22" i="8"/>
  <c r="G20" i="8"/>
  <c r="F20" i="8"/>
  <c r="L19" i="8"/>
  <c r="M19" i="8" s="1"/>
  <c r="F19" i="8"/>
  <c r="C19" i="8"/>
  <c r="G19" i="8" s="1"/>
  <c r="M18" i="8"/>
  <c r="J18" i="8"/>
  <c r="G18" i="8"/>
  <c r="F18" i="8"/>
  <c r="J17" i="8"/>
  <c r="G17" i="8"/>
  <c r="F17" i="8"/>
  <c r="J16" i="8"/>
  <c r="G16" i="8"/>
  <c r="F16" i="8"/>
  <c r="M15" i="8"/>
  <c r="J15" i="8"/>
  <c r="G15" i="8"/>
  <c r="F15" i="8"/>
  <c r="M14" i="8"/>
  <c r="J14" i="8"/>
  <c r="G14" i="8"/>
  <c r="F14" i="8"/>
  <c r="J13" i="8"/>
  <c r="G13" i="8"/>
  <c r="F13" i="8"/>
  <c r="M12" i="8"/>
  <c r="J12" i="8"/>
  <c r="G12" i="8"/>
  <c r="F12" i="8"/>
  <c r="M11" i="8"/>
  <c r="J11" i="8"/>
  <c r="G11" i="8"/>
  <c r="F11" i="8"/>
  <c r="M10" i="8"/>
  <c r="J10" i="8"/>
  <c r="G10" i="8"/>
  <c r="F10" i="8"/>
  <c r="M9" i="8"/>
  <c r="J9" i="8"/>
  <c r="G9" i="8"/>
  <c r="F9" i="8"/>
  <c r="M8" i="8"/>
  <c r="J8" i="8"/>
  <c r="G8" i="8"/>
  <c r="F8" i="8"/>
  <c r="S22" i="8" l="1"/>
  <c r="V42" i="8"/>
  <c r="P42" i="8"/>
  <c r="Q22" i="8"/>
  <c r="R42" i="8"/>
  <c r="I42" i="8"/>
  <c r="J42" i="8" s="1"/>
  <c r="L22" i="8"/>
  <c r="M22" i="8" s="1"/>
  <c r="D42" i="8"/>
  <c r="J22" i="8"/>
  <c r="L42" i="8"/>
  <c r="N42" i="8"/>
  <c r="F22" i="8"/>
  <c r="F42" i="8"/>
  <c r="H42" i="8"/>
  <c r="J19" i="8"/>
  <c r="G22" i="8"/>
  <c r="J20" i="8"/>
  <c r="AL19" i="6"/>
  <c r="AJ19" i="6"/>
  <c r="AJ24" i="6"/>
  <c r="AH24" i="6"/>
  <c r="AG24" i="6"/>
  <c r="AF24" i="6"/>
  <c r="AH19" i="6"/>
  <c r="AG19" i="6"/>
  <c r="AK24" i="6"/>
  <c r="AL24" i="6" s="1"/>
  <c r="AK19" i="6"/>
  <c r="AI19" i="6"/>
  <c r="R8" i="6"/>
  <c r="L8" i="6"/>
  <c r="AF19" i="6"/>
  <c r="AE19" i="6"/>
  <c r="P8" i="6"/>
  <c r="AI24" i="6" l="1"/>
  <c r="AE24" i="6"/>
  <c r="D24" i="6"/>
  <c r="H24" i="6"/>
  <c r="Q8" i="6"/>
  <c r="R20" i="6"/>
  <c r="Q20" i="6"/>
  <c r="N20" i="6"/>
  <c r="M20" i="6"/>
  <c r="J20" i="6"/>
  <c r="I20" i="6"/>
  <c r="F20" i="6"/>
  <c r="E20" i="6"/>
  <c r="L9" i="6"/>
  <c r="O20" i="6"/>
  <c r="P20" i="6" s="1"/>
  <c r="L20" i="6"/>
  <c r="K20" i="6"/>
  <c r="H20" i="6"/>
  <c r="G20" i="6"/>
  <c r="D20" i="6"/>
  <c r="C20" i="6"/>
  <c r="I9" i="6"/>
  <c r="AB19" i="6"/>
  <c r="AA19" i="6"/>
  <c r="X19" i="6"/>
  <c r="W19" i="6"/>
  <c r="Y19" i="6"/>
  <c r="AD19" i="6"/>
  <c r="AC19" i="6"/>
  <c r="Z19" i="6"/>
  <c r="S8" i="6"/>
  <c r="J21" i="6" l="1"/>
  <c r="I21" i="6"/>
  <c r="F21" i="6"/>
  <c r="E21" i="6"/>
  <c r="L10" i="6"/>
  <c r="M10" i="6" s="1"/>
  <c r="AD22" i="6"/>
  <c r="AC22" i="6"/>
  <c r="Y22" i="6"/>
  <c r="Z22" i="6"/>
  <c r="V22" i="6"/>
  <c r="U22" i="6"/>
  <c r="R22" i="6"/>
  <c r="Q22" i="6"/>
  <c r="M22" i="6"/>
  <c r="N22" i="6" s="1"/>
  <c r="L11" i="6"/>
  <c r="M11" i="6" s="1"/>
  <c r="AD23" i="6"/>
  <c r="Z23" i="6"/>
  <c r="V23" i="6"/>
  <c r="R23" i="6"/>
  <c r="N23" i="6"/>
  <c r="J23" i="6"/>
  <c r="F23" i="6"/>
  <c r="AC23" i="6"/>
  <c r="Y23" i="6"/>
  <c r="U23" i="6"/>
  <c r="Q23" i="6"/>
  <c r="M23" i="6"/>
  <c r="I23" i="6"/>
  <c r="E23" i="6"/>
  <c r="I24" i="6"/>
  <c r="G24" i="6"/>
  <c r="E24" i="6"/>
  <c r="C24" i="6"/>
  <c r="L12" i="6"/>
  <c r="M12" i="6"/>
  <c r="AA24" i="6"/>
  <c r="W24" i="6"/>
  <c r="S24" i="6"/>
  <c r="K24" i="6"/>
  <c r="AC24" i="6"/>
  <c r="Y24" i="6"/>
  <c r="U24" i="6"/>
  <c r="M24" i="6"/>
  <c r="R13" i="6"/>
  <c r="P13" i="6"/>
  <c r="C13" i="6"/>
  <c r="Q13" i="6" s="1"/>
  <c r="F12" i="6"/>
  <c r="G11" i="6"/>
  <c r="F11" i="6"/>
  <c r="G10" i="6"/>
  <c r="F10" i="6"/>
  <c r="J9" i="6"/>
  <c r="G9" i="6"/>
  <c r="F9" i="6"/>
  <c r="M8" i="6"/>
  <c r="I13" i="6"/>
  <c r="J13" i="6" s="1"/>
  <c r="G8" i="6"/>
  <c r="F8" i="6"/>
  <c r="X24" i="6" l="1"/>
  <c r="L13" i="6"/>
  <c r="G12" i="6"/>
  <c r="D13" i="6"/>
  <c r="AB24" i="6"/>
  <c r="L24" i="6"/>
  <c r="T24" i="6"/>
  <c r="M9" i="6"/>
  <c r="J8" i="6"/>
  <c r="Z42" i="5"/>
  <c r="X42" i="5"/>
  <c r="Y41" i="5"/>
  <c r="W41" i="5"/>
  <c r="Y33" i="5"/>
  <c r="W33" i="5"/>
  <c r="Y30" i="5"/>
  <c r="Y42" i="5" s="1"/>
  <c r="W30" i="5"/>
  <c r="Y29" i="5"/>
  <c r="W29" i="5"/>
  <c r="W42" i="5" s="1"/>
  <c r="P13" i="5"/>
  <c r="I13" i="5"/>
  <c r="R13" i="5"/>
  <c r="L13" i="5"/>
  <c r="P10" i="5"/>
  <c r="I10" i="5"/>
  <c r="R10" i="5"/>
  <c r="L10" i="5"/>
  <c r="R21" i="5"/>
  <c r="L21" i="5"/>
  <c r="P21" i="5"/>
  <c r="I21" i="5"/>
  <c r="P9" i="5"/>
  <c r="I9" i="5"/>
  <c r="R9" i="5"/>
  <c r="L9" i="5"/>
  <c r="G13" i="6" l="1"/>
  <c r="N24" i="6"/>
  <c r="J24" i="6"/>
  <c r="F24" i="6"/>
  <c r="V24" i="6"/>
  <c r="F13" i="6"/>
  <c r="S13" i="6"/>
  <c r="M13" i="6"/>
  <c r="AD24" i="6"/>
  <c r="Z24" i="6"/>
  <c r="U41" i="5"/>
  <c r="S41" i="5"/>
  <c r="U35" i="5"/>
  <c r="S35" i="5"/>
  <c r="U33" i="5"/>
  <c r="S33" i="5"/>
  <c r="U31" i="5"/>
  <c r="S31" i="5"/>
  <c r="U30" i="5"/>
  <c r="S30" i="5"/>
  <c r="U29" i="5"/>
  <c r="U42" i="5" s="1"/>
  <c r="S29" i="5"/>
  <c r="S42" i="5" s="1"/>
  <c r="L11" i="5"/>
  <c r="I11" i="5"/>
  <c r="I15" i="5" l="1"/>
  <c r="L15" i="5"/>
  <c r="C8" i="5" l="1"/>
  <c r="Q42" i="5"/>
  <c r="Q40" i="5"/>
  <c r="O40" i="5"/>
  <c r="Q38" i="5"/>
  <c r="O38" i="5"/>
  <c r="Q35" i="5"/>
  <c r="O35" i="5"/>
  <c r="Q34" i="5"/>
  <c r="O34" i="5"/>
  <c r="Q33" i="5"/>
  <c r="O33" i="5"/>
  <c r="Q31" i="5"/>
  <c r="O31" i="5"/>
  <c r="Q29" i="5"/>
  <c r="O29" i="5"/>
  <c r="O42" i="5" s="1"/>
  <c r="L18" i="5" l="1"/>
  <c r="I18" i="5"/>
  <c r="L14" i="5"/>
  <c r="I14" i="5"/>
  <c r="L20" i="5"/>
  <c r="I20" i="5"/>
  <c r="M40" i="5" l="1"/>
  <c r="M38" i="5"/>
  <c r="K38" i="5"/>
  <c r="M35" i="5"/>
  <c r="K35" i="5"/>
  <c r="M34" i="5"/>
  <c r="K34" i="5"/>
  <c r="M33" i="5"/>
  <c r="K33" i="5"/>
  <c r="K42" i="5" s="1"/>
  <c r="M28" i="5"/>
  <c r="M42" i="5" s="1"/>
  <c r="L8" i="5" l="1"/>
  <c r="I40" i="5" l="1"/>
  <c r="G40" i="5"/>
  <c r="I37" i="5"/>
  <c r="G37" i="5"/>
  <c r="I36" i="5"/>
  <c r="G36" i="5"/>
  <c r="I35" i="5"/>
  <c r="G35" i="5"/>
  <c r="I32" i="5"/>
  <c r="G32" i="5"/>
  <c r="I28" i="5"/>
  <c r="I42" i="5" s="1"/>
  <c r="G28" i="5"/>
  <c r="G42" i="5" s="1"/>
  <c r="L12" i="5"/>
  <c r="I12" i="5"/>
  <c r="I8" i="5"/>
  <c r="I17" i="5" l="1"/>
  <c r="L17" i="5"/>
  <c r="L16" i="5"/>
  <c r="I16" i="5"/>
  <c r="E39" i="5" l="1"/>
  <c r="C39" i="5"/>
  <c r="E35" i="5"/>
  <c r="C35" i="5"/>
  <c r="C42" i="5" s="1"/>
  <c r="E32" i="5"/>
  <c r="C32" i="5"/>
  <c r="E28" i="5"/>
  <c r="E42" i="5" s="1"/>
  <c r="J17" i="5"/>
  <c r="M15" i="5"/>
  <c r="I19" i="5"/>
  <c r="C19" i="5"/>
  <c r="G19" i="5" s="1"/>
  <c r="L19" i="5"/>
  <c r="M19" i="5" s="1"/>
  <c r="J12" i="5"/>
  <c r="M12" i="5"/>
  <c r="J9" i="5"/>
  <c r="J10" i="5"/>
  <c r="J11" i="5"/>
  <c r="J13" i="5"/>
  <c r="J14" i="5"/>
  <c r="J15" i="5"/>
  <c r="J16" i="5"/>
  <c r="J18" i="5"/>
  <c r="J20" i="5"/>
  <c r="J21" i="5"/>
  <c r="J8" i="5"/>
  <c r="M9" i="5"/>
  <c r="M10" i="5"/>
  <c r="M11" i="5"/>
  <c r="M13" i="5"/>
  <c r="M14" i="5"/>
  <c r="M16" i="5"/>
  <c r="M17" i="5"/>
  <c r="M18" i="5"/>
  <c r="M20" i="5"/>
  <c r="M21" i="5"/>
  <c r="M8" i="5"/>
  <c r="G9" i="5"/>
  <c r="G10" i="5"/>
  <c r="G11" i="5"/>
  <c r="G12" i="5"/>
  <c r="G13" i="5"/>
  <c r="G14" i="5"/>
  <c r="G15" i="5"/>
  <c r="G16" i="5"/>
  <c r="G17" i="5"/>
  <c r="G18" i="5"/>
  <c r="G20" i="5"/>
  <c r="G21" i="5"/>
  <c r="G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8" i="5"/>
  <c r="D22" i="5"/>
  <c r="V42" i="5" s="1"/>
  <c r="N42" i="5" l="1"/>
  <c r="R42" i="5"/>
  <c r="F42" i="5"/>
  <c r="J42" i="5"/>
  <c r="P22" i="5"/>
  <c r="C22" i="5"/>
  <c r="T42" i="5" s="1"/>
  <c r="J19" i="5"/>
  <c r="L22" i="5"/>
  <c r="M22" i="5" s="1"/>
  <c r="I22" i="5"/>
  <c r="R22" i="5"/>
  <c r="S22" i="5" s="1"/>
  <c r="AX24" i="3"/>
  <c r="BB24" i="3"/>
  <c r="AY24" i="3"/>
  <c r="AZ24" i="3" s="1"/>
  <c r="BA23" i="3"/>
  <c r="BA24" i="3" s="1"/>
  <c r="AW23" i="3"/>
  <c r="AU24" i="3"/>
  <c r="AV24" i="3" s="1"/>
  <c r="AW24" i="3"/>
  <c r="R12" i="3"/>
  <c r="L12" i="3"/>
  <c r="M12" i="3"/>
  <c r="L42" i="5" l="1"/>
  <c r="P42" i="5"/>
  <c r="D42" i="5"/>
  <c r="H42" i="5"/>
  <c r="Q22" i="5"/>
  <c r="F22" i="5"/>
  <c r="G22" i="5"/>
  <c r="J22" i="5"/>
  <c r="AQ24" i="3"/>
  <c r="AS23" i="3"/>
  <c r="AS24" i="3" s="1"/>
  <c r="AN24" i="3"/>
  <c r="AK24" i="3"/>
  <c r="AJ24" i="3"/>
  <c r="AF24" i="3"/>
  <c r="AO23" i="3"/>
  <c r="AK23" i="3"/>
  <c r="AG23" i="3"/>
  <c r="AO20" i="3"/>
  <c r="AK20" i="3"/>
  <c r="L9" i="3"/>
  <c r="AM20" i="3"/>
  <c r="AM24" i="3" s="1"/>
  <c r="AI20" i="3"/>
  <c r="AI24" i="3" s="1"/>
  <c r="J9" i="3"/>
  <c r="AO24" i="3" l="1"/>
  <c r="AC24" i="3" l="1"/>
  <c r="AA24" i="3"/>
  <c r="Y24" i="3"/>
  <c r="W24" i="3"/>
  <c r="U24" i="3"/>
  <c r="S24" i="3"/>
  <c r="AA20" i="3"/>
  <c r="AC23" i="3"/>
  <c r="Y19" i="3"/>
  <c r="U19" i="3"/>
  <c r="L8" i="3"/>
  <c r="W19" i="3"/>
  <c r="S19" i="3"/>
  <c r="I8" i="3"/>
  <c r="AG24" i="3"/>
  <c r="AE24" i="3"/>
  <c r="AG20" i="3"/>
  <c r="AE20" i="3"/>
  <c r="AC20" i="3"/>
  <c r="M22" i="3"/>
  <c r="Y22" i="3"/>
  <c r="Q22" i="3"/>
  <c r="U22" i="3"/>
  <c r="L11" i="3"/>
  <c r="M9" i="3"/>
  <c r="I24" i="3" l="1"/>
  <c r="M24" i="3"/>
  <c r="M19" i="3"/>
  <c r="K19" i="3"/>
  <c r="K24" i="3" s="1"/>
  <c r="I22" i="3"/>
  <c r="G8" i="3" l="1"/>
  <c r="G9" i="3"/>
  <c r="F8" i="3"/>
  <c r="F9" i="3"/>
  <c r="F10" i="3"/>
  <c r="G12" i="3"/>
  <c r="F12" i="3"/>
  <c r="M8" i="3"/>
  <c r="E21" i="3"/>
  <c r="E24" i="3" s="1"/>
  <c r="C21" i="3"/>
  <c r="C24" i="3" s="1"/>
  <c r="L10" i="3"/>
  <c r="M10" i="3" s="1"/>
  <c r="G10" i="3"/>
  <c r="J8" i="3"/>
  <c r="G22" i="3"/>
  <c r="G24" i="3" s="1"/>
  <c r="C13" i="3"/>
  <c r="M11" i="3"/>
  <c r="G11" i="3"/>
  <c r="F11" i="3"/>
  <c r="R13" i="3"/>
  <c r="P13" i="3"/>
  <c r="P21" i="1"/>
  <c r="I21" i="1"/>
  <c r="R21" i="1"/>
  <c r="L21" i="1"/>
  <c r="D21" i="1"/>
  <c r="R20" i="1"/>
  <c r="L20" i="1"/>
  <c r="P20" i="1"/>
  <c r="I20" i="1"/>
  <c r="T24" i="3" l="1"/>
  <c r="X24" i="3"/>
  <c r="AB24" i="3"/>
  <c r="L24" i="3"/>
  <c r="Q13" i="3"/>
  <c r="L13" i="3"/>
  <c r="I13" i="3"/>
  <c r="J13" i="3" s="1"/>
  <c r="D13" i="3"/>
  <c r="M26" i="1"/>
  <c r="J21" i="1"/>
  <c r="AT24" i="3" l="1"/>
  <c r="AP24" i="3"/>
  <c r="AL24" i="3"/>
  <c r="AD24" i="3"/>
  <c r="AR24" i="3" s="1"/>
  <c r="V24" i="3"/>
  <c r="AH24" i="3"/>
  <c r="Z24" i="3"/>
  <c r="N24" i="3"/>
  <c r="J24" i="3"/>
  <c r="M13" i="3"/>
  <c r="H24" i="3"/>
  <c r="F24" i="3"/>
  <c r="D24" i="3"/>
  <c r="G13" i="3"/>
  <c r="S13" i="3"/>
  <c r="F13" i="3"/>
  <c r="BC51" i="1"/>
  <c r="BC46" i="1"/>
  <c r="BC45" i="1"/>
  <c r="BC35" i="1"/>
  <c r="BA35" i="1"/>
  <c r="BC34" i="1"/>
  <c r="BA34" i="1"/>
  <c r="L26" i="1"/>
  <c r="M20" i="1"/>
  <c r="J20" i="1"/>
  <c r="J10" i="1"/>
  <c r="I10" i="1"/>
  <c r="M10" i="1"/>
  <c r="L10" i="1"/>
  <c r="M9" i="1"/>
  <c r="L9" i="1"/>
  <c r="J9" i="1"/>
  <c r="I9" i="1"/>
  <c r="M21" i="1"/>
  <c r="M13" i="1" l="1"/>
  <c r="L13" i="1"/>
  <c r="J13" i="1"/>
  <c r="M11" i="1"/>
  <c r="L11" i="1"/>
  <c r="AU51" i="1" l="1"/>
  <c r="AU38" i="1"/>
  <c r="AS38" i="1"/>
  <c r="AU36" i="1"/>
  <c r="AS36" i="1"/>
  <c r="AU34" i="1"/>
  <c r="AS34" i="1"/>
  <c r="J11" i="1" l="1"/>
  <c r="AM51" i="1" l="1"/>
  <c r="AM47" i="1"/>
  <c r="AK47" i="1"/>
  <c r="AM40" i="1"/>
  <c r="AM39" i="1"/>
  <c r="AM38" i="1"/>
  <c r="AK38" i="1"/>
  <c r="AM34" i="1"/>
  <c r="AK34" i="1"/>
  <c r="L22" i="1"/>
  <c r="I22" i="1"/>
  <c r="L15" i="1"/>
  <c r="L14" i="1"/>
  <c r="AI51" i="1" l="1"/>
  <c r="AI47" i="1"/>
  <c r="AG47" i="1"/>
  <c r="AI39" i="1"/>
  <c r="AI38" i="1"/>
  <c r="AG38" i="1"/>
  <c r="AI33" i="1"/>
  <c r="AG33" i="1"/>
  <c r="L8" i="1"/>
  <c r="M14" i="1"/>
  <c r="AE51" i="1" l="1"/>
  <c r="AE47" i="1"/>
  <c r="AC47" i="1"/>
  <c r="AE40" i="1"/>
  <c r="AC39" i="1"/>
  <c r="AE38" i="1"/>
  <c r="AE33" i="1"/>
  <c r="I14" i="1"/>
  <c r="J14" i="1" s="1"/>
  <c r="AA40" i="1"/>
  <c r="J22" i="1" l="1"/>
  <c r="M22" i="1"/>
  <c r="J8" i="1"/>
  <c r="M8" i="1"/>
  <c r="P27" i="1" l="1"/>
  <c r="R27" i="1"/>
  <c r="W48" i="1"/>
  <c r="L23" i="1"/>
  <c r="U48" i="1"/>
  <c r="W50" i="1"/>
  <c r="L25" i="1"/>
  <c r="W37" i="1"/>
  <c r="L12" i="1"/>
  <c r="W40" i="1"/>
  <c r="U40" i="1"/>
  <c r="W43" i="1"/>
  <c r="L18" i="1"/>
  <c r="M18" i="1" s="1"/>
  <c r="J18" i="1"/>
  <c r="U43" i="1"/>
  <c r="M19" i="1"/>
  <c r="J19" i="1"/>
  <c r="M41" i="1" l="1"/>
  <c r="Q4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G8" i="1"/>
  <c r="F8" i="1"/>
  <c r="M12" i="1" l="1"/>
  <c r="J17" i="1"/>
  <c r="J15" i="1"/>
  <c r="M15" i="1"/>
  <c r="O42" i="1"/>
  <c r="K42" i="1"/>
  <c r="L17" i="1"/>
  <c r="M17" i="1" s="1"/>
  <c r="M42" i="1"/>
  <c r="I42" i="1"/>
  <c r="I16" i="1"/>
  <c r="J16" i="1" s="1"/>
  <c r="L16" i="1"/>
  <c r="M16" i="1" s="1"/>
  <c r="J23" i="1"/>
  <c r="J12" i="1"/>
  <c r="M25" i="1"/>
  <c r="M23" i="1"/>
  <c r="L24" i="1"/>
  <c r="M24" i="1" s="1"/>
  <c r="M37" i="1"/>
  <c r="I37" i="1"/>
  <c r="S37" i="1"/>
  <c r="O37" i="1"/>
  <c r="K37" i="1"/>
  <c r="Q43" i="1"/>
  <c r="S43" i="1"/>
  <c r="S40" i="1"/>
  <c r="O40" i="1"/>
  <c r="K40" i="1"/>
  <c r="S50" i="1"/>
  <c r="O50" i="1"/>
  <c r="K50" i="1"/>
  <c r="G50" i="1"/>
  <c r="S41" i="1"/>
  <c r="O41" i="1"/>
  <c r="K41" i="1"/>
  <c r="Q48" i="1"/>
  <c r="M48" i="1"/>
  <c r="I48" i="1"/>
  <c r="S48" i="1"/>
  <c r="O48" i="1"/>
  <c r="K48" i="1"/>
  <c r="E49" i="1"/>
  <c r="E52" i="1" s="1"/>
  <c r="C49" i="1"/>
  <c r="U52" i="1"/>
  <c r="W52" i="1"/>
  <c r="C52" i="1"/>
  <c r="M52" i="1" l="1"/>
  <c r="Q52" i="1"/>
  <c r="K52" i="1"/>
  <c r="O52" i="1"/>
  <c r="S52" i="1"/>
  <c r="C27" i="1"/>
  <c r="Q27" i="1" s="1"/>
  <c r="D27" i="1"/>
  <c r="S27" i="1" s="1"/>
  <c r="G27" i="1" l="1"/>
  <c r="F27" i="1"/>
  <c r="I27" i="1" l="1"/>
  <c r="J27" i="1" s="1"/>
  <c r="L27" i="1"/>
  <c r="M27" i="1" s="1"/>
</calcChain>
</file>

<file path=xl/sharedStrings.xml><?xml version="1.0" encoding="utf-8"?>
<sst xmlns="http://schemas.openxmlformats.org/spreadsheetml/2006/main" count="618" uniqueCount="55">
  <si>
    <t>Food</t>
  </si>
  <si>
    <t>Cash</t>
  </si>
  <si>
    <t>Adjumani East</t>
  </si>
  <si>
    <t>Ayilo 2</t>
  </si>
  <si>
    <t>Baratuku</t>
  </si>
  <si>
    <t>Boroli</t>
  </si>
  <si>
    <t>Nyumanzi</t>
  </si>
  <si>
    <t>Olua</t>
  </si>
  <si>
    <t>Pagirinya 2</t>
  </si>
  <si>
    <t>Adjumani West</t>
  </si>
  <si>
    <t>Agojo</t>
  </si>
  <si>
    <t>Maaji 1</t>
  </si>
  <si>
    <t>Mirieyi</t>
  </si>
  <si>
    <t>Mungula 1</t>
  </si>
  <si>
    <t>Kiryandongo</t>
  </si>
  <si>
    <t>Magamaga</t>
  </si>
  <si>
    <t>Palabek</t>
  </si>
  <si>
    <t>Zone 1</t>
  </si>
  <si>
    <t>Zone 5</t>
  </si>
  <si>
    <t>% Food</t>
  </si>
  <si>
    <t>% Cash</t>
  </si>
  <si>
    <t>Status</t>
  </si>
  <si>
    <t>Distribution Date</t>
  </si>
  <si>
    <t>Modality</t>
  </si>
  <si>
    <t>FDP</t>
  </si>
  <si>
    <t>Settlement</t>
  </si>
  <si>
    <t>Zone 4</t>
  </si>
  <si>
    <t>Complete</t>
  </si>
  <si>
    <t>Maaji 3</t>
  </si>
  <si>
    <t>Ayilo 1</t>
  </si>
  <si>
    <t>Alere</t>
  </si>
  <si>
    <t>Youth Centre</t>
  </si>
  <si>
    <t>TOTAL</t>
  </si>
  <si>
    <t>Population</t>
  </si>
  <si>
    <t>Maaji 2</t>
  </si>
  <si>
    <t>Date:</t>
  </si>
  <si>
    <t>Daily Distribution Summaries</t>
  </si>
  <si>
    <t>Data</t>
  </si>
  <si>
    <t>Food%</t>
  </si>
  <si>
    <t>Gulu GFA Cycle 11, 2020 Distribution Update</t>
  </si>
  <si>
    <t>Overall Status</t>
  </si>
  <si>
    <t>Modality Ratio</t>
  </si>
  <si>
    <t>Total</t>
  </si>
  <si>
    <t>Gulu GFA Cycle 12, 2020 Distribution Update</t>
  </si>
  <si>
    <t>Gulu GFA Cycle 01, 2021 Distribution Update</t>
  </si>
  <si>
    <t>Day's Distribution Summary</t>
  </si>
  <si>
    <t>Gulu GFA Cycle 02, 2021 Distribution Update</t>
  </si>
  <si>
    <t>ongoing</t>
  </si>
  <si>
    <t>Gulu GFA Cycle 03, 2021 Distribution Update</t>
  </si>
  <si>
    <t>%Cash</t>
  </si>
  <si>
    <t>%Food</t>
  </si>
  <si>
    <t>Ongoing</t>
  </si>
  <si>
    <t>Cash%</t>
  </si>
  <si>
    <t xml:space="preserve">Food </t>
  </si>
  <si>
    <t>6,880 7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</si>
</sst>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yyyy\-mm\-dd"/>
    <numFmt numFmtId="166" formatCode="_-* #,##0_-;\-* #,##0_-;_-* &quot;-&quot;??_-;_-@_-"/>
    <numFmt numFmtId="167" formatCode="[$-809]d\ mmmm\ yyyy;@"/>
    <numFmt numFmtId="168" formatCode="[$-10409]#,##0;\-#,##0"/>
    <numFmt numFmtId="169" formatCode="[$-10409]#,##0;\(#,##0\)"/>
  </numFmts>
  <fonts count="1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8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rgb="FF4D4D4D"/>
      <name val="Tahoma"/>
    </font>
    <font>
      <sz val="11"/>
      <color rgb="FF4D4D4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21" applyNumberFormat="0" applyFill="0" applyAlignment="0" applyProtection="0"/>
    <xf numFmtId="0" fontId="7" fillId="0" borderId="22" applyNumberFormat="0" applyFill="0" applyAlignment="0" applyProtection="0"/>
  </cellStyleXfs>
  <cellXfs count="20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66" fontId="1" fillId="0" borderId="1" xfId="1" applyNumberFormat="1" applyFont="1" applyBorder="1" applyAlignment="1">
      <alignment horizontal="center" vertical="top"/>
    </xf>
    <xf numFmtId="166" fontId="0" fillId="0" borderId="1" xfId="1" applyNumberFormat="1" applyFont="1" applyBorder="1"/>
    <xf numFmtId="10" fontId="0" fillId="0" borderId="1" xfId="2" applyNumberFormat="1" applyFont="1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1" fillId="0" borderId="2" xfId="0" applyFont="1" applyBorder="1" applyAlignment="1">
      <alignment horizontal="center" vertical="top"/>
    </xf>
    <xf numFmtId="10" fontId="0" fillId="2" borderId="1" xfId="2" applyNumberFormat="1" applyFont="1" applyFill="1" applyBorder="1"/>
    <xf numFmtId="166" fontId="1" fillId="2" borderId="1" xfId="1" applyNumberFormat="1" applyFont="1" applyFill="1" applyBorder="1" applyAlignment="1">
      <alignment horizontal="center" vertical="top"/>
    </xf>
    <xf numFmtId="166" fontId="0" fillId="2" borderId="1" xfId="1" applyNumberFormat="1" applyFont="1" applyFill="1" applyBorder="1"/>
    <xf numFmtId="0" fontId="0" fillId="0" borderId="2" xfId="0" applyBorder="1"/>
    <xf numFmtId="166" fontId="1" fillId="0" borderId="3" xfId="1" applyNumberFormat="1" applyFont="1" applyBorder="1" applyAlignment="1">
      <alignment horizontal="center" vertical="top"/>
    </xf>
    <xf numFmtId="166" fontId="0" fillId="0" borderId="3" xfId="1" applyNumberFormat="1" applyFont="1" applyBorder="1"/>
    <xf numFmtId="166" fontId="0" fillId="2" borderId="3" xfId="1" applyNumberFormat="1" applyFont="1" applyFill="1" applyBorder="1"/>
    <xf numFmtId="166" fontId="1" fillId="2" borderId="7" xfId="1" applyNumberFormat="1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166" fontId="0" fillId="2" borderId="7" xfId="1" applyNumberFormat="1" applyFont="1" applyFill="1" applyBorder="1"/>
    <xf numFmtId="0" fontId="0" fillId="2" borderId="8" xfId="0" applyFill="1" applyBorder="1"/>
    <xf numFmtId="10" fontId="0" fillId="2" borderId="8" xfId="2" applyNumberFormat="1" applyFont="1" applyFill="1" applyBorder="1"/>
    <xf numFmtId="10" fontId="0" fillId="2" borderId="2" xfId="2" applyNumberFormat="1" applyFont="1" applyFill="1" applyBorder="1"/>
    <xf numFmtId="10" fontId="0" fillId="0" borderId="2" xfId="2" applyNumberFormat="1" applyFont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166" fontId="0" fillId="0" borderId="7" xfId="1" applyNumberFormat="1" applyFont="1" applyBorder="1"/>
    <xf numFmtId="10" fontId="0" fillId="0" borderId="8" xfId="2" applyNumberFormat="1" applyFont="1" applyBorder="1"/>
    <xf numFmtId="0" fontId="3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66" fontId="0" fillId="3" borderId="1" xfId="1" applyNumberFormat="1" applyFont="1" applyFill="1" applyBorder="1"/>
    <xf numFmtId="166" fontId="0" fillId="3" borderId="7" xfId="1" applyNumberFormat="1" applyFont="1" applyFill="1" applyBorder="1"/>
    <xf numFmtId="10" fontId="0" fillId="3" borderId="8" xfId="2" applyNumberFormat="1" applyFont="1" applyFill="1" applyBorder="1"/>
    <xf numFmtId="166" fontId="0" fillId="3" borderId="3" xfId="1" applyNumberFormat="1" applyFont="1" applyFill="1" applyBorder="1"/>
    <xf numFmtId="10" fontId="0" fillId="3" borderId="1" xfId="2" applyNumberFormat="1" applyFont="1" applyFill="1" applyBorder="1"/>
    <xf numFmtId="10" fontId="0" fillId="3" borderId="2" xfId="2" applyNumberFormat="1" applyFont="1" applyFill="1" applyBorder="1"/>
    <xf numFmtId="0" fontId="3" fillId="3" borderId="1" xfId="0" applyFont="1" applyFill="1" applyBorder="1" applyAlignment="1">
      <alignment horizontal="center" vertical="top"/>
    </xf>
    <xf numFmtId="0" fontId="4" fillId="0" borderId="7" xfId="0" applyFont="1" applyBorder="1"/>
    <xf numFmtId="0" fontId="4" fillId="2" borderId="1" xfId="0" applyFont="1" applyFill="1" applyBorder="1"/>
    <xf numFmtId="0" fontId="4" fillId="2" borderId="8" xfId="0" applyFont="1" applyFill="1" applyBorder="1"/>
    <xf numFmtId="0" fontId="4" fillId="0" borderId="1" xfId="0" applyFont="1" applyFill="1" applyBorder="1"/>
    <xf numFmtId="166" fontId="5" fillId="0" borderId="20" xfId="1" applyNumberFormat="1" applyFont="1" applyBorder="1"/>
    <xf numFmtId="0" fontId="0" fillId="0" borderId="20" xfId="0" applyBorder="1"/>
    <xf numFmtId="0" fontId="0" fillId="3" borderId="9" xfId="0" applyFill="1" applyBorder="1"/>
    <xf numFmtId="0" fontId="0" fillId="3" borderId="10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2" xfId="0" applyFill="1" applyBorder="1"/>
    <xf numFmtId="166" fontId="0" fillId="3" borderId="9" xfId="1" applyNumberFormat="1" applyFont="1" applyFill="1" applyBorder="1"/>
    <xf numFmtId="10" fontId="0" fillId="3" borderId="12" xfId="2" applyNumberFormat="1" applyFont="1" applyFill="1" applyBorder="1"/>
    <xf numFmtId="10" fontId="0" fillId="3" borderId="10" xfId="2" applyNumberFormat="1" applyFont="1" applyFill="1" applyBorder="1"/>
    <xf numFmtId="3" fontId="0" fillId="3" borderId="12" xfId="0" applyNumberFormat="1" applyFill="1" applyBorder="1"/>
    <xf numFmtId="0" fontId="1" fillId="0" borderId="13" xfId="0" applyFont="1" applyFill="1" applyBorder="1" applyAlignment="1">
      <alignment horizontal="center" vertical="top"/>
    </xf>
    <xf numFmtId="166" fontId="0" fillId="0" borderId="13" xfId="1" applyNumberFormat="1" applyFont="1" applyFill="1" applyBorder="1"/>
    <xf numFmtId="166" fontId="0" fillId="0" borderId="15" xfId="1" applyNumberFormat="1" applyFont="1" applyFill="1" applyBorder="1"/>
    <xf numFmtId="10" fontId="0" fillId="0" borderId="16" xfId="2" applyNumberFormat="1" applyFont="1" applyFill="1" applyBorder="1"/>
    <xf numFmtId="166" fontId="0" fillId="0" borderId="17" xfId="1" applyNumberFormat="1" applyFont="1" applyFill="1" applyBorder="1"/>
    <xf numFmtId="10" fontId="0" fillId="0" borderId="13" xfId="2" applyNumberFormat="1" applyFont="1" applyFill="1" applyBorder="1"/>
    <xf numFmtId="10" fontId="0" fillId="0" borderId="14" xfId="2" applyNumberFormat="1" applyFont="1" applyFill="1" applyBorder="1"/>
    <xf numFmtId="166" fontId="0" fillId="0" borderId="7" xfId="1" applyNumberFormat="1" applyFont="1" applyFill="1" applyBorder="1"/>
    <xf numFmtId="10" fontId="0" fillId="0" borderId="1" xfId="2" applyNumberFormat="1" applyFont="1" applyFill="1" applyBorder="1"/>
    <xf numFmtId="166" fontId="0" fillId="0" borderId="1" xfId="1" applyNumberFormat="1" applyFont="1" applyFill="1" applyBorder="1"/>
    <xf numFmtId="10" fontId="0" fillId="0" borderId="8" xfId="2" applyNumberFormat="1" applyFont="1" applyFill="1" applyBorder="1"/>
    <xf numFmtId="10" fontId="0" fillId="0" borderId="2" xfId="2" applyNumberFormat="1" applyFont="1" applyFill="1" applyBorder="1"/>
    <xf numFmtId="166" fontId="0" fillId="0" borderId="3" xfId="1" applyNumberFormat="1" applyFont="1" applyFill="1" applyBorder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0" fontId="5" fillId="0" borderId="20" xfId="2" applyNumberFormat="1" applyFont="1" applyBorder="1"/>
    <xf numFmtId="0" fontId="6" fillId="0" borderId="21" xfId="3"/>
    <xf numFmtId="0" fontId="7" fillId="0" borderId="22" xfId="4"/>
    <xf numFmtId="0" fontId="0" fillId="0" borderId="5" xfId="0" applyBorder="1"/>
    <xf numFmtId="0" fontId="1" fillId="0" borderId="11" xfId="0" applyFont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9" fillId="0" borderId="21" xfId="3" applyFont="1"/>
    <xf numFmtId="0" fontId="10" fillId="0" borderId="0" xfId="0" applyFont="1"/>
    <xf numFmtId="167" fontId="8" fillId="0" borderId="0" xfId="0" applyNumberFormat="1" applyFont="1"/>
    <xf numFmtId="0" fontId="1" fillId="0" borderId="1" xfId="0" applyFont="1" applyBorder="1" applyAlignment="1">
      <alignment horizontal="center" vertical="top"/>
    </xf>
    <xf numFmtId="166" fontId="1" fillId="0" borderId="4" xfId="1" applyNumberFormat="1" applyFont="1" applyBorder="1" applyAlignment="1">
      <alignment horizontal="center" vertical="top"/>
    </xf>
    <xf numFmtId="166" fontId="0" fillId="0" borderId="4" xfId="1" applyNumberFormat="1" applyFont="1" applyBorder="1"/>
    <xf numFmtId="166" fontId="0" fillId="3" borderId="4" xfId="1" applyNumberFormat="1" applyFont="1" applyFill="1" applyBorder="1"/>
    <xf numFmtId="166" fontId="0" fillId="2" borderId="4" xfId="1" applyNumberFormat="1" applyFont="1" applyFill="1" applyBorder="1"/>
    <xf numFmtId="166" fontId="0" fillId="0" borderId="4" xfId="1" applyNumberFormat="1" applyFont="1" applyFill="1" applyBorder="1"/>
    <xf numFmtId="166" fontId="0" fillId="0" borderId="31" xfId="1" applyNumberFormat="1" applyFont="1" applyFill="1" applyBorder="1"/>
    <xf numFmtId="0" fontId="0" fillId="3" borderId="4" xfId="0" applyFill="1" applyBorder="1"/>
    <xf numFmtId="0" fontId="0" fillId="0" borderId="32" xfId="0" applyBorder="1"/>
    <xf numFmtId="166" fontId="1" fillId="0" borderId="30" xfId="1" applyNumberFormat="1" applyFont="1" applyBorder="1" applyAlignment="1">
      <alignment horizontal="center" vertical="top"/>
    </xf>
    <xf numFmtId="166" fontId="0" fillId="0" borderId="30" xfId="1" applyNumberFormat="1" applyFont="1" applyBorder="1"/>
    <xf numFmtId="166" fontId="0" fillId="3" borderId="30" xfId="1" applyNumberFormat="1" applyFont="1" applyFill="1" applyBorder="1"/>
    <xf numFmtId="166" fontId="0" fillId="2" borderId="30" xfId="1" applyNumberFormat="1" applyFont="1" applyFill="1" applyBorder="1"/>
    <xf numFmtId="166" fontId="0" fillId="0" borderId="30" xfId="1" applyNumberFormat="1" applyFont="1" applyFill="1" applyBorder="1"/>
    <xf numFmtId="0" fontId="0" fillId="3" borderId="34" xfId="0" applyFill="1" applyBorder="1"/>
    <xf numFmtId="10" fontId="0" fillId="0" borderId="33" xfId="2" applyNumberFormat="1" applyFont="1" applyFill="1" applyBorder="1"/>
    <xf numFmtId="0" fontId="0" fillId="3" borderId="1" xfId="1" applyNumberFormat="1" applyFont="1" applyFill="1" applyBorder="1"/>
    <xf numFmtId="166" fontId="0" fillId="0" borderId="18" xfId="1" applyNumberFormat="1" applyFont="1" applyFill="1" applyBorder="1"/>
    <xf numFmtId="166" fontId="0" fillId="3" borderId="8" xfId="1" applyNumberFormat="1" applyFont="1" applyFill="1" applyBorder="1"/>
    <xf numFmtId="166" fontId="0" fillId="2" borderId="8" xfId="1" applyNumberFormat="1" applyFont="1" applyFill="1" applyBorder="1"/>
    <xf numFmtId="166" fontId="0" fillId="0" borderId="8" xfId="1" applyNumberFormat="1" applyFont="1" applyBorder="1"/>
    <xf numFmtId="166" fontId="0" fillId="0" borderId="8" xfId="1" applyNumberFormat="1" applyFont="1" applyFill="1" applyBorder="1"/>
    <xf numFmtId="166" fontId="0" fillId="0" borderId="16" xfId="1" applyNumberFormat="1" applyFont="1" applyFill="1" applyBorder="1"/>
    <xf numFmtId="166" fontId="0" fillId="3" borderId="10" xfId="1" applyNumberFormat="1" applyFont="1" applyFill="1" applyBorder="1"/>
    <xf numFmtId="10" fontId="0" fillId="0" borderId="7" xfId="2" applyNumberFormat="1" applyFont="1" applyBorder="1"/>
    <xf numFmtId="0" fontId="1" fillId="0" borderId="7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10" fontId="0" fillId="3" borderId="7" xfId="2" applyNumberFormat="1" applyFont="1" applyFill="1" applyBorder="1"/>
    <xf numFmtId="10" fontId="0" fillId="3" borderId="9" xfId="2" applyNumberFormat="1" applyFont="1" applyFill="1" applyBorder="1"/>
    <xf numFmtId="166" fontId="1" fillId="2" borderId="3" xfId="1" applyNumberFormat="1" applyFont="1" applyFill="1" applyBorder="1" applyAlignment="1">
      <alignment horizontal="center" vertical="top"/>
    </xf>
    <xf numFmtId="166" fontId="5" fillId="0" borderId="35" xfId="1" applyNumberFormat="1" applyFont="1" applyBorder="1"/>
    <xf numFmtId="10" fontId="0" fillId="2" borderId="37" xfId="2" applyNumberFormat="1" applyFont="1" applyFill="1" applyBorder="1"/>
    <xf numFmtId="10" fontId="0" fillId="2" borderId="36" xfId="2" applyNumberFormat="1" applyFont="1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38" xfId="0" applyFill="1" applyBorder="1"/>
    <xf numFmtId="0" fontId="0" fillId="0" borderId="0" xfId="0" applyBorder="1"/>
    <xf numFmtId="0" fontId="0" fillId="0" borderId="39" xfId="0" applyBorder="1"/>
    <xf numFmtId="0" fontId="1" fillId="0" borderId="11" xfId="0" applyFont="1" applyBorder="1" applyAlignment="1">
      <alignment horizontal="center" vertical="top"/>
    </xf>
    <xf numFmtId="14" fontId="0" fillId="0" borderId="0" xfId="0" applyNumberFormat="1" applyAlignment="1"/>
    <xf numFmtId="0" fontId="0" fillId="0" borderId="0" xfId="0" applyAlignment="1"/>
    <xf numFmtId="0" fontId="4" fillId="0" borderId="32" xfId="0" applyFont="1" applyBorder="1"/>
    <xf numFmtId="0" fontId="4" fillId="0" borderId="0" xfId="0" applyFont="1"/>
    <xf numFmtId="10" fontId="4" fillId="3" borderId="40" xfId="2" applyNumberFormat="1" applyFont="1" applyFill="1" applyBorder="1"/>
    <xf numFmtId="10" fontId="0" fillId="3" borderId="41" xfId="2" applyNumberFormat="1" applyFont="1" applyFill="1" applyBorder="1"/>
    <xf numFmtId="10" fontId="0" fillId="3" borderId="42" xfId="2" applyNumberFormat="1" applyFont="1" applyFill="1" applyBorder="1"/>
    <xf numFmtId="166" fontId="0" fillId="0" borderId="9" xfId="1" applyNumberFormat="1" applyFont="1" applyFill="1" applyBorder="1"/>
    <xf numFmtId="10" fontId="0" fillId="0" borderId="12" xfId="2" applyNumberFormat="1" applyFont="1" applyFill="1" applyBorder="1"/>
    <xf numFmtId="166" fontId="0" fillId="0" borderId="12" xfId="1" applyNumberFormat="1" applyFont="1" applyFill="1" applyBorder="1"/>
    <xf numFmtId="10" fontId="0" fillId="0" borderId="10" xfId="2" applyNumberFormat="1" applyFont="1" applyFill="1" applyBorder="1"/>
    <xf numFmtId="10" fontId="0" fillId="2" borderId="43" xfId="2" applyNumberFormat="1" applyFont="1" applyFill="1" applyBorder="1"/>
    <xf numFmtId="0" fontId="0" fillId="0" borderId="35" xfId="0" applyBorder="1"/>
    <xf numFmtId="0" fontId="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4" fillId="0" borderId="29" xfId="0" applyFont="1" applyBorder="1"/>
    <xf numFmtId="166" fontId="0" fillId="3" borderId="29" xfId="1" applyNumberFormat="1" applyFont="1" applyFill="1" applyBorder="1"/>
    <xf numFmtId="166" fontId="0" fillId="0" borderId="29" xfId="1" applyNumberFormat="1" applyFont="1" applyBorder="1"/>
    <xf numFmtId="0" fontId="4" fillId="2" borderId="3" xfId="0" applyFont="1" applyFill="1" applyBorder="1"/>
    <xf numFmtId="10" fontId="0" fillId="2" borderId="3" xfId="2" applyNumberFormat="1" applyFont="1" applyFill="1" applyBorder="1"/>
    <xf numFmtId="10" fontId="0" fillId="3" borderId="3" xfId="2" applyNumberFormat="1" applyFont="1" applyFill="1" applyBorder="1"/>
    <xf numFmtId="10" fontId="0" fillId="3" borderId="19" xfId="2" applyNumberFormat="1" applyFont="1" applyFill="1" applyBorder="1"/>
    <xf numFmtId="10" fontId="0" fillId="2" borderId="19" xfId="2" applyNumberFormat="1" applyFont="1" applyFill="1" applyBorder="1"/>
    <xf numFmtId="166" fontId="0" fillId="0" borderId="19" xfId="1" applyNumberFormat="1" applyFont="1" applyBorder="1"/>
    <xf numFmtId="0" fontId="3" fillId="0" borderId="12" xfId="0" applyFont="1" applyFill="1" applyBorder="1" applyAlignment="1">
      <alignment horizontal="center" vertical="top"/>
    </xf>
    <xf numFmtId="166" fontId="0" fillId="0" borderId="10" xfId="1" applyNumberFormat="1" applyFont="1" applyFill="1" applyBorder="1"/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0" fillId="3" borderId="46" xfId="0" applyFill="1" applyBorder="1"/>
    <xf numFmtId="166" fontId="5" fillId="0" borderId="47" xfId="1" applyNumberFormat="1" applyFont="1" applyBorder="1"/>
    <xf numFmtId="10" fontId="0" fillId="2" borderId="12" xfId="2" applyNumberFormat="1" applyFont="1" applyFill="1" applyBorder="1"/>
    <xf numFmtId="166" fontId="5" fillId="0" borderId="48" xfId="1" applyNumberFormat="1" applyFont="1" applyBorder="1"/>
    <xf numFmtId="10" fontId="0" fillId="2" borderId="10" xfId="2" applyNumberFormat="1" applyFont="1" applyFill="1" applyBorder="1"/>
    <xf numFmtId="166" fontId="12" fillId="3" borderId="1" xfId="1" applyNumberFormat="1" applyFont="1" applyFill="1" applyBorder="1"/>
    <xf numFmtId="10" fontId="12" fillId="3" borderId="8" xfId="2" applyNumberFormat="1" applyFont="1" applyFill="1" applyBorder="1"/>
    <xf numFmtId="10" fontId="0" fillId="3" borderId="38" xfId="2" applyNumberFormat="1" applyFont="1" applyFill="1" applyBorder="1"/>
    <xf numFmtId="0" fontId="0" fillId="0" borderId="0" xfId="0" applyFill="1" applyBorder="1" applyAlignment="1"/>
    <xf numFmtId="0" fontId="0" fillId="0" borderId="0" xfId="0" applyFill="1" applyBorder="1"/>
    <xf numFmtId="0" fontId="1" fillId="0" borderId="11" xfId="0" applyFont="1" applyBorder="1" applyAlignment="1">
      <alignment horizontal="center" vertical="top"/>
    </xf>
    <xf numFmtId="3" fontId="0" fillId="0" borderId="0" xfId="0" applyNumberFormat="1"/>
    <xf numFmtId="10" fontId="0" fillId="0" borderId="0" xfId="0" applyNumberFormat="1"/>
    <xf numFmtId="169" fontId="13" fillId="0" borderId="50" xfId="0" applyNumberFormat="1" applyFont="1" applyBorder="1" applyAlignment="1">
      <alignment vertical="top" wrapText="1" readingOrder="1"/>
    </xf>
    <xf numFmtId="168" fontId="14" fillId="0" borderId="50" xfId="0" applyNumberFormat="1" applyFont="1" applyBorder="1" applyAlignment="1">
      <alignment vertical="top" wrapText="1" readingOrder="1"/>
    </xf>
    <xf numFmtId="165" fontId="1" fillId="2" borderId="5" xfId="0" applyNumberFormat="1" applyFont="1" applyFill="1" applyBorder="1" applyAlignment="1">
      <alignment horizontal="center" vertical="top"/>
    </xf>
    <xf numFmtId="165" fontId="1" fillId="2" borderId="11" xfId="0" applyNumberFormat="1" applyFont="1" applyFill="1" applyBorder="1" applyAlignment="1">
      <alignment horizontal="center" vertical="top"/>
    </xf>
    <xf numFmtId="165" fontId="1" fillId="2" borderId="6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165" fontId="1" fillId="2" borderId="23" xfId="0" applyNumberFormat="1" applyFont="1" applyFill="1" applyBorder="1" applyAlignment="1">
      <alignment horizontal="center" vertical="top"/>
    </xf>
    <xf numFmtId="165" fontId="1" fillId="2" borderId="24" xfId="0" applyNumberFormat="1" applyFont="1" applyFill="1" applyBorder="1" applyAlignment="1">
      <alignment horizontal="center" vertical="top"/>
    </xf>
    <xf numFmtId="165" fontId="1" fillId="2" borderId="25" xfId="0" applyNumberFormat="1" applyFont="1" applyFill="1" applyBorder="1" applyAlignment="1">
      <alignment horizontal="center" vertical="top"/>
    </xf>
    <xf numFmtId="0" fontId="1" fillId="2" borderId="29" xfId="0" applyFont="1" applyFill="1" applyBorder="1" applyAlignment="1">
      <alignment horizontal="center" vertical="top"/>
    </xf>
    <xf numFmtId="0" fontId="1" fillId="2" borderId="31" xfId="0" applyFont="1" applyFill="1" applyBorder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30" xfId="0" applyFont="1" applyFill="1" applyBorder="1" applyAlignment="1">
      <alignment horizontal="center" vertical="top"/>
    </xf>
    <xf numFmtId="0" fontId="5" fillId="0" borderId="44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2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2" borderId="2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7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165" fontId="1" fillId="2" borderId="45" xfId="0" applyNumberFormat="1" applyFont="1" applyFill="1" applyBorder="1" applyAlignment="1">
      <alignment horizontal="center" vertical="top"/>
    </xf>
    <xf numFmtId="165" fontId="1" fillId="2" borderId="49" xfId="0" applyNumberFormat="1" applyFont="1" applyFill="1" applyBorder="1" applyAlignment="1">
      <alignment horizontal="center" vertical="top"/>
    </xf>
    <xf numFmtId="165" fontId="1" fillId="0" borderId="23" xfId="0" applyNumberFormat="1" applyFont="1" applyBorder="1" applyAlignment="1">
      <alignment horizontal="center" vertical="top"/>
    </xf>
    <xf numFmtId="165" fontId="1" fillId="0" borderId="25" xfId="0" applyNumberFormat="1" applyFont="1" applyBorder="1" applyAlignment="1">
      <alignment horizontal="center" vertical="top"/>
    </xf>
    <xf numFmtId="165" fontId="1" fillId="0" borderId="29" xfId="0" applyNumberFormat="1" applyFont="1" applyBorder="1" applyAlignment="1">
      <alignment horizontal="center" vertical="top"/>
    </xf>
    <xf numFmtId="165" fontId="1" fillId="0" borderId="4" xfId="0" applyNumberFormat="1" applyFont="1" applyBorder="1" applyAlignment="1">
      <alignment horizontal="center" vertical="top"/>
    </xf>
    <xf numFmtId="165" fontId="1" fillId="0" borderId="24" xfId="0" applyNumberFormat="1" applyFont="1" applyBorder="1" applyAlignment="1">
      <alignment horizontal="center" vertical="top"/>
    </xf>
    <xf numFmtId="165" fontId="1" fillId="0" borderId="3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1" fillId="0" borderId="30" xfId="0" applyNumberFormat="1" applyFont="1" applyBorder="1" applyAlignment="1">
      <alignment horizontal="center" vertical="top"/>
    </xf>
  </cellXfs>
  <cellStyles count="5">
    <cellStyle name="Comma" xfId="1" builtinId="3"/>
    <cellStyle name="Heading 1" xfId="3" builtinId="16"/>
    <cellStyle name="Heading 2" xfId="4" builtinId="17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Gulu</a:t>
            </a:r>
            <a:r>
              <a:rPr lang="en-GB" baseline="0"/>
              <a:t> Field Office </a:t>
            </a:r>
            <a:r>
              <a:rPr lang="en-GB"/>
              <a:t>Cycle 03,</a:t>
            </a:r>
            <a:r>
              <a:rPr lang="en-GB" baseline="0"/>
              <a:t> 2021</a:t>
            </a:r>
            <a:r>
              <a:rPr lang="en-GB"/>
              <a:t> Distribution</a:t>
            </a:r>
            <a:r>
              <a:rPr lang="en-GB" baseline="0"/>
              <a:t>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'GFA cycle 03 2021'!$J$7</c:f>
              <c:strCache>
                <c:ptCount val="1"/>
                <c:pt idx="0">
                  <c:v>%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03 2021'!$A$8:$B$21</c15:sqref>
                  </c15:fullRef>
                  <c15:levelRef>
                    <c15:sqref>'GFA cycle 03 2021'!$B$8:$B$21</c15:sqref>
                  </c15:levelRef>
                </c:ext>
              </c:extLst>
              <c:f>'GFA cycle 03 2021'!$B$8:$B$21</c:f>
              <c:strCache>
                <c:ptCount val="14"/>
                <c:pt idx="0">
                  <c:v>Ayilo 2</c:v>
                </c:pt>
                <c:pt idx="1">
                  <c:v>Ayilo 1</c:v>
                </c:pt>
                <c:pt idx="2">
                  <c:v>Alere</c:v>
                </c:pt>
                <c:pt idx="3">
                  <c:v>Baratuku</c:v>
                </c:pt>
                <c:pt idx="4">
                  <c:v>Boroli</c:v>
                </c:pt>
                <c:pt idx="5">
                  <c:v>Nyumanzi</c:v>
                </c:pt>
                <c:pt idx="6">
                  <c:v>Olua</c:v>
                </c:pt>
                <c:pt idx="7">
                  <c:v>Pagirinya 2</c:v>
                </c:pt>
                <c:pt idx="8">
                  <c:v>Agojo</c:v>
                </c:pt>
                <c:pt idx="9">
                  <c:v>Mungula 1</c:v>
                </c:pt>
                <c:pt idx="10">
                  <c:v>Mirieyi</c:v>
                </c:pt>
                <c:pt idx="11">
                  <c:v>Maaji 1</c:v>
                </c:pt>
                <c:pt idx="12">
                  <c:v>Maaji 2</c:v>
                </c:pt>
                <c:pt idx="13">
                  <c:v>Maaji 3</c:v>
                </c:pt>
              </c:strCache>
            </c:strRef>
          </c:cat>
          <c:val>
            <c:numRef>
              <c:f>'GFA cycle 03 2021'!$J$8:$J$21</c:f>
              <c:numCache>
                <c:formatCode>0.00%</c:formatCode>
                <c:ptCount val="14"/>
                <c:pt idx="0">
                  <c:v>0.98322178417530026</c:v>
                </c:pt>
                <c:pt idx="1">
                  <c:v>0.73569358927924666</c:v>
                </c:pt>
                <c:pt idx="2">
                  <c:v>0.96182302456348034</c:v>
                </c:pt>
                <c:pt idx="3">
                  <c:v>0.91985895175508892</c:v>
                </c:pt>
                <c:pt idx="4">
                  <c:v>0.98011289622231867</c:v>
                </c:pt>
                <c:pt idx="5">
                  <c:v>0.91316041118814251</c:v>
                </c:pt>
                <c:pt idx="6">
                  <c:v>0.98972935461485079</c:v>
                </c:pt>
                <c:pt idx="7">
                  <c:v>0.98707829408020364</c:v>
                </c:pt>
                <c:pt idx="8">
                  <c:v>0.97977821265492493</c:v>
                </c:pt>
                <c:pt idx="9">
                  <c:v>0.99135695764909249</c:v>
                </c:pt>
                <c:pt idx="10">
                  <c:v>0.99304347826086958</c:v>
                </c:pt>
                <c:pt idx="11">
                  <c:v>0.98550724637681164</c:v>
                </c:pt>
                <c:pt idx="12">
                  <c:v>0.98408315738184182</c:v>
                </c:pt>
                <c:pt idx="13">
                  <c:v>0.97690194058045676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5-4F0F-938A-E83CC878E33F}"/>
            </c:ext>
          </c:extLst>
        </c:ser>
        <c:ser>
          <c:idx val="1"/>
          <c:order val="1"/>
          <c:tx>
            <c:strRef>
              <c:f>'GFA cycle 03 2021'!$M$7</c:f>
              <c:strCache>
                <c:ptCount val="1"/>
                <c:pt idx="0">
                  <c:v>%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03 2021'!$A$8:$B$21</c15:sqref>
                  </c15:fullRef>
                  <c15:levelRef>
                    <c15:sqref>'GFA cycle 03 2021'!$B$8:$B$21</c15:sqref>
                  </c15:levelRef>
                </c:ext>
              </c:extLst>
              <c:f>'GFA cycle 03 2021'!$B$8:$B$21</c:f>
              <c:strCache>
                <c:ptCount val="14"/>
                <c:pt idx="0">
                  <c:v>Ayilo 2</c:v>
                </c:pt>
                <c:pt idx="1">
                  <c:v>Ayilo 1</c:v>
                </c:pt>
                <c:pt idx="2">
                  <c:v>Alere</c:v>
                </c:pt>
                <c:pt idx="3">
                  <c:v>Baratuku</c:v>
                </c:pt>
                <c:pt idx="4">
                  <c:v>Boroli</c:v>
                </c:pt>
                <c:pt idx="5">
                  <c:v>Nyumanzi</c:v>
                </c:pt>
                <c:pt idx="6">
                  <c:v>Olua</c:v>
                </c:pt>
                <c:pt idx="7">
                  <c:v>Pagirinya 2</c:v>
                </c:pt>
                <c:pt idx="8">
                  <c:v>Agojo</c:v>
                </c:pt>
                <c:pt idx="9">
                  <c:v>Mungula 1</c:v>
                </c:pt>
                <c:pt idx="10">
                  <c:v>Mirieyi</c:v>
                </c:pt>
                <c:pt idx="11">
                  <c:v>Maaji 1</c:v>
                </c:pt>
                <c:pt idx="12">
                  <c:v>Maaji 2</c:v>
                </c:pt>
                <c:pt idx="13">
                  <c:v>Maaji 3</c:v>
                </c:pt>
              </c:strCache>
            </c:strRef>
          </c:cat>
          <c:val>
            <c:numRef>
              <c:f>'GFA cycle 03 2021'!$M$8:$M$21</c:f>
              <c:numCache>
                <c:formatCode>0.00%</c:formatCode>
                <c:ptCount val="14"/>
                <c:pt idx="0">
                  <c:v>0.97722524028416213</c:v>
                </c:pt>
                <c:pt idx="1">
                  <c:v>0.89993523316062174</c:v>
                </c:pt>
                <c:pt idx="2">
                  <c:v>0.92636423405654178</c:v>
                </c:pt>
                <c:pt idx="3">
                  <c:v>0.72835990888382685</c:v>
                </c:pt>
                <c:pt idx="4">
                  <c:v>0.97081010167267956</c:v>
                </c:pt>
                <c:pt idx="5">
                  <c:v>0.94078583287216377</c:v>
                </c:pt>
                <c:pt idx="6">
                  <c:v>0.97538610038610041</c:v>
                </c:pt>
                <c:pt idx="7">
                  <c:v>0.97695123157582353</c:v>
                </c:pt>
                <c:pt idx="8">
                  <c:v>0.96739130434782605</c:v>
                </c:pt>
                <c:pt idx="9">
                  <c:v>0.96782841823056298</c:v>
                </c:pt>
                <c:pt idx="10">
                  <c:v>0.96818181818181814</c:v>
                </c:pt>
                <c:pt idx="11">
                  <c:v>1</c:v>
                </c:pt>
                <c:pt idx="12">
                  <c:v>0.96654528903049608</c:v>
                </c:pt>
                <c:pt idx="13">
                  <c:v>0.95608495981630315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5-4F0F-938A-E83CC878E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87616"/>
        <c:axId val="414887944"/>
      </c:barChart>
      <c:catAx>
        <c:axId val="4148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944"/>
        <c:crosses val="autoZero"/>
        <c:auto val="1"/>
        <c:lblAlgn val="ctr"/>
        <c:lblOffset val="100"/>
        <c:noMultiLvlLbl val="0"/>
      </c:catAx>
      <c:valAx>
        <c:axId val="4148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Gulu</a:t>
            </a:r>
            <a:r>
              <a:rPr lang="en-GB" baseline="0"/>
              <a:t> Field Office </a:t>
            </a:r>
            <a:r>
              <a:rPr lang="en-GB"/>
              <a:t>Cycle 11,</a:t>
            </a:r>
            <a:r>
              <a:rPr lang="en-GB" baseline="0"/>
              <a:t> 2020</a:t>
            </a:r>
            <a:r>
              <a:rPr lang="en-GB"/>
              <a:t> Distribution</a:t>
            </a:r>
            <a:r>
              <a:rPr lang="en-GB" baseline="0"/>
              <a:t>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'GFA Cycle 02 2021'!$J$7</c:f>
              <c:strCache>
                <c:ptCount val="1"/>
                <c:pt idx="0">
                  <c:v>%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02 2021'!$A$8:$B$12</c15:sqref>
                  </c15:fullRef>
                  <c15:levelRef>
                    <c15:sqref>'GFA Cycle 02 2021'!$B$8:$B$12</c15:sqref>
                  </c15:levelRef>
                </c:ext>
              </c:extLst>
              <c:f>'GFA Cycle 02 2021'!$B$8:$B$12</c:f>
              <c:strCache>
                <c:ptCount val="5"/>
                <c:pt idx="0">
                  <c:v>Magamaga</c:v>
                </c:pt>
                <c:pt idx="1">
                  <c:v>Youth Centre</c:v>
                </c:pt>
                <c:pt idx="2">
                  <c:v>Zone 1</c:v>
                </c:pt>
                <c:pt idx="3">
                  <c:v>Zone 5</c:v>
                </c:pt>
                <c:pt idx="4">
                  <c:v>Zone 4</c:v>
                </c:pt>
              </c:strCache>
            </c:strRef>
          </c:cat>
          <c:val>
            <c:numRef>
              <c:f>'GFA Cycle 02 2021'!$J$8:$J$12</c:f>
              <c:numCache>
                <c:formatCode>0.00%</c:formatCode>
                <c:ptCount val="5"/>
                <c:pt idx="0">
                  <c:v>0.99438652766639934</c:v>
                </c:pt>
                <c:pt idx="1">
                  <c:v>0.99119289435220925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E-4D22-B7E2-A9F7DDAC42DA}"/>
            </c:ext>
          </c:extLst>
        </c:ser>
        <c:ser>
          <c:idx val="1"/>
          <c:order val="1"/>
          <c:tx>
            <c:strRef>
              <c:f>'GFA Cycle 02 2021'!$M$7</c:f>
              <c:strCache>
                <c:ptCount val="1"/>
                <c:pt idx="0">
                  <c:v>%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02 2021'!$A$8:$B$12</c15:sqref>
                  </c15:fullRef>
                  <c15:levelRef>
                    <c15:sqref>'GFA Cycle 02 2021'!$B$8:$B$12</c15:sqref>
                  </c15:levelRef>
                </c:ext>
              </c:extLst>
              <c:f>'GFA Cycle 02 2021'!$B$8:$B$12</c:f>
              <c:strCache>
                <c:ptCount val="5"/>
                <c:pt idx="0">
                  <c:v>Magamaga</c:v>
                </c:pt>
                <c:pt idx="1">
                  <c:v>Youth Centre</c:v>
                </c:pt>
                <c:pt idx="2">
                  <c:v>Zone 1</c:v>
                </c:pt>
                <c:pt idx="3">
                  <c:v>Zone 5</c:v>
                </c:pt>
                <c:pt idx="4">
                  <c:v>Zone 4</c:v>
                </c:pt>
              </c:strCache>
            </c:strRef>
          </c:cat>
          <c:val>
            <c:numRef>
              <c:f>'GFA Cycle 02 2021'!$M$8:$M$12</c:f>
              <c:numCache>
                <c:formatCode>0.00%</c:formatCode>
                <c:ptCount val="5"/>
                <c:pt idx="0">
                  <c:v>0.98345776606646174</c:v>
                </c:pt>
                <c:pt idx="1">
                  <c:v>0.98120408357981104</c:v>
                </c:pt>
                <c:pt idx="2">
                  <c:v>0.9735806632939854</c:v>
                </c:pt>
                <c:pt idx="3">
                  <c:v>0.97561671996345367</c:v>
                </c:pt>
                <c:pt idx="4">
                  <c:v>0.9639390277182176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E-4D22-B7E2-A9F7DDAC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87616"/>
        <c:axId val="414887944"/>
      </c:barChart>
      <c:catAx>
        <c:axId val="4148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944"/>
        <c:crosses val="autoZero"/>
        <c:auto val="1"/>
        <c:lblAlgn val="ctr"/>
        <c:lblOffset val="100"/>
        <c:noMultiLvlLbl val="0"/>
      </c:catAx>
      <c:valAx>
        <c:axId val="4148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Gulu</a:t>
            </a:r>
            <a:r>
              <a:rPr lang="en-GB" baseline="0"/>
              <a:t> Field Office </a:t>
            </a:r>
            <a:r>
              <a:rPr lang="en-GB"/>
              <a:t>Cycle 11,</a:t>
            </a:r>
            <a:r>
              <a:rPr lang="en-GB" baseline="0"/>
              <a:t> 2020</a:t>
            </a:r>
            <a:r>
              <a:rPr lang="en-GB"/>
              <a:t> Distribution</a:t>
            </a:r>
            <a:r>
              <a:rPr lang="en-GB" baseline="0"/>
              <a:t>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'GFA Cycle 01 2021'!$J$7</c:f>
              <c:strCache>
                <c:ptCount val="1"/>
                <c:pt idx="0">
                  <c:v>%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01 2021'!$A$8:$B$21</c15:sqref>
                  </c15:fullRef>
                  <c15:levelRef>
                    <c15:sqref>'GFA Cycle 01 2021'!$B$8:$B$21</c15:sqref>
                  </c15:levelRef>
                </c:ext>
              </c:extLst>
              <c:f>'GFA Cycle 01 2021'!$B$8:$B$21</c:f>
              <c:strCache>
                <c:ptCount val="14"/>
                <c:pt idx="0">
                  <c:v>Ayilo 2</c:v>
                </c:pt>
                <c:pt idx="1">
                  <c:v>Ayilo 1</c:v>
                </c:pt>
                <c:pt idx="2">
                  <c:v>Alere</c:v>
                </c:pt>
                <c:pt idx="3">
                  <c:v>Baratuku</c:v>
                </c:pt>
                <c:pt idx="4">
                  <c:v>Boroli</c:v>
                </c:pt>
                <c:pt idx="5">
                  <c:v>Nyumanzi</c:v>
                </c:pt>
                <c:pt idx="6">
                  <c:v>Olua</c:v>
                </c:pt>
                <c:pt idx="7">
                  <c:v>Pagirinya 2</c:v>
                </c:pt>
                <c:pt idx="8">
                  <c:v>Agojo</c:v>
                </c:pt>
                <c:pt idx="9">
                  <c:v>Mungula 1</c:v>
                </c:pt>
                <c:pt idx="10">
                  <c:v>Mirieyi</c:v>
                </c:pt>
                <c:pt idx="11">
                  <c:v>Maaji 1</c:v>
                </c:pt>
                <c:pt idx="12">
                  <c:v>Maaji 2</c:v>
                </c:pt>
                <c:pt idx="13">
                  <c:v>Maaji 3</c:v>
                </c:pt>
              </c:strCache>
            </c:strRef>
          </c:cat>
          <c:val>
            <c:numRef>
              <c:f>'GFA Cycle 01 2021'!$J$8:$J$21</c:f>
              <c:numCache>
                <c:formatCode>0.00%</c:formatCode>
                <c:ptCount val="14"/>
                <c:pt idx="0">
                  <c:v>0.99213527329925288</c:v>
                </c:pt>
                <c:pt idx="1">
                  <c:v>0.98675401683244068</c:v>
                </c:pt>
                <c:pt idx="2">
                  <c:v>0.99635645969333531</c:v>
                </c:pt>
                <c:pt idx="3">
                  <c:v>0.98191131743236759</c:v>
                </c:pt>
                <c:pt idx="4">
                  <c:v>0.9672174604577185</c:v>
                </c:pt>
                <c:pt idx="5">
                  <c:v>0.9959625564494422</c:v>
                </c:pt>
                <c:pt idx="6">
                  <c:v>0.98228730822873078</c:v>
                </c:pt>
                <c:pt idx="7">
                  <c:v>0.97841540648830294</c:v>
                </c:pt>
                <c:pt idx="8">
                  <c:v>0.97114754098360656</c:v>
                </c:pt>
                <c:pt idx="9">
                  <c:v>0.99360525406152778</c:v>
                </c:pt>
                <c:pt idx="10">
                  <c:v>0.98994498197685443</c:v>
                </c:pt>
                <c:pt idx="11">
                  <c:v>1</c:v>
                </c:pt>
                <c:pt idx="12">
                  <c:v>0.98996601391810968</c:v>
                </c:pt>
                <c:pt idx="13">
                  <c:v>0.97885926309431359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F-4741-946A-6591B1B2206B}"/>
            </c:ext>
          </c:extLst>
        </c:ser>
        <c:ser>
          <c:idx val="1"/>
          <c:order val="1"/>
          <c:tx>
            <c:strRef>
              <c:f>'GFA Cycle 01 2021'!$M$7</c:f>
              <c:strCache>
                <c:ptCount val="1"/>
                <c:pt idx="0">
                  <c:v>%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01 2021'!$A$8:$B$21</c15:sqref>
                  </c15:fullRef>
                  <c15:levelRef>
                    <c15:sqref>'GFA Cycle 01 2021'!$B$8:$B$21</c15:sqref>
                  </c15:levelRef>
                </c:ext>
              </c:extLst>
              <c:f>'GFA Cycle 01 2021'!$B$8:$B$21</c:f>
              <c:strCache>
                <c:ptCount val="14"/>
                <c:pt idx="0">
                  <c:v>Ayilo 2</c:v>
                </c:pt>
                <c:pt idx="1">
                  <c:v>Ayilo 1</c:v>
                </c:pt>
                <c:pt idx="2">
                  <c:v>Alere</c:v>
                </c:pt>
                <c:pt idx="3">
                  <c:v>Baratuku</c:v>
                </c:pt>
                <c:pt idx="4">
                  <c:v>Boroli</c:v>
                </c:pt>
                <c:pt idx="5">
                  <c:v>Nyumanzi</c:v>
                </c:pt>
                <c:pt idx="6">
                  <c:v>Olua</c:v>
                </c:pt>
                <c:pt idx="7">
                  <c:v>Pagirinya 2</c:v>
                </c:pt>
                <c:pt idx="8">
                  <c:v>Agojo</c:v>
                </c:pt>
                <c:pt idx="9">
                  <c:v>Mungula 1</c:v>
                </c:pt>
                <c:pt idx="10">
                  <c:v>Mirieyi</c:v>
                </c:pt>
                <c:pt idx="11">
                  <c:v>Maaji 1</c:v>
                </c:pt>
                <c:pt idx="12">
                  <c:v>Maaji 2</c:v>
                </c:pt>
                <c:pt idx="13">
                  <c:v>Maaji 3</c:v>
                </c:pt>
              </c:strCache>
            </c:strRef>
          </c:cat>
          <c:val>
            <c:numRef>
              <c:f>'GFA Cycle 01 2021'!$M$8:$M$21</c:f>
              <c:numCache>
                <c:formatCode>0.00%</c:formatCode>
                <c:ptCount val="14"/>
                <c:pt idx="0">
                  <c:v>0.98188153310104531</c:v>
                </c:pt>
                <c:pt idx="1">
                  <c:v>0.98132372214941022</c:v>
                </c:pt>
                <c:pt idx="2">
                  <c:v>0.98668280871670699</c:v>
                </c:pt>
                <c:pt idx="3">
                  <c:v>0.97828571428571431</c:v>
                </c:pt>
                <c:pt idx="4">
                  <c:v>0.95037453183520604</c:v>
                </c:pt>
                <c:pt idx="5">
                  <c:v>0.98860636376267885</c:v>
                </c:pt>
                <c:pt idx="6">
                  <c:v>0.97118564005668395</c:v>
                </c:pt>
                <c:pt idx="7">
                  <c:v>0.98117093262724331</c:v>
                </c:pt>
                <c:pt idx="8">
                  <c:v>0.96957991308546598</c:v>
                </c:pt>
                <c:pt idx="9">
                  <c:v>0.9760956175298805</c:v>
                </c:pt>
                <c:pt idx="10">
                  <c:v>0.98505154639175263</c:v>
                </c:pt>
                <c:pt idx="11">
                  <c:v>1</c:v>
                </c:pt>
                <c:pt idx="12">
                  <c:v>0.96846435100548445</c:v>
                </c:pt>
                <c:pt idx="13">
                  <c:v>0.95773843517989721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F-4741-946A-6591B1B22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87616"/>
        <c:axId val="414887944"/>
      </c:barChart>
      <c:catAx>
        <c:axId val="4148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944"/>
        <c:crosses val="autoZero"/>
        <c:auto val="1"/>
        <c:lblAlgn val="ctr"/>
        <c:lblOffset val="100"/>
        <c:noMultiLvlLbl val="0"/>
      </c:catAx>
      <c:valAx>
        <c:axId val="4148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Gulu</a:t>
            </a:r>
            <a:r>
              <a:rPr lang="en-GB" baseline="0"/>
              <a:t> Field Office </a:t>
            </a:r>
            <a:r>
              <a:rPr lang="en-GB"/>
              <a:t>Cycle 11,</a:t>
            </a:r>
            <a:r>
              <a:rPr lang="en-GB" baseline="0"/>
              <a:t> 2020</a:t>
            </a:r>
            <a:r>
              <a:rPr lang="en-GB"/>
              <a:t> Distribution</a:t>
            </a:r>
            <a:r>
              <a:rPr lang="en-GB" baseline="0"/>
              <a:t>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'GFA Cycle 12 2020'!$J$7</c:f>
              <c:strCache>
                <c:ptCount val="1"/>
                <c:pt idx="0">
                  <c:v>%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12 2020'!$A$8:$B$12</c15:sqref>
                  </c15:fullRef>
                  <c15:levelRef>
                    <c15:sqref>'GFA Cycle 12 2020'!$B$8:$B$12</c15:sqref>
                  </c15:levelRef>
                </c:ext>
              </c:extLst>
              <c:f>'GFA Cycle 12 2020'!$B$8:$B$12</c:f>
              <c:strCache>
                <c:ptCount val="5"/>
                <c:pt idx="0">
                  <c:v>Magamaga</c:v>
                </c:pt>
                <c:pt idx="1">
                  <c:v>Youth Centre</c:v>
                </c:pt>
                <c:pt idx="2">
                  <c:v>Zone 1</c:v>
                </c:pt>
                <c:pt idx="3">
                  <c:v>Zone 5</c:v>
                </c:pt>
                <c:pt idx="4">
                  <c:v>Zone 4</c:v>
                </c:pt>
              </c:strCache>
            </c:strRef>
          </c:cat>
          <c:val>
            <c:numRef>
              <c:f>'GFA Cycle 12 2020'!$J$8:$J$12</c:f>
              <c:numCache>
                <c:formatCode>0.00%</c:formatCode>
                <c:ptCount val="5"/>
                <c:pt idx="0">
                  <c:v>0.99934640522875817</c:v>
                </c:pt>
                <c:pt idx="1">
                  <c:v>0.9964256151704417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0-4666-8E41-8ED33D283102}"/>
            </c:ext>
          </c:extLst>
        </c:ser>
        <c:ser>
          <c:idx val="1"/>
          <c:order val="1"/>
          <c:tx>
            <c:strRef>
              <c:f>'GFA Cycle 12 2020'!$M$7</c:f>
              <c:strCache>
                <c:ptCount val="1"/>
                <c:pt idx="0">
                  <c:v>%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12 2020'!$A$8:$B$12</c15:sqref>
                  </c15:fullRef>
                  <c15:levelRef>
                    <c15:sqref>'GFA Cycle 12 2020'!$B$8:$B$12</c15:sqref>
                  </c15:levelRef>
                </c:ext>
              </c:extLst>
              <c:f>'GFA Cycle 12 2020'!$B$8:$B$12</c:f>
              <c:strCache>
                <c:ptCount val="5"/>
                <c:pt idx="0">
                  <c:v>Magamaga</c:v>
                </c:pt>
                <c:pt idx="1">
                  <c:v>Youth Centre</c:v>
                </c:pt>
                <c:pt idx="2">
                  <c:v>Zone 1</c:v>
                </c:pt>
                <c:pt idx="3">
                  <c:v>Zone 5</c:v>
                </c:pt>
                <c:pt idx="4">
                  <c:v>Zone 4</c:v>
                </c:pt>
              </c:strCache>
            </c:strRef>
          </c:cat>
          <c:val>
            <c:numRef>
              <c:f>'GFA Cycle 12 2020'!$M$8:$M$12</c:f>
              <c:numCache>
                <c:formatCode>0.00%</c:formatCode>
                <c:ptCount val="5"/>
                <c:pt idx="0">
                  <c:v>0.98552208248025741</c:v>
                </c:pt>
                <c:pt idx="1">
                  <c:v>0.98962635673806554</c:v>
                </c:pt>
                <c:pt idx="2">
                  <c:v>0.98485139022051771</c:v>
                </c:pt>
                <c:pt idx="3">
                  <c:v>0.97656697605133491</c:v>
                </c:pt>
                <c:pt idx="4">
                  <c:v>0.97488852382069935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00-4666-8E41-8ED33D283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87616"/>
        <c:axId val="414887944"/>
      </c:barChart>
      <c:catAx>
        <c:axId val="4148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944"/>
        <c:crosses val="autoZero"/>
        <c:auto val="1"/>
        <c:lblAlgn val="ctr"/>
        <c:lblOffset val="100"/>
        <c:noMultiLvlLbl val="0"/>
      </c:catAx>
      <c:valAx>
        <c:axId val="4148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Gulu</a:t>
            </a:r>
            <a:r>
              <a:rPr lang="en-GB" baseline="0"/>
              <a:t> Field Office </a:t>
            </a:r>
            <a:r>
              <a:rPr lang="en-GB"/>
              <a:t>Cycle 11,</a:t>
            </a:r>
            <a:r>
              <a:rPr lang="en-GB" baseline="0"/>
              <a:t> 2020</a:t>
            </a:r>
            <a:r>
              <a:rPr lang="en-GB"/>
              <a:t> Distribution</a:t>
            </a:r>
            <a:r>
              <a:rPr lang="en-GB" baseline="0"/>
              <a:t>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'GFA Cycle 11 2020'!$J$7</c:f>
              <c:strCache>
                <c:ptCount val="1"/>
                <c:pt idx="0">
                  <c:v>% Cash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11 2020'!$A$8:$B$26</c15:sqref>
                  </c15:fullRef>
                  <c15:levelRef>
                    <c15:sqref>'GFA Cycle 11 2020'!$B$8:$B$26</c15:sqref>
                  </c15:levelRef>
                </c:ext>
              </c:extLst>
              <c:f>'GFA Cycle 11 2020'!$B$8:$B$26</c:f>
              <c:strCache>
                <c:ptCount val="19"/>
                <c:pt idx="0">
                  <c:v>Ayilo 2</c:v>
                </c:pt>
                <c:pt idx="1">
                  <c:v>Ayilo 1</c:v>
                </c:pt>
                <c:pt idx="2">
                  <c:v>Alere</c:v>
                </c:pt>
                <c:pt idx="3">
                  <c:v>Baratuku</c:v>
                </c:pt>
                <c:pt idx="4">
                  <c:v>Boroli</c:v>
                </c:pt>
                <c:pt idx="5">
                  <c:v>Nyumanzi</c:v>
                </c:pt>
                <c:pt idx="6">
                  <c:v>Olua</c:v>
                </c:pt>
                <c:pt idx="7">
                  <c:v>Pagirinya 2</c:v>
                </c:pt>
                <c:pt idx="8">
                  <c:v>Agojo</c:v>
                </c:pt>
                <c:pt idx="9">
                  <c:v>Mungula 1</c:v>
                </c:pt>
                <c:pt idx="10">
                  <c:v>Mirieyi</c:v>
                </c:pt>
                <c:pt idx="11">
                  <c:v>Maaji 1</c:v>
                </c:pt>
                <c:pt idx="12">
                  <c:v>Maaji 2</c:v>
                </c:pt>
                <c:pt idx="13">
                  <c:v>Maaji 3</c:v>
                </c:pt>
                <c:pt idx="14">
                  <c:v>Magamaga</c:v>
                </c:pt>
                <c:pt idx="15">
                  <c:v>Youth Centre</c:v>
                </c:pt>
                <c:pt idx="16">
                  <c:v>Zone 1</c:v>
                </c:pt>
                <c:pt idx="17">
                  <c:v>Zone 5</c:v>
                </c:pt>
                <c:pt idx="18">
                  <c:v>Zone 4</c:v>
                </c:pt>
              </c:strCache>
            </c:strRef>
          </c:cat>
          <c:val>
            <c:numRef>
              <c:f>'GFA Cycle 11 2020'!$J$8:$J$26</c:f>
              <c:numCache>
                <c:formatCode>0.00%</c:formatCode>
                <c:ptCount val="19"/>
                <c:pt idx="0">
                  <c:v>0.99123929520622112</c:v>
                </c:pt>
                <c:pt idx="1">
                  <c:v>0.99232521291344822</c:v>
                </c:pt>
                <c:pt idx="2">
                  <c:v>0.9946083570465778</c:v>
                </c:pt>
                <c:pt idx="3">
                  <c:v>0.98824097938144329</c:v>
                </c:pt>
                <c:pt idx="4">
                  <c:v>0.97393218846323204</c:v>
                </c:pt>
                <c:pt idx="5">
                  <c:v>0.99632596518701444</c:v>
                </c:pt>
                <c:pt idx="6">
                  <c:v>0.93052772211088841</c:v>
                </c:pt>
                <c:pt idx="7">
                  <c:v>0.97709274167157534</c:v>
                </c:pt>
                <c:pt idx="8">
                  <c:v>0.97856907352456313</c:v>
                </c:pt>
                <c:pt idx="9">
                  <c:v>0.98624823695345554</c:v>
                </c:pt>
                <c:pt idx="10">
                  <c:v>0.97846515270164447</c:v>
                </c:pt>
                <c:pt idx="11">
                  <c:v>1</c:v>
                </c:pt>
                <c:pt idx="12">
                  <c:v>0.99669940428272419</c:v>
                </c:pt>
                <c:pt idx="13">
                  <c:v>0.98939222676289018</c:v>
                </c:pt>
                <c:pt idx="14">
                  <c:v>0.99234713697459409</c:v>
                </c:pt>
                <c:pt idx="15">
                  <c:v>0.99406979396335438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8-4B01-994F-829BCCA6BB13}"/>
            </c:ext>
          </c:extLst>
        </c:ser>
        <c:ser>
          <c:idx val="1"/>
          <c:order val="1"/>
          <c:tx>
            <c:strRef>
              <c:f>'GFA Cycle 11 2020'!$M$7</c:f>
              <c:strCache>
                <c:ptCount val="1"/>
                <c:pt idx="0">
                  <c:v>% 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'GFA Cycle 11 2020'!$A$8:$B$26</c15:sqref>
                  </c15:fullRef>
                  <c15:levelRef>
                    <c15:sqref>'GFA Cycle 11 2020'!$B$8:$B$26</c15:sqref>
                  </c15:levelRef>
                </c:ext>
              </c:extLst>
              <c:f>'GFA Cycle 11 2020'!$B$8:$B$26</c:f>
              <c:strCache>
                <c:ptCount val="19"/>
                <c:pt idx="0">
                  <c:v>Ayilo 2</c:v>
                </c:pt>
                <c:pt idx="1">
                  <c:v>Ayilo 1</c:v>
                </c:pt>
                <c:pt idx="2">
                  <c:v>Alere</c:v>
                </c:pt>
                <c:pt idx="3">
                  <c:v>Baratuku</c:v>
                </c:pt>
                <c:pt idx="4">
                  <c:v>Boroli</c:v>
                </c:pt>
                <c:pt idx="5">
                  <c:v>Nyumanzi</c:v>
                </c:pt>
                <c:pt idx="6">
                  <c:v>Olua</c:v>
                </c:pt>
                <c:pt idx="7">
                  <c:v>Pagirinya 2</c:v>
                </c:pt>
                <c:pt idx="8">
                  <c:v>Agojo</c:v>
                </c:pt>
                <c:pt idx="9">
                  <c:v>Mungula 1</c:v>
                </c:pt>
                <c:pt idx="10">
                  <c:v>Mirieyi</c:v>
                </c:pt>
                <c:pt idx="11">
                  <c:v>Maaji 1</c:v>
                </c:pt>
                <c:pt idx="12">
                  <c:v>Maaji 2</c:v>
                </c:pt>
                <c:pt idx="13">
                  <c:v>Maaji 3</c:v>
                </c:pt>
                <c:pt idx="14">
                  <c:v>Magamaga</c:v>
                </c:pt>
                <c:pt idx="15">
                  <c:v>Youth Centre</c:v>
                </c:pt>
                <c:pt idx="16">
                  <c:v>Zone 1</c:v>
                </c:pt>
                <c:pt idx="17">
                  <c:v>Zone 5</c:v>
                </c:pt>
                <c:pt idx="18">
                  <c:v>Zone 4</c:v>
                </c:pt>
              </c:strCache>
            </c:strRef>
          </c:cat>
          <c:val>
            <c:numRef>
              <c:f>'GFA Cycle 11 2020'!$M$8:$M$26</c:f>
              <c:numCache>
                <c:formatCode>0.00%</c:formatCode>
                <c:ptCount val="19"/>
                <c:pt idx="0">
                  <c:v>0.98379629629629628</c:v>
                </c:pt>
                <c:pt idx="1">
                  <c:v>0.98077839555202539</c:v>
                </c:pt>
                <c:pt idx="2">
                  <c:v>0.99092088197146566</c:v>
                </c:pt>
                <c:pt idx="3">
                  <c:v>0.97548746518105844</c:v>
                </c:pt>
                <c:pt idx="4">
                  <c:v>0.97950946910897241</c:v>
                </c:pt>
                <c:pt idx="5">
                  <c:v>0.98928276999175602</c:v>
                </c:pt>
                <c:pt idx="6">
                  <c:v>0.96932792061344164</c:v>
                </c:pt>
                <c:pt idx="7">
                  <c:v>0.97558827845995788</c:v>
                </c:pt>
                <c:pt idx="8">
                  <c:v>0.98210784313725485</c:v>
                </c:pt>
                <c:pt idx="9">
                  <c:v>0.98023255813953492</c:v>
                </c:pt>
                <c:pt idx="10">
                  <c:v>0.98728382502543233</c:v>
                </c:pt>
                <c:pt idx="11">
                  <c:v>1</c:v>
                </c:pt>
                <c:pt idx="12">
                  <c:v>0.97642792384406163</c:v>
                </c:pt>
                <c:pt idx="13">
                  <c:v>0.96848621271806412</c:v>
                </c:pt>
                <c:pt idx="14">
                  <c:v>0.97880225318707381</c:v>
                </c:pt>
                <c:pt idx="15">
                  <c:v>0.98012852199703415</c:v>
                </c:pt>
                <c:pt idx="16">
                  <c:v>0.97938342967244696</c:v>
                </c:pt>
                <c:pt idx="17">
                  <c:v>0.96890632105502505</c:v>
                </c:pt>
                <c:pt idx="18">
                  <c:v>0.95718112345387218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8-4B01-994F-829BCCA6B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887616"/>
        <c:axId val="414887944"/>
      </c:barChart>
      <c:catAx>
        <c:axId val="41488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944"/>
        <c:crosses val="autoZero"/>
        <c:auto val="1"/>
        <c:lblAlgn val="ctr"/>
        <c:lblOffset val="100"/>
        <c:noMultiLvlLbl val="0"/>
      </c:catAx>
      <c:valAx>
        <c:axId val="4148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4148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0</xdr:row>
      <xdr:rowOff>147108</xdr:rowOff>
    </xdr:from>
    <xdr:to>
      <xdr:col>31</xdr:col>
      <xdr:colOff>142875</xdr:colOff>
      <xdr:row>22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42142F-4C91-4821-829B-26BCEC3E4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0</xdr:row>
      <xdr:rowOff>147108</xdr:rowOff>
    </xdr:from>
    <xdr:to>
      <xdr:col>31</xdr:col>
      <xdr:colOff>142875</xdr:colOff>
      <xdr:row>13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903DA-0207-438A-9FFE-B3FAF3BC3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0</xdr:row>
      <xdr:rowOff>147108</xdr:rowOff>
    </xdr:from>
    <xdr:to>
      <xdr:col>31</xdr:col>
      <xdr:colOff>142875</xdr:colOff>
      <xdr:row>22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4D8D0-9AF9-4F67-965A-08092E4C5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0</xdr:row>
      <xdr:rowOff>147108</xdr:rowOff>
    </xdr:from>
    <xdr:to>
      <xdr:col>31</xdr:col>
      <xdr:colOff>142875</xdr:colOff>
      <xdr:row>13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E66B9-334B-4E71-84D8-C5FFC26C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142875</xdr:colOff>
      <xdr:row>0</xdr:row>
      <xdr:rowOff>147108</xdr:rowOff>
    </xdr:from>
    <xdr:to>
      <xdr:col>31</xdr:col>
      <xdr:colOff>142875</xdr:colOff>
      <xdr:row>27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D4B8A-DAD0-40A5-B632-79069C36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E8E7C-9E24-4228-A1DF-8F2E34E79212}">
  <sheetPr>
    <tabColor theme="9" tint="0.39997558519241921"/>
  </sheetPr>
  <dimension ref="A1:BO43"/>
  <sheetViews>
    <sheetView tabSelected="1" topLeftCell="A4" zoomScale="70" zoomScaleNormal="70" workbookViewId="0">
      <selection activeCell="X43" sqref="X43"/>
    </sheetView>
  </sheetViews>
  <sheetFormatPr defaultRowHeight="14.4" x14ac:dyDescent="0.3"/>
  <cols>
    <col min="1" max="1" width="19.44140625" customWidth="1"/>
    <col min="2" max="2" width="24.44140625" bestFit="1" customWidth="1"/>
    <col min="3" max="3" width="12.109375" bestFit="1" customWidth="1"/>
    <col min="4" max="4" width="12.33203125" bestFit="1" customWidth="1"/>
    <col min="5" max="5" width="11" bestFit="1" customWidth="1"/>
    <col min="6" max="8" width="11" customWidth="1"/>
    <col min="9" max="9" width="13.44140625" bestFit="1" customWidth="1"/>
    <col min="10" max="10" width="9.6640625" bestFit="1" customWidth="1"/>
    <col min="11" max="11" width="11.88671875" bestFit="1" customWidth="1"/>
    <col min="12" max="12" width="12.6640625" bestFit="1" customWidth="1"/>
    <col min="13" max="13" width="13.44140625" bestFit="1" customWidth="1"/>
    <col min="14" max="14" width="11.109375" bestFit="1" customWidth="1"/>
    <col min="15" max="16" width="10.88671875" bestFit="1" customWidth="1"/>
    <col min="17" max="17" width="12.33203125" bestFit="1" customWidth="1"/>
    <col min="18" max="19" width="10.88671875" bestFit="1" customWidth="1"/>
    <col min="20" max="20" width="9.33203125" bestFit="1" customWidth="1"/>
    <col min="21" max="21" width="10.88671875" bestFit="1" customWidth="1"/>
    <col min="22" max="22" width="10.109375" bestFit="1" customWidth="1"/>
    <col min="23" max="23" width="9.44140625" bestFit="1" customWidth="1"/>
    <col min="24" max="24" width="10.109375" bestFit="1" customWidth="1"/>
    <col min="25" max="25" width="10.6640625" bestFit="1" customWidth="1"/>
    <col min="26" max="26" width="11" bestFit="1" customWidth="1"/>
    <col min="27" max="27" width="11.33203125" bestFit="1" customWidth="1"/>
    <col min="29" max="29" width="14.6640625" bestFit="1" customWidth="1"/>
    <col min="30" max="30" width="11.109375" bestFit="1" customWidth="1"/>
    <col min="31" max="31" width="10.88671875" bestFit="1" customWidth="1"/>
    <col min="32" max="32" width="9.88671875" customWidth="1"/>
    <col min="33" max="33" width="10.88671875" bestFit="1" customWidth="1"/>
    <col min="34" max="34" width="9.109375" bestFit="1" customWidth="1"/>
    <col min="35" max="35" width="10.88671875" bestFit="1" customWidth="1"/>
    <col min="36" max="37" width="10.109375" bestFit="1" customWidth="1"/>
    <col min="41" max="41" width="10.109375" customWidth="1"/>
    <col min="45" max="45" width="10.109375" bestFit="1" customWidth="1"/>
    <col min="46" max="46" width="9.109375" bestFit="1" customWidth="1"/>
    <col min="49" max="49" width="10.109375" bestFit="1" customWidth="1"/>
    <col min="53" max="53" width="10.109375" bestFit="1" customWidth="1"/>
    <col min="54" max="54" width="15.33203125" bestFit="1" customWidth="1"/>
  </cols>
  <sheetData>
    <row r="1" spans="1:19" ht="24" thickBot="1" x14ac:dyDescent="0.5">
      <c r="A1" s="76" t="s">
        <v>48</v>
      </c>
    </row>
    <row r="2" spans="1:19" ht="21" thickTop="1" thickBot="1" x14ac:dyDescent="0.45">
      <c r="A2" s="71" t="s">
        <v>35</v>
      </c>
      <c r="B2" s="78">
        <v>44271</v>
      </c>
    </row>
    <row r="3" spans="1:19" ht="18.600000000000001" thickTop="1" thickBot="1" x14ac:dyDescent="0.4">
      <c r="A3" s="72" t="s">
        <v>37</v>
      </c>
      <c r="B3" t="s">
        <v>33</v>
      </c>
    </row>
    <row r="4" spans="1:19" ht="16.8" thickTop="1" thickBot="1" x14ac:dyDescent="0.35">
      <c r="D4" s="115"/>
      <c r="P4" s="183" t="s">
        <v>45</v>
      </c>
      <c r="Q4" s="183"/>
      <c r="R4" s="183"/>
      <c r="S4" s="183"/>
    </row>
    <row r="5" spans="1:19" x14ac:dyDescent="0.3">
      <c r="A5" s="73"/>
      <c r="B5" s="158" t="s">
        <v>22</v>
      </c>
      <c r="C5" s="184" t="s">
        <v>42</v>
      </c>
      <c r="D5" s="185"/>
      <c r="F5" s="186" t="s">
        <v>41</v>
      </c>
      <c r="G5" s="187"/>
      <c r="I5" s="188" t="s">
        <v>40</v>
      </c>
      <c r="J5" s="189"/>
      <c r="K5" s="189"/>
      <c r="L5" s="189"/>
      <c r="M5" s="189"/>
      <c r="N5" s="190"/>
      <c r="P5" s="163">
        <v>44271</v>
      </c>
      <c r="Q5" s="164"/>
      <c r="R5" s="164"/>
      <c r="S5" s="165"/>
    </row>
    <row r="6" spans="1:19" x14ac:dyDescent="0.3">
      <c r="A6" s="25"/>
      <c r="B6" s="79" t="s">
        <v>23</v>
      </c>
      <c r="C6" s="79" t="s">
        <v>1</v>
      </c>
      <c r="D6" s="24" t="s">
        <v>0</v>
      </c>
      <c r="F6" s="104" t="s">
        <v>1</v>
      </c>
      <c r="G6" s="105" t="s">
        <v>0</v>
      </c>
      <c r="I6" s="177" t="s">
        <v>1</v>
      </c>
      <c r="J6" s="178"/>
      <c r="K6" s="179"/>
      <c r="L6" s="180" t="s">
        <v>0</v>
      </c>
      <c r="M6" s="181"/>
      <c r="N6" s="182"/>
      <c r="P6" s="16" t="s">
        <v>1</v>
      </c>
      <c r="Q6" s="6" t="s">
        <v>20</v>
      </c>
      <c r="R6" s="10" t="s">
        <v>0</v>
      </c>
      <c r="S6" s="17" t="s">
        <v>19</v>
      </c>
    </row>
    <row r="7" spans="1:19" x14ac:dyDescent="0.3">
      <c r="A7" s="23" t="s">
        <v>25</v>
      </c>
      <c r="B7" s="79" t="s">
        <v>24</v>
      </c>
      <c r="C7" s="79"/>
      <c r="D7" s="24"/>
      <c r="F7" s="25"/>
      <c r="G7" s="26"/>
      <c r="I7" s="133" t="s">
        <v>33</v>
      </c>
      <c r="J7" s="39" t="s">
        <v>20</v>
      </c>
      <c r="K7" s="39" t="s">
        <v>21</v>
      </c>
      <c r="L7" s="41" t="s">
        <v>33</v>
      </c>
      <c r="M7" s="136" t="s">
        <v>19</v>
      </c>
      <c r="N7" s="40" t="s">
        <v>21</v>
      </c>
      <c r="P7" s="18"/>
      <c r="Q7" s="7"/>
      <c r="R7" s="11"/>
      <c r="S7" s="19"/>
    </row>
    <row r="8" spans="1:19" x14ac:dyDescent="0.3">
      <c r="A8" s="170" t="s">
        <v>2</v>
      </c>
      <c r="B8" s="30" t="s">
        <v>3</v>
      </c>
      <c r="C8" s="31">
        <v>10907</v>
      </c>
      <c r="D8" s="97">
        <v>4786</v>
      </c>
      <c r="F8" s="106">
        <f>IFERROR(C8/(C8+D8), 0)</f>
        <v>0.69502325877779902</v>
      </c>
      <c r="G8" s="123">
        <f>IFERROR(D8/(C8+D8), 0)</f>
        <v>0.30497674122220098</v>
      </c>
      <c r="I8" s="134">
        <v>10724</v>
      </c>
      <c r="J8" s="9">
        <f>IFERROR(I8/C8, 0)</f>
        <v>0.98322178417530026</v>
      </c>
      <c r="K8" s="35" t="s">
        <v>27</v>
      </c>
      <c r="L8" s="31">
        <f>4190 +487</f>
        <v>4677</v>
      </c>
      <c r="M8" s="137">
        <f>IFERROR(L8/D8,0)</f>
        <v>0.97722524028416213</v>
      </c>
      <c r="N8" s="33" t="s">
        <v>27</v>
      </c>
      <c r="P8" s="32"/>
      <c r="Q8" s="35"/>
      <c r="R8" s="31"/>
      <c r="S8" s="33"/>
    </row>
    <row r="9" spans="1:19" x14ac:dyDescent="0.3">
      <c r="A9" s="170"/>
      <c r="B9" s="29" t="s">
        <v>29</v>
      </c>
      <c r="C9" s="11">
        <v>22088</v>
      </c>
      <c r="D9" s="98">
        <v>6176</v>
      </c>
      <c r="F9" s="106">
        <f t="shared" ref="F9:F22" si="0">IFERROR(C9/(C9+D9), 0)</f>
        <v>0.78148881969997175</v>
      </c>
      <c r="G9" s="123">
        <f t="shared" ref="G9:G22" si="1">IFERROR(D9/(C9+D9), 0)</f>
        <v>0.21851118030002831</v>
      </c>
      <c r="I9" s="135">
        <v>16250</v>
      </c>
      <c r="J9" s="35">
        <f t="shared" ref="J9:J21" si="2">IFERROR(I9/C9, 0)</f>
        <v>0.73569358927924666</v>
      </c>
      <c r="K9" s="9" t="s">
        <v>51</v>
      </c>
      <c r="L9" s="4">
        <f>5102+ 456</f>
        <v>5558</v>
      </c>
      <c r="M9" s="138">
        <f t="shared" ref="M9:M21" si="3">IFERROR(L9/D9,0)</f>
        <v>0.89993523316062174</v>
      </c>
      <c r="N9" s="20" t="s">
        <v>47</v>
      </c>
      <c r="P9" s="18">
        <v>5596</v>
      </c>
      <c r="Q9" s="9">
        <v>0.25340000000000001</v>
      </c>
      <c r="R9" s="11">
        <f>1724 +200</f>
        <v>1924</v>
      </c>
      <c r="S9" s="20">
        <v>0.3115</v>
      </c>
    </row>
    <row r="10" spans="1:19" x14ac:dyDescent="0.3">
      <c r="A10" s="170"/>
      <c r="B10" s="37" t="s">
        <v>30</v>
      </c>
      <c r="C10" s="31">
        <v>6758</v>
      </c>
      <c r="D10" s="97">
        <v>1521</v>
      </c>
      <c r="F10" s="106">
        <f t="shared" si="0"/>
        <v>0.81628215968112094</v>
      </c>
      <c r="G10" s="123">
        <f t="shared" si="1"/>
        <v>0.18371784031887908</v>
      </c>
      <c r="I10" s="134">
        <f>W30</f>
        <v>6500</v>
      </c>
      <c r="J10" s="35">
        <f t="shared" si="2"/>
        <v>0.96182302456348034</v>
      </c>
      <c r="K10" s="35" t="s">
        <v>51</v>
      </c>
      <c r="L10" s="31">
        <f>1329+80</f>
        <v>1409</v>
      </c>
      <c r="M10" s="138">
        <f t="shared" si="3"/>
        <v>0.92636423405654178</v>
      </c>
      <c r="N10" s="33" t="s">
        <v>47</v>
      </c>
      <c r="P10" s="32">
        <f>6491+9</f>
        <v>6500</v>
      </c>
      <c r="Q10" s="35">
        <v>0.96179999999999999</v>
      </c>
      <c r="R10" s="31">
        <f>1329+80</f>
        <v>1409</v>
      </c>
      <c r="S10" s="33">
        <v>0.9264</v>
      </c>
    </row>
    <row r="11" spans="1:19" x14ac:dyDescent="0.3">
      <c r="A11" s="170"/>
      <c r="B11" s="79" t="s">
        <v>4</v>
      </c>
      <c r="C11" s="4">
        <v>6239</v>
      </c>
      <c r="D11" s="99">
        <v>1756</v>
      </c>
      <c r="F11" s="106">
        <f t="shared" si="0"/>
        <v>0.78036272670419016</v>
      </c>
      <c r="G11" s="123">
        <f t="shared" si="1"/>
        <v>0.21963727329580987</v>
      </c>
      <c r="I11" s="135">
        <v>5739</v>
      </c>
      <c r="J11" s="35">
        <f t="shared" si="2"/>
        <v>0.91985895175508892</v>
      </c>
      <c r="K11" s="9" t="s">
        <v>51</v>
      </c>
      <c r="L11" s="4">
        <f>1155+ 124</f>
        <v>1279</v>
      </c>
      <c r="M11" s="138">
        <f t="shared" si="3"/>
        <v>0.72835990888382685</v>
      </c>
      <c r="N11" s="20" t="s">
        <v>47</v>
      </c>
      <c r="P11" s="18">
        <v>5739</v>
      </c>
      <c r="Q11" s="9">
        <v>0.91990000000000005</v>
      </c>
      <c r="R11" s="11">
        <f>1155+124</f>
        <v>1279</v>
      </c>
      <c r="S11" s="20">
        <v>0.72840000000000005</v>
      </c>
    </row>
    <row r="12" spans="1:19" x14ac:dyDescent="0.3">
      <c r="A12" s="170"/>
      <c r="B12" s="30" t="s">
        <v>5</v>
      </c>
      <c r="C12" s="31">
        <v>11515</v>
      </c>
      <c r="D12" s="97">
        <v>3049</v>
      </c>
      <c r="F12" s="106">
        <f t="shared" si="0"/>
        <v>0.79064817357868722</v>
      </c>
      <c r="G12" s="123">
        <f t="shared" si="1"/>
        <v>0.20935182642131284</v>
      </c>
      <c r="I12" s="134">
        <v>11286</v>
      </c>
      <c r="J12" s="9">
        <f t="shared" si="2"/>
        <v>0.98011289622231867</v>
      </c>
      <c r="K12" s="35" t="s">
        <v>27</v>
      </c>
      <c r="L12" s="31">
        <f>2777+183</f>
        <v>2960</v>
      </c>
      <c r="M12" s="137">
        <f t="shared" si="3"/>
        <v>0.97081010167267956</v>
      </c>
      <c r="N12" s="33" t="s">
        <v>27</v>
      </c>
      <c r="P12" s="32"/>
      <c r="Q12" s="35"/>
      <c r="R12" s="31"/>
      <c r="S12" s="33"/>
    </row>
    <row r="13" spans="1:19" x14ac:dyDescent="0.3">
      <c r="A13" s="170"/>
      <c r="B13" s="79" t="s">
        <v>6</v>
      </c>
      <c r="C13" s="4">
        <v>33464</v>
      </c>
      <c r="D13" s="99">
        <v>7228</v>
      </c>
      <c r="F13" s="106">
        <f t="shared" si="0"/>
        <v>0.82237294799960681</v>
      </c>
      <c r="G13" s="123">
        <f t="shared" si="1"/>
        <v>0.17762705200039319</v>
      </c>
      <c r="I13" s="135">
        <f>30540+18</f>
        <v>30558</v>
      </c>
      <c r="J13" s="35">
        <f t="shared" si="2"/>
        <v>0.91316041118814251</v>
      </c>
      <c r="K13" s="9" t="s">
        <v>47</v>
      </c>
      <c r="L13" s="4">
        <f>6375+ 425</f>
        <v>6800</v>
      </c>
      <c r="M13" s="138">
        <f t="shared" si="3"/>
        <v>0.94078583287216377</v>
      </c>
      <c r="N13" s="20" t="s">
        <v>47</v>
      </c>
      <c r="P13" s="18">
        <f>11556+ 18</f>
        <v>11574</v>
      </c>
      <c r="Q13" s="9">
        <v>0.34589999999999999</v>
      </c>
      <c r="R13" s="11">
        <f>2002 +236</f>
        <v>2238</v>
      </c>
      <c r="S13" s="20">
        <v>0.30959999999999999</v>
      </c>
    </row>
    <row r="14" spans="1:19" x14ac:dyDescent="0.3">
      <c r="A14" s="170"/>
      <c r="B14" s="30" t="s">
        <v>7</v>
      </c>
      <c r="C14" s="31">
        <v>7205</v>
      </c>
      <c r="D14" s="97">
        <v>2072</v>
      </c>
      <c r="F14" s="106">
        <f t="shared" si="0"/>
        <v>0.77665193489274553</v>
      </c>
      <c r="G14" s="123">
        <f t="shared" si="1"/>
        <v>0.2233480651072545</v>
      </c>
      <c r="I14" s="134">
        <v>7131</v>
      </c>
      <c r="J14" s="35">
        <f t="shared" si="2"/>
        <v>0.98972935461485079</v>
      </c>
      <c r="K14" s="35" t="s">
        <v>27</v>
      </c>
      <c r="L14" s="31">
        <f>1726+295</f>
        <v>2021</v>
      </c>
      <c r="M14" s="138">
        <f t="shared" si="3"/>
        <v>0.97538610038610041</v>
      </c>
      <c r="N14" s="33" t="s">
        <v>27</v>
      </c>
      <c r="P14" s="32"/>
      <c r="Q14" s="35"/>
      <c r="R14" s="31"/>
      <c r="S14" s="33"/>
    </row>
    <row r="15" spans="1:19" x14ac:dyDescent="0.3">
      <c r="A15" s="170"/>
      <c r="B15" s="79" t="s">
        <v>8</v>
      </c>
      <c r="C15" s="162">
        <v>15710</v>
      </c>
      <c r="D15" s="162">
        <v>20218</v>
      </c>
      <c r="F15" s="106">
        <f t="shared" si="0"/>
        <v>0.43726341572032956</v>
      </c>
      <c r="G15" s="123">
        <f t="shared" si="1"/>
        <v>0.56273658427967044</v>
      </c>
      <c r="I15" s="27">
        <v>15507</v>
      </c>
      <c r="J15" s="139">
        <f t="shared" si="2"/>
        <v>0.98707829408020364</v>
      </c>
      <c r="K15" s="140" t="s">
        <v>27</v>
      </c>
      <c r="L15" s="141">
        <f>19521+231</f>
        <v>19752</v>
      </c>
      <c r="M15" s="35">
        <f t="shared" si="3"/>
        <v>0.97695123157582353</v>
      </c>
      <c r="N15" s="20" t="s">
        <v>27</v>
      </c>
      <c r="P15" s="18">
        <v>245</v>
      </c>
      <c r="Q15" s="9">
        <v>1.5599999999999999E-2</v>
      </c>
      <c r="R15" s="11">
        <f>2052+25</f>
        <v>2077</v>
      </c>
      <c r="S15" s="20">
        <v>0.1027</v>
      </c>
    </row>
    <row r="16" spans="1:19" x14ac:dyDescent="0.3">
      <c r="A16" s="171" t="s">
        <v>9</v>
      </c>
      <c r="B16" s="30" t="s">
        <v>10</v>
      </c>
      <c r="C16" s="31">
        <v>3066</v>
      </c>
      <c r="D16" s="97">
        <v>4140</v>
      </c>
      <c r="F16" s="106">
        <f t="shared" si="0"/>
        <v>0.42547876769358867</v>
      </c>
      <c r="G16" s="123">
        <f t="shared" si="1"/>
        <v>0.57452123230641128</v>
      </c>
      <c r="I16" s="32">
        <v>3004</v>
      </c>
      <c r="J16" s="35">
        <f t="shared" si="2"/>
        <v>0.97977821265492493</v>
      </c>
      <c r="K16" s="35" t="s">
        <v>27</v>
      </c>
      <c r="L16" s="162">
        <v>4005</v>
      </c>
      <c r="M16" s="35">
        <f t="shared" si="3"/>
        <v>0.96739130434782605</v>
      </c>
      <c r="N16" s="20" t="s">
        <v>27</v>
      </c>
      <c r="P16" s="32"/>
      <c r="Q16" s="35"/>
      <c r="R16" s="31"/>
      <c r="S16" s="33"/>
    </row>
    <row r="17" spans="1:26" x14ac:dyDescent="0.3">
      <c r="A17" s="172"/>
      <c r="B17" s="79" t="s">
        <v>13</v>
      </c>
      <c r="C17" s="96">
        <v>5785</v>
      </c>
      <c r="D17" s="99">
        <v>746</v>
      </c>
      <c r="F17" s="106">
        <f t="shared" si="0"/>
        <v>0.88577553207778292</v>
      </c>
      <c r="G17" s="123">
        <f t="shared" si="1"/>
        <v>0.11422446792221712</v>
      </c>
      <c r="I17" s="27">
        <v>5735</v>
      </c>
      <c r="J17" s="35">
        <f t="shared" si="2"/>
        <v>0.99135695764909249</v>
      </c>
      <c r="K17" s="9" t="s">
        <v>27</v>
      </c>
      <c r="L17" s="4">
        <f>647+75</f>
        <v>722</v>
      </c>
      <c r="M17" s="35">
        <f t="shared" si="3"/>
        <v>0.96782841823056298</v>
      </c>
      <c r="N17" s="20" t="s">
        <v>27</v>
      </c>
      <c r="P17" s="18"/>
      <c r="Q17" s="9"/>
      <c r="R17" s="11"/>
      <c r="S17" s="20"/>
    </row>
    <row r="18" spans="1:26" x14ac:dyDescent="0.3">
      <c r="A18" s="172"/>
      <c r="B18" s="30" t="s">
        <v>12</v>
      </c>
      <c r="C18" s="31">
        <v>5175</v>
      </c>
      <c r="D18" s="97">
        <v>1980</v>
      </c>
      <c r="F18" s="106">
        <f t="shared" si="0"/>
        <v>0.72327044025157228</v>
      </c>
      <c r="G18" s="123">
        <f t="shared" si="1"/>
        <v>0.27672955974842767</v>
      </c>
      <c r="I18" s="32">
        <v>5139</v>
      </c>
      <c r="J18" s="35">
        <f t="shared" si="2"/>
        <v>0.99304347826086958</v>
      </c>
      <c r="K18" s="35" t="s">
        <v>27</v>
      </c>
      <c r="L18" s="31">
        <f>1770 +147</f>
        <v>1917</v>
      </c>
      <c r="M18" s="35">
        <f t="shared" si="3"/>
        <v>0.96818181818181814</v>
      </c>
      <c r="N18" s="33" t="s">
        <v>27</v>
      </c>
      <c r="P18" s="32"/>
      <c r="Q18" s="35"/>
      <c r="R18" s="31"/>
      <c r="S18" s="33"/>
    </row>
    <row r="19" spans="1:26" x14ac:dyDescent="0.3">
      <c r="A19" s="172"/>
      <c r="B19" s="79" t="s">
        <v>11</v>
      </c>
      <c r="C19" s="4">
        <f>483+0</f>
        <v>483</v>
      </c>
      <c r="D19" s="99">
        <v>66</v>
      </c>
      <c r="F19" s="106">
        <f t="shared" si="0"/>
        <v>0.8797814207650273</v>
      </c>
      <c r="G19" s="123">
        <f t="shared" si="1"/>
        <v>0.12021857923497267</v>
      </c>
      <c r="I19" s="27">
        <v>476</v>
      </c>
      <c r="J19" s="35">
        <f t="shared" si="2"/>
        <v>0.98550724637681164</v>
      </c>
      <c r="K19" s="9" t="s">
        <v>27</v>
      </c>
      <c r="L19" s="4">
        <f>66+0</f>
        <v>66</v>
      </c>
      <c r="M19" s="35">
        <f t="shared" si="3"/>
        <v>1</v>
      </c>
      <c r="N19" s="20" t="s">
        <v>27</v>
      </c>
      <c r="P19" s="18"/>
      <c r="Q19" s="9"/>
      <c r="R19" s="11"/>
      <c r="S19" s="20"/>
    </row>
    <row r="20" spans="1:26" x14ac:dyDescent="0.3">
      <c r="A20" s="172"/>
      <c r="B20" s="30" t="s">
        <v>34</v>
      </c>
      <c r="C20" s="162">
        <v>12314</v>
      </c>
      <c r="D20" s="97">
        <v>4394</v>
      </c>
      <c r="F20" s="106">
        <f t="shared" si="0"/>
        <v>0.73701220971989467</v>
      </c>
      <c r="G20" s="123">
        <f t="shared" si="1"/>
        <v>0.26298779028010533</v>
      </c>
      <c r="I20" s="162">
        <v>12118</v>
      </c>
      <c r="J20" s="35">
        <f t="shared" si="2"/>
        <v>0.98408315738184182</v>
      </c>
      <c r="K20" s="35" t="s">
        <v>27</v>
      </c>
      <c r="L20" s="31">
        <f>3958+289</f>
        <v>4247</v>
      </c>
      <c r="M20" s="35">
        <f t="shared" si="3"/>
        <v>0.96654528903049608</v>
      </c>
      <c r="N20" s="33" t="s">
        <v>27</v>
      </c>
      <c r="P20" s="32"/>
      <c r="Q20" s="35"/>
      <c r="R20" s="31"/>
      <c r="S20" s="33"/>
    </row>
    <row r="21" spans="1:26" ht="15" thickBot="1" x14ac:dyDescent="0.35">
      <c r="A21" s="173"/>
      <c r="B21" s="142" t="s">
        <v>28</v>
      </c>
      <c r="C21" s="127">
        <v>11646</v>
      </c>
      <c r="D21" s="143">
        <v>3484</v>
      </c>
      <c r="F21" s="107">
        <f t="shared" si="0"/>
        <v>0.76972901520158621</v>
      </c>
      <c r="G21" s="124">
        <f t="shared" si="1"/>
        <v>0.23027098479841374</v>
      </c>
      <c r="I21" s="125">
        <v>11377</v>
      </c>
      <c r="J21" s="51">
        <f t="shared" si="2"/>
        <v>0.97690194058045676</v>
      </c>
      <c r="K21" s="126" t="s">
        <v>27</v>
      </c>
      <c r="L21" s="127">
        <f>2922+409</f>
        <v>3331</v>
      </c>
      <c r="M21" s="51">
        <f t="shared" si="3"/>
        <v>0.95608495981630315</v>
      </c>
      <c r="N21" s="128" t="s">
        <v>27</v>
      </c>
      <c r="P21" s="125">
        <v>4490</v>
      </c>
      <c r="Q21" s="126">
        <v>0.38550000000000001</v>
      </c>
      <c r="R21" s="127">
        <f>1236 +316</f>
        <v>1552</v>
      </c>
      <c r="S21" s="128">
        <v>0.44550000000000001</v>
      </c>
    </row>
    <row r="22" spans="1:26" ht="16.2" thickBot="1" x14ac:dyDescent="0.35">
      <c r="A22" s="42" t="s">
        <v>32</v>
      </c>
      <c r="B22" s="43"/>
      <c r="C22" s="42">
        <f>SUM(C8:C21)</f>
        <v>152355</v>
      </c>
      <c r="D22" s="42">
        <f>SUM(D8:D21)</f>
        <v>61616</v>
      </c>
      <c r="F22" s="122">
        <f t="shared" si="0"/>
        <v>0.71203574316145646</v>
      </c>
      <c r="G22" s="122">
        <f t="shared" si="1"/>
        <v>0.28796425683854354</v>
      </c>
      <c r="I22" s="109">
        <f>SUM(I8:I21)</f>
        <v>141544</v>
      </c>
      <c r="J22" s="111">
        <f>I22/C22</f>
        <v>0.92904072724885955</v>
      </c>
      <c r="K22" s="130" t="s">
        <v>27</v>
      </c>
      <c r="L22" s="109">
        <f>SUM(L8:L21)</f>
        <v>58744</v>
      </c>
      <c r="M22" s="111">
        <f>L22/D22</f>
        <v>0.95338873019994808</v>
      </c>
      <c r="N22" s="130" t="s">
        <v>27</v>
      </c>
      <c r="P22" s="109">
        <f>SUM(P7:P21)</f>
        <v>34144</v>
      </c>
      <c r="Q22" s="111">
        <f>P22/C22</f>
        <v>0.22410816842243445</v>
      </c>
      <c r="R22" s="109">
        <f>SUM(R7:R21)</f>
        <v>10479</v>
      </c>
      <c r="S22" s="111">
        <f>R22/D22</f>
        <v>0.17006946247727864</v>
      </c>
    </row>
    <row r="23" spans="1:26" ht="15" thickTop="1" x14ac:dyDescent="0.3"/>
    <row r="24" spans="1:26" ht="18.600000000000001" thickBot="1" x14ac:dyDescent="0.4">
      <c r="A24" s="77" t="s">
        <v>36</v>
      </c>
    </row>
    <row r="25" spans="1:26" x14ac:dyDescent="0.3">
      <c r="A25" s="2"/>
      <c r="B25" s="79" t="s">
        <v>22</v>
      </c>
      <c r="C25" s="163">
        <v>44264</v>
      </c>
      <c r="D25" s="164"/>
      <c r="E25" s="164"/>
      <c r="F25" s="165"/>
      <c r="G25" s="163">
        <v>44265</v>
      </c>
      <c r="H25" s="164"/>
      <c r="I25" s="164"/>
      <c r="J25" s="165"/>
      <c r="K25" s="163">
        <v>44266</v>
      </c>
      <c r="L25" s="164"/>
      <c r="M25" s="164"/>
      <c r="N25" s="165"/>
      <c r="O25" s="174">
        <v>44267</v>
      </c>
      <c r="P25" s="175"/>
      <c r="Q25" s="175"/>
      <c r="R25" s="176"/>
      <c r="S25" s="163">
        <v>44270</v>
      </c>
      <c r="T25" s="164"/>
      <c r="U25" s="164"/>
      <c r="V25" s="165"/>
      <c r="W25" s="163">
        <v>44271</v>
      </c>
      <c r="X25" s="164"/>
      <c r="Y25" s="164"/>
      <c r="Z25" s="165"/>
    </row>
    <row r="26" spans="1:26" x14ac:dyDescent="0.3">
      <c r="A26" s="2"/>
      <c r="B26" s="79" t="s">
        <v>23</v>
      </c>
      <c r="C26" s="16" t="s">
        <v>1</v>
      </c>
      <c r="D26" s="6" t="s">
        <v>20</v>
      </c>
      <c r="E26" s="10" t="s">
        <v>0</v>
      </c>
      <c r="F26" s="17" t="s">
        <v>19</v>
      </c>
      <c r="G26" s="16" t="s">
        <v>1</v>
      </c>
      <c r="H26" s="6" t="s">
        <v>20</v>
      </c>
      <c r="I26" s="10" t="s">
        <v>0</v>
      </c>
      <c r="J26" s="17" t="s">
        <v>19</v>
      </c>
      <c r="K26" s="16" t="s">
        <v>1</v>
      </c>
      <c r="L26" s="6" t="s">
        <v>20</v>
      </c>
      <c r="M26" s="10" t="s">
        <v>0</v>
      </c>
      <c r="N26" s="17" t="s">
        <v>19</v>
      </c>
      <c r="O26" s="16" t="s">
        <v>1</v>
      </c>
      <c r="P26" s="6" t="s">
        <v>49</v>
      </c>
      <c r="Q26" s="10" t="s">
        <v>0</v>
      </c>
      <c r="R26" s="17" t="s">
        <v>50</v>
      </c>
      <c r="S26" s="16" t="s">
        <v>1</v>
      </c>
      <c r="T26" s="6" t="s">
        <v>52</v>
      </c>
      <c r="U26" s="10" t="s">
        <v>53</v>
      </c>
      <c r="V26" s="17" t="s">
        <v>38</v>
      </c>
      <c r="W26" s="16" t="s">
        <v>1</v>
      </c>
      <c r="X26" s="6" t="s">
        <v>52</v>
      </c>
      <c r="Y26" s="10" t="s">
        <v>53</v>
      </c>
      <c r="Z26" s="17" t="s">
        <v>38</v>
      </c>
    </row>
    <row r="27" spans="1:26" x14ac:dyDescent="0.3">
      <c r="A27" s="79" t="s">
        <v>25</v>
      </c>
      <c r="B27" s="79" t="s">
        <v>24</v>
      </c>
      <c r="C27" s="18"/>
      <c r="D27" s="7"/>
      <c r="E27" s="11"/>
      <c r="F27" s="19"/>
      <c r="G27" s="18"/>
      <c r="H27" s="7"/>
      <c r="I27" s="11"/>
      <c r="J27" s="19"/>
      <c r="K27" s="18"/>
      <c r="L27" s="7"/>
      <c r="M27" s="11"/>
      <c r="N27" s="19"/>
      <c r="O27" s="18"/>
      <c r="P27" s="7"/>
      <c r="Q27" s="11"/>
      <c r="R27" s="19"/>
      <c r="S27" s="18"/>
      <c r="T27" s="7"/>
      <c r="U27" s="11"/>
      <c r="V27" s="19"/>
      <c r="W27" s="18"/>
      <c r="X27" s="7"/>
      <c r="Y27" s="11"/>
      <c r="Z27" s="19"/>
    </row>
    <row r="28" spans="1:26" x14ac:dyDescent="0.3">
      <c r="A28" s="166" t="s">
        <v>2</v>
      </c>
      <c r="B28" s="30" t="s">
        <v>3</v>
      </c>
      <c r="C28" s="159">
        <v>6213</v>
      </c>
      <c r="D28" s="160">
        <v>0.5696</v>
      </c>
      <c r="E28" s="32">
        <v>2291</v>
      </c>
      <c r="F28" s="35">
        <v>0.47870000000000001</v>
      </c>
      <c r="G28" s="32">
        <v>4511</v>
      </c>
      <c r="H28" s="35">
        <v>0.41360000000000002</v>
      </c>
      <c r="I28" s="31">
        <f>1712+230</f>
        <v>1942</v>
      </c>
      <c r="J28" s="33">
        <v>0.40579999999999999</v>
      </c>
      <c r="K28" s="32"/>
      <c r="L28" s="35"/>
      <c r="M28" s="31">
        <f>187+257</f>
        <v>444</v>
      </c>
      <c r="N28" s="33">
        <v>9.2799999999999994E-2</v>
      </c>
      <c r="O28" s="32"/>
      <c r="P28" s="35"/>
      <c r="Q28" s="31"/>
      <c r="R28" s="33"/>
      <c r="S28" s="32"/>
      <c r="T28" s="35"/>
      <c r="U28" s="31"/>
      <c r="V28" s="33"/>
      <c r="W28" s="32"/>
      <c r="X28" s="35"/>
      <c r="Y28" s="31"/>
      <c r="Z28" s="33"/>
    </row>
    <row r="29" spans="1:26" x14ac:dyDescent="0.3">
      <c r="A29" s="166"/>
      <c r="B29" s="29" t="s">
        <v>29</v>
      </c>
      <c r="C29" s="18"/>
      <c r="D29" s="9"/>
      <c r="E29" s="11"/>
      <c r="F29" s="20"/>
      <c r="G29" s="18"/>
      <c r="H29" s="9"/>
      <c r="I29" s="11"/>
      <c r="J29" s="20"/>
      <c r="K29" s="18"/>
      <c r="L29" s="9"/>
      <c r="M29" s="11"/>
      <c r="N29" s="20"/>
      <c r="O29" s="18">
        <f>4048+ 5</f>
        <v>4053</v>
      </c>
      <c r="P29" s="9">
        <v>0.189</v>
      </c>
      <c r="Q29" s="11">
        <v>1475</v>
      </c>
      <c r="R29" s="20">
        <v>0.2525</v>
      </c>
      <c r="S29" s="18">
        <v>6601</v>
      </c>
      <c r="T29" s="9">
        <v>0.29609999999999997</v>
      </c>
      <c r="U29" s="11">
        <f>2022+137</f>
        <v>2159</v>
      </c>
      <c r="V29" s="20">
        <v>0.36159999999999998</v>
      </c>
      <c r="W29" s="18">
        <v>5596</v>
      </c>
      <c r="X29" s="9">
        <v>0.25340000000000001</v>
      </c>
      <c r="Y29" s="11">
        <f>1724 +200</f>
        <v>1924</v>
      </c>
      <c r="Z29" s="20">
        <v>0.3115</v>
      </c>
    </row>
    <row r="30" spans="1:26" x14ac:dyDescent="0.3">
      <c r="A30" s="166"/>
      <c r="B30" s="37" t="s">
        <v>30</v>
      </c>
      <c r="C30" s="32"/>
      <c r="D30" s="35"/>
      <c r="E30" s="31"/>
      <c r="F30" s="33"/>
      <c r="G30" s="32"/>
      <c r="H30" s="35"/>
      <c r="I30" s="31"/>
      <c r="J30" s="33"/>
      <c r="K30" s="32"/>
      <c r="L30" s="35"/>
      <c r="M30" s="31"/>
      <c r="N30" s="33"/>
      <c r="O30" s="32"/>
      <c r="P30" s="35"/>
      <c r="Q30" s="31"/>
      <c r="R30" s="33"/>
      <c r="S30" s="32"/>
      <c r="T30" s="35"/>
      <c r="U30" s="31"/>
      <c r="V30" s="33"/>
      <c r="W30" s="32">
        <f>6491+9</f>
        <v>6500</v>
      </c>
      <c r="X30" s="35">
        <v>0.96179999999999999</v>
      </c>
      <c r="Y30" s="31">
        <f>1329+80</f>
        <v>1409</v>
      </c>
      <c r="Z30" s="33">
        <v>0.9264</v>
      </c>
    </row>
    <row r="31" spans="1:26" x14ac:dyDescent="0.3">
      <c r="A31" s="166"/>
      <c r="B31" s="79" t="s">
        <v>4</v>
      </c>
      <c r="C31" s="18"/>
      <c r="D31" s="9"/>
      <c r="E31" s="11"/>
      <c r="F31" s="20"/>
      <c r="G31" s="18"/>
      <c r="H31" s="9"/>
      <c r="I31" s="11"/>
      <c r="J31" s="20"/>
      <c r="K31" s="18"/>
      <c r="L31" s="9"/>
      <c r="M31" s="11"/>
      <c r="N31" s="20"/>
      <c r="O31" s="18"/>
      <c r="P31" s="9"/>
      <c r="Q31" s="11"/>
      <c r="R31" s="20"/>
      <c r="S31" s="18"/>
      <c r="T31" s="9"/>
      <c r="U31" s="11"/>
      <c r="V31" s="20"/>
      <c r="W31" s="18">
        <v>5739</v>
      </c>
      <c r="X31" s="9">
        <v>0.91990000000000005</v>
      </c>
      <c r="Y31" s="11">
        <f>1155+124</f>
        <v>1279</v>
      </c>
      <c r="Z31" s="20">
        <v>0.72840000000000005</v>
      </c>
    </row>
    <row r="32" spans="1:26" x14ac:dyDescent="0.3">
      <c r="A32" s="166"/>
      <c r="B32" s="30" t="s">
        <v>5</v>
      </c>
      <c r="C32" s="32"/>
      <c r="D32" s="35"/>
      <c r="E32" s="31"/>
      <c r="F32" s="33"/>
      <c r="G32" s="32">
        <v>4213</v>
      </c>
      <c r="H32" s="35">
        <v>0.3619</v>
      </c>
      <c r="I32" s="31">
        <v>1533</v>
      </c>
      <c r="J32" s="33">
        <v>0.53490000000000004</v>
      </c>
      <c r="K32" s="32">
        <v>6624</v>
      </c>
      <c r="L32" s="35">
        <v>0.56899999999999995</v>
      </c>
      <c r="M32" s="31">
        <v>1194</v>
      </c>
      <c r="N32" s="33">
        <v>0.41660000000000003</v>
      </c>
      <c r="O32" s="32">
        <v>451</v>
      </c>
      <c r="P32" s="35">
        <v>3.9199999999999999E-2</v>
      </c>
      <c r="Q32" s="31">
        <f>50+183</f>
        <v>233</v>
      </c>
      <c r="R32" s="33">
        <v>7.5999999999999998E-2</v>
      </c>
      <c r="S32" s="32"/>
      <c r="T32" s="35"/>
      <c r="U32" s="31"/>
      <c r="V32" s="33"/>
      <c r="W32" s="32"/>
      <c r="X32" s="35"/>
      <c r="Y32" s="31"/>
      <c r="Z32" s="33"/>
    </row>
    <row r="33" spans="1:67" x14ac:dyDescent="0.3">
      <c r="A33" s="166"/>
      <c r="B33" s="79" t="s">
        <v>6</v>
      </c>
      <c r="C33" s="18"/>
      <c r="D33" s="9"/>
      <c r="E33" s="11"/>
      <c r="F33" s="20"/>
      <c r="G33" s="18"/>
      <c r="H33" s="9"/>
      <c r="I33" s="11"/>
      <c r="J33" s="20"/>
      <c r="K33" s="18">
        <v>4955</v>
      </c>
      <c r="L33" s="9">
        <v>0.14610000000000001</v>
      </c>
      <c r="M33" s="11">
        <f>1635+40</f>
        <v>1675</v>
      </c>
      <c r="N33" s="20">
        <v>0.24479999999999999</v>
      </c>
      <c r="O33" s="18">
        <v>3265</v>
      </c>
      <c r="P33" s="9">
        <v>9.6699999999999994E-2</v>
      </c>
      <c r="Q33" s="11">
        <f>118+5</f>
        <v>123</v>
      </c>
      <c r="R33" s="20">
        <v>0.1055</v>
      </c>
      <c r="S33" s="18">
        <v>10737</v>
      </c>
      <c r="T33" s="9">
        <v>0.31890000000000002</v>
      </c>
      <c r="U33" s="11">
        <f>1950+ 110</f>
        <v>2060</v>
      </c>
      <c r="V33" s="20">
        <v>0.29459999999999997</v>
      </c>
      <c r="W33" s="18">
        <f>11556+ 18</f>
        <v>11574</v>
      </c>
      <c r="X33" s="9">
        <v>0.34589999999999999</v>
      </c>
      <c r="Y33" s="11">
        <f>2002 +236</f>
        <v>2238</v>
      </c>
      <c r="Z33" s="20">
        <v>0.30959999999999999</v>
      </c>
    </row>
    <row r="34" spans="1:67" x14ac:dyDescent="0.3">
      <c r="A34" s="166"/>
      <c r="B34" s="30" t="s">
        <v>7</v>
      </c>
      <c r="C34" s="32"/>
      <c r="D34" s="35"/>
      <c r="E34" s="31"/>
      <c r="F34" s="33"/>
      <c r="G34" s="32"/>
      <c r="H34" s="35"/>
      <c r="I34" s="31"/>
      <c r="J34" s="33"/>
      <c r="K34" s="32"/>
      <c r="L34" s="35"/>
      <c r="M34" s="31"/>
      <c r="N34" s="33"/>
      <c r="O34" s="32">
        <v>4110</v>
      </c>
      <c r="P34" s="35">
        <v>0.55420000000000003</v>
      </c>
      <c r="Q34" s="31">
        <v>1085</v>
      </c>
      <c r="R34" s="33">
        <v>0.58489999999999998</v>
      </c>
      <c r="S34" s="32">
        <v>3021</v>
      </c>
      <c r="T34" s="35">
        <v>0.41930000000000001</v>
      </c>
      <c r="U34" s="31">
        <f>702+222</f>
        <v>924</v>
      </c>
      <c r="V34" s="33">
        <v>0.44590000000000002</v>
      </c>
      <c r="W34" s="32"/>
      <c r="X34" s="35"/>
      <c r="Y34" s="31"/>
      <c r="Z34" s="33"/>
    </row>
    <row r="35" spans="1:67" x14ac:dyDescent="0.3">
      <c r="A35" s="166"/>
      <c r="B35" s="79" t="s">
        <v>8</v>
      </c>
      <c r="C35" s="18"/>
      <c r="D35" s="9"/>
      <c r="E35" s="11"/>
      <c r="F35" s="20"/>
      <c r="G35" s="159">
        <v>3690</v>
      </c>
      <c r="H35" s="160">
        <v>0.23219999999999999</v>
      </c>
      <c r="I35" s="11">
        <v>4157</v>
      </c>
      <c r="J35" s="20">
        <v>0.20780000000000001</v>
      </c>
      <c r="K35" s="18">
        <v>5006</v>
      </c>
      <c r="L35" s="9">
        <v>0.315</v>
      </c>
      <c r="M35" s="11">
        <v>4937</v>
      </c>
      <c r="N35" s="20">
        <v>0.24779999999999999</v>
      </c>
      <c r="O35" s="18">
        <v>2575</v>
      </c>
      <c r="P35" s="9">
        <v>0.16250000000000001</v>
      </c>
      <c r="Q35" s="11">
        <f>2612+53</f>
        <v>2665</v>
      </c>
      <c r="R35" s="20">
        <v>0.1328</v>
      </c>
      <c r="S35" s="18">
        <v>3991</v>
      </c>
      <c r="T35" s="9">
        <v>0.25380000000000003</v>
      </c>
      <c r="U35" s="11">
        <f>5763+133</f>
        <v>5896</v>
      </c>
      <c r="V35" s="20">
        <v>0.29199999999999998</v>
      </c>
      <c r="W35" s="18">
        <v>245</v>
      </c>
      <c r="X35" s="9">
        <v>1.5599999999999999E-2</v>
      </c>
      <c r="Y35" s="11">
        <f>2052+25</f>
        <v>2077</v>
      </c>
      <c r="Z35" s="20">
        <v>0.1027</v>
      </c>
    </row>
    <row r="36" spans="1:67" x14ac:dyDescent="0.3">
      <c r="A36" s="167" t="s">
        <v>9</v>
      </c>
      <c r="B36" s="30" t="s">
        <v>10</v>
      </c>
      <c r="C36" s="32"/>
      <c r="D36" s="35"/>
      <c r="E36" s="31"/>
      <c r="F36" s="33"/>
      <c r="G36" s="18">
        <v>2667</v>
      </c>
      <c r="H36" s="9">
        <v>0.86990000000000001</v>
      </c>
      <c r="I36" s="161">
        <f>2538+3</f>
        <v>2541</v>
      </c>
      <c r="J36" s="33">
        <v>0.61380000000000001</v>
      </c>
      <c r="K36" s="32">
        <v>340</v>
      </c>
      <c r="L36" s="35">
        <v>0.1109</v>
      </c>
      <c r="M36" s="161">
        <f>1437+27</f>
        <v>1464</v>
      </c>
      <c r="N36" s="33">
        <v>0.35360000000000003</v>
      </c>
      <c r="O36" s="32"/>
      <c r="P36" s="35"/>
      <c r="Q36" s="31"/>
      <c r="R36" s="33"/>
      <c r="S36" s="32"/>
      <c r="T36" s="35"/>
      <c r="U36" s="31"/>
      <c r="V36" s="33"/>
      <c r="W36" s="32"/>
      <c r="X36" s="35"/>
      <c r="Y36" s="31"/>
      <c r="Z36" s="33"/>
    </row>
    <row r="37" spans="1:67" x14ac:dyDescent="0.3">
      <c r="A37" s="168"/>
      <c r="B37" s="79" t="s">
        <v>13</v>
      </c>
      <c r="C37" s="18"/>
      <c r="D37" s="9"/>
      <c r="E37" s="11"/>
      <c r="F37" s="20"/>
      <c r="G37" s="18">
        <v>5735</v>
      </c>
      <c r="H37" s="9">
        <v>0.99139999999999995</v>
      </c>
      <c r="I37" s="11">
        <f>647+75</f>
        <v>722</v>
      </c>
      <c r="J37" s="20">
        <v>0.96779999999999999</v>
      </c>
      <c r="K37" s="18"/>
      <c r="L37" s="9"/>
      <c r="M37" s="11"/>
      <c r="N37" s="20"/>
      <c r="O37" s="18"/>
      <c r="P37" s="9"/>
      <c r="Q37" s="11"/>
      <c r="R37" s="20"/>
      <c r="S37" s="18"/>
      <c r="T37" s="9"/>
      <c r="U37" s="11"/>
      <c r="V37" s="20"/>
      <c r="W37" s="18"/>
      <c r="X37" s="9"/>
      <c r="Y37" s="11"/>
      <c r="Z37" s="20"/>
    </row>
    <row r="38" spans="1:67" x14ac:dyDescent="0.3">
      <c r="A38" s="168"/>
      <c r="B38" s="30" t="s">
        <v>12</v>
      </c>
      <c r="C38" s="32"/>
      <c r="D38" s="35"/>
      <c r="E38" s="31"/>
      <c r="F38" s="33"/>
      <c r="G38" s="32"/>
      <c r="H38" s="35"/>
      <c r="I38" s="31"/>
      <c r="J38" s="33"/>
      <c r="K38" s="32"/>
      <c r="L38" s="35"/>
      <c r="M38" s="31"/>
      <c r="N38" s="33"/>
      <c r="O38" s="32"/>
      <c r="P38" s="35"/>
      <c r="Q38" s="31"/>
      <c r="R38" s="33"/>
      <c r="S38" s="32">
        <v>5139</v>
      </c>
      <c r="T38" s="35">
        <v>0.99299999999999999</v>
      </c>
      <c r="U38" s="31">
        <f>1770 +147</f>
        <v>1917</v>
      </c>
      <c r="V38" s="33">
        <v>0.96819999999999995</v>
      </c>
      <c r="W38" s="32"/>
      <c r="X38" s="35"/>
      <c r="Y38" s="31"/>
      <c r="Z38" s="33"/>
    </row>
    <row r="39" spans="1:67" x14ac:dyDescent="0.3">
      <c r="A39" s="168"/>
      <c r="B39" s="79" t="s">
        <v>11</v>
      </c>
      <c r="C39" s="18">
        <v>476</v>
      </c>
      <c r="D39" s="9">
        <v>0.98550000000000004</v>
      </c>
      <c r="E39" s="11">
        <f>66+0</f>
        <v>66</v>
      </c>
      <c r="F39" s="20">
        <v>1</v>
      </c>
      <c r="G39" s="18"/>
      <c r="H39" s="9"/>
      <c r="I39" s="11"/>
      <c r="J39" s="20"/>
      <c r="K39" s="18"/>
      <c r="L39" s="9"/>
      <c r="M39" s="11"/>
      <c r="N39" s="20"/>
      <c r="O39" s="18"/>
      <c r="P39" s="9"/>
      <c r="Q39" s="11"/>
      <c r="R39" s="20"/>
      <c r="S39" s="18"/>
      <c r="T39" s="9"/>
      <c r="U39" s="11"/>
      <c r="V39" s="20"/>
      <c r="W39" s="18"/>
      <c r="X39" s="9"/>
      <c r="Y39" s="11"/>
      <c r="Z39" s="20"/>
    </row>
    <row r="40" spans="1:67" s="67" customFormat="1" x14ac:dyDescent="0.3">
      <c r="A40" s="168"/>
      <c r="B40" s="30" t="s">
        <v>34</v>
      </c>
      <c r="C40" s="32"/>
      <c r="D40" s="35"/>
      <c r="E40" s="31"/>
      <c r="F40" s="33"/>
      <c r="G40" s="161">
        <v>5216</v>
      </c>
      <c r="H40" s="35">
        <v>0.41899999999999998</v>
      </c>
      <c r="I40" s="31">
        <v>1942</v>
      </c>
      <c r="J40" s="33">
        <v>0.45610000000000001</v>
      </c>
      <c r="K40" s="161">
        <v>5934</v>
      </c>
      <c r="L40" s="35">
        <v>0.47660000000000002</v>
      </c>
      <c r="M40" s="31">
        <f>1698+143</f>
        <v>1841</v>
      </c>
      <c r="N40" s="33">
        <v>0.43240000000000001</v>
      </c>
      <c r="O40" s="32">
        <v>968</v>
      </c>
      <c r="P40" s="35">
        <v>7.8600000000000003E-2</v>
      </c>
      <c r="Q40" s="31">
        <f>328+136</f>
        <v>464</v>
      </c>
      <c r="R40" s="33">
        <v>0.1056</v>
      </c>
      <c r="S40" s="32"/>
      <c r="T40" s="35"/>
      <c r="U40" s="31"/>
      <c r="V40" s="33"/>
      <c r="W40" s="32"/>
      <c r="X40" s="35"/>
      <c r="Y40" s="31"/>
      <c r="Z40" s="33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1:67" s="67" customFormat="1" ht="15" thickBot="1" x14ac:dyDescent="0.35">
      <c r="A41" s="169"/>
      <c r="B41" s="69" t="s">
        <v>28</v>
      </c>
      <c r="C41" s="125"/>
      <c r="D41" s="126"/>
      <c r="E41" s="127"/>
      <c r="F41" s="128"/>
      <c r="G41" s="125"/>
      <c r="H41" s="126"/>
      <c r="I41" s="127"/>
      <c r="J41" s="128"/>
      <c r="K41" s="125"/>
      <c r="L41" s="126"/>
      <c r="M41" s="127"/>
      <c r="N41" s="128"/>
      <c r="O41" s="125"/>
      <c r="P41" s="126"/>
      <c r="Q41" s="127"/>
      <c r="R41" s="128"/>
      <c r="S41" s="125" t="s">
        <v>54</v>
      </c>
      <c r="T41" s="126">
        <v>0.58009999999999995</v>
      </c>
      <c r="U41" s="127">
        <f>1686 +93</f>
        <v>1779</v>
      </c>
      <c r="V41" s="128">
        <v>0.56010000000000004</v>
      </c>
      <c r="W41" s="125">
        <v>4490</v>
      </c>
      <c r="X41" s="126">
        <v>0.38550000000000001</v>
      </c>
      <c r="Y41" s="127">
        <f>1236 +316</f>
        <v>1552</v>
      </c>
      <c r="Z41" s="128">
        <v>0.44550000000000001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 ht="16.2" thickBot="1" x14ac:dyDescent="0.35">
      <c r="A42" s="42" t="s">
        <v>32</v>
      </c>
      <c r="B42" s="43"/>
      <c r="C42" s="42">
        <f>SUM(C27:C41)</f>
        <v>6689</v>
      </c>
      <c r="D42" s="129">
        <f>C42/C22</f>
        <v>4.390403990679663E-2</v>
      </c>
      <c r="E42" s="42">
        <f>SUM(E27:E41)</f>
        <v>2357</v>
      </c>
      <c r="F42" s="129">
        <f>E42/D22</f>
        <v>3.8253051155544011E-2</v>
      </c>
      <c r="G42" s="42">
        <f>SUM(G27:G41)</f>
        <v>26032</v>
      </c>
      <c r="H42" s="129">
        <f>G42/C22</f>
        <v>0.17086410029208099</v>
      </c>
      <c r="I42" s="42">
        <f>SUM(I27:I41)</f>
        <v>12837</v>
      </c>
      <c r="J42" s="129">
        <f>I42/D22</f>
        <v>0.20833874318358866</v>
      </c>
      <c r="K42" s="42">
        <f>SUM(K27:K41)</f>
        <v>22859</v>
      </c>
      <c r="L42" s="129">
        <f>K42/C22</f>
        <v>0.15003774080273047</v>
      </c>
      <c r="M42" s="42">
        <f>SUM(M27:M41)</f>
        <v>11555</v>
      </c>
      <c r="N42" s="129">
        <f>M42/D22</f>
        <v>0.18753245910153207</v>
      </c>
      <c r="O42" s="42">
        <f>SUM(O28:O41)</f>
        <v>15422</v>
      </c>
      <c r="P42" s="129">
        <f>O42/C22</f>
        <v>0.10122411473204031</v>
      </c>
      <c r="Q42" s="42">
        <f>SUM(Q28:Q41)</f>
        <v>6045</v>
      </c>
      <c r="R42" s="129">
        <f>Q42/D22</f>
        <v>9.8107634380680347E-2</v>
      </c>
      <c r="S42" s="109">
        <f>SUM(S29:S41)</f>
        <v>29489</v>
      </c>
      <c r="T42" s="111">
        <f>S42/C22</f>
        <v>0.19355452725542319</v>
      </c>
      <c r="U42" s="109">
        <f>SUM(U29:U41)</f>
        <v>14735</v>
      </c>
      <c r="V42" s="111">
        <f>U42/D22</f>
        <v>0.23914243053752271</v>
      </c>
      <c r="W42" s="109">
        <f>SUM(W29:W41)</f>
        <v>34144</v>
      </c>
      <c r="X42" s="111">
        <f>W42/C22</f>
        <v>0.22410816842243445</v>
      </c>
      <c r="Y42" s="109">
        <f>SUM(Y29:Y41)</f>
        <v>10479</v>
      </c>
      <c r="Z42" s="111">
        <f>Y42/D22</f>
        <v>0.17006946247727864</v>
      </c>
    </row>
    <row r="43" spans="1:67" ht="15" thickTop="1" x14ac:dyDescent="0.3"/>
  </sheetData>
  <mergeCells count="17">
    <mergeCell ref="I6:K6"/>
    <mergeCell ref="L6:N6"/>
    <mergeCell ref="P4:S4"/>
    <mergeCell ref="C5:D5"/>
    <mergeCell ref="F5:G5"/>
    <mergeCell ref="I5:N5"/>
    <mergeCell ref="P5:S5"/>
    <mergeCell ref="S25:V25"/>
    <mergeCell ref="W25:Z25"/>
    <mergeCell ref="A28:A35"/>
    <mergeCell ref="A36:A41"/>
    <mergeCell ref="A8:A15"/>
    <mergeCell ref="A16:A21"/>
    <mergeCell ref="C25:F25"/>
    <mergeCell ref="G25:J25"/>
    <mergeCell ref="K25:N25"/>
    <mergeCell ref="O25:R25"/>
  </mergeCells>
  <conditionalFormatting sqref="M9:M11 M13:M15 M17:M21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{B598545D-BC03-43DC-B74B-FB1E1007523C}</x14:id>
        </ext>
      </extLst>
    </cfRule>
  </conditionalFormatting>
  <conditionalFormatting sqref="Q22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{75E91EBF-55BD-439B-A44C-D2F9636CED7A}</x14:id>
        </ext>
      </extLst>
    </cfRule>
  </conditionalFormatting>
  <conditionalFormatting sqref="Q22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{EC5236FF-A962-43DF-BA3E-F06EBBDED7C5}</x14:id>
        </ext>
      </extLst>
    </cfRule>
  </conditionalFormatting>
  <conditionalFormatting sqref="S22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{F1549728-5123-4442-943F-55CABCA8FD7F}</x14:id>
        </ext>
      </extLst>
    </cfRule>
  </conditionalFormatting>
  <conditionalFormatting sqref="S22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{2B181E2D-43DD-4AC7-AECB-1D94C077DF05}</x14:id>
        </ext>
      </extLst>
    </cfRule>
  </conditionalFormatting>
  <conditionalFormatting sqref="J9:J11 J17:J21 J13:J1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{808FB793-CD1F-4AFC-A2A0-BDBB55DE7625}</x14:id>
        </ext>
      </extLst>
    </cfRule>
  </conditionalFormatting>
  <conditionalFormatting sqref="M9:M11 M13:M15 M17:M21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{A2615E8A-3421-44DD-9AB8-742CD427F921}</x14:id>
        </ext>
      </extLst>
    </cfRule>
  </conditionalFormatting>
  <conditionalFormatting sqref="M8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{281DC24A-EA3D-4854-B949-17374876BF01}</x14:id>
        </ext>
      </extLst>
    </cfRule>
  </conditionalFormatting>
  <conditionalFormatting sqref="M8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{DE68CDA0-E696-41BE-9987-57FFD93B5C0A}</x14:id>
        </ext>
      </extLst>
    </cfRule>
  </conditionalFormatting>
  <conditionalFormatting sqref="M1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{FA712778-9A8A-4ABA-9D4A-C102FFC944E0}</x14:id>
        </ext>
      </extLst>
    </cfRule>
  </conditionalFormatting>
  <conditionalFormatting sqref="M12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{CC23E41A-9070-415E-B4C8-55EB66C253E8}</x14:id>
        </ext>
      </extLst>
    </cfRule>
  </conditionalFormatting>
  <conditionalFormatting sqref="J8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{78C4FC01-81B4-44A5-8FE1-61D403C8566B}</x14:id>
        </ext>
      </extLst>
    </cfRule>
  </conditionalFormatting>
  <conditionalFormatting sqref="J8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{53B9429D-469A-47B6-ACDF-A590D30C8A82}</x14:id>
        </ext>
      </extLst>
    </cfRule>
  </conditionalFormatting>
  <conditionalFormatting sqref="J12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{CE4D7012-853B-4D26-BF49-86ED3DAC14BB}</x14:id>
        </ext>
      </extLst>
    </cfRule>
  </conditionalFormatting>
  <conditionalFormatting sqref="J1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{5BEADE48-F3AE-4779-AC26-158633F04CDC}</x14:id>
        </ext>
      </extLst>
    </cfRule>
  </conditionalFormatting>
  <conditionalFormatting sqref="J22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{3A9940F7-C85A-4969-BF32-E71D0D7ED8C6}</x14:id>
        </ext>
      </extLst>
    </cfRule>
  </conditionalFormatting>
  <conditionalFormatting sqref="J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{25E6732D-928F-4B81-B872-9CD93E869200}</x14:id>
        </ext>
      </extLst>
    </cfRule>
  </conditionalFormatting>
  <conditionalFormatting sqref="M22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{42955042-0A4B-4B89-A82C-6A46155A0D16}</x14:id>
        </ext>
      </extLst>
    </cfRule>
  </conditionalFormatting>
  <conditionalFormatting sqref="M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{AD569425-D309-4AB9-AF7F-818A7E79DEE6}</x14:id>
        </ext>
      </extLst>
    </cfRule>
  </conditionalFormatting>
  <conditionalFormatting sqref="J1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{4C2384AF-8A55-4CC9-87B2-F97F6C181EB8}</x14:id>
        </ext>
      </extLst>
    </cfRule>
  </conditionalFormatting>
  <conditionalFormatting sqref="M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{7E48464C-F6FE-4AEB-A79B-286AEE94ABC9}</x14:id>
        </ext>
      </extLst>
    </cfRule>
    <cfRule type="colorScale" priority="56">
      <colorScale>
        <cfvo type="min"/>
        <cfvo type="max"/>
        <color rgb="FFFF7128"/>
        <color theme="0"/>
      </colorScale>
    </cfRule>
    <cfRule type="colorScale" priority="57">
      <colorScale>
        <cfvo type="min"/>
        <cfvo type="max"/>
        <color rgb="FFFF7128"/>
        <color theme="0"/>
      </colorScale>
    </cfRule>
  </conditionalFormatting>
  <conditionalFormatting sqref="M17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{075627CC-24BA-462B-AC40-011141A2ADDD}</x14:id>
        </ext>
      </extLst>
    </cfRule>
  </conditionalFormatting>
  <conditionalFormatting sqref="J1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{454CB159-3E3C-48F9-ABA3-ED33C7ADC8D3}</x14:id>
        </ext>
      </extLst>
    </cfRule>
  </conditionalFormatting>
  <conditionalFormatting sqref="D4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{6EFB75AC-94D0-49EC-948B-12C9C6668C92}</x14:id>
        </ext>
      </extLst>
    </cfRule>
  </conditionalFormatting>
  <conditionalFormatting sqref="D42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{9B530FF2-5D45-4491-8CB9-9348B0D3ACC0}</x14:id>
        </ext>
      </extLst>
    </cfRule>
  </conditionalFormatting>
  <conditionalFormatting sqref="F42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{757270EE-20A7-4043-867E-6227CE3F2DB5}</x14:id>
        </ext>
      </extLst>
    </cfRule>
  </conditionalFormatting>
  <conditionalFormatting sqref="F4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{9D03DC4F-F6CD-4D6E-9037-1387B1DCC11C}</x14:id>
        </ext>
      </extLst>
    </cfRule>
  </conditionalFormatting>
  <conditionalFormatting sqref="J16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{7B19F721-C953-4534-A4A3-AFE751D9E429}</x14:id>
        </ext>
      </extLst>
    </cfRule>
  </conditionalFormatting>
  <conditionalFormatting sqref="M16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{6BA83A66-3295-4672-8390-6130FB55D2EF}</x14:id>
        </ext>
      </extLst>
    </cfRule>
  </conditionalFormatting>
  <conditionalFormatting sqref="J20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{49DF70CA-D5AE-4BA2-BBE8-6B0007A201AA}</x14:id>
        </ext>
      </extLst>
    </cfRule>
  </conditionalFormatting>
  <conditionalFormatting sqref="M20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{17EBC90C-6881-4492-96C0-2EE6793F8F4F}</x14:id>
        </ext>
      </extLst>
    </cfRule>
  </conditionalFormatting>
  <conditionalFormatting sqref="H42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{C3E408BC-979B-4E98-9806-7FFA109835C6}</x14:id>
        </ext>
      </extLst>
    </cfRule>
  </conditionalFormatting>
  <conditionalFormatting sqref="H4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{238C704F-8F4A-4C01-A8F4-03C9B2187171}</x14:id>
        </ext>
      </extLst>
    </cfRule>
  </conditionalFormatting>
  <conditionalFormatting sqref="J42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{3D123F02-CD19-4805-AAA0-2DBE61908E23}</x14:id>
        </ext>
      </extLst>
    </cfRule>
  </conditionalFormatting>
  <conditionalFormatting sqref="J4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{DECE1D61-D56E-468A-9842-54DE0F5004D2}</x14:id>
        </ext>
      </extLst>
    </cfRule>
  </conditionalFormatting>
  <conditionalFormatting sqref="J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{1DEB1BFE-1600-4F32-ABB9-0217893DD1EE}</x14:id>
        </ext>
      </extLst>
    </cfRule>
  </conditionalFormatting>
  <conditionalFormatting sqref="M1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{963BBF41-4555-4199-ADAF-097B2C694350}</x14:id>
        </ext>
      </extLst>
    </cfRule>
  </conditionalFormatting>
  <conditionalFormatting sqref="J1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{F2BB3CA7-C4E7-4D87-B9AB-3F6A76A2D9B8}</x14:id>
        </ext>
      </extLst>
    </cfRule>
  </conditionalFormatting>
  <conditionalFormatting sqref="M14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{A12906AC-493E-4230-86E9-A66A8A9EDBB6}</x14:id>
        </ext>
      </extLst>
    </cfRule>
  </conditionalFormatting>
  <conditionalFormatting sqref="L4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{BB50CAB3-356A-495C-B83D-74B21E589A51}</x14:id>
        </ext>
      </extLst>
    </cfRule>
  </conditionalFormatting>
  <conditionalFormatting sqref="L42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{D6F515ED-B8F2-4849-938D-BBE65175F659}</x14:id>
        </ext>
      </extLst>
    </cfRule>
  </conditionalFormatting>
  <conditionalFormatting sqref="N4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{83050F3D-0DD8-4FE2-A09F-D6D07440DA07}</x14:id>
        </ext>
      </extLst>
    </cfRule>
  </conditionalFormatting>
  <conditionalFormatting sqref="N4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{658EC1D5-3B44-41B1-824E-35E3C8C121C1}</x14:id>
        </ext>
      </extLst>
    </cfRule>
  </conditionalFormatting>
  <conditionalFormatting sqref="M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{EA2CA223-684C-4C5D-B078-79C0C33CB6D2}</x14:id>
        </ext>
      </extLst>
    </cfRule>
  </conditionalFormatting>
  <conditionalFormatting sqref="J13">
    <cfRule type="dataBar" priority="3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{C6A1CA6D-5A9E-4D04-86FD-3216105174EB}</x14:id>
        </ext>
      </extLst>
    </cfRule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{61327538-D04D-47B5-A5EA-3A12C99942D9}</x14:id>
        </ext>
      </extLst>
    </cfRule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{569D9ACD-4102-4104-95F2-0D09A26974D8}</x14:id>
        </ext>
      </extLst>
    </cfRule>
  </conditionalFormatting>
  <conditionalFormatting sqref="J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{D84BF4EF-62F6-4281-A18A-8D2937D9C740}</x14:id>
        </ext>
      </extLst>
    </cfRule>
  </conditionalFormatting>
  <conditionalFormatting sqref="J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{604FB7A9-32CE-41E2-BACE-FDB64176D220}</x14:id>
        </ext>
      </extLst>
    </cfRule>
  </conditionalFormatting>
  <conditionalFormatting sqref="M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{99A27861-8D5F-4A1E-B7A0-DE5DF93FBC42}</x14:id>
        </ext>
      </extLst>
    </cfRule>
  </conditionalFormatting>
  <conditionalFormatting sqref="J1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{86D89D94-EC49-4545-846A-07C3F48C09A5}</x14:id>
        </ext>
      </extLst>
    </cfRule>
  </conditionalFormatting>
  <conditionalFormatting sqref="M1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{9648420D-3E92-4D9E-9044-65835D118E03}</x14:id>
        </ext>
      </extLst>
    </cfRule>
  </conditionalFormatting>
  <conditionalFormatting sqref="P42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{60532CBF-CE96-41BC-9D79-B412B4266EAD}</x14:id>
        </ext>
      </extLst>
    </cfRule>
  </conditionalFormatting>
  <conditionalFormatting sqref="P4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{7CFB2B0B-372F-436C-A36B-41A5BBF5FB49}</x14:id>
        </ext>
      </extLst>
    </cfRule>
  </conditionalFormatting>
  <conditionalFormatting sqref="R4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{D3297EC3-B651-4F5D-ABC3-A104F467406A}</x14:id>
        </ext>
      </extLst>
    </cfRule>
  </conditionalFormatting>
  <conditionalFormatting sqref="R4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{CDABC0F1-D100-454D-902E-032A67C969C1}</x14:id>
        </ext>
      </extLst>
    </cfRule>
  </conditionalFormatting>
  <conditionalFormatting sqref="J2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{F81F9526-B649-44D5-A402-2B5092E4DDBB}</x14:id>
        </ext>
      </extLst>
    </cfRule>
  </conditionalFormatting>
  <conditionalFormatting sqref="M2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{92247710-275A-495E-9747-35C491CE145D}</x14:id>
        </ext>
      </extLst>
    </cfRule>
  </conditionalFormatting>
  <conditionalFormatting sqref="J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{F72B0767-341F-45AB-A1D9-BE930271EE0F}</x14:id>
        </ext>
      </extLst>
    </cfRule>
  </conditionalFormatting>
  <conditionalFormatting sqref="M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{AD7D10DD-0975-49E1-97BD-E2C9093F45FF}</x14:id>
        </ext>
      </extLst>
    </cfRule>
  </conditionalFormatting>
  <conditionalFormatting sqref="T4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{6289ECF0-4FA6-469F-935E-56FC9510AD1E}</x14:id>
        </ext>
      </extLst>
    </cfRule>
  </conditionalFormatting>
  <conditionalFormatting sqref="T4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{744DC9F7-E91F-498B-8DB6-D4F731FFEDA7}</x14:id>
        </ext>
      </extLst>
    </cfRule>
  </conditionalFormatting>
  <conditionalFormatting sqref="V4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{6024A252-1081-48A4-9D7B-1BE653C234FD}</x14:id>
        </ext>
      </extLst>
    </cfRule>
  </conditionalFormatting>
  <conditionalFormatting sqref="V4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{B925C02A-B3F6-4597-8FF9-42AFACF1C46C}</x14:id>
        </ext>
      </extLst>
    </cfRule>
  </conditionalFormatting>
  <conditionalFormatting sqref="X4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{7A8930D4-81C5-4A11-8CAC-508DFC9397FA}</x14:id>
        </ext>
      </extLst>
    </cfRule>
  </conditionalFormatting>
  <conditionalFormatting sqref="X4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{46FF6781-42EC-4EEB-931E-34E648CC22DE}</x14:id>
        </ext>
      </extLst>
    </cfRule>
  </conditionalFormatting>
  <conditionalFormatting sqref="Z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{A06758A0-5358-4594-82F1-71EA1DA33430}</x14:id>
        </ext>
      </extLst>
    </cfRule>
  </conditionalFormatting>
  <conditionalFormatting sqref="Z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{41658E24-3A5C-4153-8A55-450DBE9D4AD3}</x14:id>
        </ext>
      </extLst>
    </cfRule>
  </conditionalFormatting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8545D-BC03-43DC-B74B-FB1E100752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M9:M11 M13:M15 M17:M21</xm:sqref>
        </x14:conditionalFormatting>
        <x14:conditionalFormatting xmlns:xm="http://schemas.microsoft.com/office/excel/2006/main">
          <x14:cfRule type="dataBar" id="{75E91EBF-55BD-439B-A44C-D2F9636CED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EC5236FF-A962-43DF-BA3E-F06EBBDED7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F1549728-5123-4442-943F-55CABCA8FD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S22</xm:sqref>
        </x14:conditionalFormatting>
        <x14:conditionalFormatting xmlns:xm="http://schemas.microsoft.com/office/excel/2006/main">
          <x14:cfRule type="dataBar" id="{2B181E2D-43DD-4AC7-AECB-1D94C077DF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S22</xm:sqref>
        </x14:conditionalFormatting>
        <x14:conditionalFormatting xmlns:xm="http://schemas.microsoft.com/office/excel/2006/main">
          <x14:cfRule type="dataBar" id="{808FB793-CD1F-4AFC-A2A0-BDBB55DE76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J9:J11 J17:J21 J13:J15</xm:sqref>
        </x14:conditionalFormatting>
        <x14:conditionalFormatting xmlns:xm="http://schemas.microsoft.com/office/excel/2006/main">
          <x14:cfRule type="dataBar" id="{A2615E8A-3421-44DD-9AB8-742CD427F9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M9:M11 M13:M15 M17:M21</xm:sqref>
        </x14:conditionalFormatting>
        <x14:conditionalFormatting xmlns:xm="http://schemas.microsoft.com/office/excel/2006/main">
          <x14:cfRule type="dataBar" id="{281DC24A-EA3D-4854-B949-17374876BF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DE68CDA0-E696-41BE-9987-57FFD93B5C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FA712778-9A8A-4ABA-9D4A-C102FFC94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CC23E41A-9070-415E-B4C8-55EB66C253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78C4FC01-81B4-44A5-8FE1-61D403C856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3B9429D-469A-47B6-ACDF-A590D30C8A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CE4D7012-853B-4D26-BF49-86ED3DAC14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5BEADE48-F3AE-4779-AC26-158633F04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3A9940F7-C85A-4969-BF32-E71D0D7ED8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25E6732D-928F-4B81-B872-9CD93E869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42955042-0A4B-4B89-A82C-6A46155A0D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AD569425-D309-4AB9-AF7F-818A7E79D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4C2384AF-8A55-4CC9-87B2-F97F6C181E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7E48464C-F6FE-4AEB-A79B-286AEE94A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075627CC-24BA-462B-AC40-011141A2AD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454CB159-3E3C-48F9-ABA3-ED33C7ADC8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6EFB75AC-94D0-49EC-948B-12C9C6668C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9B530FF2-5D45-4491-8CB9-9348B0D3AC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757270EE-20A7-4043-867E-6227CE3F2D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9D03DC4F-F6CD-4D6E-9037-1387B1DCC1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7B19F721-C953-4534-A4A3-AFE751D9E4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6BA83A66-3295-4672-8390-6130FB55D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M16</xm:sqref>
        </x14:conditionalFormatting>
        <x14:conditionalFormatting xmlns:xm="http://schemas.microsoft.com/office/excel/2006/main">
          <x14:cfRule type="dataBar" id="{49DF70CA-D5AE-4BA2-BBE8-6B0007A201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17EBC90C-6881-4492-96C0-2EE6793F8F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C3E408BC-979B-4E98-9806-7FFA109835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238C704F-8F4A-4C01-A8F4-03C9B21871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3D123F02-CD19-4805-AAA0-2DBE61908E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DECE1D61-D56E-468A-9842-54DE0F5004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1DEB1BFE-1600-4F32-ABB9-0217893DD1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963BBF41-4555-4199-ADAF-097B2C6943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M18</xm:sqref>
        </x14:conditionalFormatting>
        <x14:conditionalFormatting xmlns:xm="http://schemas.microsoft.com/office/excel/2006/main">
          <x14:cfRule type="dataBar" id="{F2BB3CA7-C4E7-4D87-B9AB-3F6A76A2D9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A12906AC-493E-4230-86E9-A66A8A9EDB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BB50CAB3-356A-495C-B83D-74B21E589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D6F515ED-B8F2-4849-938D-BBE65175F6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83050F3D-0DD8-4FE2-A09F-D6D07440DA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N42</xm:sqref>
        </x14:conditionalFormatting>
        <x14:conditionalFormatting xmlns:xm="http://schemas.microsoft.com/office/excel/2006/main">
          <x14:cfRule type="dataBar" id="{658EC1D5-3B44-41B1-824E-35E3C8C121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N42</xm:sqref>
        </x14:conditionalFormatting>
        <x14:conditionalFormatting xmlns:xm="http://schemas.microsoft.com/office/excel/2006/main">
          <x14:cfRule type="dataBar" id="{EA2CA223-684C-4C5D-B078-79C0C33CB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M13</xm:sqref>
        </x14:conditionalFormatting>
        <x14:conditionalFormatting xmlns:xm="http://schemas.microsoft.com/office/excel/2006/main">
          <x14:cfRule type="dataBar" id="{C6A1CA6D-5A9E-4D04-86FD-321610517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1327538-D04D-47B5-A5EA-3A12C99942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9D9ACD-4102-4104-95F2-0D09A26974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D84BF4EF-62F6-4281-A18A-8D2937D9C7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604FB7A9-32CE-41E2-BACE-FDB64176D2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99A27861-8D5F-4A1E-B7A0-DE5DF93FBC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86D89D94-EC49-4545-846A-07C3F48C09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9648420D-3E92-4D9E-9044-65835D118E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60532CBF-CE96-41BC-9D79-B412B4266E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P42</xm:sqref>
        </x14:conditionalFormatting>
        <x14:conditionalFormatting xmlns:xm="http://schemas.microsoft.com/office/excel/2006/main">
          <x14:cfRule type="dataBar" id="{7CFB2B0B-372F-436C-A36B-41A5BBF5FB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P42</xm:sqref>
        </x14:conditionalFormatting>
        <x14:conditionalFormatting xmlns:xm="http://schemas.microsoft.com/office/excel/2006/main">
          <x14:cfRule type="dataBar" id="{D3297EC3-B651-4F5D-ABC3-A104F46740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R42</xm:sqref>
        </x14:conditionalFormatting>
        <x14:conditionalFormatting xmlns:xm="http://schemas.microsoft.com/office/excel/2006/main">
          <x14:cfRule type="dataBar" id="{CDABC0F1-D100-454D-902E-032A67C969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R42</xm:sqref>
        </x14:conditionalFormatting>
        <x14:conditionalFormatting xmlns:xm="http://schemas.microsoft.com/office/excel/2006/main">
          <x14:cfRule type="dataBar" id="{F81F9526-B649-44D5-A402-2B5092E4DD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92247710-275A-495E-9747-35C491CE14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M21</xm:sqref>
        </x14:conditionalFormatting>
        <x14:conditionalFormatting xmlns:xm="http://schemas.microsoft.com/office/excel/2006/main">
          <x14:cfRule type="dataBar" id="{F72B0767-341F-45AB-A1D9-BE930271EE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AD7D10DD-0975-49E1-97BD-E2C9093F45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6289ECF0-4FA6-469F-935E-56FC9510AD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744DC9F7-E91F-498B-8DB6-D4F731FFED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6024A252-1081-48A4-9D7B-1BE653C234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V42</xm:sqref>
        </x14:conditionalFormatting>
        <x14:conditionalFormatting xmlns:xm="http://schemas.microsoft.com/office/excel/2006/main">
          <x14:cfRule type="dataBar" id="{B925C02A-B3F6-4597-8FF9-42AFACF1C4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V42</xm:sqref>
        </x14:conditionalFormatting>
        <x14:conditionalFormatting xmlns:xm="http://schemas.microsoft.com/office/excel/2006/main">
          <x14:cfRule type="dataBar" id="{7A8930D4-81C5-4A11-8CAC-508DFC9397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X42</xm:sqref>
        </x14:conditionalFormatting>
        <x14:conditionalFormatting xmlns:xm="http://schemas.microsoft.com/office/excel/2006/main">
          <x14:cfRule type="dataBar" id="{46FF6781-42EC-4EEB-931E-34E648CC22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X42</xm:sqref>
        </x14:conditionalFormatting>
        <x14:conditionalFormatting xmlns:xm="http://schemas.microsoft.com/office/excel/2006/main">
          <x14:cfRule type="dataBar" id="{A06758A0-5358-4594-82F1-71EA1DA334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41658E24-3A5C-4153-8A55-450DBE9D4A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AB9C-24D3-418F-B449-0082BF78BC9B}">
  <sheetPr>
    <tabColor theme="8" tint="-0.249977111117893"/>
  </sheetPr>
  <dimension ref="A1:BO31"/>
  <sheetViews>
    <sheetView zoomScale="70" zoomScaleNormal="70" workbookViewId="0">
      <selection activeCell="AL20" sqref="AL20"/>
    </sheetView>
  </sheetViews>
  <sheetFormatPr defaultRowHeight="14.4" x14ac:dyDescent="0.3"/>
  <cols>
    <col min="1" max="1" width="19.44140625" customWidth="1"/>
    <col min="2" max="2" width="24.44140625" bestFit="1" customWidth="1"/>
    <col min="3" max="3" width="12.109375" bestFit="1" customWidth="1"/>
    <col min="4" max="4" width="12.33203125" bestFit="1" customWidth="1"/>
    <col min="5" max="5" width="15.88671875" bestFit="1" customWidth="1"/>
    <col min="6" max="8" width="11" customWidth="1"/>
    <col min="9" max="9" width="13.44140625" bestFit="1" customWidth="1"/>
    <col min="10" max="10" width="9.6640625" bestFit="1" customWidth="1"/>
    <col min="11" max="11" width="12.109375" bestFit="1" customWidth="1"/>
    <col min="12" max="12" width="12.6640625" bestFit="1" customWidth="1"/>
    <col min="13" max="13" width="13.44140625" bestFit="1" customWidth="1"/>
    <col min="14" max="14" width="12.109375" bestFit="1" customWidth="1"/>
    <col min="15" max="16" width="10.88671875" bestFit="1" customWidth="1"/>
    <col min="17" max="17" width="12.33203125" bestFit="1" customWidth="1"/>
    <col min="18" max="19" width="10.88671875" bestFit="1" customWidth="1"/>
    <col min="20" max="20" width="9.33203125" bestFit="1" customWidth="1"/>
    <col min="21" max="21" width="10.88671875" bestFit="1" customWidth="1"/>
    <col min="22" max="22" width="10.109375" bestFit="1" customWidth="1"/>
    <col min="23" max="23" width="9.44140625" bestFit="1" customWidth="1"/>
    <col min="24" max="24" width="10.109375" bestFit="1" customWidth="1"/>
    <col min="25" max="25" width="10.6640625" bestFit="1" customWidth="1"/>
    <col min="26" max="26" width="11" bestFit="1" customWidth="1"/>
    <col min="27" max="27" width="11.33203125" bestFit="1" customWidth="1"/>
    <col min="29" max="29" width="14.6640625" bestFit="1" customWidth="1"/>
    <col min="30" max="30" width="11.109375" bestFit="1" customWidth="1"/>
    <col min="31" max="31" width="10.88671875" bestFit="1" customWidth="1"/>
    <col min="32" max="32" width="14.88671875" bestFit="1" customWidth="1"/>
    <col min="33" max="33" width="10.88671875" bestFit="1" customWidth="1"/>
    <col min="34" max="34" width="9.109375" bestFit="1" customWidth="1"/>
    <col min="35" max="35" width="10.88671875" bestFit="1" customWidth="1"/>
    <col min="36" max="36" width="14.88671875" bestFit="1" customWidth="1"/>
    <col min="37" max="37" width="10.109375" bestFit="1" customWidth="1"/>
    <col min="41" max="41" width="10.109375" customWidth="1"/>
    <col min="45" max="45" width="10.109375" bestFit="1" customWidth="1"/>
    <col min="46" max="46" width="9.109375" bestFit="1" customWidth="1"/>
    <col min="49" max="49" width="10.109375" bestFit="1" customWidth="1"/>
    <col min="53" max="53" width="10.109375" bestFit="1" customWidth="1"/>
    <col min="54" max="54" width="15.33203125" bestFit="1" customWidth="1"/>
  </cols>
  <sheetData>
    <row r="1" spans="1:64" ht="24" thickBot="1" x14ac:dyDescent="0.5">
      <c r="A1" s="76" t="s">
        <v>46</v>
      </c>
    </row>
    <row r="2" spans="1:64" ht="21" thickTop="1" thickBot="1" x14ac:dyDescent="0.45">
      <c r="A2" s="71" t="s">
        <v>35</v>
      </c>
      <c r="B2" s="78">
        <v>44245</v>
      </c>
    </row>
    <row r="3" spans="1:64" ht="18.600000000000001" thickTop="1" thickBot="1" x14ac:dyDescent="0.4">
      <c r="A3" s="72" t="s">
        <v>37</v>
      </c>
      <c r="B3" t="s">
        <v>33</v>
      </c>
    </row>
    <row r="4" spans="1:64" ht="15.6" thickTop="1" thickBot="1" x14ac:dyDescent="0.35"/>
    <row r="5" spans="1:64" x14ac:dyDescent="0.3">
      <c r="A5" s="73"/>
      <c r="B5" s="132" t="s">
        <v>22</v>
      </c>
      <c r="C5" s="184" t="s">
        <v>42</v>
      </c>
      <c r="D5" s="185"/>
      <c r="F5" s="186" t="s">
        <v>41</v>
      </c>
      <c r="G5" s="187"/>
      <c r="I5" s="188" t="s">
        <v>40</v>
      </c>
      <c r="J5" s="189"/>
      <c r="K5" s="189"/>
      <c r="L5" s="189"/>
      <c r="M5" s="189"/>
      <c r="N5" s="190"/>
      <c r="P5" s="163">
        <v>44245</v>
      </c>
      <c r="Q5" s="164"/>
      <c r="R5" s="164"/>
      <c r="S5" s="165"/>
    </row>
    <row r="6" spans="1:64" x14ac:dyDescent="0.3">
      <c r="A6" s="25"/>
      <c r="B6" s="79" t="s">
        <v>23</v>
      </c>
      <c r="C6" s="79" t="s">
        <v>1</v>
      </c>
      <c r="D6" s="24" t="s">
        <v>0</v>
      </c>
      <c r="F6" s="104" t="s">
        <v>1</v>
      </c>
      <c r="G6" s="105" t="s">
        <v>0</v>
      </c>
      <c r="I6" s="177" t="s">
        <v>1</v>
      </c>
      <c r="J6" s="181"/>
      <c r="K6" s="191"/>
      <c r="L6" s="192" t="s">
        <v>0</v>
      </c>
      <c r="M6" s="181"/>
      <c r="N6" s="182"/>
      <c r="P6" s="16" t="s">
        <v>1</v>
      </c>
      <c r="Q6" s="6" t="s">
        <v>20</v>
      </c>
      <c r="R6" s="10" t="s">
        <v>0</v>
      </c>
      <c r="S6" s="17" t="s">
        <v>19</v>
      </c>
    </row>
    <row r="7" spans="1:64" ht="15" thickBot="1" x14ac:dyDescent="0.35">
      <c r="A7" s="23" t="s">
        <v>25</v>
      </c>
      <c r="B7" s="79" t="s">
        <v>24</v>
      </c>
      <c r="C7" s="79"/>
      <c r="D7" s="24"/>
      <c r="F7" s="103"/>
      <c r="G7" s="26"/>
      <c r="I7" s="38" t="s">
        <v>33</v>
      </c>
      <c r="J7" s="39" t="s">
        <v>20</v>
      </c>
      <c r="K7" s="39" t="s">
        <v>21</v>
      </c>
      <c r="L7" s="41" t="s">
        <v>33</v>
      </c>
      <c r="M7" s="39" t="s">
        <v>19</v>
      </c>
      <c r="N7" s="40" t="s">
        <v>21</v>
      </c>
      <c r="P7" s="18"/>
      <c r="Q7" s="7"/>
      <c r="R7" s="11"/>
      <c r="S7" s="20"/>
    </row>
    <row r="8" spans="1:64" ht="16.2" thickBot="1" x14ac:dyDescent="0.35">
      <c r="A8" s="171" t="s">
        <v>14</v>
      </c>
      <c r="B8" s="30" t="s">
        <v>15</v>
      </c>
      <c r="C8" s="31">
        <v>26187</v>
      </c>
      <c r="D8" s="97">
        <v>6831</v>
      </c>
      <c r="F8" s="103">
        <f t="shared" ref="F8:F13" si="0">C8/(C8+D8)</f>
        <v>0.79311284753770672</v>
      </c>
      <c r="G8" s="28">
        <f t="shared" ref="G8:G13" si="1">D8/(D8+C8)</f>
        <v>0.20688715246229331</v>
      </c>
      <c r="I8" s="32">
        <v>26040</v>
      </c>
      <c r="J8" s="70">
        <f>IFERROR(I8/C8, 0)</f>
        <v>0.99438652766639934</v>
      </c>
      <c r="K8" s="35" t="s">
        <v>27</v>
      </c>
      <c r="L8" s="31">
        <f>6700+18</f>
        <v>6718</v>
      </c>
      <c r="M8" s="70">
        <f>IFERROR(L8/D8, 0)</f>
        <v>0.98345776606646174</v>
      </c>
      <c r="N8" s="33" t="s">
        <v>27</v>
      </c>
      <c r="P8" s="32">
        <f>2955</f>
        <v>2955</v>
      </c>
      <c r="Q8" s="35">
        <f>P8/C8</f>
        <v>0.11284224997135983</v>
      </c>
      <c r="R8" s="31">
        <f>462+0</f>
        <v>462</v>
      </c>
      <c r="S8" s="33">
        <f>R8/D8</f>
        <v>6.7632850241545889E-2</v>
      </c>
    </row>
    <row r="9" spans="1:64" ht="16.8" thickTop="1" thickBot="1" x14ac:dyDescent="0.35">
      <c r="A9" s="193"/>
      <c r="B9" s="68" t="s">
        <v>31</v>
      </c>
      <c r="C9" s="63">
        <v>26683</v>
      </c>
      <c r="D9" s="100">
        <v>10481</v>
      </c>
      <c r="F9" s="103">
        <f t="shared" si="0"/>
        <v>0.71797976536433106</v>
      </c>
      <c r="G9" s="28">
        <f t="shared" si="1"/>
        <v>0.28202023463566894</v>
      </c>
      <c r="I9" s="61">
        <f>26448+0</f>
        <v>26448</v>
      </c>
      <c r="J9" s="70">
        <f>IFERROR(I9/C9, 0)</f>
        <v>0.99119289435220925</v>
      </c>
      <c r="K9" s="62" t="s">
        <v>27</v>
      </c>
      <c r="L9" s="63">
        <f>10254+30</f>
        <v>10284</v>
      </c>
      <c r="M9" s="70">
        <f>IFERROR(L9/D9, 0)</f>
        <v>0.98120408357981104</v>
      </c>
      <c r="N9" s="62" t="s">
        <v>27</v>
      </c>
      <c r="P9" s="61"/>
      <c r="Q9" s="62"/>
      <c r="R9" s="63"/>
      <c r="S9" s="64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</row>
    <row r="10" spans="1:64" ht="15" thickTop="1" x14ac:dyDescent="0.3">
      <c r="A10" s="171" t="s">
        <v>16</v>
      </c>
      <c r="B10" s="30" t="s">
        <v>17</v>
      </c>
      <c r="C10" s="31"/>
      <c r="D10" s="97">
        <v>5337</v>
      </c>
      <c r="F10" s="103">
        <f t="shared" si="0"/>
        <v>0</v>
      </c>
      <c r="G10" s="28">
        <f t="shared" si="1"/>
        <v>1</v>
      </c>
      <c r="I10" s="32"/>
      <c r="J10" s="35"/>
      <c r="K10" s="35"/>
      <c r="L10" s="31">
        <f>5159+37</f>
        <v>5196</v>
      </c>
      <c r="M10" s="35">
        <f>L10/D10</f>
        <v>0.9735806632939854</v>
      </c>
      <c r="N10" s="33" t="s">
        <v>27</v>
      </c>
      <c r="P10" s="32"/>
      <c r="Q10" s="35"/>
      <c r="R10" s="31"/>
      <c r="S10" s="33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</row>
    <row r="11" spans="1:64" x14ac:dyDescent="0.3">
      <c r="A11" s="172"/>
      <c r="B11" s="54" t="s">
        <v>18</v>
      </c>
      <c r="C11" s="55"/>
      <c r="D11" s="101">
        <v>17512</v>
      </c>
      <c r="F11" s="103">
        <f t="shared" si="0"/>
        <v>0</v>
      </c>
      <c r="G11" s="28">
        <f t="shared" si="1"/>
        <v>1</v>
      </c>
      <c r="I11" s="61"/>
      <c r="J11" s="62"/>
      <c r="K11" s="62"/>
      <c r="L11" s="63">
        <f>17034+51</f>
        <v>17085</v>
      </c>
      <c r="M11" s="35">
        <f>L11/D11</f>
        <v>0.97561671996345367</v>
      </c>
      <c r="N11" s="64" t="s">
        <v>27</v>
      </c>
      <c r="P11" s="56"/>
      <c r="Q11" s="59"/>
      <c r="R11" s="55"/>
      <c r="S11" s="62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</row>
    <row r="12" spans="1:64" ht="15" thickBot="1" x14ac:dyDescent="0.35">
      <c r="A12" s="173"/>
      <c r="B12" s="75" t="s">
        <v>26</v>
      </c>
      <c r="C12" s="75"/>
      <c r="D12" s="102">
        <v>25651</v>
      </c>
      <c r="F12" s="107">
        <f>IFERROR(C12/(C12+D12),0)</f>
        <v>0</v>
      </c>
      <c r="G12" s="52">
        <f>IFERROR(D12/(D12+C12),0)</f>
        <v>1</v>
      </c>
      <c r="I12" s="50"/>
      <c r="J12" s="49"/>
      <c r="K12" s="51"/>
      <c r="L12" s="53">
        <f>24679+47</f>
        <v>24726</v>
      </c>
      <c r="M12" s="35">
        <f>IFERROR(L12/D12,0)</f>
        <v>0.9639390277182176</v>
      </c>
      <c r="N12" s="45" t="s">
        <v>27</v>
      </c>
      <c r="P12" s="44"/>
      <c r="Q12" s="49"/>
      <c r="R12" s="53"/>
      <c r="S12" s="51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</row>
    <row r="13" spans="1:64" ht="16.2" thickBot="1" x14ac:dyDescent="0.35">
      <c r="A13" s="42" t="s">
        <v>32</v>
      </c>
      <c r="B13" s="43"/>
      <c r="C13" s="42">
        <f>SUM(C8:C12)</f>
        <v>52870</v>
      </c>
      <c r="D13" s="42">
        <f>SUM(D8:D12)</f>
        <v>65812</v>
      </c>
      <c r="F13" s="70">
        <f t="shared" si="0"/>
        <v>0.44547614634064137</v>
      </c>
      <c r="G13" s="70">
        <f t="shared" si="1"/>
        <v>0.55452385365935863</v>
      </c>
      <c r="I13" s="42">
        <f>SUM(I8:I12)</f>
        <v>52488</v>
      </c>
      <c r="J13" s="70">
        <f>I13/C13</f>
        <v>0.99277473047096654</v>
      </c>
      <c r="K13" s="43"/>
      <c r="L13" s="42">
        <f>SUM(L8:L12)</f>
        <v>64009</v>
      </c>
      <c r="M13" s="70">
        <f>L13/D13</f>
        <v>0.97260378046556861</v>
      </c>
      <c r="N13" s="43"/>
      <c r="P13" s="42">
        <f>SUM(P7:P12)</f>
        <v>2955</v>
      </c>
      <c r="Q13" s="9">
        <f>IFERROR(P13/C13, 0)</f>
        <v>5.5891810100245888E-2</v>
      </c>
      <c r="R13" s="42">
        <f>SUM(R7:R12)</f>
        <v>462</v>
      </c>
      <c r="S13" s="9">
        <f>IFERROR(R13/D13, 0)</f>
        <v>7.0199963532486479E-3</v>
      </c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</row>
    <row r="14" spans="1:64" ht="15" thickTop="1" x14ac:dyDescent="0.3"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</row>
    <row r="15" spans="1:64" ht="18.600000000000001" thickBot="1" x14ac:dyDescent="0.4">
      <c r="A15" s="77" t="s">
        <v>36</v>
      </c>
      <c r="I15" s="118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</row>
    <row r="16" spans="1:64" x14ac:dyDescent="0.3">
      <c r="A16" s="2"/>
      <c r="B16" s="8" t="s">
        <v>22</v>
      </c>
      <c r="C16" s="163">
        <v>44235</v>
      </c>
      <c r="D16" s="164"/>
      <c r="E16" s="164"/>
      <c r="F16" s="165"/>
      <c r="G16" s="163">
        <v>44236</v>
      </c>
      <c r="H16" s="164"/>
      <c r="I16" s="164"/>
      <c r="J16" s="165"/>
      <c r="K16" s="197">
        <v>44237</v>
      </c>
      <c r="L16" s="164"/>
      <c r="M16" s="164"/>
      <c r="N16" s="165"/>
      <c r="O16" s="163">
        <v>44238</v>
      </c>
      <c r="P16" s="164"/>
      <c r="Q16" s="164"/>
      <c r="R16" s="165"/>
      <c r="S16" s="163">
        <v>44239</v>
      </c>
      <c r="T16" s="164"/>
      <c r="U16" s="164"/>
      <c r="V16" s="165"/>
      <c r="W16" s="163">
        <v>44242</v>
      </c>
      <c r="X16" s="164"/>
      <c r="Y16" s="164"/>
      <c r="Z16" s="198"/>
      <c r="AA16" s="163">
        <v>44243</v>
      </c>
      <c r="AB16" s="164"/>
      <c r="AC16" s="164"/>
      <c r="AD16" s="165"/>
      <c r="AE16" s="163">
        <v>44244</v>
      </c>
      <c r="AF16" s="164"/>
      <c r="AG16" s="164"/>
      <c r="AH16" s="165"/>
      <c r="AI16" s="163">
        <v>44245</v>
      </c>
      <c r="AJ16" s="164"/>
      <c r="AK16" s="164"/>
      <c r="AL16" s="165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56"/>
      <c r="BD16" s="156"/>
      <c r="BE16" s="119"/>
      <c r="BF16" s="119"/>
      <c r="BG16" s="119"/>
      <c r="BH16" s="119"/>
      <c r="BI16" s="119"/>
      <c r="BJ16" s="119"/>
      <c r="BK16" s="119"/>
      <c r="BL16" s="119"/>
    </row>
    <row r="17" spans="1:67" x14ac:dyDescent="0.3">
      <c r="A17" s="2"/>
      <c r="B17" s="8" t="s">
        <v>23</v>
      </c>
      <c r="C17" s="16" t="s">
        <v>1</v>
      </c>
      <c r="D17" s="6" t="s">
        <v>20</v>
      </c>
      <c r="E17" s="10" t="s">
        <v>0</v>
      </c>
      <c r="F17" s="17" t="s">
        <v>19</v>
      </c>
      <c r="G17" s="16" t="s">
        <v>1</v>
      </c>
      <c r="H17" s="6" t="s">
        <v>20</v>
      </c>
      <c r="I17" s="10" t="s">
        <v>0</v>
      </c>
      <c r="J17" s="17" t="s">
        <v>19</v>
      </c>
      <c r="K17" s="108" t="s">
        <v>1</v>
      </c>
      <c r="L17" s="6" t="s">
        <v>20</v>
      </c>
      <c r="M17" s="10" t="s">
        <v>0</v>
      </c>
      <c r="N17" s="17" t="s">
        <v>19</v>
      </c>
      <c r="O17" s="16" t="s">
        <v>1</v>
      </c>
      <c r="P17" s="6" t="s">
        <v>20</v>
      </c>
      <c r="Q17" s="10" t="s">
        <v>0</v>
      </c>
      <c r="R17" s="17" t="s">
        <v>19</v>
      </c>
      <c r="S17" s="16" t="s">
        <v>1</v>
      </c>
      <c r="T17" s="6" t="s">
        <v>20</v>
      </c>
      <c r="U17" s="10" t="s">
        <v>0</v>
      </c>
      <c r="V17" s="17" t="s">
        <v>19</v>
      </c>
      <c r="W17" s="16" t="s">
        <v>1</v>
      </c>
      <c r="X17" s="6" t="s">
        <v>20</v>
      </c>
      <c r="Y17" s="10" t="s">
        <v>0</v>
      </c>
      <c r="Z17" s="144" t="s">
        <v>19</v>
      </c>
      <c r="AA17" s="16" t="s">
        <v>1</v>
      </c>
      <c r="AB17" s="6" t="s">
        <v>20</v>
      </c>
      <c r="AC17" s="10" t="s">
        <v>0</v>
      </c>
      <c r="AD17" s="17" t="s">
        <v>19</v>
      </c>
      <c r="AE17" s="16" t="s">
        <v>1</v>
      </c>
      <c r="AF17" s="6" t="s">
        <v>20</v>
      </c>
      <c r="AG17" s="10" t="s">
        <v>0</v>
      </c>
      <c r="AH17" s="17" t="s">
        <v>19</v>
      </c>
      <c r="AI17" s="16" t="s">
        <v>1</v>
      </c>
      <c r="AJ17" s="6" t="s">
        <v>20</v>
      </c>
      <c r="AK17" s="10" t="s">
        <v>0</v>
      </c>
      <c r="AL17" s="17" t="s">
        <v>19</v>
      </c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57"/>
      <c r="BD17" s="157"/>
    </row>
    <row r="18" spans="1:67" x14ac:dyDescent="0.3">
      <c r="A18" s="79" t="s">
        <v>25</v>
      </c>
      <c r="B18" s="8" t="s">
        <v>24</v>
      </c>
      <c r="C18" s="18"/>
      <c r="D18" s="7"/>
      <c r="E18" s="11"/>
      <c r="F18" s="20"/>
      <c r="G18" s="18"/>
      <c r="H18" s="7"/>
      <c r="I18" s="11"/>
      <c r="J18" s="20"/>
      <c r="K18" s="15"/>
      <c r="L18" s="7"/>
      <c r="M18" s="11"/>
      <c r="N18" s="20"/>
      <c r="O18" s="18"/>
      <c r="P18" s="7"/>
      <c r="Q18" s="11"/>
      <c r="R18" s="20"/>
      <c r="S18" s="18"/>
      <c r="T18" s="7"/>
      <c r="U18" s="11"/>
      <c r="V18" s="20"/>
      <c r="W18" s="18"/>
      <c r="X18" s="7"/>
      <c r="Y18" s="11"/>
      <c r="Z18" s="21"/>
      <c r="AA18" s="18"/>
      <c r="AB18" s="7"/>
      <c r="AC18" s="11"/>
      <c r="AD18" s="20"/>
      <c r="AE18" s="18"/>
      <c r="AF18" s="7"/>
      <c r="AG18" s="11"/>
      <c r="AH18" s="20"/>
      <c r="AI18" s="18"/>
      <c r="AJ18" s="7"/>
      <c r="AK18" s="11"/>
      <c r="AL18" s="20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57"/>
      <c r="BD18" s="157"/>
    </row>
    <row r="19" spans="1:67" s="67" customFormat="1" x14ac:dyDescent="0.3">
      <c r="A19" s="194" t="s">
        <v>14</v>
      </c>
      <c r="B19" s="145" t="s">
        <v>15</v>
      </c>
      <c r="C19" s="32"/>
      <c r="D19" s="35"/>
      <c r="E19" s="31"/>
      <c r="F19" s="33"/>
      <c r="G19" s="32"/>
      <c r="H19" s="35"/>
      <c r="I19" s="31"/>
      <c r="J19" s="33"/>
      <c r="K19" s="34"/>
      <c r="L19" s="35"/>
      <c r="M19" s="31"/>
      <c r="N19" s="33"/>
      <c r="O19" s="32"/>
      <c r="P19" s="35"/>
      <c r="Q19" s="31"/>
      <c r="R19" s="33"/>
      <c r="S19" s="32"/>
      <c r="T19" s="35"/>
      <c r="U19" s="31"/>
      <c r="V19" s="33"/>
      <c r="W19" s="32">
        <f>7393+0</f>
        <v>7393</v>
      </c>
      <c r="X19" s="35">
        <f>W19/C8</f>
        <v>0.28231565280482684</v>
      </c>
      <c r="Y19" s="31">
        <f>2178+12</f>
        <v>2190</v>
      </c>
      <c r="Z19" s="36">
        <f>Y19/D8</f>
        <v>0.32059727711901626</v>
      </c>
      <c r="AA19" s="32">
        <f>6987+0</f>
        <v>6987</v>
      </c>
      <c r="AB19" s="35">
        <f>AA19/C8</f>
        <v>0.26681177683583457</v>
      </c>
      <c r="AC19" s="31">
        <f>1427+2</f>
        <v>1429</v>
      </c>
      <c r="AD19" s="33">
        <f>AC19/D8</f>
        <v>0.20919338310642657</v>
      </c>
      <c r="AE19" s="32">
        <f>8705+0</f>
        <v>8705</v>
      </c>
      <c r="AF19" s="35">
        <f>AE19/C8</f>
        <v>0.3324168480543781</v>
      </c>
      <c r="AG19" s="31">
        <f>2633+4</f>
        <v>2637</v>
      </c>
      <c r="AH19" s="33">
        <f>AG19/D8</f>
        <v>0.38603425559947296</v>
      </c>
      <c r="AI19" s="32">
        <f>2955</f>
        <v>2955</v>
      </c>
      <c r="AJ19" s="35">
        <f>AI19/C8</f>
        <v>0.11284224997135983</v>
      </c>
      <c r="AK19" s="31">
        <f>462+0</f>
        <v>462</v>
      </c>
      <c r="AL19" s="33">
        <f>AK19/D8</f>
        <v>6.7632850241545889E-2</v>
      </c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57"/>
      <c r="BD19" s="157"/>
      <c r="BE19"/>
      <c r="BF19"/>
      <c r="BG19"/>
      <c r="BH19"/>
      <c r="BI19"/>
      <c r="BJ19"/>
      <c r="BK19"/>
      <c r="BL19"/>
      <c r="BM19"/>
      <c r="BN19"/>
      <c r="BO19"/>
    </row>
    <row r="20" spans="1:67" s="67" customFormat="1" x14ac:dyDescent="0.3">
      <c r="A20" s="196"/>
      <c r="B20" s="146" t="s">
        <v>31</v>
      </c>
      <c r="C20" s="61">
        <f>6440+0</f>
        <v>6440</v>
      </c>
      <c r="D20" s="62">
        <f>C20/C9</f>
        <v>0.24135217179477569</v>
      </c>
      <c r="E20" s="63">
        <f>2955+15</f>
        <v>2970</v>
      </c>
      <c r="F20" s="64">
        <f>E20/D9</f>
        <v>0.28336990745157903</v>
      </c>
      <c r="G20" s="61">
        <f>9330+0</f>
        <v>9330</v>
      </c>
      <c r="H20" s="62">
        <f>G20/C9</f>
        <v>0.3496608327399468</v>
      </c>
      <c r="I20" s="63">
        <f>3554+2</f>
        <v>3556</v>
      </c>
      <c r="J20" s="64">
        <f>I20/D9</f>
        <v>0.33928060299589735</v>
      </c>
      <c r="K20" s="66">
        <f>7236+0</f>
        <v>7236</v>
      </c>
      <c r="L20" s="62">
        <f>K20/C9</f>
        <v>0.27118389986133495</v>
      </c>
      <c r="M20" s="63">
        <f>2733+1</f>
        <v>2734</v>
      </c>
      <c r="N20" s="64">
        <f>M20/D9</f>
        <v>0.26085297204465224</v>
      </c>
      <c r="O20" s="61">
        <f>3442+0</f>
        <v>3442</v>
      </c>
      <c r="P20" s="62">
        <f>O20/C9</f>
        <v>0.12899598995615186</v>
      </c>
      <c r="Q20" s="63">
        <f>1012+12</f>
        <v>1024</v>
      </c>
      <c r="R20" s="64">
        <f>Q20/D9</f>
        <v>9.770060108768247E-2</v>
      </c>
      <c r="S20" s="61"/>
      <c r="T20" s="62"/>
      <c r="U20" s="63"/>
      <c r="V20" s="64"/>
      <c r="W20" s="61"/>
      <c r="X20" s="62"/>
      <c r="Y20" s="63"/>
      <c r="Z20" s="65"/>
      <c r="AA20" s="61"/>
      <c r="AB20" s="62"/>
      <c r="AC20" s="63"/>
      <c r="AD20" s="64"/>
      <c r="AE20" s="61"/>
      <c r="AF20" s="62"/>
      <c r="AG20" s="63"/>
      <c r="AH20" s="64"/>
      <c r="AI20" s="61"/>
      <c r="AJ20" s="62"/>
      <c r="AK20" s="63"/>
      <c r="AL20" s="64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57"/>
      <c r="BD20" s="157"/>
      <c r="BE20"/>
      <c r="BF20"/>
      <c r="BG20"/>
      <c r="BH20"/>
      <c r="BI20"/>
      <c r="BJ20"/>
      <c r="BK20"/>
      <c r="BL20"/>
      <c r="BM20"/>
      <c r="BN20"/>
      <c r="BO20"/>
    </row>
    <row r="21" spans="1:67" s="67" customFormat="1" x14ac:dyDescent="0.3">
      <c r="A21" s="194" t="s">
        <v>16</v>
      </c>
      <c r="B21" s="145" t="s">
        <v>17</v>
      </c>
      <c r="C21" s="32"/>
      <c r="D21" s="35"/>
      <c r="E21" s="31">
        <f>2732+21</f>
        <v>2753</v>
      </c>
      <c r="F21" s="33">
        <f>E21/D10</f>
        <v>0.51583286490537761</v>
      </c>
      <c r="G21" s="32"/>
      <c r="H21" s="35"/>
      <c r="I21" s="153">
        <f>2427+16</f>
        <v>2443</v>
      </c>
      <c r="J21" s="154">
        <f>I21/D10</f>
        <v>0.45774779838860785</v>
      </c>
      <c r="K21" s="34"/>
      <c r="L21" s="35"/>
      <c r="M21" s="31"/>
      <c r="N21" s="33"/>
      <c r="O21" s="32"/>
      <c r="P21" s="35"/>
      <c r="Q21" s="31"/>
      <c r="R21" s="33"/>
      <c r="S21" s="32"/>
      <c r="T21" s="35"/>
      <c r="U21" s="31"/>
      <c r="V21" s="33"/>
      <c r="W21" s="32"/>
      <c r="X21" s="35"/>
      <c r="Y21" s="31"/>
      <c r="Z21" s="36"/>
      <c r="AA21" s="32"/>
      <c r="AB21" s="35"/>
      <c r="AC21" s="31"/>
      <c r="AD21" s="33"/>
      <c r="AE21" s="32"/>
      <c r="AF21" s="35"/>
      <c r="AG21" s="31"/>
      <c r="AH21" s="33"/>
      <c r="AI21" s="32"/>
      <c r="AJ21" s="35"/>
      <c r="AK21" s="31"/>
      <c r="AL21" s="33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57"/>
      <c r="BD21" s="157"/>
      <c r="BE21"/>
      <c r="BF21"/>
      <c r="BG21"/>
      <c r="BH21"/>
      <c r="BI21"/>
      <c r="BJ21"/>
      <c r="BK21"/>
      <c r="BL21"/>
      <c r="BM21"/>
      <c r="BN21"/>
      <c r="BO21"/>
    </row>
    <row r="22" spans="1:67" s="67" customFormat="1" x14ac:dyDescent="0.3">
      <c r="A22" s="195"/>
      <c r="B22" s="147" t="s">
        <v>18</v>
      </c>
      <c r="C22" s="56"/>
      <c r="D22" s="59"/>
      <c r="E22" s="55"/>
      <c r="F22" s="64"/>
      <c r="G22" s="56"/>
      <c r="H22" s="59"/>
      <c r="I22" s="55"/>
      <c r="J22" s="64"/>
      <c r="K22" s="58"/>
      <c r="L22" s="59"/>
      <c r="M22" s="55">
        <f>5321+8</f>
        <v>5329</v>
      </c>
      <c r="N22" s="62">
        <f>M22/D11</f>
        <v>0.30430561900411146</v>
      </c>
      <c r="O22" s="56"/>
      <c r="P22" s="59"/>
      <c r="Q22" s="55">
        <f>3630+14</f>
        <v>3644</v>
      </c>
      <c r="R22" s="62">
        <f>Q22/D11</f>
        <v>0.20808588396528094</v>
      </c>
      <c r="S22" s="56"/>
      <c r="T22" s="59"/>
      <c r="U22" s="55">
        <f>3162+4</f>
        <v>3166</v>
      </c>
      <c r="V22" s="62">
        <f>U22/D11</f>
        <v>0.18079031521242578</v>
      </c>
      <c r="W22" s="56"/>
      <c r="X22" s="59"/>
      <c r="Y22" s="55">
        <f>3054+15</f>
        <v>3069</v>
      </c>
      <c r="Z22" s="65">
        <f>Y22/D11</f>
        <v>0.17525125628140703</v>
      </c>
      <c r="AA22" s="56"/>
      <c r="AB22" s="59"/>
      <c r="AC22" s="55">
        <f>1867+10</f>
        <v>1877</v>
      </c>
      <c r="AD22" s="64">
        <f>AC22/D11</f>
        <v>0.10718364550022841</v>
      </c>
      <c r="AE22" s="56"/>
      <c r="AF22" s="59"/>
      <c r="AG22" s="55"/>
      <c r="AH22" s="64"/>
      <c r="AI22" s="56"/>
      <c r="AJ22" s="59"/>
      <c r="AK22" s="55"/>
      <c r="AL22" s="62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57"/>
      <c r="BD22" s="157"/>
      <c r="BE22"/>
      <c r="BF22"/>
      <c r="BG22"/>
      <c r="BH22"/>
      <c r="BI22"/>
      <c r="BJ22"/>
      <c r="BK22"/>
      <c r="BL22"/>
      <c r="BM22"/>
      <c r="BN22"/>
      <c r="BO22"/>
    </row>
    <row r="23" spans="1:67" s="67" customFormat="1" ht="15" thickBot="1" x14ac:dyDescent="0.35">
      <c r="A23" s="196"/>
      <c r="B23" s="145" t="s">
        <v>26</v>
      </c>
      <c r="C23" s="44"/>
      <c r="D23" s="49"/>
      <c r="E23" s="53">
        <f>3617+0</f>
        <v>3617</v>
      </c>
      <c r="F23" s="52">
        <f>E23/D12</f>
        <v>0.14100814783049395</v>
      </c>
      <c r="G23" s="44"/>
      <c r="H23" s="49"/>
      <c r="I23" s="53">
        <f>4335+2</f>
        <v>4337</v>
      </c>
      <c r="J23" s="52">
        <f>I23/D12</f>
        <v>0.16907722895793537</v>
      </c>
      <c r="K23" s="148"/>
      <c r="L23" s="49"/>
      <c r="M23" s="53">
        <f>4629+7</f>
        <v>4636</v>
      </c>
      <c r="N23" s="51">
        <f>M23/D12</f>
        <v>0.18073369459280339</v>
      </c>
      <c r="O23" s="44"/>
      <c r="P23" s="49"/>
      <c r="Q23" s="53">
        <f>4473+0</f>
        <v>4473</v>
      </c>
      <c r="R23" s="51">
        <f>Q23/D12</f>
        <v>0.17437916650422985</v>
      </c>
      <c r="S23" s="44"/>
      <c r="T23" s="49"/>
      <c r="U23" s="53">
        <f>2905+21</f>
        <v>2926</v>
      </c>
      <c r="V23" s="51">
        <f>U23/D12</f>
        <v>0.11406962691513002</v>
      </c>
      <c r="W23" s="44"/>
      <c r="X23" s="49"/>
      <c r="Y23" s="53">
        <f>3558+9</f>
        <v>3567</v>
      </c>
      <c r="Z23" s="155">
        <f>Y23/D12</f>
        <v>0.13905890608553273</v>
      </c>
      <c r="AA23" s="44"/>
      <c r="AB23" s="49"/>
      <c r="AC23" s="53">
        <f>1162+8</f>
        <v>1170</v>
      </c>
      <c r="AD23" s="52">
        <f>AC23/D12</f>
        <v>4.5612256832092316E-2</v>
      </c>
      <c r="AE23" s="44"/>
      <c r="AF23" s="49"/>
      <c r="AG23" s="53"/>
      <c r="AH23" s="52"/>
      <c r="AI23" s="44"/>
      <c r="AJ23" s="49"/>
      <c r="AK23" s="53"/>
      <c r="AL23" s="51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57"/>
      <c r="BD23" s="157"/>
      <c r="BE23"/>
      <c r="BF23"/>
      <c r="BG23"/>
      <c r="BH23"/>
      <c r="BI23"/>
      <c r="BJ23"/>
      <c r="BK23"/>
      <c r="BL23"/>
      <c r="BM23"/>
      <c r="BN23"/>
      <c r="BO23"/>
    </row>
    <row r="24" spans="1:67" ht="16.2" thickBot="1" x14ac:dyDescent="0.35">
      <c r="A24" s="42" t="s">
        <v>32</v>
      </c>
      <c r="B24" s="43"/>
      <c r="C24" s="149">
        <f>SUM(C18:C23)</f>
        <v>6440</v>
      </c>
      <c r="D24" s="150">
        <f>C24/C13</f>
        <v>0.12180820881407226</v>
      </c>
      <c r="E24" s="151">
        <f>SUM(E18:E23)</f>
        <v>9340</v>
      </c>
      <c r="F24" s="152">
        <f>E24/D13</f>
        <v>0.14191940679511336</v>
      </c>
      <c r="G24" s="149">
        <f>SUM(G18:G23)</f>
        <v>9330</v>
      </c>
      <c r="H24" s="150">
        <f>G24/C13</f>
        <v>0.17647058823529413</v>
      </c>
      <c r="I24" s="151">
        <f>SUM(I18:I23)</f>
        <v>10336</v>
      </c>
      <c r="J24" s="152">
        <f>I24/D13</f>
        <v>0.15705342490731172</v>
      </c>
      <c r="K24" s="42">
        <f>SUM(K18:K23)</f>
        <v>7236</v>
      </c>
      <c r="L24" s="9">
        <f>K24/C13</f>
        <v>0.13686400605258181</v>
      </c>
      <c r="M24" s="42">
        <f>SUM(M18:M23)</f>
        <v>12699</v>
      </c>
      <c r="N24" s="9">
        <f>M24/D13</f>
        <v>0.1929587309305294</v>
      </c>
      <c r="O24" s="42">
        <v>7168</v>
      </c>
      <c r="P24" s="9">
        <v>0.13698211282678491</v>
      </c>
      <c r="Q24" s="42">
        <v>5733</v>
      </c>
      <c r="R24" s="9">
        <v>8.8246159529600104E-2</v>
      </c>
      <c r="S24" s="42">
        <f>SUM(S18:S23)</f>
        <v>0</v>
      </c>
      <c r="T24" s="9">
        <f>S24/C13</f>
        <v>0</v>
      </c>
      <c r="U24" s="42">
        <f>SUM(U18:U23)</f>
        <v>6092</v>
      </c>
      <c r="V24" s="9">
        <f>U24/D13</f>
        <v>9.2566705160153168E-2</v>
      </c>
      <c r="W24" s="42">
        <f>SUM(W18:W23)</f>
        <v>7393</v>
      </c>
      <c r="X24" s="9">
        <f>W24/C13</f>
        <v>0.13983355400037828</v>
      </c>
      <c r="Y24" s="42">
        <f>SUM(Y19:Y23)</f>
        <v>8826</v>
      </c>
      <c r="Z24" s="21">
        <f>Y24/D13</f>
        <v>0.13410928098219169</v>
      </c>
      <c r="AA24" s="149">
        <f>SUM(AA19:AA23)</f>
        <v>6987</v>
      </c>
      <c r="AB24" s="150">
        <f>AA24/C13</f>
        <v>0.13215434083601285</v>
      </c>
      <c r="AC24" s="151">
        <f>SUM(AC19:AC23)</f>
        <v>4476</v>
      </c>
      <c r="AD24" s="152">
        <f>AC24/D13</f>
        <v>6.8011912721084297E-2</v>
      </c>
      <c r="AE24" s="149">
        <f>SUM(AE19:AE23)</f>
        <v>8705</v>
      </c>
      <c r="AF24" s="150">
        <f>AE24/C13</f>
        <v>0.16464913939852469</v>
      </c>
      <c r="AG24" s="151">
        <f>SUM(AG19:AG23)</f>
        <v>2637</v>
      </c>
      <c r="AH24" s="152">
        <f>AG24/D13</f>
        <v>4.0068680483802348E-2</v>
      </c>
      <c r="AI24" s="42">
        <f>SUM(AI18:AI23)</f>
        <v>2955</v>
      </c>
      <c r="AJ24" s="9">
        <f>IFERROR(AI24/C13, 0)</f>
        <v>5.5891810100245888E-2</v>
      </c>
      <c r="AK24" s="42">
        <f>SUM(AK18:AK23)</f>
        <v>462</v>
      </c>
      <c r="AL24" s="9">
        <f>IFERROR(AK24/W24, 0)</f>
        <v>6.2491546057081022E-2</v>
      </c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57"/>
      <c r="BD24" s="157"/>
    </row>
    <row r="25" spans="1:67" ht="15" thickTop="1" x14ac:dyDescent="0.3">
      <c r="AE25" s="157"/>
      <c r="AF25" s="157"/>
      <c r="AG25" s="157"/>
      <c r="AH25" s="157"/>
      <c r="AI25" s="156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57"/>
      <c r="BD25" s="157"/>
    </row>
    <row r="26" spans="1:67" x14ac:dyDescent="0.3"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57"/>
      <c r="BD26" s="157"/>
    </row>
    <row r="27" spans="1:67" x14ac:dyDescent="0.3"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57"/>
      <c r="BD27" s="157"/>
    </row>
    <row r="28" spans="1:67" x14ac:dyDescent="0.3"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</row>
    <row r="29" spans="1:67" x14ac:dyDescent="0.3"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</row>
    <row r="30" spans="1:67" x14ac:dyDescent="0.3"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</row>
    <row r="31" spans="1:67" x14ac:dyDescent="0.3"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</row>
  </sheetData>
  <mergeCells count="19">
    <mergeCell ref="AI16:AL16"/>
    <mergeCell ref="AA16:AD16"/>
    <mergeCell ref="A21:A23"/>
    <mergeCell ref="C16:F16"/>
    <mergeCell ref="G16:J16"/>
    <mergeCell ref="AE16:AH16"/>
    <mergeCell ref="A19:A20"/>
    <mergeCell ref="K16:N16"/>
    <mergeCell ref="O16:R16"/>
    <mergeCell ref="S16:V16"/>
    <mergeCell ref="W16:Z16"/>
    <mergeCell ref="P5:S5"/>
    <mergeCell ref="I6:K6"/>
    <mergeCell ref="L6:N6"/>
    <mergeCell ref="A8:A9"/>
    <mergeCell ref="A10:A12"/>
    <mergeCell ref="C5:D5"/>
    <mergeCell ref="F5:G5"/>
    <mergeCell ref="I5:N5"/>
  </mergeCells>
  <conditionalFormatting sqref="M10:M11 M13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{A3837523-034F-4E49-960D-6597AAB72405}</x14:id>
        </ext>
      </extLst>
    </cfRule>
  </conditionalFormatting>
  <conditionalFormatting sqref="J13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{E44BA9C8-3B72-4363-B432-83E2529C051F}</x14:id>
        </ext>
      </extLst>
    </cfRule>
  </conditionalFormatting>
  <conditionalFormatting sqref="Q13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{89324192-B42D-4072-91DE-B5718C735446}</x14:id>
        </ext>
      </extLst>
    </cfRule>
  </conditionalFormatting>
  <conditionalFormatting sqref="Q13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{FAB41B83-3E75-4B7B-A353-D98A2C76B2BA}</x14:id>
        </ext>
      </extLst>
    </cfRule>
  </conditionalFormatting>
  <conditionalFormatting sqref="S13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{D030DC5F-3082-4942-933A-B94560C5AF57}</x14:id>
        </ext>
      </extLst>
    </cfRule>
  </conditionalFormatting>
  <conditionalFormatting sqref="S13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{3C6891AF-6249-419F-9ED1-C8E70CD506C6}</x14:id>
        </ext>
      </extLst>
    </cfRule>
  </conditionalFormatting>
  <conditionalFormatting sqref="BD2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{0A095061-77E4-4168-836F-35EFDC463F0D}</x14:id>
        </ext>
      </extLst>
    </cfRule>
  </conditionalFormatting>
  <conditionalFormatting sqref="BD24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{37122D64-97C3-44B6-8718-C90EFABD1C63}</x14:id>
        </ext>
      </extLst>
    </cfRule>
  </conditionalFormatting>
  <conditionalFormatting sqref="BF24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{CA4181B3-35B2-41FE-A0C2-75D097AB3723}</x14:id>
        </ext>
      </extLst>
    </cfRule>
  </conditionalFormatting>
  <conditionalFormatting sqref="BF24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{AC8F92FD-B4A8-4688-8911-C28B1ABCC18F}</x14:id>
        </ext>
      </extLst>
    </cfRule>
  </conditionalFormatting>
  <conditionalFormatting sqref="BH24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{61E7E2E6-17DE-466B-96FE-CA5F65C7F5FB}</x14:id>
        </ext>
      </extLst>
    </cfRule>
  </conditionalFormatting>
  <conditionalFormatting sqref="BH24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{F470B072-963A-43A2-97BA-3BBFE03B2E05}</x14:id>
        </ext>
      </extLst>
    </cfRule>
  </conditionalFormatting>
  <conditionalFormatting sqref="BJ24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{7D06DB65-77A6-4449-A1C4-7B935F2F2D5A}</x14:id>
        </ext>
      </extLst>
    </cfRule>
  </conditionalFormatting>
  <conditionalFormatting sqref="BJ24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{B863FCC0-8816-4168-97CC-F598BBF4B705}</x14:id>
        </ext>
      </extLst>
    </cfRule>
  </conditionalFormatting>
  <conditionalFormatting sqref="BL24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{F6C916C9-FE97-4282-A816-F6F3550AA032}</x14:id>
        </ext>
      </extLst>
    </cfRule>
  </conditionalFormatting>
  <conditionalFormatting sqref="BL24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{FCB5B27B-9148-4EDC-B7F7-8CC5A2E3E8B3}</x14:id>
        </ext>
      </extLst>
    </cfRule>
  </conditionalFormatting>
  <conditionalFormatting sqref="M1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{13A2A5BC-6860-407F-94C9-9448A46D66A1}</x14:id>
        </ext>
      </extLst>
    </cfRule>
  </conditionalFormatting>
  <conditionalFormatting sqref="L24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{5C62F946-9EC3-443C-868B-20A8806100D3}</x14:id>
        </ext>
      </extLst>
    </cfRule>
  </conditionalFormatting>
  <conditionalFormatting sqref="L24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{A891A5A6-FFBA-4AD0-864A-DD6FF0E4BA95}</x14:id>
        </ext>
      </extLst>
    </cfRule>
  </conditionalFormatting>
  <conditionalFormatting sqref="N24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{973AF8AA-6CFE-488C-B235-2F85D5148DBD}</x14:id>
        </ext>
      </extLst>
    </cfRule>
  </conditionalFormatting>
  <conditionalFormatting sqref="N24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{A52838EA-70D4-46CE-8C9F-2B68D7CE9A83}</x14:id>
        </ext>
      </extLst>
    </cfRule>
  </conditionalFormatting>
  <conditionalFormatting sqref="P24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{988F6FB5-A764-4195-8AE3-21989BB4D4BD}</x14:id>
        </ext>
      </extLst>
    </cfRule>
  </conditionalFormatting>
  <conditionalFormatting sqref="P24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{69597D61-DC00-496C-9801-35C3835FFEBA}</x14:id>
        </ext>
      </extLst>
    </cfRule>
  </conditionalFormatting>
  <conditionalFormatting sqref="R24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{D037E957-5C4D-4DA2-A24C-7B20F3F05AD8}</x14:id>
        </ext>
      </extLst>
    </cfRule>
  </conditionalFormatting>
  <conditionalFormatting sqref="R24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{AB04481A-3DDC-4CEF-844A-50BD055A9430}</x14:id>
        </ext>
      </extLst>
    </cfRule>
  </conditionalFormatting>
  <conditionalFormatting sqref="T2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{41D83421-2193-4DD8-AE75-9444224B9E87}</x14:id>
        </ext>
      </extLst>
    </cfRule>
  </conditionalFormatting>
  <conditionalFormatting sqref="T24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{FE0E307A-B477-4C69-8316-28C3E9770E4F}</x14:id>
        </ext>
      </extLst>
    </cfRule>
  </conditionalFormatting>
  <conditionalFormatting sqref="V24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{4FC6CE9B-7DBB-409B-87BC-93009F020731}</x14:id>
        </ext>
      </extLst>
    </cfRule>
  </conditionalFormatting>
  <conditionalFormatting sqref="V24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{511FB64C-2447-4283-8BAF-A0E2CD49B61B}</x14:id>
        </ext>
      </extLst>
    </cfRule>
  </conditionalFormatting>
  <conditionalFormatting sqref="X2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{FA1921D7-EF7F-48D5-86B4-6DC25479CCEF}</x14:id>
        </ext>
      </extLst>
    </cfRule>
  </conditionalFormatting>
  <conditionalFormatting sqref="X24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{8863BF4B-47E8-4B53-9467-AF756CC90D53}</x14:id>
        </ext>
      </extLst>
    </cfRule>
  </conditionalFormatting>
  <conditionalFormatting sqref="Z24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{BC1D1D82-F769-402B-AA87-F0F85B58A01C}</x14:id>
        </ext>
      </extLst>
    </cfRule>
  </conditionalFormatting>
  <conditionalFormatting sqref="Z24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{255CD589-08DA-4190-B7B2-D1BEA01EF736}</x14:id>
        </ext>
      </extLst>
    </cfRule>
  </conditionalFormatting>
  <conditionalFormatting sqref="AB24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{055AA9E2-F5C3-4FA6-AC6D-E78A1FEDEC57}</x14:id>
        </ext>
      </extLst>
    </cfRule>
  </conditionalFormatting>
  <conditionalFormatting sqref="AB24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{960CAAAE-2EE4-4A94-9348-59C147594187}</x14:id>
        </ext>
      </extLst>
    </cfRule>
  </conditionalFormatting>
  <conditionalFormatting sqref="AD24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{4F31A7B8-6C9D-4123-AAEB-6196C7A75B9B}</x14:id>
        </ext>
      </extLst>
    </cfRule>
  </conditionalFormatting>
  <conditionalFormatting sqref="AD24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{DF9F543D-B8C7-4AC8-9EA6-441BBC724984}</x14:id>
        </ext>
      </extLst>
    </cfRule>
  </conditionalFormatting>
  <conditionalFormatting sqref="J9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{056FB7D1-5498-4397-BB20-8F965335AE7B}</x14:id>
        </ext>
      </extLst>
    </cfRule>
  </conditionalFormatting>
  <conditionalFormatting sqref="M9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{9956BCA4-5387-4E6D-A8F0-F38AD7F9E1E5}</x14:id>
        </ext>
      </extLst>
    </cfRule>
  </conditionalFormatting>
  <conditionalFormatting sqref="M12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{D6093769-318B-4F50-B735-8E97724BECFB}</x14:id>
        </ext>
      </extLst>
    </cfRule>
  </conditionalFormatting>
  <conditionalFormatting sqref="M12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{0E78CFF1-CC24-47FF-AE36-0BC00C6A4502}</x14:id>
        </ext>
      </extLst>
    </cfRule>
  </conditionalFormatting>
  <conditionalFormatting sqref="D2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{92DED972-650F-499B-8A66-59F22DD7AC4D}</x14:id>
        </ext>
      </extLst>
    </cfRule>
  </conditionalFormatting>
  <conditionalFormatting sqref="D2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{8657E2A8-404E-4BB2-B6CE-4AC928AC7418}</x14:id>
        </ext>
      </extLst>
    </cfRule>
  </conditionalFormatting>
  <conditionalFormatting sqref="F2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{EB7138F2-E97E-4141-94E4-7542B8CD69AE}</x14:id>
        </ext>
      </extLst>
    </cfRule>
  </conditionalFormatting>
  <conditionalFormatting sqref="F2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{C01B4684-25B1-4A1E-A4F0-99B1E9A62C99}</x14:id>
        </ext>
      </extLst>
    </cfRule>
  </conditionalFormatting>
  <conditionalFormatting sqref="H2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{51F917C2-DFE0-4B31-B912-630A9B4CEA65}</x14:id>
        </ext>
      </extLst>
    </cfRule>
  </conditionalFormatting>
  <conditionalFormatting sqref="H2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{93344298-A8F3-46B9-8C61-4CD6C6216D1C}</x14:id>
        </ext>
      </extLst>
    </cfRule>
  </conditionalFormatting>
  <conditionalFormatting sqref="J2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{5769EBB8-CAF7-4C66-9E51-3C5B1BFC7242}</x14:id>
        </ext>
      </extLst>
    </cfRule>
  </conditionalFormatting>
  <conditionalFormatting sqref="J2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{505C8FE8-3CF9-457C-86FA-4AE7D7A4C50F}</x14:id>
        </ext>
      </extLst>
    </cfRule>
  </conditionalFormatting>
  <conditionalFormatting sqref="J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{BD5D1953-6A2A-4DA0-9C95-94C41F20097B}</x14:id>
        </ext>
      </extLst>
    </cfRule>
  </conditionalFormatting>
  <conditionalFormatting sqref="AF2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{9A35CD25-9A23-48E3-B231-ABF9E7F6ABF8}</x14:id>
        </ext>
      </extLst>
    </cfRule>
  </conditionalFormatting>
  <conditionalFormatting sqref="AF2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{3E4419AF-CAD8-4F2D-AF50-035C6D4FA433}</x14:id>
        </ext>
      </extLst>
    </cfRule>
  </conditionalFormatting>
  <conditionalFormatting sqref="AH2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{A02EEAB9-2F91-4547-A053-41BCE6E1D8B2}</x14:id>
        </ext>
      </extLst>
    </cfRule>
  </conditionalFormatting>
  <conditionalFormatting sqref="AH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{36C080EC-938E-4131-8F33-A85D89D72549}</x14:id>
        </ext>
      </extLst>
    </cfRule>
  </conditionalFormatting>
  <conditionalFormatting sqref="M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{C999CB6A-E0D5-4572-A38E-A7EDBDD2A848}</x14:id>
        </ext>
      </extLst>
    </cfRule>
  </conditionalFormatting>
  <conditionalFormatting sqref="AJ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{EB5A0FC4-A714-412A-98A0-CFB55D58E2D3}</x14:id>
        </ext>
      </extLst>
    </cfRule>
  </conditionalFormatting>
  <conditionalFormatting sqref="AJ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{E0E49ADD-39BF-4C43-A047-FA765B0A316B}</x14:id>
        </ext>
      </extLst>
    </cfRule>
  </conditionalFormatting>
  <conditionalFormatting sqref="AL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{DBE3064C-AFBB-4B90-9DD6-9D94678A3D6B}</x14:id>
        </ext>
      </extLst>
    </cfRule>
  </conditionalFormatting>
  <conditionalFormatting sqref="AL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{2D222BFA-C666-4899-B787-9E2FE266A914}</x14:id>
        </ext>
      </extLst>
    </cfRule>
  </conditionalFormatting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37523-034F-4E49-960D-6597AAB724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M10:M11 M13</xm:sqref>
        </x14:conditionalFormatting>
        <x14:conditionalFormatting xmlns:xm="http://schemas.microsoft.com/office/excel/2006/main">
          <x14:cfRule type="dataBar" id="{E44BA9C8-3B72-4363-B432-83E2529C05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89324192-B42D-4072-91DE-B5718C7354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Q13</xm:sqref>
        </x14:conditionalFormatting>
        <x14:conditionalFormatting xmlns:xm="http://schemas.microsoft.com/office/excel/2006/main">
          <x14:cfRule type="dataBar" id="{FAB41B83-3E75-4B7B-A353-D98A2C76B2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Q13</xm:sqref>
        </x14:conditionalFormatting>
        <x14:conditionalFormatting xmlns:xm="http://schemas.microsoft.com/office/excel/2006/main">
          <x14:cfRule type="dataBar" id="{D030DC5F-3082-4942-933A-B94560C5AF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3C6891AF-6249-419F-9ED1-C8E70CD506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0A095061-77E4-4168-836F-35EFDC463F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BD24</xm:sqref>
        </x14:conditionalFormatting>
        <x14:conditionalFormatting xmlns:xm="http://schemas.microsoft.com/office/excel/2006/main">
          <x14:cfRule type="dataBar" id="{37122D64-97C3-44B6-8718-C90EFABD1C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BD24</xm:sqref>
        </x14:conditionalFormatting>
        <x14:conditionalFormatting xmlns:xm="http://schemas.microsoft.com/office/excel/2006/main">
          <x14:cfRule type="dataBar" id="{CA4181B3-35B2-41FE-A0C2-75D097AB37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BF24</xm:sqref>
        </x14:conditionalFormatting>
        <x14:conditionalFormatting xmlns:xm="http://schemas.microsoft.com/office/excel/2006/main">
          <x14:cfRule type="dataBar" id="{AC8F92FD-B4A8-4688-8911-C28B1ABCC1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BF24</xm:sqref>
        </x14:conditionalFormatting>
        <x14:conditionalFormatting xmlns:xm="http://schemas.microsoft.com/office/excel/2006/main">
          <x14:cfRule type="dataBar" id="{61E7E2E6-17DE-466B-96FE-CA5F65C7F5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BH24</xm:sqref>
        </x14:conditionalFormatting>
        <x14:conditionalFormatting xmlns:xm="http://schemas.microsoft.com/office/excel/2006/main">
          <x14:cfRule type="dataBar" id="{F470B072-963A-43A2-97BA-3BBFE03B2E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BH24</xm:sqref>
        </x14:conditionalFormatting>
        <x14:conditionalFormatting xmlns:xm="http://schemas.microsoft.com/office/excel/2006/main">
          <x14:cfRule type="dataBar" id="{7D06DB65-77A6-4449-A1C4-7B935F2F2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BJ24</xm:sqref>
        </x14:conditionalFormatting>
        <x14:conditionalFormatting xmlns:xm="http://schemas.microsoft.com/office/excel/2006/main">
          <x14:cfRule type="dataBar" id="{B863FCC0-8816-4168-97CC-F598BBF4B7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BJ24</xm:sqref>
        </x14:conditionalFormatting>
        <x14:conditionalFormatting xmlns:xm="http://schemas.microsoft.com/office/excel/2006/main">
          <x14:cfRule type="dataBar" id="{F6C916C9-FE97-4282-A816-F6F3550AA0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BL24</xm:sqref>
        </x14:conditionalFormatting>
        <x14:conditionalFormatting xmlns:xm="http://schemas.microsoft.com/office/excel/2006/main">
          <x14:cfRule type="dataBar" id="{FCB5B27B-9148-4EDC-B7F7-8CC5A2E3E8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BL24</xm:sqref>
        </x14:conditionalFormatting>
        <x14:conditionalFormatting xmlns:xm="http://schemas.microsoft.com/office/excel/2006/main">
          <x14:cfRule type="dataBar" id="{13A2A5BC-6860-407F-94C9-9448A46D6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5C62F946-9EC3-443C-868B-20A880610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A891A5A6-FFBA-4AD0-864A-DD6FF0E4BA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973AF8AA-6CFE-488C-B235-2F85D5148D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A52838EA-70D4-46CE-8C9F-2B68D7CE9A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988F6FB5-A764-4195-8AE3-21989BB4D4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69597D61-DC00-496C-9801-35C3835FFE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D037E957-5C4D-4DA2-A24C-7B20F3F05A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R24</xm:sqref>
        </x14:conditionalFormatting>
        <x14:conditionalFormatting xmlns:xm="http://schemas.microsoft.com/office/excel/2006/main">
          <x14:cfRule type="dataBar" id="{AB04481A-3DDC-4CEF-844A-50BD055A94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R24</xm:sqref>
        </x14:conditionalFormatting>
        <x14:conditionalFormatting xmlns:xm="http://schemas.microsoft.com/office/excel/2006/main">
          <x14:cfRule type="dataBar" id="{41D83421-2193-4DD8-AE75-9444224B9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FE0E307A-B477-4C69-8316-28C3E9770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4FC6CE9B-7DBB-409B-87BC-93009F0207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511FB64C-2447-4283-8BAF-A0E2CD49B61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FA1921D7-EF7F-48D5-86B4-6DC25479CC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X24</xm:sqref>
        </x14:conditionalFormatting>
        <x14:conditionalFormatting xmlns:xm="http://schemas.microsoft.com/office/excel/2006/main">
          <x14:cfRule type="dataBar" id="{8863BF4B-47E8-4B53-9467-AF756CC90D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X24</xm:sqref>
        </x14:conditionalFormatting>
        <x14:conditionalFormatting xmlns:xm="http://schemas.microsoft.com/office/excel/2006/main">
          <x14:cfRule type="dataBar" id="{BC1D1D82-F769-402B-AA87-F0F85B58A0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Z24</xm:sqref>
        </x14:conditionalFormatting>
        <x14:conditionalFormatting xmlns:xm="http://schemas.microsoft.com/office/excel/2006/main">
          <x14:cfRule type="dataBar" id="{255CD589-08DA-4190-B7B2-D1BEA01EF7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Z24</xm:sqref>
        </x14:conditionalFormatting>
        <x14:conditionalFormatting xmlns:xm="http://schemas.microsoft.com/office/excel/2006/main">
          <x14:cfRule type="dataBar" id="{055AA9E2-F5C3-4FA6-AC6D-E78A1FEDEC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960CAAAE-2EE4-4A94-9348-59C1475941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4F31A7B8-6C9D-4123-AAEB-6196C7A75B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DF9F543D-B8C7-4AC8-9EA6-441BBC7249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056FB7D1-5498-4397-BB20-8F965335AE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9956BCA4-5387-4E6D-A8F0-F38AD7F9E1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D6093769-318B-4F50-B735-8E97724BEC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0E78CFF1-CC24-47FF-AE36-0BC00C6A45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92DED972-650F-499B-8A66-59F22DD7AC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8657E2A8-404E-4BB2-B6CE-4AC928AC741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B7138F2-E97E-4141-94E4-7542B8CD69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C01B4684-25B1-4A1E-A4F0-99B1E9A62C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51F917C2-DFE0-4B31-B912-630A9B4CEA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93344298-A8F3-46B9-8C61-4CD6C6216D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769EBB8-CAF7-4C66-9E51-3C5B1BFC72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505C8FE8-3CF9-457C-86FA-4AE7D7A4C50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BD5D1953-6A2A-4DA0-9C95-94C41F2009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A35CD25-9A23-48E3-B231-ABF9E7F6AB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3E4419AF-CAD8-4F2D-AF50-035C6D4FA4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A02EEAB9-2F91-4547-A053-41BCE6E1D8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36C080EC-938E-4131-8F33-A85D89D7254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C999CB6A-E0D5-4572-A38E-A7EDBDD2A8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EB5A0FC4-A714-412A-98A0-CFB55D58E2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E0E49ADD-39BF-4C43-A047-FA765B0A31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DBE3064C-AFBB-4B90-9DD6-9D94678A3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2D222BFA-C666-4899-B787-9E2FE266A9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A489-16C1-4AB8-90AB-566061C08385}">
  <sheetPr>
    <tabColor theme="9" tint="0.39997558519241921"/>
  </sheetPr>
  <dimension ref="A1:BO43"/>
  <sheetViews>
    <sheetView zoomScale="70" zoomScaleNormal="70" workbookViewId="0">
      <selection activeCell="G22" sqref="G22"/>
    </sheetView>
  </sheetViews>
  <sheetFormatPr defaultRowHeight="14.4" x14ac:dyDescent="0.3"/>
  <cols>
    <col min="1" max="1" width="19.44140625" customWidth="1"/>
    <col min="2" max="2" width="24.44140625" bestFit="1" customWidth="1"/>
    <col min="3" max="3" width="12.109375" bestFit="1" customWidth="1"/>
    <col min="4" max="4" width="12.33203125" bestFit="1" customWidth="1"/>
    <col min="5" max="5" width="11" bestFit="1" customWidth="1"/>
    <col min="6" max="8" width="11" customWidth="1"/>
    <col min="9" max="9" width="13.44140625" bestFit="1" customWidth="1"/>
    <col min="10" max="10" width="9.6640625" bestFit="1" customWidth="1"/>
    <col min="11" max="11" width="10.6640625" bestFit="1" customWidth="1"/>
    <col min="12" max="12" width="12.6640625" bestFit="1" customWidth="1"/>
    <col min="13" max="13" width="13.44140625" bestFit="1" customWidth="1"/>
    <col min="14" max="14" width="11.109375" bestFit="1" customWidth="1"/>
    <col min="15" max="16" width="10.88671875" bestFit="1" customWidth="1"/>
    <col min="17" max="17" width="12.33203125" bestFit="1" customWidth="1"/>
    <col min="18" max="19" width="10.88671875" bestFit="1" customWidth="1"/>
    <col min="20" max="20" width="9.33203125" bestFit="1" customWidth="1"/>
    <col min="21" max="21" width="10.88671875" bestFit="1" customWidth="1"/>
    <col min="22" max="22" width="10.109375" bestFit="1" customWidth="1"/>
    <col min="23" max="23" width="9.44140625" bestFit="1" customWidth="1"/>
    <col min="24" max="24" width="10.109375" bestFit="1" customWidth="1"/>
    <col min="25" max="25" width="10.6640625" bestFit="1" customWidth="1"/>
    <col min="26" max="26" width="11" bestFit="1" customWidth="1"/>
    <col min="27" max="27" width="11.33203125" bestFit="1" customWidth="1"/>
    <col min="29" max="29" width="14.6640625" bestFit="1" customWidth="1"/>
    <col min="30" max="30" width="11.109375" bestFit="1" customWidth="1"/>
    <col min="31" max="31" width="10.88671875" bestFit="1" customWidth="1"/>
    <col min="32" max="32" width="9.88671875" customWidth="1"/>
    <col min="33" max="33" width="10.88671875" bestFit="1" customWidth="1"/>
    <col min="34" max="34" width="9.109375" bestFit="1" customWidth="1"/>
    <col min="35" max="35" width="10.88671875" bestFit="1" customWidth="1"/>
    <col min="36" max="37" width="10.109375" bestFit="1" customWidth="1"/>
    <col min="41" max="41" width="10.109375" customWidth="1"/>
    <col min="45" max="45" width="10.109375" bestFit="1" customWidth="1"/>
    <col min="46" max="46" width="9.109375" bestFit="1" customWidth="1"/>
    <col min="49" max="49" width="10.109375" bestFit="1" customWidth="1"/>
    <col min="53" max="53" width="10.109375" bestFit="1" customWidth="1"/>
    <col min="54" max="54" width="15.33203125" bestFit="1" customWidth="1"/>
  </cols>
  <sheetData>
    <row r="1" spans="1:19" ht="24" thickBot="1" x14ac:dyDescent="0.5">
      <c r="A1" s="76" t="s">
        <v>44</v>
      </c>
    </row>
    <row r="2" spans="1:19" ht="21" thickTop="1" thickBot="1" x14ac:dyDescent="0.45">
      <c r="A2" s="71" t="s">
        <v>35</v>
      </c>
      <c r="B2" s="78">
        <v>44207</v>
      </c>
    </row>
    <row r="3" spans="1:19" ht="18.600000000000001" thickTop="1" thickBot="1" x14ac:dyDescent="0.4">
      <c r="A3" s="72" t="s">
        <v>37</v>
      </c>
      <c r="B3" t="s">
        <v>33</v>
      </c>
    </row>
    <row r="4" spans="1:19" ht="16.8" thickTop="1" thickBot="1" x14ac:dyDescent="0.35">
      <c r="D4" s="115"/>
      <c r="P4" s="183" t="s">
        <v>45</v>
      </c>
      <c r="Q4" s="183"/>
      <c r="R4" s="183"/>
      <c r="S4" s="183"/>
    </row>
    <row r="5" spans="1:19" x14ac:dyDescent="0.3">
      <c r="A5" s="73"/>
      <c r="B5" s="131" t="s">
        <v>22</v>
      </c>
      <c r="C5" s="184" t="s">
        <v>42</v>
      </c>
      <c r="D5" s="185"/>
      <c r="F5" s="186" t="s">
        <v>41</v>
      </c>
      <c r="G5" s="187"/>
      <c r="I5" s="188" t="s">
        <v>40</v>
      </c>
      <c r="J5" s="189"/>
      <c r="K5" s="189"/>
      <c r="L5" s="189"/>
      <c r="M5" s="189"/>
      <c r="N5" s="190"/>
      <c r="P5" s="163">
        <v>44207</v>
      </c>
      <c r="Q5" s="164"/>
      <c r="R5" s="164"/>
      <c r="S5" s="165"/>
    </row>
    <row r="6" spans="1:19" x14ac:dyDescent="0.3">
      <c r="A6" s="25"/>
      <c r="B6" s="79" t="s">
        <v>23</v>
      </c>
      <c r="C6" s="79" t="s">
        <v>1</v>
      </c>
      <c r="D6" s="24" t="s">
        <v>0</v>
      </c>
      <c r="F6" s="104" t="s">
        <v>1</v>
      </c>
      <c r="G6" s="105" t="s">
        <v>0</v>
      </c>
      <c r="I6" s="177" t="s">
        <v>1</v>
      </c>
      <c r="J6" s="178"/>
      <c r="K6" s="179"/>
      <c r="L6" s="180" t="s">
        <v>0</v>
      </c>
      <c r="M6" s="181"/>
      <c r="N6" s="182"/>
      <c r="P6" s="16" t="s">
        <v>1</v>
      </c>
      <c r="Q6" s="6" t="s">
        <v>20</v>
      </c>
      <c r="R6" s="10" t="s">
        <v>0</v>
      </c>
      <c r="S6" s="17" t="s">
        <v>19</v>
      </c>
    </row>
    <row r="7" spans="1:19" x14ac:dyDescent="0.3">
      <c r="A7" s="23" t="s">
        <v>25</v>
      </c>
      <c r="B7" s="79" t="s">
        <v>24</v>
      </c>
      <c r="C7" s="79"/>
      <c r="D7" s="24"/>
      <c r="F7" s="25"/>
      <c r="G7" s="26"/>
      <c r="I7" s="133" t="s">
        <v>33</v>
      </c>
      <c r="J7" s="39" t="s">
        <v>20</v>
      </c>
      <c r="K7" s="39" t="s">
        <v>21</v>
      </c>
      <c r="L7" s="41" t="s">
        <v>33</v>
      </c>
      <c r="M7" s="136" t="s">
        <v>19</v>
      </c>
      <c r="N7" s="40" t="s">
        <v>21</v>
      </c>
      <c r="P7" s="18"/>
      <c r="Q7" s="7"/>
      <c r="R7" s="11"/>
      <c r="S7" s="19"/>
    </row>
    <row r="8" spans="1:19" x14ac:dyDescent="0.3">
      <c r="A8" s="170" t="s">
        <v>2</v>
      </c>
      <c r="B8" s="30" t="s">
        <v>3</v>
      </c>
      <c r="C8" s="31">
        <f>10172</f>
        <v>10172</v>
      </c>
      <c r="D8" s="97">
        <v>4305</v>
      </c>
      <c r="F8" s="106">
        <f>IFERROR(C8/(C8+D8), 0)</f>
        <v>0.70263176072390687</v>
      </c>
      <c r="G8" s="123">
        <f>IFERROR(D8/(C8+D8), 0)</f>
        <v>0.29736823927609313</v>
      </c>
      <c r="I8" s="134">
        <f>10092+0</f>
        <v>10092</v>
      </c>
      <c r="J8" s="9">
        <f>IFERROR(I8/C8, 0)</f>
        <v>0.99213527329925288</v>
      </c>
      <c r="K8" s="35" t="s">
        <v>27</v>
      </c>
      <c r="L8" s="31">
        <f>3815+412</f>
        <v>4227</v>
      </c>
      <c r="M8" s="137">
        <f>IFERROR(L8/D8,0)</f>
        <v>0.98188153310104531</v>
      </c>
      <c r="N8" s="33" t="s">
        <v>27</v>
      </c>
      <c r="P8" s="32"/>
      <c r="Q8" s="35"/>
      <c r="R8" s="31"/>
      <c r="S8" s="33"/>
    </row>
    <row r="9" spans="1:19" x14ac:dyDescent="0.3">
      <c r="A9" s="170"/>
      <c r="B9" s="29" t="s">
        <v>29</v>
      </c>
      <c r="C9" s="11">
        <v>20912</v>
      </c>
      <c r="D9" s="98">
        <v>6104</v>
      </c>
      <c r="F9" s="106">
        <f t="shared" ref="F9:F22" si="0">IFERROR(C9/(C9+D9), 0)</f>
        <v>0.77405981640509325</v>
      </c>
      <c r="G9" s="123">
        <f t="shared" ref="G9:G22" si="1">IFERROR(D9/(C9+D9), 0)</f>
        <v>0.22594018359490672</v>
      </c>
      <c r="I9" s="135">
        <f>20628+7</f>
        <v>20635</v>
      </c>
      <c r="J9" s="35">
        <f t="shared" ref="J9:J21" si="2">IFERROR(I9/C9, 0)</f>
        <v>0.98675401683244068</v>
      </c>
      <c r="K9" s="9" t="s">
        <v>27</v>
      </c>
      <c r="L9" s="4">
        <f>5283+707</f>
        <v>5990</v>
      </c>
      <c r="M9" s="138">
        <f t="shared" ref="M9:M21" si="3">IFERROR(L9/D9,0)</f>
        <v>0.98132372214941022</v>
      </c>
      <c r="N9" s="20" t="s">
        <v>27</v>
      </c>
      <c r="P9" s="18">
        <f>3541+7</f>
        <v>3548</v>
      </c>
      <c r="Q9" s="9">
        <v>0.16969999999999999</v>
      </c>
      <c r="R9" s="11">
        <f>1024+353</f>
        <v>1377</v>
      </c>
      <c r="S9" s="20">
        <v>0.22559999999999999</v>
      </c>
    </row>
    <row r="10" spans="1:19" x14ac:dyDescent="0.3">
      <c r="A10" s="170"/>
      <c r="B10" s="37" t="s">
        <v>30</v>
      </c>
      <c r="C10" s="31">
        <v>6587</v>
      </c>
      <c r="D10" s="97">
        <v>1652</v>
      </c>
      <c r="F10" s="106">
        <f t="shared" si="0"/>
        <v>0.7994902293967715</v>
      </c>
      <c r="G10" s="123">
        <f t="shared" si="1"/>
        <v>0.20050977060322855</v>
      </c>
      <c r="I10" s="134">
        <f>6563</f>
        <v>6563</v>
      </c>
      <c r="J10" s="35">
        <f t="shared" si="2"/>
        <v>0.99635645969333531</v>
      </c>
      <c r="K10" s="35" t="s">
        <v>27</v>
      </c>
      <c r="L10" s="31">
        <f>1435+195</f>
        <v>1630</v>
      </c>
      <c r="M10" s="138">
        <f t="shared" si="3"/>
        <v>0.98668280871670699</v>
      </c>
      <c r="N10" s="33" t="s">
        <v>27</v>
      </c>
      <c r="P10" s="32">
        <f>1978</f>
        <v>1978</v>
      </c>
      <c r="Q10" s="35">
        <v>0.30030000000000001</v>
      </c>
      <c r="R10" s="31">
        <f>384+68</f>
        <v>452</v>
      </c>
      <c r="S10" s="33">
        <v>0.27360000000000001</v>
      </c>
    </row>
    <row r="11" spans="1:19" x14ac:dyDescent="0.3">
      <c r="A11" s="170"/>
      <c r="B11" s="79" t="s">
        <v>4</v>
      </c>
      <c r="C11" s="4">
        <v>6247</v>
      </c>
      <c r="D11" s="99">
        <v>1750</v>
      </c>
      <c r="F11" s="106">
        <f t="shared" si="0"/>
        <v>0.78116793797674133</v>
      </c>
      <c r="G11" s="123">
        <f t="shared" si="1"/>
        <v>0.21883206202325872</v>
      </c>
      <c r="I11" s="135">
        <f>6123+11</f>
        <v>6134</v>
      </c>
      <c r="J11" s="35">
        <f t="shared" si="2"/>
        <v>0.98191131743236759</v>
      </c>
      <c r="K11" s="9" t="s">
        <v>27</v>
      </c>
      <c r="L11" s="4">
        <f>1563+149</f>
        <v>1712</v>
      </c>
      <c r="M11" s="138">
        <f t="shared" si="3"/>
        <v>0.97828571428571431</v>
      </c>
      <c r="N11" s="20" t="s">
        <v>27</v>
      </c>
      <c r="P11" s="18"/>
      <c r="Q11" s="9"/>
      <c r="R11" s="11"/>
      <c r="S11" s="20"/>
    </row>
    <row r="12" spans="1:19" x14ac:dyDescent="0.3">
      <c r="A12" s="170"/>
      <c r="B12" s="30" t="s">
        <v>5</v>
      </c>
      <c r="C12" s="31">
        <v>11317</v>
      </c>
      <c r="D12" s="97">
        <v>3204</v>
      </c>
      <c r="F12" s="106">
        <f t="shared" si="0"/>
        <v>0.77935403897803179</v>
      </c>
      <c r="G12" s="123">
        <f t="shared" si="1"/>
        <v>0.22064596102196818</v>
      </c>
      <c r="I12" s="134">
        <f>10946+0</f>
        <v>10946</v>
      </c>
      <c r="J12" s="9">
        <f t="shared" si="2"/>
        <v>0.9672174604577185</v>
      </c>
      <c r="K12" s="35" t="s">
        <v>27</v>
      </c>
      <c r="L12" s="31">
        <f>2704+341</f>
        <v>3045</v>
      </c>
      <c r="M12" s="137">
        <f t="shared" si="3"/>
        <v>0.95037453183520604</v>
      </c>
      <c r="N12" s="33" t="s">
        <v>27</v>
      </c>
      <c r="P12" s="32"/>
      <c r="Q12" s="35"/>
      <c r="R12" s="31"/>
      <c r="S12" s="33"/>
    </row>
    <row r="13" spans="1:19" x14ac:dyDescent="0.3">
      <c r="A13" s="170"/>
      <c r="B13" s="79" t="s">
        <v>6</v>
      </c>
      <c r="C13" s="4">
        <v>33437</v>
      </c>
      <c r="D13" s="99">
        <v>7197</v>
      </c>
      <c r="F13" s="106">
        <f t="shared" si="0"/>
        <v>0.82288231530245604</v>
      </c>
      <c r="G13" s="123">
        <f t="shared" si="1"/>
        <v>0.17711768469754394</v>
      </c>
      <c r="I13" s="135">
        <f>33302</f>
        <v>33302</v>
      </c>
      <c r="J13" s="35">
        <f t="shared" si="2"/>
        <v>0.9959625564494422</v>
      </c>
      <c r="K13" s="9" t="s">
        <v>27</v>
      </c>
      <c r="L13" s="4">
        <f>6632+483</f>
        <v>7115</v>
      </c>
      <c r="M13" s="138">
        <f t="shared" si="3"/>
        <v>0.98860636376267885</v>
      </c>
      <c r="N13" s="20" t="s">
        <v>27</v>
      </c>
      <c r="P13" s="18">
        <f>4046+0</f>
        <v>4046</v>
      </c>
      <c r="Q13" s="9">
        <v>0.121</v>
      </c>
      <c r="R13" s="11">
        <f>362+131</f>
        <v>493</v>
      </c>
      <c r="S13" s="20">
        <v>6.8500000000000005E-2</v>
      </c>
    </row>
    <row r="14" spans="1:19" x14ac:dyDescent="0.3">
      <c r="A14" s="170"/>
      <c r="B14" s="30" t="s">
        <v>7</v>
      </c>
      <c r="C14" s="31">
        <v>7170</v>
      </c>
      <c r="D14" s="97">
        <v>2117</v>
      </c>
      <c r="F14" s="106">
        <f t="shared" si="0"/>
        <v>0.77204694734575208</v>
      </c>
      <c r="G14" s="123">
        <f t="shared" si="1"/>
        <v>0.22795305265424787</v>
      </c>
      <c r="I14" s="134">
        <f>7043+0</f>
        <v>7043</v>
      </c>
      <c r="J14" s="35">
        <f t="shared" si="2"/>
        <v>0.98228730822873078</v>
      </c>
      <c r="K14" s="35" t="s">
        <v>27</v>
      </c>
      <c r="L14" s="31">
        <f>1748+308</f>
        <v>2056</v>
      </c>
      <c r="M14" s="138">
        <f t="shared" si="3"/>
        <v>0.97118564005668395</v>
      </c>
      <c r="N14" s="33" t="s">
        <v>27</v>
      </c>
      <c r="P14" s="32"/>
      <c r="Q14" s="35"/>
      <c r="R14" s="31"/>
      <c r="S14" s="33"/>
    </row>
    <row r="15" spans="1:19" x14ac:dyDescent="0.3">
      <c r="A15" s="170"/>
      <c r="B15" s="79" t="s">
        <v>8</v>
      </c>
      <c r="C15" s="4">
        <v>15474</v>
      </c>
      <c r="D15" s="99">
        <v>20394</v>
      </c>
      <c r="F15" s="106">
        <f t="shared" si="0"/>
        <v>0.43141518902643022</v>
      </c>
      <c r="G15" s="123">
        <f t="shared" si="1"/>
        <v>0.56858481097356972</v>
      </c>
      <c r="I15" s="27">
        <f>15140+0</f>
        <v>15140</v>
      </c>
      <c r="J15" s="139">
        <f t="shared" si="2"/>
        <v>0.97841540648830294</v>
      </c>
      <c r="K15" s="140" t="s">
        <v>27</v>
      </c>
      <c r="L15" s="141">
        <f>19477+533</f>
        <v>20010</v>
      </c>
      <c r="M15" s="35">
        <f t="shared" si="3"/>
        <v>0.98117093262724331</v>
      </c>
      <c r="N15" s="20" t="s">
        <v>27</v>
      </c>
      <c r="P15" s="18"/>
      <c r="Q15" s="9"/>
      <c r="R15" s="11"/>
      <c r="S15" s="20"/>
    </row>
    <row r="16" spans="1:19" x14ac:dyDescent="0.3">
      <c r="A16" s="171" t="s">
        <v>9</v>
      </c>
      <c r="B16" s="30" t="s">
        <v>10</v>
      </c>
      <c r="C16" s="31">
        <v>3050</v>
      </c>
      <c r="D16" s="97">
        <v>4142</v>
      </c>
      <c r="F16" s="106">
        <f t="shared" si="0"/>
        <v>0.42408231368186872</v>
      </c>
      <c r="G16" s="123">
        <f t="shared" si="1"/>
        <v>0.57591768631813123</v>
      </c>
      <c r="I16" s="32">
        <f>2962+0</f>
        <v>2962</v>
      </c>
      <c r="J16" s="35">
        <f t="shared" si="2"/>
        <v>0.97114754098360656</v>
      </c>
      <c r="K16" s="35" t="s">
        <v>27</v>
      </c>
      <c r="L16" s="31">
        <f>3941+75</f>
        <v>4016</v>
      </c>
      <c r="M16" s="35">
        <f t="shared" si="3"/>
        <v>0.96957991308546598</v>
      </c>
      <c r="N16" s="20" t="s">
        <v>27</v>
      </c>
      <c r="P16" s="32"/>
      <c r="Q16" s="35"/>
      <c r="R16" s="31"/>
      <c r="S16" s="33"/>
    </row>
    <row r="17" spans="1:26" x14ac:dyDescent="0.3">
      <c r="A17" s="172"/>
      <c r="B17" s="79" t="s">
        <v>13</v>
      </c>
      <c r="C17" s="96">
        <v>5786</v>
      </c>
      <c r="D17" s="99">
        <v>753</v>
      </c>
      <c r="F17" s="106">
        <f t="shared" si="0"/>
        <v>0.88484477748891266</v>
      </c>
      <c r="G17" s="123">
        <f t="shared" si="1"/>
        <v>0.11515522251108733</v>
      </c>
      <c r="I17" s="27">
        <f>5749</f>
        <v>5749</v>
      </c>
      <c r="J17" s="35">
        <f t="shared" si="2"/>
        <v>0.99360525406152778</v>
      </c>
      <c r="K17" s="9" t="s">
        <v>27</v>
      </c>
      <c r="L17" s="4">
        <f>646+89</f>
        <v>735</v>
      </c>
      <c r="M17" s="35">
        <f t="shared" si="3"/>
        <v>0.9760956175298805</v>
      </c>
      <c r="N17" s="20" t="s">
        <v>27</v>
      </c>
      <c r="P17" s="18"/>
      <c r="Q17" s="9"/>
      <c r="R17" s="11"/>
      <c r="S17" s="20"/>
    </row>
    <row r="18" spans="1:26" x14ac:dyDescent="0.3">
      <c r="A18" s="172"/>
      <c r="B18" s="30" t="s">
        <v>12</v>
      </c>
      <c r="C18" s="31">
        <v>5271</v>
      </c>
      <c r="D18" s="97">
        <v>1940</v>
      </c>
      <c r="F18" s="106">
        <f t="shared" si="0"/>
        <v>0.73096657883788652</v>
      </c>
      <c r="G18" s="123">
        <f t="shared" si="1"/>
        <v>0.26903342116211343</v>
      </c>
      <c r="I18" s="32">
        <f>5192+26</f>
        <v>5218</v>
      </c>
      <c r="J18" s="35">
        <f t="shared" si="2"/>
        <v>0.98994498197685443</v>
      </c>
      <c r="K18" s="35" t="s">
        <v>27</v>
      </c>
      <c r="L18" s="31">
        <f>1791+120</f>
        <v>1911</v>
      </c>
      <c r="M18" s="35">
        <f t="shared" si="3"/>
        <v>0.98505154639175263</v>
      </c>
      <c r="N18" s="33" t="s">
        <v>27</v>
      </c>
      <c r="P18" s="32"/>
      <c r="Q18" s="35"/>
      <c r="R18" s="31"/>
      <c r="S18" s="33"/>
    </row>
    <row r="19" spans="1:26" x14ac:dyDescent="0.3">
      <c r="A19" s="172"/>
      <c r="B19" s="79" t="s">
        <v>11</v>
      </c>
      <c r="C19" s="4">
        <f>483+0</f>
        <v>483</v>
      </c>
      <c r="D19" s="99">
        <v>66</v>
      </c>
      <c r="F19" s="106">
        <f t="shared" si="0"/>
        <v>0.8797814207650273</v>
      </c>
      <c r="G19" s="123">
        <f t="shared" si="1"/>
        <v>0.12021857923497267</v>
      </c>
      <c r="I19" s="27">
        <f>483+0</f>
        <v>483</v>
      </c>
      <c r="J19" s="35">
        <f t="shared" si="2"/>
        <v>1</v>
      </c>
      <c r="K19" s="9" t="s">
        <v>27</v>
      </c>
      <c r="L19" s="4">
        <f>66+0</f>
        <v>66</v>
      </c>
      <c r="M19" s="35">
        <f t="shared" si="3"/>
        <v>1</v>
      </c>
      <c r="N19" s="20" t="s">
        <v>27</v>
      </c>
      <c r="P19" s="18"/>
      <c r="Q19" s="9"/>
      <c r="R19" s="11"/>
      <c r="S19" s="20"/>
    </row>
    <row r="20" spans="1:26" x14ac:dyDescent="0.3">
      <c r="A20" s="172"/>
      <c r="B20" s="30" t="s">
        <v>34</v>
      </c>
      <c r="C20" s="31">
        <v>12358</v>
      </c>
      <c r="D20" s="97">
        <v>4376</v>
      </c>
      <c r="F20" s="106">
        <f t="shared" si="0"/>
        <v>0.73849647424405407</v>
      </c>
      <c r="G20" s="123">
        <f t="shared" si="1"/>
        <v>0.26150352575594599</v>
      </c>
      <c r="I20" s="32">
        <f>12234+0</f>
        <v>12234</v>
      </c>
      <c r="J20" s="35">
        <f t="shared" si="2"/>
        <v>0.98996601391810968</v>
      </c>
      <c r="K20" s="35" t="s">
        <v>27</v>
      </c>
      <c r="L20" s="31">
        <f>3977+261</f>
        <v>4238</v>
      </c>
      <c r="M20" s="35">
        <f t="shared" si="3"/>
        <v>0.96846435100548445</v>
      </c>
      <c r="N20" s="33" t="s">
        <v>27</v>
      </c>
      <c r="P20" s="32"/>
      <c r="Q20" s="35"/>
      <c r="R20" s="31"/>
      <c r="S20" s="33"/>
    </row>
    <row r="21" spans="1:26" ht="15" thickBot="1" x14ac:dyDescent="0.35">
      <c r="A21" s="173"/>
      <c r="B21" s="142" t="s">
        <v>28</v>
      </c>
      <c r="C21" s="127">
        <v>11589</v>
      </c>
      <c r="D21" s="143">
        <v>3502</v>
      </c>
      <c r="F21" s="107">
        <f t="shared" si="0"/>
        <v>0.76794115698098209</v>
      </c>
      <c r="G21" s="124">
        <f t="shared" si="1"/>
        <v>0.23205884301901797</v>
      </c>
      <c r="I21" s="125">
        <f>11344+0</f>
        <v>11344</v>
      </c>
      <c r="J21" s="51">
        <f t="shared" si="2"/>
        <v>0.97885926309431359</v>
      </c>
      <c r="K21" s="126" t="s">
        <v>27</v>
      </c>
      <c r="L21" s="127">
        <f>2968+386</f>
        <v>3354</v>
      </c>
      <c r="M21" s="51">
        <f t="shared" si="3"/>
        <v>0.95773843517989721</v>
      </c>
      <c r="N21" s="128" t="s">
        <v>27</v>
      </c>
      <c r="P21" s="125">
        <f>5734+0</f>
        <v>5734</v>
      </c>
      <c r="Q21" s="126">
        <v>0.49480000000000002</v>
      </c>
      <c r="R21" s="127">
        <f>1348+380</f>
        <v>1728</v>
      </c>
      <c r="S21" s="128">
        <v>0.49340000000000001</v>
      </c>
    </row>
    <row r="22" spans="1:26" ht="16.2" thickBot="1" x14ac:dyDescent="0.35">
      <c r="A22" s="42" t="s">
        <v>32</v>
      </c>
      <c r="B22" s="43"/>
      <c r="C22" s="42">
        <f>SUM(C8:C21)</f>
        <v>149853</v>
      </c>
      <c r="D22" s="42">
        <f>SUM(D8:D21)</f>
        <v>61502</v>
      </c>
      <c r="F22" s="122">
        <f t="shared" si="0"/>
        <v>0.70901090582195836</v>
      </c>
      <c r="G22" s="122">
        <f t="shared" si="1"/>
        <v>0.2909890941780417</v>
      </c>
      <c r="I22" s="109">
        <f>SUM(I8:I21)</f>
        <v>147845</v>
      </c>
      <c r="J22" s="111">
        <f>I22/C22</f>
        <v>0.9866002015308335</v>
      </c>
      <c r="K22" s="130" t="s">
        <v>27</v>
      </c>
      <c r="L22" s="109">
        <f>SUM(L8:L21)</f>
        <v>60105</v>
      </c>
      <c r="M22" s="111">
        <f>L22/D22</f>
        <v>0.97728529153523458</v>
      </c>
      <c r="N22" s="130" t="s">
        <v>27</v>
      </c>
      <c r="P22" s="109">
        <f>SUM(P7:P21)</f>
        <v>15306</v>
      </c>
      <c r="Q22" s="111">
        <f>P22/C22</f>
        <v>0.10214009729534944</v>
      </c>
      <c r="R22" s="109">
        <f>SUM(R7:R21)</f>
        <v>4050</v>
      </c>
      <c r="S22" s="111">
        <f>R22/D22</f>
        <v>6.5851517023836625E-2</v>
      </c>
    </row>
    <row r="23" spans="1:26" ht="15" thickTop="1" x14ac:dyDescent="0.3"/>
    <row r="24" spans="1:26" ht="18.600000000000001" thickBot="1" x14ac:dyDescent="0.4">
      <c r="A24" s="77" t="s">
        <v>36</v>
      </c>
    </row>
    <row r="25" spans="1:26" x14ac:dyDescent="0.3">
      <c r="A25" s="2"/>
      <c r="B25" s="79" t="s">
        <v>22</v>
      </c>
      <c r="C25" s="163">
        <v>44200</v>
      </c>
      <c r="D25" s="164"/>
      <c r="E25" s="164"/>
      <c r="F25" s="165"/>
      <c r="G25" s="163">
        <v>44201</v>
      </c>
      <c r="H25" s="164"/>
      <c r="I25" s="164"/>
      <c r="J25" s="165"/>
      <c r="K25" s="163">
        <v>44202</v>
      </c>
      <c r="L25" s="164"/>
      <c r="M25" s="164"/>
      <c r="N25" s="165"/>
      <c r="O25" s="163">
        <v>44203</v>
      </c>
      <c r="P25" s="164"/>
      <c r="Q25" s="164"/>
      <c r="R25" s="165"/>
      <c r="S25" s="163">
        <v>44204</v>
      </c>
      <c r="T25" s="164"/>
      <c r="U25" s="164"/>
      <c r="V25" s="165"/>
      <c r="W25" s="163">
        <v>44207</v>
      </c>
      <c r="X25" s="164"/>
      <c r="Y25" s="164"/>
      <c r="Z25" s="165"/>
    </row>
    <row r="26" spans="1:26" x14ac:dyDescent="0.3">
      <c r="A26" s="2"/>
      <c r="B26" s="79" t="s">
        <v>23</v>
      </c>
      <c r="C26" s="16" t="s">
        <v>1</v>
      </c>
      <c r="D26" s="6" t="s">
        <v>20</v>
      </c>
      <c r="E26" s="10" t="s">
        <v>0</v>
      </c>
      <c r="F26" s="17" t="s">
        <v>19</v>
      </c>
      <c r="G26" s="16" t="s">
        <v>1</v>
      </c>
      <c r="H26" s="6" t="s">
        <v>20</v>
      </c>
      <c r="I26" s="10" t="s">
        <v>0</v>
      </c>
      <c r="J26" s="17" t="s">
        <v>19</v>
      </c>
      <c r="K26" s="16" t="s">
        <v>1</v>
      </c>
      <c r="L26" s="6" t="s">
        <v>20</v>
      </c>
      <c r="M26" s="10" t="s">
        <v>0</v>
      </c>
      <c r="N26" s="17" t="s">
        <v>19</v>
      </c>
      <c r="O26" s="16" t="s">
        <v>1</v>
      </c>
      <c r="P26" s="6" t="s">
        <v>20</v>
      </c>
      <c r="Q26" s="10" t="s">
        <v>0</v>
      </c>
      <c r="R26" s="17" t="s">
        <v>19</v>
      </c>
      <c r="S26" s="16" t="s">
        <v>1</v>
      </c>
      <c r="T26" s="6" t="s">
        <v>20</v>
      </c>
      <c r="U26" s="10" t="s">
        <v>0</v>
      </c>
      <c r="V26" s="17" t="s">
        <v>19</v>
      </c>
      <c r="W26" s="16" t="s">
        <v>1</v>
      </c>
      <c r="X26" s="6" t="s">
        <v>20</v>
      </c>
      <c r="Y26" s="10" t="s">
        <v>0</v>
      </c>
      <c r="Z26" s="17" t="s">
        <v>19</v>
      </c>
    </row>
    <row r="27" spans="1:26" x14ac:dyDescent="0.3">
      <c r="A27" s="79" t="s">
        <v>25</v>
      </c>
      <c r="B27" s="79" t="s">
        <v>24</v>
      </c>
      <c r="C27" s="18"/>
      <c r="D27" s="7"/>
      <c r="E27" s="11"/>
      <c r="F27" s="19"/>
      <c r="G27" s="18"/>
      <c r="H27" s="7"/>
      <c r="I27" s="11"/>
      <c r="J27" s="19"/>
      <c r="K27" s="18"/>
      <c r="L27" s="7"/>
      <c r="M27" s="11"/>
      <c r="N27" s="19"/>
      <c r="O27" s="18"/>
      <c r="P27" s="7"/>
      <c r="Q27" s="11"/>
      <c r="R27" s="19"/>
      <c r="S27" s="18"/>
      <c r="T27" s="7"/>
      <c r="U27" s="11"/>
      <c r="V27" s="19"/>
      <c r="W27" s="18"/>
      <c r="X27" s="7"/>
      <c r="Y27" s="11"/>
      <c r="Z27" s="19"/>
    </row>
    <row r="28" spans="1:26" x14ac:dyDescent="0.3">
      <c r="A28" s="166" t="s">
        <v>2</v>
      </c>
      <c r="B28" s="30" t="s">
        <v>3</v>
      </c>
      <c r="C28" s="32">
        <v>5660</v>
      </c>
      <c r="D28" s="35">
        <v>0.53869999999999996</v>
      </c>
      <c r="E28" s="31">
        <f>2174+70</f>
        <v>2244</v>
      </c>
      <c r="F28" s="33">
        <v>0.56620000000000004</v>
      </c>
      <c r="G28" s="32">
        <f>4432+0</f>
        <v>4432</v>
      </c>
      <c r="H28" s="35">
        <v>0.42899999999999999</v>
      </c>
      <c r="I28" s="31">
        <f>1559+183</f>
        <v>1742</v>
      </c>
      <c r="J28" s="33">
        <v>0.42020000000000002</v>
      </c>
      <c r="K28" s="32"/>
      <c r="L28" s="35"/>
      <c r="M28" s="31">
        <f>82+159</f>
        <v>241</v>
      </c>
      <c r="N28" s="33">
        <v>5.6000000000000001E-2</v>
      </c>
      <c r="O28" s="32"/>
      <c r="P28" s="35"/>
      <c r="Q28" s="31"/>
      <c r="R28" s="33"/>
      <c r="S28" s="32"/>
      <c r="T28" s="35"/>
      <c r="U28" s="31"/>
      <c r="V28" s="33"/>
      <c r="W28" s="32"/>
      <c r="X28" s="35"/>
      <c r="Y28" s="31"/>
      <c r="Z28" s="33"/>
    </row>
    <row r="29" spans="1:26" x14ac:dyDescent="0.3">
      <c r="A29" s="166"/>
      <c r="B29" s="29" t="s">
        <v>29</v>
      </c>
      <c r="C29" s="18"/>
      <c r="D29" s="9"/>
      <c r="E29" s="11"/>
      <c r="F29" s="20"/>
      <c r="G29" s="18"/>
      <c r="H29" s="9"/>
      <c r="I29" s="11"/>
      <c r="J29" s="20"/>
      <c r="K29" s="18"/>
      <c r="L29" s="9"/>
      <c r="M29" s="11"/>
      <c r="N29" s="20"/>
      <c r="O29" s="18">
        <f>8782+0</f>
        <v>8782</v>
      </c>
      <c r="P29" s="9">
        <v>0.41099999999999998</v>
      </c>
      <c r="Q29" s="11">
        <f>2431+194</f>
        <v>2625</v>
      </c>
      <c r="R29" s="20">
        <v>0.46949999999999997</v>
      </c>
      <c r="S29" s="18">
        <f>8305+0</f>
        <v>8305</v>
      </c>
      <c r="T29" s="9">
        <v>0.39150000000000001</v>
      </c>
      <c r="U29" s="11">
        <f>1828+160</f>
        <v>1988</v>
      </c>
      <c r="V29" s="20">
        <v>0.34570000000000001</v>
      </c>
      <c r="W29" s="18">
        <f>3541+7</f>
        <v>3548</v>
      </c>
      <c r="X29" s="9">
        <v>0.16969999999999999</v>
      </c>
      <c r="Y29" s="11">
        <f>1024+353</f>
        <v>1377</v>
      </c>
      <c r="Z29" s="20">
        <v>0.22559999999999999</v>
      </c>
    </row>
    <row r="30" spans="1:26" x14ac:dyDescent="0.3">
      <c r="A30" s="166"/>
      <c r="B30" s="37" t="s">
        <v>30</v>
      </c>
      <c r="C30" s="32"/>
      <c r="D30" s="35"/>
      <c r="E30" s="31"/>
      <c r="F30" s="33"/>
      <c r="G30" s="32"/>
      <c r="H30" s="35"/>
      <c r="I30" s="31"/>
      <c r="J30" s="33"/>
      <c r="K30" s="32"/>
      <c r="L30" s="35"/>
      <c r="M30" s="31"/>
      <c r="N30" s="33"/>
      <c r="O30" s="32"/>
      <c r="P30" s="35"/>
      <c r="Q30" s="31"/>
      <c r="R30" s="33"/>
      <c r="S30" s="32">
        <f>4585+0</f>
        <v>4585</v>
      </c>
      <c r="T30" s="35">
        <v>0.69350000000000001</v>
      </c>
      <c r="U30" s="31">
        <f>1051+127</f>
        <v>1178</v>
      </c>
      <c r="V30" s="33">
        <v>0.73350000000000004</v>
      </c>
      <c r="W30" s="32">
        <f>1978</f>
        <v>1978</v>
      </c>
      <c r="X30" s="35">
        <v>0.30030000000000001</v>
      </c>
      <c r="Y30" s="31">
        <f>384+68</f>
        <v>452</v>
      </c>
      <c r="Z30" s="33">
        <v>0.27360000000000001</v>
      </c>
    </row>
    <row r="31" spans="1:26" x14ac:dyDescent="0.3">
      <c r="A31" s="166"/>
      <c r="B31" s="79" t="s">
        <v>4</v>
      </c>
      <c r="C31" s="18"/>
      <c r="D31" s="9"/>
      <c r="E31" s="11"/>
      <c r="F31" s="20"/>
      <c r="G31" s="18"/>
      <c r="H31" s="9"/>
      <c r="I31" s="11"/>
      <c r="J31" s="20"/>
      <c r="K31" s="18"/>
      <c r="L31" s="9"/>
      <c r="M31" s="11"/>
      <c r="N31" s="20"/>
      <c r="O31" s="18">
        <f>2816+0</f>
        <v>2816</v>
      </c>
      <c r="P31" s="9">
        <v>0.4425</v>
      </c>
      <c r="Q31" s="11">
        <f>546+15</f>
        <v>561</v>
      </c>
      <c r="R31" s="20">
        <v>0.34720000000000001</v>
      </c>
      <c r="S31" s="18">
        <f>3307+11</f>
        <v>3318</v>
      </c>
      <c r="T31" s="9">
        <v>0.53110000000000002</v>
      </c>
      <c r="U31" s="11">
        <f>1017+134</f>
        <v>1151</v>
      </c>
      <c r="V31" s="20">
        <v>0.65769999999999995</v>
      </c>
      <c r="W31" s="18"/>
      <c r="X31" s="9"/>
      <c r="Y31" s="11"/>
      <c r="Z31" s="20"/>
    </row>
    <row r="32" spans="1:26" x14ac:dyDescent="0.3">
      <c r="A32" s="166"/>
      <c r="B32" s="30" t="s">
        <v>5</v>
      </c>
      <c r="C32" s="32">
        <f>4919+0</f>
        <v>4919</v>
      </c>
      <c r="D32" s="35">
        <v>0.42659999999999998</v>
      </c>
      <c r="E32" s="31">
        <f>1066+60</f>
        <v>1126</v>
      </c>
      <c r="F32" s="33">
        <v>0.38519999999999999</v>
      </c>
      <c r="G32" s="32">
        <f>6027+0</f>
        <v>6027</v>
      </c>
      <c r="H32" s="35">
        <v>0.53259999999999996</v>
      </c>
      <c r="I32" s="31">
        <f>1638+281</f>
        <v>1919</v>
      </c>
      <c r="J32" s="33">
        <v>0.59889999999999999</v>
      </c>
      <c r="K32" s="32"/>
      <c r="L32" s="35"/>
      <c r="M32" s="31"/>
      <c r="N32" s="33"/>
      <c r="O32" s="32"/>
      <c r="P32" s="35"/>
      <c r="Q32" s="31"/>
      <c r="R32" s="33"/>
      <c r="S32" s="32"/>
      <c r="T32" s="35"/>
      <c r="U32" s="31"/>
      <c r="V32" s="33"/>
      <c r="W32" s="32"/>
      <c r="X32" s="35"/>
      <c r="Y32" s="31"/>
      <c r="Z32" s="33"/>
    </row>
    <row r="33" spans="1:67" x14ac:dyDescent="0.3">
      <c r="A33" s="166"/>
      <c r="B33" s="79" t="s">
        <v>6</v>
      </c>
      <c r="C33" s="18"/>
      <c r="D33" s="9"/>
      <c r="E33" s="11"/>
      <c r="F33" s="20"/>
      <c r="G33" s="18"/>
      <c r="H33" s="9"/>
      <c r="I33" s="11"/>
      <c r="J33" s="20"/>
      <c r="K33" s="18">
        <f>9642+0</f>
        <v>9642</v>
      </c>
      <c r="L33" s="9">
        <v>0.2863</v>
      </c>
      <c r="M33" s="11">
        <f>2518+133</f>
        <v>2651</v>
      </c>
      <c r="N33" s="20">
        <v>0.38650000000000001</v>
      </c>
      <c r="O33" s="18">
        <f>13285+0</f>
        <v>13285</v>
      </c>
      <c r="P33" s="9">
        <v>0.39629999999999999</v>
      </c>
      <c r="Q33" s="11">
        <f>2865+176</f>
        <v>3041</v>
      </c>
      <c r="R33" s="20">
        <v>0.433</v>
      </c>
      <c r="S33" s="18">
        <f>6305+0</f>
        <v>6305</v>
      </c>
      <c r="T33" s="9">
        <v>0.1883</v>
      </c>
      <c r="U33" s="11">
        <f>879+43</f>
        <v>922</v>
      </c>
      <c r="V33" s="20">
        <v>0.13039999999999999</v>
      </c>
      <c r="W33" s="18">
        <f>4046+0</f>
        <v>4046</v>
      </c>
      <c r="X33" s="9">
        <v>0.121</v>
      </c>
      <c r="Y33" s="11">
        <f>362+131</f>
        <v>493</v>
      </c>
      <c r="Z33" s="20">
        <v>6.8500000000000005E-2</v>
      </c>
    </row>
    <row r="34" spans="1:67" x14ac:dyDescent="0.3">
      <c r="A34" s="166"/>
      <c r="B34" s="30" t="s">
        <v>7</v>
      </c>
      <c r="C34" s="32"/>
      <c r="D34" s="35"/>
      <c r="E34" s="31"/>
      <c r="F34" s="33"/>
      <c r="G34" s="32"/>
      <c r="H34" s="35"/>
      <c r="I34" s="31"/>
      <c r="J34" s="33"/>
      <c r="K34" s="32">
        <f>5200+0</f>
        <v>5200</v>
      </c>
      <c r="L34" s="35">
        <v>0.71330000000000005</v>
      </c>
      <c r="M34" s="31">
        <f>1512+199</f>
        <v>1711</v>
      </c>
      <c r="N34" s="33">
        <v>0.85680000000000001</v>
      </c>
      <c r="O34" s="32">
        <f>1843+0</f>
        <v>1843</v>
      </c>
      <c r="P34" s="35">
        <v>0.25700000000000001</v>
      </c>
      <c r="Q34" s="31">
        <f>236+109</f>
        <v>345</v>
      </c>
      <c r="R34" s="33">
        <v>0.16300000000000001</v>
      </c>
      <c r="S34" s="32"/>
      <c r="T34" s="35"/>
      <c r="U34" s="31"/>
      <c r="V34" s="33"/>
      <c r="W34" s="32"/>
      <c r="X34" s="35"/>
      <c r="Y34" s="31"/>
      <c r="Z34" s="33"/>
    </row>
    <row r="35" spans="1:67" x14ac:dyDescent="0.3">
      <c r="A35" s="166"/>
      <c r="B35" s="79" t="s">
        <v>8</v>
      </c>
      <c r="C35" s="18">
        <f>4585+0</f>
        <v>4585</v>
      </c>
      <c r="D35" s="9">
        <v>0.28610000000000002</v>
      </c>
      <c r="E35" s="11">
        <f>4311+25</f>
        <v>4336</v>
      </c>
      <c r="F35" s="20">
        <v>0.218</v>
      </c>
      <c r="G35" s="18">
        <f>5401+0</f>
        <v>5401</v>
      </c>
      <c r="H35" s="9">
        <v>0.34289999999999998</v>
      </c>
      <c r="I35" s="11">
        <f>5150+53</f>
        <v>5203</v>
      </c>
      <c r="J35" s="20">
        <v>0.26079999999999998</v>
      </c>
      <c r="K35" s="18">
        <f>4275+0</f>
        <v>4275</v>
      </c>
      <c r="L35" s="9">
        <v>0.27329999999999999</v>
      </c>
      <c r="M35" s="11">
        <f>5144+222</f>
        <v>5366</v>
      </c>
      <c r="N35" s="20">
        <v>0.26619999999999999</v>
      </c>
      <c r="O35" s="18">
        <f>915+0</f>
        <v>915</v>
      </c>
      <c r="P35" s="9">
        <v>5.8999999999999997E-2</v>
      </c>
      <c r="Q35" s="11">
        <f>4413+201</f>
        <v>4614</v>
      </c>
      <c r="R35" s="20">
        <v>0.2266</v>
      </c>
      <c r="S35" s="18">
        <f>24+0</f>
        <v>24</v>
      </c>
      <c r="T35" s="9">
        <v>1.6000000000000001E-3</v>
      </c>
      <c r="U35" s="11">
        <f>456+32</f>
        <v>488</v>
      </c>
      <c r="V35" s="20">
        <v>2.41E-2</v>
      </c>
      <c r="W35" s="18"/>
      <c r="X35" s="9"/>
      <c r="Y35" s="11"/>
      <c r="Z35" s="20"/>
    </row>
    <row r="36" spans="1:67" x14ac:dyDescent="0.3">
      <c r="A36" s="167" t="s">
        <v>9</v>
      </c>
      <c r="B36" s="30" t="s">
        <v>10</v>
      </c>
      <c r="C36" s="32">
        <v>2246</v>
      </c>
      <c r="D36" s="35">
        <v>0.72709999999999997</v>
      </c>
      <c r="E36" s="31">
        <v>1974</v>
      </c>
      <c r="F36" s="33">
        <v>0.47899999999999998</v>
      </c>
      <c r="G36" s="32">
        <f>716+0</f>
        <v>716</v>
      </c>
      <c r="H36" s="35">
        <v>0.23480000000000001</v>
      </c>
      <c r="I36" s="31">
        <f>1967+75</f>
        <v>2042</v>
      </c>
      <c r="J36" s="33">
        <v>0.49299999999999999</v>
      </c>
      <c r="K36" s="32"/>
      <c r="L36" s="35"/>
      <c r="M36" s="31"/>
      <c r="N36" s="33"/>
      <c r="O36" s="32"/>
      <c r="P36" s="35"/>
      <c r="Q36" s="31"/>
      <c r="R36" s="33"/>
      <c r="S36" s="32"/>
      <c r="T36" s="35"/>
      <c r="U36" s="31"/>
      <c r="V36" s="33"/>
      <c r="W36" s="32"/>
      <c r="X36" s="35"/>
      <c r="Y36" s="31"/>
      <c r="Z36" s="33"/>
    </row>
    <row r="37" spans="1:67" x14ac:dyDescent="0.3">
      <c r="A37" s="168"/>
      <c r="B37" s="79" t="s">
        <v>13</v>
      </c>
      <c r="C37" s="18">
        <v>5003</v>
      </c>
      <c r="D37" s="9">
        <v>0.85360000000000003</v>
      </c>
      <c r="E37" s="11">
        <v>625</v>
      </c>
      <c r="F37" s="20">
        <v>0.94130000000000003</v>
      </c>
      <c r="G37" s="18">
        <f>746+0</f>
        <v>746</v>
      </c>
      <c r="H37" s="9">
        <v>0.12889999999999999</v>
      </c>
      <c r="I37" s="11">
        <f>21+89</f>
        <v>110</v>
      </c>
      <c r="J37" s="20">
        <v>0.14610000000000001</v>
      </c>
      <c r="K37" s="18"/>
      <c r="L37" s="9"/>
      <c r="M37" s="11"/>
      <c r="N37" s="20"/>
      <c r="O37" s="18"/>
      <c r="P37" s="9"/>
      <c r="Q37" s="11"/>
      <c r="R37" s="20"/>
      <c r="S37" s="18"/>
      <c r="T37" s="9"/>
      <c r="U37" s="11"/>
      <c r="V37" s="20"/>
      <c r="W37" s="18"/>
      <c r="X37" s="9"/>
      <c r="Y37" s="11"/>
      <c r="Z37" s="20"/>
    </row>
    <row r="38" spans="1:67" x14ac:dyDescent="0.3">
      <c r="A38" s="168"/>
      <c r="B38" s="30" t="s">
        <v>12</v>
      </c>
      <c r="C38" s="32"/>
      <c r="D38" s="35"/>
      <c r="E38" s="31"/>
      <c r="F38" s="33"/>
      <c r="G38" s="32"/>
      <c r="H38" s="35"/>
      <c r="I38" s="31"/>
      <c r="J38" s="33"/>
      <c r="K38" s="32">
        <f>5142+0</f>
        <v>5142</v>
      </c>
      <c r="L38" s="35">
        <v>0.9667</v>
      </c>
      <c r="M38" s="31">
        <f>1663+0</f>
        <v>1663</v>
      </c>
      <c r="N38" s="33">
        <v>0.90920000000000001</v>
      </c>
      <c r="O38" s="32">
        <f>50+26</f>
        <v>76</v>
      </c>
      <c r="P38" s="35">
        <v>1.44E-2</v>
      </c>
      <c r="Q38" s="31">
        <f>128+120</f>
        <v>248</v>
      </c>
      <c r="R38" s="33">
        <v>0.1278</v>
      </c>
      <c r="S38" s="32"/>
      <c r="T38" s="35"/>
      <c r="U38" s="31"/>
      <c r="V38" s="33"/>
      <c r="W38" s="32"/>
      <c r="X38" s="35"/>
      <c r="Y38" s="31"/>
      <c r="Z38" s="33"/>
    </row>
    <row r="39" spans="1:67" x14ac:dyDescent="0.3">
      <c r="A39" s="168"/>
      <c r="B39" s="79" t="s">
        <v>11</v>
      </c>
      <c r="C39" s="18">
        <f>483+0</f>
        <v>483</v>
      </c>
      <c r="D39" s="9">
        <v>1</v>
      </c>
      <c r="E39" s="11">
        <f>66+0</f>
        <v>66</v>
      </c>
      <c r="F39" s="20">
        <v>1</v>
      </c>
      <c r="G39" s="18"/>
      <c r="H39" s="9"/>
      <c r="I39" s="11"/>
      <c r="J39" s="20"/>
      <c r="K39" s="18"/>
      <c r="L39" s="9"/>
      <c r="M39" s="11"/>
      <c r="N39" s="20"/>
      <c r="O39" s="18"/>
      <c r="P39" s="9"/>
      <c r="Q39" s="11"/>
      <c r="R39" s="20"/>
      <c r="S39" s="18"/>
      <c r="T39" s="9"/>
      <c r="U39" s="11"/>
      <c r="V39" s="20"/>
      <c r="W39" s="18"/>
      <c r="X39" s="9"/>
      <c r="Y39" s="11"/>
      <c r="Z39" s="20"/>
    </row>
    <row r="40" spans="1:67" s="67" customFormat="1" x14ac:dyDescent="0.3">
      <c r="A40" s="168"/>
      <c r="B40" s="30" t="s">
        <v>34</v>
      </c>
      <c r="C40" s="32"/>
      <c r="D40" s="35"/>
      <c r="E40" s="31"/>
      <c r="F40" s="33"/>
      <c r="G40" s="32">
        <f>6338+0</f>
        <v>6338</v>
      </c>
      <c r="H40" s="35">
        <v>0.50670000000000004</v>
      </c>
      <c r="I40" s="31">
        <f>1844+111</f>
        <v>1955</v>
      </c>
      <c r="J40" s="33">
        <v>0.46260000000000001</v>
      </c>
      <c r="K40" s="32">
        <v>5697</v>
      </c>
      <c r="L40" s="35">
        <v>0.45900000000000002</v>
      </c>
      <c r="M40" s="31">
        <f>2041+95</f>
        <v>2136</v>
      </c>
      <c r="N40" s="33">
        <v>0.49430000000000002</v>
      </c>
      <c r="O40" s="32">
        <f>199+0</f>
        <v>199</v>
      </c>
      <c r="P40" s="35">
        <v>1.61E-2</v>
      </c>
      <c r="Q40" s="31">
        <f>92+55</f>
        <v>147</v>
      </c>
      <c r="R40" s="33">
        <v>3.3599999999999998E-2</v>
      </c>
      <c r="S40" s="32"/>
      <c r="T40" s="35"/>
      <c r="U40" s="31"/>
      <c r="V40" s="33"/>
      <c r="W40" s="32"/>
      <c r="X40" s="35"/>
      <c r="Y40" s="31"/>
      <c r="Z40" s="33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1:67" s="67" customFormat="1" ht="15" thickBot="1" x14ac:dyDescent="0.35">
      <c r="A41" s="169"/>
      <c r="B41" s="69" t="s">
        <v>28</v>
      </c>
      <c r="C41" s="125"/>
      <c r="D41" s="126"/>
      <c r="E41" s="127"/>
      <c r="F41" s="128"/>
      <c r="G41" s="125"/>
      <c r="H41" s="126"/>
      <c r="I41" s="127"/>
      <c r="J41" s="128"/>
      <c r="K41" s="125"/>
      <c r="L41" s="126"/>
      <c r="M41" s="127"/>
      <c r="N41" s="128"/>
      <c r="O41" s="125"/>
      <c r="P41" s="126"/>
      <c r="Q41" s="127"/>
      <c r="R41" s="128"/>
      <c r="S41" s="125">
        <f>5610+0</f>
        <v>5610</v>
      </c>
      <c r="T41" s="126">
        <v>0.47170000000000001</v>
      </c>
      <c r="U41" s="127">
        <f>1320+6</f>
        <v>1326</v>
      </c>
      <c r="V41" s="128">
        <v>0.51970000000000005</v>
      </c>
      <c r="W41" s="125">
        <f>5734+0</f>
        <v>5734</v>
      </c>
      <c r="X41" s="126">
        <v>0.49480000000000002</v>
      </c>
      <c r="Y41" s="127">
        <f>1348+380</f>
        <v>1728</v>
      </c>
      <c r="Z41" s="128">
        <v>0.49340000000000001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 ht="16.2" thickBot="1" x14ac:dyDescent="0.35">
      <c r="A42" s="42" t="s">
        <v>32</v>
      </c>
      <c r="B42" s="43"/>
      <c r="C42" s="42">
        <f>SUM(C27:C41)</f>
        <v>22896</v>
      </c>
      <c r="D42" s="129">
        <f>C42/C22</f>
        <v>0.15278973393926049</v>
      </c>
      <c r="E42" s="42">
        <f>SUM(E27:E41)</f>
        <v>10371</v>
      </c>
      <c r="F42" s="129">
        <f>E42/D22</f>
        <v>0.1686286624825209</v>
      </c>
      <c r="G42" s="42">
        <f>SUM(G27:G41)</f>
        <v>23660</v>
      </c>
      <c r="H42" s="129">
        <f>G42/C22</f>
        <v>0.15788806363569632</v>
      </c>
      <c r="I42" s="42">
        <f>SUM(I27:I41)</f>
        <v>12971</v>
      </c>
      <c r="J42" s="129">
        <f>I42/D22</f>
        <v>0.2109037104484407</v>
      </c>
      <c r="K42" s="42">
        <f>SUM(K27:K41)</f>
        <v>29956</v>
      </c>
      <c r="L42" s="129">
        <f>K42/C22</f>
        <v>0.19990257118642937</v>
      </c>
      <c r="M42" s="42">
        <f>SUM(M27:M41)</f>
        <v>13768</v>
      </c>
      <c r="N42" s="129">
        <f>M42/D22</f>
        <v>0.22386263861337843</v>
      </c>
      <c r="O42" s="42">
        <f>SUM(O27:O41)</f>
        <v>27916</v>
      </c>
      <c r="P42" s="129">
        <f>O42/C22</f>
        <v>0.1862892301121766</v>
      </c>
      <c r="Q42" s="42">
        <f>SUM(Q27:Q41)</f>
        <v>11581</v>
      </c>
      <c r="R42" s="129">
        <f>Q42/D22</f>
        <v>0.18830281942050664</v>
      </c>
      <c r="S42" s="109">
        <f>SUM(S27:S41)</f>
        <v>28147</v>
      </c>
      <c r="T42" s="111">
        <f>S42/C22</f>
        <v>0.18783074079264345</v>
      </c>
      <c r="U42" s="109">
        <f>SUM(U27:U41)</f>
        <v>7053</v>
      </c>
      <c r="V42" s="111">
        <f>U42/D22</f>
        <v>0.11467919742447399</v>
      </c>
      <c r="W42" s="109">
        <f>SUM(W27:W41)</f>
        <v>15306</v>
      </c>
      <c r="X42" s="111">
        <f>W42/C22</f>
        <v>0.10214009729534944</v>
      </c>
      <c r="Y42" s="109">
        <f>SUM(Y27:Y41)</f>
        <v>4050</v>
      </c>
      <c r="Z42" s="111">
        <f>Y42/D22</f>
        <v>6.5851517023836625E-2</v>
      </c>
    </row>
    <row r="43" spans="1:67" ht="15" thickTop="1" x14ac:dyDescent="0.3"/>
  </sheetData>
  <mergeCells count="17">
    <mergeCell ref="O25:R25"/>
    <mergeCell ref="S25:V25"/>
    <mergeCell ref="W25:Z25"/>
    <mergeCell ref="P4:S4"/>
    <mergeCell ref="A28:A35"/>
    <mergeCell ref="K25:N25"/>
    <mergeCell ref="C5:D5"/>
    <mergeCell ref="F5:G5"/>
    <mergeCell ref="I5:N5"/>
    <mergeCell ref="P5:S5"/>
    <mergeCell ref="I6:K6"/>
    <mergeCell ref="L6:N6"/>
    <mergeCell ref="A36:A41"/>
    <mergeCell ref="A8:A15"/>
    <mergeCell ref="A16:A21"/>
    <mergeCell ref="G25:J25"/>
    <mergeCell ref="C25:F25"/>
  </mergeCells>
  <phoneticPr fontId="11" type="noConversion"/>
  <conditionalFormatting sqref="M9:M11 M13:M15 M17:M21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{F85F53B0-F441-4073-924C-6D1A89A3FCA9}</x14:id>
        </ext>
      </extLst>
    </cfRule>
  </conditionalFormatting>
  <conditionalFormatting sqref="Q22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{0E68F17E-54B8-4966-88E3-6346DEAEFD34}</x14:id>
        </ext>
      </extLst>
    </cfRule>
  </conditionalFormatting>
  <conditionalFormatting sqref="Q22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{D54FAA8E-1AED-4324-8A34-1666AB477134}</x14:id>
        </ext>
      </extLst>
    </cfRule>
  </conditionalFormatting>
  <conditionalFormatting sqref="S22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{46D0DC39-0997-4E55-B96A-B8275EFF4C1A}</x14:id>
        </ext>
      </extLst>
    </cfRule>
  </conditionalFormatting>
  <conditionalFormatting sqref="S22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{27BBB57C-D5C2-4C6A-8A18-A2B60211284C}</x14:id>
        </ext>
      </extLst>
    </cfRule>
  </conditionalFormatting>
  <conditionalFormatting sqref="J9:J11 J17:J21 J13:J15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{4E3308D9-4BEC-42DF-9883-66B52EA2881F}</x14:id>
        </ext>
      </extLst>
    </cfRule>
  </conditionalFormatting>
  <conditionalFormatting sqref="M9:M11 M13:M15 M17:M21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{B260086F-0DA1-4DCF-9524-2A333678BEAB}</x14:id>
        </ext>
      </extLst>
    </cfRule>
  </conditionalFormatting>
  <conditionalFormatting sqref="M8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{A95B6ADE-EC39-43E5-8B94-9BF7CAC659CE}</x14:id>
        </ext>
      </extLst>
    </cfRule>
  </conditionalFormatting>
  <conditionalFormatting sqref="M8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{230B7F8E-48AC-491F-A603-40E1B3B3EA37}</x14:id>
        </ext>
      </extLst>
    </cfRule>
  </conditionalFormatting>
  <conditionalFormatting sqref="M12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{35A46E9A-756B-407B-A590-B2CDE24DB0C5}</x14:id>
        </ext>
      </extLst>
    </cfRule>
  </conditionalFormatting>
  <conditionalFormatting sqref="M12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{A4680BFF-8714-46C2-A7F8-DDF967AD1D99}</x14:id>
        </ext>
      </extLst>
    </cfRule>
  </conditionalFormatting>
  <conditionalFormatting sqref="J8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{AA9E467C-8228-4519-BD01-5F7BAB7944B3}</x14:id>
        </ext>
      </extLst>
    </cfRule>
  </conditionalFormatting>
  <conditionalFormatting sqref="J8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{88230218-C608-48D7-A201-30A0C3C140F5}</x14:id>
        </ext>
      </extLst>
    </cfRule>
  </conditionalFormatting>
  <conditionalFormatting sqref="J12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{41D4193B-4E90-4256-A8F9-07352432EEF2}</x14:id>
        </ext>
      </extLst>
    </cfRule>
  </conditionalFormatting>
  <conditionalFormatting sqref="J12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{9CBE3390-6C15-4FE0-A7C6-2378E81DBB90}</x14:id>
        </ext>
      </extLst>
    </cfRule>
  </conditionalFormatting>
  <conditionalFormatting sqref="J22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{7C6510AA-63A2-41B8-90FE-D35E504F4CFA}</x14:id>
        </ext>
      </extLst>
    </cfRule>
  </conditionalFormatting>
  <conditionalFormatting sqref="J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{C1283193-0475-4DB4-B01C-B863AD4F629D}</x14:id>
        </ext>
      </extLst>
    </cfRule>
  </conditionalFormatting>
  <conditionalFormatting sqref="M22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{6402BD57-5213-488F-87DF-13AF2428DE30}</x14:id>
        </ext>
      </extLst>
    </cfRule>
  </conditionalFormatting>
  <conditionalFormatting sqref="M2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{BB24A783-E60C-45DF-AD85-988C03ADA466}</x14:id>
        </ext>
      </extLst>
    </cfRule>
  </conditionalFormatting>
  <conditionalFormatting sqref="J15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{B919B1C9-8720-49A1-9A8E-BFA5F9F7EFB1}</x14:id>
        </ext>
      </extLst>
    </cfRule>
  </conditionalFormatting>
  <conditionalFormatting sqref="M1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{75257592-8287-4B0B-963D-D55D40F93AB5}</x14:id>
        </ext>
      </extLst>
    </cfRule>
    <cfRule type="colorScale" priority="82">
      <colorScale>
        <cfvo type="min"/>
        <cfvo type="max"/>
        <color rgb="FFFF7128"/>
        <color theme="0"/>
      </colorScale>
    </cfRule>
    <cfRule type="colorScale" priority="83">
      <colorScale>
        <cfvo type="min"/>
        <cfvo type="max"/>
        <color rgb="FFFF7128"/>
        <color theme="0"/>
      </colorScale>
    </cfRule>
  </conditionalFormatting>
  <conditionalFormatting sqref="M1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{BDC3C39E-CF8C-4498-889A-CE82FE14FFAA}</x14:id>
        </ext>
      </extLst>
    </cfRule>
  </conditionalFormatting>
  <conditionalFormatting sqref="J17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{AF6DABCA-EFBD-4DB7-A82E-1FAAD4F60B77}</x14:id>
        </ext>
      </extLst>
    </cfRule>
  </conditionalFormatting>
  <conditionalFormatting sqref="D42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{130DFF17-A90E-47F2-B841-C2A49C0554F2}</x14:id>
        </ext>
      </extLst>
    </cfRule>
  </conditionalFormatting>
  <conditionalFormatting sqref="D42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{1A14EEEB-1420-4617-8B27-CBEB9565F777}</x14:id>
        </ext>
      </extLst>
    </cfRule>
  </conditionalFormatting>
  <conditionalFormatting sqref="F42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{3B8952C7-E92C-4F70-9958-E295980CA133}</x14:id>
        </ext>
      </extLst>
    </cfRule>
  </conditionalFormatting>
  <conditionalFormatting sqref="F42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{87078707-485A-4B23-B0C9-2078B9E11E3B}</x14:id>
        </ext>
      </extLst>
    </cfRule>
  </conditionalFormatting>
  <conditionalFormatting sqref="J16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{48EC497E-49DF-4CC3-8D54-3ED463DAF2E5}</x14:id>
        </ext>
      </extLst>
    </cfRule>
  </conditionalFormatting>
  <conditionalFormatting sqref="M16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{DFFCB2E7-F33F-4C3E-9ED5-AB327EA9053B}</x14:id>
        </ext>
      </extLst>
    </cfRule>
  </conditionalFormatting>
  <conditionalFormatting sqref="J2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{3B50431D-0B19-4445-81A2-CA2317AA4270}</x14:id>
        </ext>
      </extLst>
    </cfRule>
  </conditionalFormatting>
  <conditionalFormatting sqref="M2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{7A3E2AA9-C4FF-4009-A483-BAE9E81FB86A}</x14:id>
        </ext>
      </extLst>
    </cfRule>
  </conditionalFormatting>
  <conditionalFormatting sqref="H42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{E14E127B-C54E-421D-AA38-0A9DC848D3E1}</x14:id>
        </ext>
      </extLst>
    </cfRule>
  </conditionalFormatting>
  <conditionalFormatting sqref="H42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{4C29FAAD-0977-41FA-A09A-0C55ABC34BF9}</x14:id>
        </ext>
      </extLst>
    </cfRule>
  </conditionalFormatting>
  <conditionalFormatting sqref="J42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{5C10889C-2280-48C7-89EF-A944DC8E469A}</x14:id>
        </ext>
      </extLst>
    </cfRule>
  </conditionalFormatting>
  <conditionalFormatting sqref="J42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{EBE84A14-A67C-4BDD-8030-3235E67BDD78}</x14:id>
        </ext>
      </extLst>
    </cfRule>
  </conditionalFormatting>
  <conditionalFormatting sqref="J18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{A5F54005-0BD4-4881-A71E-8EEB80510057}</x14:id>
        </ext>
      </extLst>
    </cfRule>
  </conditionalFormatting>
  <conditionalFormatting sqref="M18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{C7E313C9-76C9-4129-ADDD-09E7E7CC48B0}</x14:id>
        </ext>
      </extLst>
    </cfRule>
  </conditionalFormatting>
  <conditionalFormatting sqref="J1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{BA084869-DF98-474A-9B36-45C107E0F552}</x14:id>
        </ext>
      </extLst>
    </cfRule>
  </conditionalFormatting>
  <conditionalFormatting sqref="M1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{AEFBC51E-1844-4589-AAC1-E01D36A79681}</x14:id>
        </ext>
      </extLst>
    </cfRule>
  </conditionalFormatting>
  <conditionalFormatting sqref="L4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{BC2F57C7-DD02-40B0-BD06-02EABC0BC63B}</x14:id>
        </ext>
      </extLst>
    </cfRule>
  </conditionalFormatting>
  <conditionalFormatting sqref="L4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{C49DAAE9-DD49-45A9-B8BB-A66C0DBBA608}</x14:id>
        </ext>
      </extLst>
    </cfRule>
  </conditionalFormatting>
  <conditionalFormatting sqref="N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{B1095E1B-229D-42E4-BFB5-9230D03E3C65}</x14:id>
        </ext>
      </extLst>
    </cfRule>
  </conditionalFormatting>
  <conditionalFormatting sqref="N4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{D2D014E2-C332-4734-A3DA-6DD2C317EFBC}</x14:id>
        </ext>
      </extLst>
    </cfRule>
  </conditionalFormatting>
  <conditionalFormatting sqref="M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{6B45E174-FB5C-46B1-B52E-9A480B6F2423}</x14:id>
        </ext>
      </extLst>
    </cfRule>
  </conditionalFormatting>
  <conditionalFormatting sqref="J13">
    <cfRule type="dataBar" priority="4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{757F65FD-523A-4EA6-8F53-AB49AE4E5302}</x14:id>
        </ext>
      </extLst>
    </cfRule>
    <cfRule type="dataBar" priority="4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{413C6D17-F454-42E5-8E4F-E611EDB2612E}</x14:id>
        </ext>
      </extLst>
    </cfRule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{5821F076-23D0-4DF1-8B57-A4895F2D670E}</x14:id>
        </ext>
      </extLst>
    </cfRule>
  </conditionalFormatting>
  <conditionalFormatting sqref="J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{FAF105B3-EB27-406F-9E2A-1138DF5B6A91}</x14:id>
        </ext>
      </extLst>
    </cfRule>
  </conditionalFormatting>
  <conditionalFormatting sqref="J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{EB0A328A-1DF8-4FD0-B664-BA51DAD63F2D}</x14:id>
        </ext>
      </extLst>
    </cfRule>
  </conditionalFormatting>
  <conditionalFormatting sqref="M9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{4415C81E-C9C7-481C-A8F6-3CC4C4FE1919}</x14:id>
        </ext>
      </extLst>
    </cfRule>
  </conditionalFormatting>
  <conditionalFormatting sqref="J1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{4B112A90-EB72-4262-9E14-E17F81E4EC13}</x14:id>
        </ext>
      </extLst>
    </cfRule>
  </conditionalFormatting>
  <conditionalFormatting sqref="M1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{F4843C7D-023E-4014-899F-2D4B306B9CC0}</x14:id>
        </ext>
      </extLst>
    </cfRule>
  </conditionalFormatting>
  <conditionalFormatting sqref="P42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{E96AC4FB-C48A-4E0D-9428-E898B49DB64A}</x14:id>
        </ext>
      </extLst>
    </cfRule>
  </conditionalFormatting>
  <conditionalFormatting sqref="P4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{8E17DAD5-70F9-44A8-8E5D-F430BB77A6A5}</x14:id>
        </ext>
      </extLst>
    </cfRule>
  </conditionalFormatting>
  <conditionalFormatting sqref="R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{37133A08-6E19-4EDD-9FD2-4E5F526FD4B0}</x14:id>
        </ext>
      </extLst>
    </cfRule>
  </conditionalFormatting>
  <conditionalFormatting sqref="R4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{5013476E-5897-4FA9-A4AF-AD7343FC6182}</x14:id>
        </ext>
      </extLst>
    </cfRule>
  </conditionalFormatting>
  <conditionalFormatting sqref="J21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{7B2BB26E-8418-4C6F-9A07-6033295B765F}</x14:id>
        </ext>
      </extLst>
    </cfRule>
  </conditionalFormatting>
  <conditionalFormatting sqref="M21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{C7ACC6EF-E471-459D-9F15-8BCBA8C0B7C2}</x14:id>
        </ext>
      </extLst>
    </cfRule>
  </conditionalFormatting>
  <conditionalFormatting sqref="J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{B5D73AD4-A220-4436-9B55-B3EEF78E14B3}</x14:id>
        </ext>
      </extLst>
    </cfRule>
  </conditionalFormatting>
  <conditionalFormatting sqref="M1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{D6A6D8F5-82E9-4926-A888-A08EE3EB9E5E}</x14:id>
        </ext>
      </extLst>
    </cfRule>
  </conditionalFormatting>
  <conditionalFormatting sqref="T4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{833B1AEE-6894-4ED2-B834-416491A122E5}</x14:id>
        </ext>
      </extLst>
    </cfRule>
  </conditionalFormatting>
  <conditionalFormatting sqref="T4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{C08FE732-FC9D-4220-8390-BCE3DE077255}</x14:id>
        </ext>
      </extLst>
    </cfRule>
  </conditionalFormatting>
  <conditionalFormatting sqref="V4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{6685FBC8-BFBF-4EED-B3E4-B5369C20D773}</x14:id>
        </ext>
      </extLst>
    </cfRule>
  </conditionalFormatting>
  <conditionalFormatting sqref="V4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{80572641-E643-45D8-852F-215BFCF952FE}</x14:id>
        </ext>
      </extLst>
    </cfRule>
  </conditionalFormatting>
  <conditionalFormatting sqref="X4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{39B4430D-1444-46B3-B1A2-8F1261F45ED3}</x14:id>
        </ext>
      </extLst>
    </cfRule>
  </conditionalFormatting>
  <conditionalFormatting sqref="X4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{0B1AC9EC-0479-43FA-999B-BA664C161AA4}</x14:id>
        </ext>
      </extLst>
    </cfRule>
  </conditionalFormatting>
  <conditionalFormatting sqref="Z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{73A00BA3-6693-4EF0-A324-B5B9F5D8C997}</x14:id>
        </ext>
      </extLst>
    </cfRule>
  </conditionalFormatting>
  <conditionalFormatting sqref="Z4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{8CFF60A5-EA18-46D4-9C4F-BA49FD04E9AA}</x14:id>
        </ext>
      </extLst>
    </cfRule>
  </conditionalFormatting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F53B0-F441-4073-924C-6D1A89A3FC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M9:M11 M13:M15 M17:M21</xm:sqref>
        </x14:conditionalFormatting>
        <x14:conditionalFormatting xmlns:xm="http://schemas.microsoft.com/office/excel/2006/main">
          <x14:cfRule type="dataBar" id="{0E68F17E-54B8-4966-88E3-6346DEAEFD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D54FAA8E-1AED-4324-8A34-1666AB4771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Q22</xm:sqref>
        </x14:conditionalFormatting>
        <x14:conditionalFormatting xmlns:xm="http://schemas.microsoft.com/office/excel/2006/main">
          <x14:cfRule type="dataBar" id="{46D0DC39-0997-4E55-B96A-B8275EFF4C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S22</xm:sqref>
        </x14:conditionalFormatting>
        <x14:conditionalFormatting xmlns:xm="http://schemas.microsoft.com/office/excel/2006/main">
          <x14:cfRule type="dataBar" id="{27BBB57C-D5C2-4C6A-8A18-A2B6021128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S22</xm:sqref>
        </x14:conditionalFormatting>
        <x14:conditionalFormatting xmlns:xm="http://schemas.microsoft.com/office/excel/2006/main">
          <x14:cfRule type="dataBar" id="{4E3308D9-4BEC-42DF-9883-66B52EA288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J9:J11 J17:J21 J13:J15</xm:sqref>
        </x14:conditionalFormatting>
        <x14:conditionalFormatting xmlns:xm="http://schemas.microsoft.com/office/excel/2006/main">
          <x14:cfRule type="dataBar" id="{B260086F-0DA1-4DCF-9524-2A333678BE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M9:M11 M13:M15 M17:M21</xm:sqref>
        </x14:conditionalFormatting>
        <x14:conditionalFormatting xmlns:xm="http://schemas.microsoft.com/office/excel/2006/main">
          <x14:cfRule type="dataBar" id="{A95B6ADE-EC39-43E5-8B94-9BF7CAC659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230B7F8E-48AC-491F-A603-40E1B3B3EA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35A46E9A-756B-407B-A590-B2CDE24DB0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A4680BFF-8714-46C2-A7F8-DDF967AD1D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AA9E467C-8228-4519-BD01-5F7BAB7944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88230218-C608-48D7-A201-30A0C3C140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41D4193B-4E90-4256-A8F9-07352432EE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9CBE3390-6C15-4FE0-A7C6-2378E81DBB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7C6510AA-63A2-41B8-90FE-D35E504F4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C1283193-0475-4DB4-B01C-B863AD4F62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6402BD57-5213-488F-87DF-13AF2428DE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BB24A783-E60C-45DF-AD85-988C03ADA4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B919B1C9-8720-49A1-9A8E-BFA5F9F7EFB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75257592-8287-4B0B-963D-D55D40F93A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BDC3C39E-CF8C-4498-889A-CE82FE14FF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M17</xm:sqref>
        </x14:conditionalFormatting>
        <x14:conditionalFormatting xmlns:xm="http://schemas.microsoft.com/office/excel/2006/main">
          <x14:cfRule type="dataBar" id="{AF6DABCA-EFBD-4DB7-A82E-1FAAD4F60B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130DFF17-A90E-47F2-B841-C2A49C0554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A14EEEB-1420-4617-8B27-CBEB9565F7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3B8952C7-E92C-4F70-9958-E295980CA1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87078707-485A-4B23-B0C9-2078B9E11E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F42</xm:sqref>
        </x14:conditionalFormatting>
        <x14:conditionalFormatting xmlns:xm="http://schemas.microsoft.com/office/excel/2006/main">
          <x14:cfRule type="dataBar" id="{48EC497E-49DF-4CC3-8D54-3ED463DAF2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DFFCB2E7-F33F-4C3E-9ED5-AB327EA905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M16</xm:sqref>
        </x14:conditionalFormatting>
        <x14:conditionalFormatting xmlns:xm="http://schemas.microsoft.com/office/excel/2006/main">
          <x14:cfRule type="dataBar" id="{3B50431D-0B19-4445-81A2-CA2317AA42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7A3E2AA9-C4FF-4009-A483-BAE9E81FB8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E14E127B-C54E-421D-AA38-0A9DC848D3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4C29FAAD-0977-41FA-A09A-0C55ABC34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H42</xm:sqref>
        </x14:conditionalFormatting>
        <x14:conditionalFormatting xmlns:xm="http://schemas.microsoft.com/office/excel/2006/main">
          <x14:cfRule type="dataBar" id="{5C10889C-2280-48C7-89EF-A944DC8E46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EBE84A14-A67C-4BDD-8030-3235E67BDD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A5F54005-0BD4-4881-A71E-8EEB805100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C7E313C9-76C9-4129-ADDD-09E7E7CC4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M18</xm:sqref>
        </x14:conditionalFormatting>
        <x14:conditionalFormatting xmlns:xm="http://schemas.microsoft.com/office/excel/2006/main">
          <x14:cfRule type="dataBar" id="{BA084869-DF98-474A-9B36-45C107E0F5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AEFBC51E-1844-4589-AAC1-E01D36A796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BC2F57C7-DD02-40B0-BD06-02EABC0BC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C49DAAE9-DD49-45A9-B8BB-A66C0DBBA6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</xm:sqref>
        </x14:conditionalFormatting>
        <x14:conditionalFormatting xmlns:xm="http://schemas.microsoft.com/office/excel/2006/main">
          <x14:cfRule type="dataBar" id="{B1095E1B-229D-42E4-BFB5-9230D03E3C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N42</xm:sqref>
        </x14:conditionalFormatting>
        <x14:conditionalFormatting xmlns:xm="http://schemas.microsoft.com/office/excel/2006/main">
          <x14:cfRule type="dataBar" id="{D2D014E2-C332-4734-A3DA-6DD2C317EF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N42</xm:sqref>
        </x14:conditionalFormatting>
        <x14:conditionalFormatting xmlns:xm="http://schemas.microsoft.com/office/excel/2006/main">
          <x14:cfRule type="dataBar" id="{6B45E174-FB5C-46B1-B52E-9A480B6F2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M13</xm:sqref>
        </x14:conditionalFormatting>
        <x14:conditionalFormatting xmlns:xm="http://schemas.microsoft.com/office/excel/2006/main">
          <x14:cfRule type="dataBar" id="{757F65FD-523A-4EA6-8F53-AB49AE4E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3C6D17-F454-42E5-8E4F-E611EDB2612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21F076-23D0-4DF1-8B57-A4895F2D670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FAF105B3-EB27-406F-9E2A-1138DF5B6A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EB0A328A-1DF8-4FD0-B664-BA51DAD63F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4415C81E-C9C7-481C-A8F6-3CC4C4FE19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4B112A90-EB72-4262-9E14-E17F81E4EC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F4843C7D-023E-4014-899F-2D4B306B9C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E96AC4FB-C48A-4E0D-9428-E898B49DB6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P42</xm:sqref>
        </x14:conditionalFormatting>
        <x14:conditionalFormatting xmlns:xm="http://schemas.microsoft.com/office/excel/2006/main">
          <x14:cfRule type="dataBar" id="{8E17DAD5-70F9-44A8-8E5D-F430BB77A6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P42</xm:sqref>
        </x14:conditionalFormatting>
        <x14:conditionalFormatting xmlns:xm="http://schemas.microsoft.com/office/excel/2006/main">
          <x14:cfRule type="dataBar" id="{37133A08-6E19-4EDD-9FD2-4E5F526FD4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R42</xm:sqref>
        </x14:conditionalFormatting>
        <x14:conditionalFormatting xmlns:xm="http://schemas.microsoft.com/office/excel/2006/main">
          <x14:cfRule type="dataBar" id="{5013476E-5897-4FA9-A4AF-AD7343FC61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R42</xm:sqref>
        </x14:conditionalFormatting>
        <x14:conditionalFormatting xmlns:xm="http://schemas.microsoft.com/office/excel/2006/main">
          <x14:cfRule type="dataBar" id="{7B2BB26E-8418-4C6F-9A07-6033295B76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C7ACC6EF-E471-459D-9F15-8BCBA8C0B7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M21</xm:sqref>
        </x14:conditionalFormatting>
        <x14:conditionalFormatting xmlns:xm="http://schemas.microsoft.com/office/excel/2006/main">
          <x14:cfRule type="dataBar" id="{B5D73AD4-A220-4436-9B55-B3EEF78E14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D6A6D8F5-82E9-4926-A888-A08EE3EB9E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833B1AEE-6894-4ED2-B834-416491A122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C08FE732-FC9D-4220-8390-BCE3DE0772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T42</xm:sqref>
        </x14:conditionalFormatting>
        <x14:conditionalFormatting xmlns:xm="http://schemas.microsoft.com/office/excel/2006/main">
          <x14:cfRule type="dataBar" id="{6685FBC8-BFBF-4EED-B3E4-B5369C20D7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V42</xm:sqref>
        </x14:conditionalFormatting>
        <x14:conditionalFormatting xmlns:xm="http://schemas.microsoft.com/office/excel/2006/main">
          <x14:cfRule type="dataBar" id="{80572641-E643-45D8-852F-215BFCF95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V42</xm:sqref>
        </x14:conditionalFormatting>
        <x14:conditionalFormatting xmlns:xm="http://schemas.microsoft.com/office/excel/2006/main">
          <x14:cfRule type="dataBar" id="{39B4430D-1444-46B3-B1A2-8F1261F45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X42</xm:sqref>
        </x14:conditionalFormatting>
        <x14:conditionalFormatting xmlns:xm="http://schemas.microsoft.com/office/excel/2006/main">
          <x14:cfRule type="dataBar" id="{0B1AC9EC-0479-43FA-999B-BA664C161A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X42</xm:sqref>
        </x14:conditionalFormatting>
        <x14:conditionalFormatting xmlns:xm="http://schemas.microsoft.com/office/excel/2006/main">
          <x14:cfRule type="dataBar" id="{73A00BA3-6693-4EF0-A324-B5B9F5D8C9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Z42</xm:sqref>
        </x14:conditionalFormatting>
        <x14:conditionalFormatting xmlns:xm="http://schemas.microsoft.com/office/excel/2006/main">
          <x14:cfRule type="dataBar" id="{8CFF60A5-EA18-46D4-9C4F-BA49FD04E9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4BD5-2B3F-4018-AB54-919D408CAF57}">
  <sheetPr>
    <tabColor theme="6"/>
  </sheetPr>
  <dimension ref="A1:BO25"/>
  <sheetViews>
    <sheetView zoomScale="70" zoomScaleNormal="70" workbookViewId="0">
      <selection activeCell="BB24" sqref="BB24"/>
    </sheetView>
  </sheetViews>
  <sheetFormatPr defaultRowHeight="14.4" x14ac:dyDescent="0.3"/>
  <cols>
    <col min="1" max="1" width="19.44140625" customWidth="1"/>
    <col min="2" max="2" width="24.44140625" bestFit="1" customWidth="1"/>
    <col min="3" max="3" width="12.109375" bestFit="1" customWidth="1"/>
    <col min="4" max="4" width="12.33203125" bestFit="1" customWidth="1"/>
    <col min="5" max="5" width="15.88671875" bestFit="1" customWidth="1"/>
    <col min="6" max="8" width="11" customWidth="1"/>
    <col min="9" max="9" width="13.44140625" bestFit="1" customWidth="1"/>
    <col min="10" max="10" width="9.6640625" bestFit="1" customWidth="1"/>
    <col min="11" max="11" width="12.109375" bestFit="1" customWidth="1"/>
    <col min="12" max="12" width="12.6640625" bestFit="1" customWidth="1"/>
    <col min="13" max="13" width="13.44140625" bestFit="1" customWidth="1"/>
    <col min="14" max="14" width="12.109375" bestFit="1" customWidth="1"/>
    <col min="15" max="16" width="10.88671875" bestFit="1" customWidth="1"/>
    <col min="17" max="17" width="12.33203125" bestFit="1" customWidth="1"/>
    <col min="18" max="19" width="10.88671875" bestFit="1" customWidth="1"/>
    <col min="20" max="20" width="9.33203125" bestFit="1" customWidth="1"/>
    <col min="21" max="21" width="10.88671875" bestFit="1" customWidth="1"/>
    <col min="22" max="22" width="10.109375" bestFit="1" customWidth="1"/>
    <col min="23" max="23" width="9.44140625" bestFit="1" customWidth="1"/>
    <col min="24" max="24" width="10.109375" bestFit="1" customWidth="1"/>
    <col min="25" max="25" width="10.6640625" bestFit="1" customWidth="1"/>
    <col min="26" max="26" width="11" bestFit="1" customWidth="1"/>
    <col min="27" max="27" width="11.33203125" bestFit="1" customWidth="1"/>
    <col min="29" max="29" width="14.6640625" bestFit="1" customWidth="1"/>
    <col min="30" max="30" width="11.109375" bestFit="1" customWidth="1"/>
    <col min="31" max="31" width="10.88671875" bestFit="1" customWidth="1"/>
    <col min="32" max="32" width="14.88671875" bestFit="1" customWidth="1"/>
    <col min="33" max="33" width="10.88671875" bestFit="1" customWidth="1"/>
    <col min="34" max="34" width="9.109375" bestFit="1" customWidth="1"/>
    <col min="35" max="35" width="10.88671875" bestFit="1" customWidth="1"/>
    <col min="36" max="36" width="14.88671875" bestFit="1" customWidth="1"/>
    <col min="37" max="37" width="10.109375" bestFit="1" customWidth="1"/>
    <col min="41" max="41" width="10.109375" customWidth="1"/>
    <col min="45" max="45" width="10.109375" bestFit="1" customWidth="1"/>
    <col min="46" max="46" width="9.109375" bestFit="1" customWidth="1"/>
    <col min="49" max="49" width="10.109375" bestFit="1" customWidth="1"/>
    <col min="53" max="53" width="10.109375" bestFit="1" customWidth="1"/>
    <col min="54" max="54" width="15.33203125" bestFit="1" customWidth="1"/>
  </cols>
  <sheetData>
    <row r="1" spans="1:64" ht="24" thickBot="1" x14ac:dyDescent="0.5">
      <c r="A1" s="76" t="s">
        <v>43</v>
      </c>
    </row>
    <row r="2" spans="1:64" ht="21" thickTop="1" thickBot="1" x14ac:dyDescent="0.45">
      <c r="A2" s="71" t="s">
        <v>35</v>
      </c>
      <c r="B2" s="78">
        <v>44187</v>
      </c>
    </row>
    <row r="3" spans="1:64" ht="18.600000000000001" thickTop="1" thickBot="1" x14ac:dyDescent="0.4">
      <c r="A3" s="72" t="s">
        <v>37</v>
      </c>
      <c r="B3" t="s">
        <v>33</v>
      </c>
    </row>
    <row r="4" spans="1:64" ht="15.6" thickTop="1" thickBot="1" x14ac:dyDescent="0.35"/>
    <row r="5" spans="1:64" x14ac:dyDescent="0.3">
      <c r="A5" s="73"/>
      <c r="B5" s="117" t="s">
        <v>22</v>
      </c>
      <c r="C5" s="184" t="s">
        <v>42</v>
      </c>
      <c r="D5" s="185"/>
      <c r="F5" s="186" t="s">
        <v>41</v>
      </c>
      <c r="G5" s="187"/>
      <c r="I5" s="188" t="s">
        <v>40</v>
      </c>
      <c r="J5" s="189"/>
      <c r="K5" s="189"/>
      <c r="L5" s="189"/>
      <c r="M5" s="189"/>
      <c r="N5" s="190"/>
      <c r="P5" s="163">
        <v>44187</v>
      </c>
      <c r="Q5" s="164"/>
      <c r="R5" s="164"/>
      <c r="S5" s="165"/>
    </row>
    <row r="6" spans="1:64" x14ac:dyDescent="0.3">
      <c r="A6" s="25"/>
      <c r="B6" s="79" t="s">
        <v>23</v>
      </c>
      <c r="C6" s="79" t="s">
        <v>1</v>
      </c>
      <c r="D6" s="24" t="s">
        <v>0</v>
      </c>
      <c r="F6" s="104" t="s">
        <v>1</v>
      </c>
      <c r="G6" s="105" t="s">
        <v>0</v>
      </c>
      <c r="I6" s="177" t="s">
        <v>1</v>
      </c>
      <c r="J6" s="181"/>
      <c r="K6" s="191"/>
      <c r="L6" s="192" t="s">
        <v>0</v>
      </c>
      <c r="M6" s="181"/>
      <c r="N6" s="182"/>
      <c r="P6" s="16" t="s">
        <v>1</v>
      </c>
      <c r="Q6" s="6" t="s">
        <v>20</v>
      </c>
      <c r="R6" s="10" t="s">
        <v>0</v>
      </c>
      <c r="S6" s="17" t="s">
        <v>19</v>
      </c>
    </row>
    <row r="7" spans="1:64" ht="15" thickBot="1" x14ac:dyDescent="0.35">
      <c r="A7" s="23" t="s">
        <v>25</v>
      </c>
      <c r="B7" s="79" t="s">
        <v>24</v>
      </c>
      <c r="C7" s="79"/>
      <c r="D7" s="24"/>
      <c r="F7" s="103"/>
      <c r="G7" s="26"/>
      <c r="I7" s="38" t="s">
        <v>33</v>
      </c>
      <c r="J7" s="39" t="s">
        <v>20</v>
      </c>
      <c r="K7" s="39" t="s">
        <v>21</v>
      </c>
      <c r="L7" s="41" t="s">
        <v>33</v>
      </c>
      <c r="M7" s="39" t="s">
        <v>19</v>
      </c>
      <c r="N7" s="40" t="s">
        <v>21</v>
      </c>
      <c r="P7" s="18"/>
      <c r="Q7" s="7"/>
      <c r="R7" s="11"/>
      <c r="S7" s="20"/>
    </row>
    <row r="8" spans="1:64" ht="16.2" thickBot="1" x14ac:dyDescent="0.35">
      <c r="A8" s="171" t="s">
        <v>14</v>
      </c>
      <c r="B8" s="30" t="s">
        <v>15</v>
      </c>
      <c r="C8" s="31">
        <v>26010</v>
      </c>
      <c r="D8" s="97">
        <v>6838</v>
      </c>
      <c r="F8" s="103">
        <f t="shared" ref="F8:F13" si="0">C8/(C8+D8)</f>
        <v>0.79182903068679977</v>
      </c>
      <c r="G8" s="28">
        <f t="shared" ref="G8:G13" si="1">D8/(D8+C8)</f>
        <v>0.2081709693132002</v>
      </c>
      <c r="I8" s="32">
        <f>25993</f>
        <v>25993</v>
      </c>
      <c r="J8" s="70">
        <f>IFERROR(I8/C8, 0)</f>
        <v>0.99934640522875817</v>
      </c>
      <c r="K8" s="35" t="s">
        <v>27</v>
      </c>
      <c r="L8" s="31">
        <f>6708+31</f>
        <v>6739</v>
      </c>
      <c r="M8" s="70">
        <f>IFERROR(L8/D8, 0)</f>
        <v>0.98552208248025741</v>
      </c>
      <c r="N8" s="33" t="s">
        <v>27</v>
      </c>
      <c r="P8" s="32"/>
      <c r="Q8" s="35"/>
      <c r="R8" s="31"/>
      <c r="S8" s="33"/>
    </row>
    <row r="9" spans="1:64" ht="16.8" thickTop="1" thickBot="1" x14ac:dyDescent="0.35">
      <c r="A9" s="193"/>
      <c r="B9" s="68" t="s">
        <v>31</v>
      </c>
      <c r="C9" s="63">
        <v>26578</v>
      </c>
      <c r="D9" s="100">
        <v>10411</v>
      </c>
      <c r="F9" s="103">
        <f t="shared" si="0"/>
        <v>0.71853794371299573</v>
      </c>
      <c r="G9" s="28">
        <f t="shared" si="1"/>
        <v>0.28146205628700427</v>
      </c>
      <c r="I9" s="61">
        <v>26483</v>
      </c>
      <c r="J9" s="70">
        <f>IFERROR(I9/C9, 0)</f>
        <v>0.9964256151704417</v>
      </c>
      <c r="K9" s="35" t="s">
        <v>27</v>
      </c>
      <c r="L9" s="63">
        <f>10154+149</f>
        <v>10303</v>
      </c>
      <c r="M9" s="70">
        <f>IFERROR(L9/D9, 0)</f>
        <v>0.98962635673806554</v>
      </c>
      <c r="N9" s="33" t="s">
        <v>27</v>
      </c>
      <c r="P9" s="61"/>
      <c r="Q9" s="62"/>
      <c r="R9" s="63"/>
      <c r="S9" s="64"/>
    </row>
    <row r="10" spans="1:64" ht="15" thickTop="1" x14ac:dyDescent="0.3">
      <c r="A10" s="171" t="s">
        <v>16</v>
      </c>
      <c r="B10" s="30" t="s">
        <v>17</v>
      </c>
      <c r="C10" s="31"/>
      <c r="D10" s="97">
        <v>5215</v>
      </c>
      <c r="F10" s="103">
        <f t="shared" si="0"/>
        <v>0</v>
      </c>
      <c r="G10" s="28">
        <f t="shared" si="1"/>
        <v>1</v>
      </c>
      <c r="I10" s="32"/>
      <c r="J10" s="35"/>
      <c r="K10" s="35"/>
      <c r="L10" s="31">
        <f>5118+18</f>
        <v>5136</v>
      </c>
      <c r="M10" s="35">
        <f>L10/D10</f>
        <v>0.98485139022051771</v>
      </c>
      <c r="N10" s="33" t="s">
        <v>27</v>
      </c>
      <c r="P10" s="32"/>
      <c r="Q10" s="35"/>
      <c r="R10" s="31"/>
      <c r="S10" s="33"/>
    </row>
    <row r="11" spans="1:64" x14ac:dyDescent="0.3">
      <c r="A11" s="172"/>
      <c r="B11" s="54" t="s">
        <v>18</v>
      </c>
      <c r="C11" s="55"/>
      <c r="D11" s="101">
        <v>17454</v>
      </c>
      <c r="F11" s="103">
        <f t="shared" si="0"/>
        <v>0</v>
      </c>
      <c r="G11" s="28">
        <f t="shared" si="1"/>
        <v>1</v>
      </c>
      <c r="I11" s="61"/>
      <c r="J11" s="62"/>
      <c r="K11" s="62"/>
      <c r="L11" s="63">
        <f>16996+49</f>
        <v>17045</v>
      </c>
      <c r="M11" s="35">
        <f>L11/D11</f>
        <v>0.97656697605133491</v>
      </c>
      <c r="N11" s="64" t="s">
        <v>27</v>
      </c>
      <c r="P11" s="56"/>
      <c r="Q11" s="59"/>
      <c r="R11" s="55"/>
      <c r="S11" s="62"/>
    </row>
    <row r="12" spans="1:64" ht="15" thickBot="1" x14ac:dyDescent="0.35">
      <c r="A12" s="173"/>
      <c r="B12" s="75" t="s">
        <v>26</v>
      </c>
      <c r="C12" s="75"/>
      <c r="D12" s="102">
        <v>25566</v>
      </c>
      <c r="F12" s="107">
        <f>IFERROR(C12/(C12+D12),0)</f>
        <v>0</v>
      </c>
      <c r="G12" s="52">
        <f>IFERROR(D12/(D12+C12),0)</f>
        <v>1</v>
      </c>
      <c r="I12" s="50"/>
      <c r="J12" s="49"/>
      <c r="K12" s="51"/>
      <c r="L12" s="53">
        <f>24812+112</f>
        <v>24924</v>
      </c>
      <c r="M12" s="35">
        <f>IFERROR(L12/D12,0)</f>
        <v>0.97488852382069935</v>
      </c>
      <c r="N12" s="45" t="s">
        <v>27</v>
      </c>
      <c r="P12" s="44"/>
      <c r="Q12" s="49"/>
      <c r="R12" s="53">
        <f>2841+30</f>
        <v>2871</v>
      </c>
      <c r="S12" s="51">
        <v>0.1123</v>
      </c>
    </row>
    <row r="13" spans="1:64" ht="16.2" thickBot="1" x14ac:dyDescent="0.35">
      <c r="A13" s="42" t="s">
        <v>32</v>
      </c>
      <c r="B13" s="43"/>
      <c r="C13" s="42">
        <f>SUM(C8:C12)</f>
        <v>52588</v>
      </c>
      <c r="D13" s="42">
        <f>SUM(D8:D12)</f>
        <v>65484</v>
      </c>
      <c r="F13" s="70">
        <f t="shared" si="0"/>
        <v>0.44538925401449964</v>
      </c>
      <c r="G13" s="70">
        <f t="shared" si="1"/>
        <v>0.55461074598550042</v>
      </c>
      <c r="I13" s="42">
        <f>SUM(I8:I12)</f>
        <v>52476</v>
      </c>
      <c r="J13" s="70">
        <f>I13/C13</f>
        <v>0.99787023655586826</v>
      </c>
      <c r="K13" s="43"/>
      <c r="L13" s="42">
        <f>SUM(L8:L12)</f>
        <v>64147</v>
      </c>
      <c r="M13" s="70">
        <f>L13/D13</f>
        <v>0.97958279885162791</v>
      </c>
      <c r="N13" s="43"/>
      <c r="P13" s="42">
        <f>SUM(P7:P12)</f>
        <v>0</v>
      </c>
      <c r="Q13" s="9">
        <f>IFERROR(P13/C13, 0)</f>
        <v>0</v>
      </c>
      <c r="R13" s="42">
        <f>SUM(R7:R12)</f>
        <v>2871</v>
      </c>
      <c r="S13" s="9">
        <f>IFERROR(R13/D13, 0)</f>
        <v>4.3842770753161078E-2</v>
      </c>
    </row>
    <row r="14" spans="1:64" ht="15" thickTop="1" x14ac:dyDescent="0.3"/>
    <row r="15" spans="1:64" ht="18.600000000000001" thickBot="1" x14ac:dyDescent="0.4">
      <c r="A15" s="77" t="s">
        <v>36</v>
      </c>
      <c r="I15" s="118"/>
    </row>
    <row r="16" spans="1:64" x14ac:dyDescent="0.3">
      <c r="A16" s="2"/>
      <c r="B16" s="79" t="s">
        <v>22</v>
      </c>
      <c r="C16" s="163">
        <v>44167</v>
      </c>
      <c r="D16" s="165"/>
      <c r="E16" s="201">
        <v>44168</v>
      </c>
      <c r="F16" s="202"/>
      <c r="G16" s="199">
        <v>44169</v>
      </c>
      <c r="H16" s="200"/>
      <c r="I16" s="199">
        <v>44172</v>
      </c>
      <c r="J16" s="200"/>
      <c r="K16" s="163">
        <v>44173</v>
      </c>
      <c r="L16" s="164"/>
      <c r="M16" s="164"/>
      <c r="N16" s="165"/>
      <c r="O16" s="163">
        <v>44174</v>
      </c>
      <c r="P16" s="164"/>
      <c r="Q16" s="164"/>
      <c r="R16" s="165"/>
      <c r="S16" s="163">
        <v>44175</v>
      </c>
      <c r="T16" s="164"/>
      <c r="U16" s="164"/>
      <c r="V16" s="165"/>
      <c r="W16" s="163">
        <v>44176</v>
      </c>
      <c r="X16" s="164"/>
      <c r="Y16" s="164"/>
      <c r="Z16" s="165"/>
      <c r="AA16" s="163">
        <v>44179</v>
      </c>
      <c r="AB16" s="164"/>
      <c r="AC16" s="164"/>
      <c r="AD16" s="165"/>
      <c r="AE16" s="163">
        <v>44180</v>
      </c>
      <c r="AF16" s="164"/>
      <c r="AG16" s="164"/>
      <c r="AH16" s="165"/>
      <c r="AI16" s="163">
        <v>44181</v>
      </c>
      <c r="AJ16" s="164"/>
      <c r="AK16" s="164"/>
      <c r="AL16" s="165"/>
      <c r="AM16" s="163">
        <v>44182</v>
      </c>
      <c r="AN16" s="164"/>
      <c r="AO16" s="164"/>
      <c r="AP16" s="165"/>
      <c r="AQ16" s="163">
        <v>44183</v>
      </c>
      <c r="AR16" s="164"/>
      <c r="AS16" s="164"/>
      <c r="AT16" s="165"/>
      <c r="AU16" s="163">
        <v>44186</v>
      </c>
      <c r="AV16" s="164"/>
      <c r="AW16" s="164"/>
      <c r="AX16" s="165"/>
      <c r="AY16" s="163">
        <v>44187</v>
      </c>
      <c r="AZ16" s="164"/>
      <c r="BA16" s="164"/>
      <c r="BB16" s="165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</row>
    <row r="17" spans="1:67" x14ac:dyDescent="0.3">
      <c r="A17" s="2"/>
      <c r="B17" s="79" t="s">
        <v>23</v>
      </c>
      <c r="C17" s="16" t="s">
        <v>0</v>
      </c>
      <c r="D17" s="17" t="s">
        <v>19</v>
      </c>
      <c r="E17" s="121" t="s">
        <v>0</v>
      </c>
      <c r="F17" s="80" t="s">
        <v>38</v>
      </c>
      <c r="G17" s="120" t="s">
        <v>0</v>
      </c>
      <c r="H17" s="88" t="s">
        <v>19</v>
      </c>
      <c r="I17" s="120" t="s">
        <v>0</v>
      </c>
      <c r="J17" s="88" t="s">
        <v>19</v>
      </c>
      <c r="K17" s="16" t="s">
        <v>1</v>
      </c>
      <c r="L17" s="6" t="s">
        <v>20</v>
      </c>
      <c r="M17" s="10" t="s">
        <v>0</v>
      </c>
      <c r="N17" s="17" t="s">
        <v>19</v>
      </c>
      <c r="O17" s="16" t="s">
        <v>1</v>
      </c>
      <c r="P17" s="6" t="s">
        <v>20</v>
      </c>
      <c r="Q17" s="10" t="s">
        <v>0</v>
      </c>
      <c r="R17" s="17" t="s">
        <v>19</v>
      </c>
      <c r="S17" s="16" t="s">
        <v>1</v>
      </c>
      <c r="T17" s="6" t="s">
        <v>20</v>
      </c>
      <c r="U17" s="10" t="s">
        <v>0</v>
      </c>
      <c r="V17" s="17" t="s">
        <v>19</v>
      </c>
      <c r="W17" s="16" t="s">
        <v>1</v>
      </c>
      <c r="X17" s="6" t="s">
        <v>20</v>
      </c>
      <c r="Y17" s="10" t="s">
        <v>0</v>
      </c>
      <c r="Z17" s="17" t="s">
        <v>19</v>
      </c>
      <c r="AA17" s="16" t="s">
        <v>1</v>
      </c>
      <c r="AB17" s="6" t="s">
        <v>20</v>
      </c>
      <c r="AC17" s="10" t="s">
        <v>0</v>
      </c>
      <c r="AD17" s="17" t="s">
        <v>19</v>
      </c>
      <c r="AE17" s="16" t="s">
        <v>1</v>
      </c>
      <c r="AF17" s="6" t="s">
        <v>20</v>
      </c>
      <c r="AG17" s="10" t="s">
        <v>0</v>
      </c>
      <c r="AH17" s="17" t="s">
        <v>19</v>
      </c>
      <c r="AI17" s="16" t="s">
        <v>1</v>
      </c>
      <c r="AJ17" s="6" t="s">
        <v>20</v>
      </c>
      <c r="AK17" s="10" t="s">
        <v>0</v>
      </c>
      <c r="AL17" s="17" t="s">
        <v>19</v>
      </c>
      <c r="AM17" s="16" t="s">
        <v>1</v>
      </c>
      <c r="AN17" s="6" t="s">
        <v>20</v>
      </c>
      <c r="AO17" s="10" t="s">
        <v>0</v>
      </c>
      <c r="AP17" s="17" t="s">
        <v>19</v>
      </c>
      <c r="AQ17" s="16" t="s">
        <v>1</v>
      </c>
      <c r="AR17" s="6" t="s">
        <v>20</v>
      </c>
      <c r="AS17" s="10" t="s">
        <v>0</v>
      </c>
      <c r="AT17" s="17" t="s">
        <v>19</v>
      </c>
      <c r="AU17" s="16" t="s">
        <v>1</v>
      </c>
      <c r="AV17" s="6" t="s">
        <v>20</v>
      </c>
      <c r="AW17" s="10" t="s">
        <v>0</v>
      </c>
      <c r="AX17" s="17" t="s">
        <v>19</v>
      </c>
      <c r="AY17" s="16" t="s">
        <v>1</v>
      </c>
      <c r="AZ17" s="6" t="s">
        <v>20</v>
      </c>
      <c r="BA17" s="10" t="s">
        <v>0</v>
      </c>
      <c r="BB17" s="17" t="s">
        <v>19</v>
      </c>
    </row>
    <row r="18" spans="1:67" x14ac:dyDescent="0.3">
      <c r="A18" s="79" t="s">
        <v>25</v>
      </c>
      <c r="B18" s="79" t="s">
        <v>24</v>
      </c>
      <c r="C18" s="18"/>
      <c r="D18" s="19"/>
      <c r="E18" s="14"/>
      <c r="F18" s="81"/>
      <c r="G18" s="27"/>
      <c r="H18" s="89"/>
      <c r="I18" s="27"/>
      <c r="J18" s="89"/>
      <c r="K18" s="18"/>
      <c r="L18" s="7"/>
      <c r="M18" s="11"/>
      <c r="N18" s="20"/>
      <c r="O18" s="18"/>
      <c r="P18" s="7"/>
      <c r="Q18" s="11"/>
      <c r="R18" s="20"/>
      <c r="S18" s="18"/>
      <c r="T18" s="7"/>
      <c r="U18" s="11"/>
      <c r="V18" s="20"/>
      <c r="W18" s="18"/>
      <c r="X18" s="7"/>
      <c r="Y18" s="11"/>
      <c r="Z18" s="20"/>
      <c r="AA18" s="18"/>
      <c r="AB18" s="7"/>
      <c r="AC18" s="11"/>
      <c r="AD18" s="20"/>
      <c r="AE18" s="18"/>
      <c r="AF18" s="7"/>
      <c r="AG18" s="11"/>
      <c r="AH18" s="20"/>
      <c r="AI18" s="18"/>
      <c r="AJ18" s="7"/>
      <c r="AK18" s="11"/>
      <c r="AL18" s="20"/>
      <c r="AM18" s="18"/>
      <c r="AN18" s="7"/>
      <c r="AO18" s="11"/>
      <c r="AP18" s="20"/>
      <c r="AQ18" s="18"/>
      <c r="AR18" s="7"/>
      <c r="AS18" s="11"/>
      <c r="AT18" s="20"/>
      <c r="AU18" s="18"/>
      <c r="AV18" s="7"/>
      <c r="AW18" s="11"/>
      <c r="AX18" s="20"/>
      <c r="AY18" s="18"/>
      <c r="AZ18" s="7"/>
      <c r="BA18" s="11"/>
      <c r="BB18" s="20"/>
    </row>
    <row r="19" spans="1:67" s="67" customFormat="1" x14ac:dyDescent="0.3">
      <c r="A19" s="194" t="s">
        <v>14</v>
      </c>
      <c r="B19" s="30" t="s">
        <v>15</v>
      </c>
      <c r="C19" s="32"/>
      <c r="D19" s="33"/>
      <c r="E19" s="34"/>
      <c r="F19" s="82"/>
      <c r="G19" s="32"/>
      <c r="H19" s="90"/>
      <c r="I19" s="32"/>
      <c r="J19" s="90"/>
      <c r="K19" s="32">
        <f>6777+0</f>
        <v>6777</v>
      </c>
      <c r="L19" s="35">
        <v>0.26040000000000002</v>
      </c>
      <c r="M19" s="31">
        <f>1868+0</f>
        <v>1868</v>
      </c>
      <c r="N19" s="33">
        <v>0.27439999999999998</v>
      </c>
      <c r="O19" s="32">
        <v>7168</v>
      </c>
      <c r="P19" s="35">
        <v>0.27550000000000002</v>
      </c>
      <c r="Q19" s="31">
        <v>1912</v>
      </c>
      <c r="R19" s="33">
        <v>0.28050000000000003</v>
      </c>
      <c r="S19" s="32">
        <f>8040+0</f>
        <v>8040</v>
      </c>
      <c r="T19" s="35">
        <v>0.30909999999999999</v>
      </c>
      <c r="U19" s="31">
        <f>2146+12</f>
        <v>2158</v>
      </c>
      <c r="V19" s="33">
        <v>0.31559999999999999</v>
      </c>
      <c r="W19" s="32">
        <f>4008+0</f>
        <v>4008</v>
      </c>
      <c r="X19" s="35">
        <v>0.15409999999999999</v>
      </c>
      <c r="Y19" s="31">
        <f>792+9</f>
        <v>801</v>
      </c>
      <c r="Z19" s="33">
        <v>0.1171</v>
      </c>
      <c r="AA19" s="32"/>
      <c r="AB19" s="35"/>
      <c r="AC19" s="31"/>
      <c r="AD19" s="33"/>
      <c r="AE19" s="32"/>
      <c r="AF19" s="35"/>
      <c r="AG19" s="31"/>
      <c r="AH19" s="33"/>
      <c r="AI19" s="32"/>
      <c r="AJ19" s="35"/>
      <c r="AK19" s="31"/>
      <c r="AL19" s="33"/>
      <c r="AM19" s="32"/>
      <c r="AN19" s="35"/>
      <c r="AO19" s="31"/>
      <c r="AP19" s="33"/>
      <c r="AQ19" s="32"/>
      <c r="AR19" s="35"/>
      <c r="AS19" s="31"/>
      <c r="AT19" s="33"/>
      <c r="AU19" s="32"/>
      <c r="AV19" s="35"/>
      <c r="AW19" s="31"/>
      <c r="AX19" s="33"/>
      <c r="AY19" s="32"/>
      <c r="AZ19" s="35"/>
      <c r="BA19" s="31"/>
      <c r="BB19" s="33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1:67" s="67" customFormat="1" x14ac:dyDescent="0.3">
      <c r="A20" s="196"/>
      <c r="B20" s="68" t="s">
        <v>31</v>
      </c>
      <c r="C20" s="61"/>
      <c r="D20" s="64"/>
      <c r="E20" s="66"/>
      <c r="F20" s="84"/>
      <c r="G20" s="61"/>
      <c r="H20" s="92"/>
      <c r="I20" s="61"/>
      <c r="J20" s="92"/>
      <c r="K20" s="61"/>
      <c r="L20" s="62"/>
      <c r="M20" s="63"/>
      <c r="N20" s="64"/>
      <c r="O20" s="61"/>
      <c r="P20" s="62"/>
      <c r="Q20" s="63"/>
      <c r="R20" s="64"/>
      <c r="S20" s="61"/>
      <c r="T20" s="62"/>
      <c r="U20" s="63"/>
      <c r="V20" s="64"/>
      <c r="W20" s="61"/>
      <c r="X20" s="62"/>
      <c r="Y20" s="63"/>
      <c r="Z20" s="64"/>
      <c r="AA20" s="61">
        <f>7669+0</f>
        <v>7669</v>
      </c>
      <c r="AB20" s="62">
        <v>0.28849999999999998</v>
      </c>
      <c r="AC20" s="63">
        <f>3041+42</f>
        <v>3083</v>
      </c>
      <c r="AD20" s="64">
        <v>0.29730000000000001</v>
      </c>
      <c r="AE20" s="61">
        <f>8016+0</f>
        <v>8016</v>
      </c>
      <c r="AF20" s="62">
        <v>0.30149999999999999</v>
      </c>
      <c r="AG20" s="63">
        <f>3350+67</f>
        <v>3417</v>
      </c>
      <c r="AH20" s="64">
        <v>0.32950000000000002</v>
      </c>
      <c r="AI20" s="61">
        <f>7643+0</f>
        <v>7643</v>
      </c>
      <c r="AJ20" s="62">
        <v>0.28760000000000002</v>
      </c>
      <c r="AK20" s="63">
        <f>2669+40</f>
        <v>2709</v>
      </c>
      <c r="AL20" s="64">
        <v>0.26019999999999999</v>
      </c>
      <c r="AM20" s="61">
        <f>3155+0</f>
        <v>3155</v>
      </c>
      <c r="AN20" s="62">
        <v>0.1187</v>
      </c>
      <c r="AO20" s="63">
        <f>1094+0</f>
        <v>1094</v>
      </c>
      <c r="AP20" s="64">
        <v>0.1051</v>
      </c>
      <c r="AQ20" s="61"/>
      <c r="AR20" s="62"/>
      <c r="AS20" s="63"/>
      <c r="AT20" s="64"/>
      <c r="AU20" s="61"/>
      <c r="AV20" s="62"/>
      <c r="AW20" s="63"/>
      <c r="AX20" s="64"/>
      <c r="AY20" s="61"/>
      <c r="AZ20" s="62"/>
      <c r="BA20" s="63"/>
      <c r="BB20" s="64"/>
      <c r="BC20"/>
      <c r="BD20"/>
      <c r="BE20"/>
      <c r="BF20"/>
      <c r="BG20"/>
      <c r="BH20"/>
      <c r="BI20"/>
      <c r="BJ20"/>
      <c r="BK20"/>
      <c r="BL20"/>
      <c r="BM20"/>
      <c r="BN20"/>
      <c r="BO20"/>
    </row>
    <row r="21" spans="1:67" s="67" customFormat="1" x14ac:dyDescent="0.3">
      <c r="A21" s="194" t="s">
        <v>16</v>
      </c>
      <c r="B21" s="30" t="s">
        <v>17</v>
      </c>
      <c r="C21" s="32">
        <f>2732+18</f>
        <v>2750</v>
      </c>
      <c r="D21" s="33">
        <v>0.52729999999999999</v>
      </c>
      <c r="E21" s="34">
        <f>2386+0</f>
        <v>2386</v>
      </c>
      <c r="F21" s="36">
        <v>0.45750000000000002</v>
      </c>
      <c r="G21" s="32"/>
      <c r="H21" s="90"/>
      <c r="I21" s="32"/>
      <c r="J21" s="90"/>
      <c r="K21" s="32"/>
      <c r="L21" s="35"/>
      <c r="M21" s="31"/>
      <c r="N21" s="33"/>
      <c r="O21" s="32"/>
      <c r="P21" s="35"/>
      <c r="Q21" s="31"/>
      <c r="R21" s="33"/>
      <c r="S21" s="32"/>
      <c r="T21" s="35"/>
      <c r="U21" s="31"/>
      <c r="V21" s="33"/>
      <c r="W21" s="32"/>
      <c r="X21" s="35"/>
      <c r="Y21" s="31"/>
      <c r="Z21" s="33"/>
      <c r="AA21" s="32"/>
      <c r="AB21" s="35"/>
      <c r="AC21" s="31"/>
      <c r="AD21" s="33"/>
      <c r="AE21" s="32"/>
      <c r="AF21" s="35"/>
      <c r="AG21" s="31"/>
      <c r="AH21" s="33"/>
      <c r="AI21" s="32"/>
      <c r="AJ21" s="35"/>
      <c r="AK21" s="31"/>
      <c r="AL21" s="33"/>
      <c r="AM21" s="32"/>
      <c r="AN21" s="35"/>
      <c r="AO21" s="31"/>
      <c r="AP21" s="33"/>
      <c r="AQ21" s="32"/>
      <c r="AR21" s="35"/>
      <c r="AS21" s="31"/>
      <c r="AT21" s="33"/>
      <c r="AU21" s="32"/>
      <c r="AV21" s="35"/>
      <c r="AW21" s="31"/>
      <c r="AX21" s="33"/>
      <c r="AY21" s="32"/>
      <c r="AZ21" s="35"/>
      <c r="BA21" s="31"/>
      <c r="BB21" s="33"/>
      <c r="BC21"/>
      <c r="BD21"/>
      <c r="BE21"/>
      <c r="BF21"/>
      <c r="BG21"/>
      <c r="BH21"/>
      <c r="BI21"/>
      <c r="BJ21"/>
      <c r="BK21"/>
      <c r="BL21"/>
      <c r="BM21"/>
      <c r="BN21"/>
      <c r="BO21"/>
    </row>
    <row r="22" spans="1:67" s="67" customFormat="1" x14ac:dyDescent="0.3">
      <c r="A22" s="195"/>
      <c r="B22" s="54" t="s">
        <v>18</v>
      </c>
      <c r="C22" s="56"/>
      <c r="D22" s="57"/>
      <c r="E22" s="58"/>
      <c r="F22" s="85"/>
      <c r="G22" s="56">
        <f>3271</f>
        <v>3271</v>
      </c>
      <c r="H22" s="94">
        <v>0.18790000000000001</v>
      </c>
      <c r="I22" s="56">
        <f>3081+4</f>
        <v>3085</v>
      </c>
      <c r="J22" s="94">
        <v>0.1772</v>
      </c>
      <c r="K22" s="56"/>
      <c r="L22" s="59"/>
      <c r="M22" s="55">
        <f>2484+10</f>
        <v>2494</v>
      </c>
      <c r="N22" s="62">
        <v>0.1429</v>
      </c>
      <c r="O22" s="56"/>
      <c r="P22" s="59"/>
      <c r="Q22" s="55">
        <f>3825+18</f>
        <v>3843</v>
      </c>
      <c r="R22" s="62">
        <v>0.22020000000000001</v>
      </c>
      <c r="S22" s="56"/>
      <c r="T22" s="59"/>
      <c r="U22" s="55">
        <f>3488+0</f>
        <v>3488</v>
      </c>
      <c r="V22" s="62">
        <v>0.19980000000000001</v>
      </c>
      <c r="W22" s="56"/>
      <c r="X22" s="59"/>
      <c r="Y22" s="55">
        <f>847+17</f>
        <v>864</v>
      </c>
      <c r="Z22" s="62">
        <v>4.9500000000000002E-2</v>
      </c>
      <c r="AA22" s="56"/>
      <c r="AB22" s="59"/>
      <c r="AC22" s="55"/>
      <c r="AD22" s="62"/>
      <c r="AE22" s="56"/>
      <c r="AF22" s="59"/>
      <c r="AG22" s="55"/>
      <c r="AH22" s="62"/>
      <c r="AI22" s="56"/>
      <c r="AJ22" s="59"/>
      <c r="AK22" s="55"/>
      <c r="AL22" s="62"/>
      <c r="AM22" s="56"/>
      <c r="AN22" s="59"/>
      <c r="AO22" s="55"/>
      <c r="AP22" s="62"/>
      <c r="AQ22" s="56"/>
      <c r="AR22" s="59"/>
      <c r="AS22" s="55"/>
      <c r="AT22" s="62"/>
      <c r="AU22" s="56"/>
      <c r="AV22" s="59"/>
      <c r="AW22" s="55"/>
      <c r="AX22" s="62"/>
      <c r="AY22" s="56"/>
      <c r="AZ22" s="59"/>
      <c r="BA22" s="55"/>
      <c r="BB22" s="62"/>
      <c r="BC22"/>
      <c r="BD22"/>
      <c r="BE22"/>
      <c r="BF22"/>
      <c r="BG22"/>
      <c r="BH22"/>
      <c r="BI22"/>
      <c r="BJ22"/>
      <c r="BK22"/>
      <c r="BL22"/>
      <c r="BM22"/>
      <c r="BN22"/>
      <c r="BO22"/>
    </row>
    <row r="23" spans="1:67" s="67" customFormat="1" ht="15" thickBot="1" x14ac:dyDescent="0.35">
      <c r="A23" s="196"/>
      <c r="B23" s="30" t="s">
        <v>26</v>
      </c>
      <c r="C23" s="44"/>
      <c r="D23" s="45"/>
      <c r="E23" s="46"/>
      <c r="F23" s="86"/>
      <c r="G23" s="44"/>
      <c r="H23" s="93"/>
      <c r="I23" s="44"/>
      <c r="J23" s="93"/>
      <c r="K23" s="44"/>
      <c r="L23" s="49"/>
      <c r="M23" s="53"/>
      <c r="N23" s="51"/>
      <c r="O23" s="44"/>
      <c r="P23" s="49"/>
      <c r="Q23" s="53"/>
      <c r="R23" s="51"/>
      <c r="S23" s="44"/>
      <c r="T23" s="49"/>
      <c r="U23" s="53"/>
      <c r="V23" s="51"/>
      <c r="W23" s="44"/>
      <c r="X23" s="49"/>
      <c r="Y23" s="53"/>
      <c r="Z23" s="51"/>
      <c r="AA23" s="44"/>
      <c r="AB23" s="49"/>
      <c r="AC23" s="53">
        <f>3423+0</f>
        <v>3423</v>
      </c>
      <c r="AD23" s="51">
        <v>0.13450000000000001</v>
      </c>
      <c r="AE23" s="44"/>
      <c r="AF23" s="49"/>
      <c r="AG23" s="53">
        <f>2750+0</f>
        <v>2750</v>
      </c>
      <c r="AH23" s="51">
        <v>0.10780000000000001</v>
      </c>
      <c r="AI23" s="44"/>
      <c r="AJ23" s="49"/>
      <c r="AK23" s="53">
        <f>3990+0</f>
        <v>3990</v>
      </c>
      <c r="AL23" s="51">
        <v>0.15640000000000001</v>
      </c>
      <c r="AM23" s="44"/>
      <c r="AN23" s="49"/>
      <c r="AO23" s="53">
        <f>4358+31</f>
        <v>4389</v>
      </c>
      <c r="AP23" s="51">
        <v>0.17199999999999999</v>
      </c>
      <c r="AQ23" s="44"/>
      <c r="AR23" s="49"/>
      <c r="AS23" s="53">
        <f>3362+30</f>
        <v>3392</v>
      </c>
      <c r="AT23" s="51">
        <v>0.13289999999999999</v>
      </c>
      <c r="AU23" s="44"/>
      <c r="AV23" s="49"/>
      <c r="AW23" s="53">
        <f>4096+21</f>
        <v>4117</v>
      </c>
      <c r="AX23" s="51">
        <v>0.161</v>
      </c>
      <c r="AY23" s="44"/>
      <c r="AZ23" s="49"/>
      <c r="BA23" s="53">
        <f>2841+30</f>
        <v>2871</v>
      </c>
      <c r="BB23" s="51">
        <v>0.1123</v>
      </c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1:67" ht="16.2" thickBot="1" x14ac:dyDescent="0.35">
      <c r="A24" s="42" t="s">
        <v>32</v>
      </c>
      <c r="B24" s="43"/>
      <c r="C24" s="42">
        <f>SUM(C18:C23)</f>
        <v>2750</v>
      </c>
      <c r="D24" s="70">
        <f>C24/D13</f>
        <v>4.1994991142874596E-2</v>
      </c>
      <c r="E24" s="42">
        <f>SUM(E18:E23)</f>
        <v>2386</v>
      </c>
      <c r="F24" s="70">
        <f>E24/D13</f>
        <v>3.643638140614501E-2</v>
      </c>
      <c r="G24" s="42">
        <f>SUM(G19:G23)</f>
        <v>3271</v>
      </c>
      <c r="H24" s="70">
        <f>G24/D13</f>
        <v>4.9951133101215565E-2</v>
      </c>
      <c r="I24" s="42">
        <f>SUM(I18:I23)</f>
        <v>3085</v>
      </c>
      <c r="J24" s="9">
        <f>I24/D13</f>
        <v>4.7110744609370231E-2</v>
      </c>
      <c r="K24" s="42">
        <f>SUM(K18:K23)</f>
        <v>6777</v>
      </c>
      <c r="L24" s="9">
        <f>K24/C13</f>
        <v>0.12886970411500723</v>
      </c>
      <c r="M24" s="42">
        <f>SUM(M18:M23)</f>
        <v>4362</v>
      </c>
      <c r="N24" s="9">
        <f>M24/D13</f>
        <v>6.6611691405534176E-2</v>
      </c>
      <c r="O24" s="42">
        <v>7168</v>
      </c>
      <c r="P24" s="9">
        <v>0.13698211282678491</v>
      </c>
      <c r="Q24" s="42">
        <v>5733</v>
      </c>
      <c r="R24" s="9">
        <v>8.8246159529600104E-2</v>
      </c>
      <c r="S24" s="42">
        <f>SUM(S18:S23)</f>
        <v>8040</v>
      </c>
      <c r="T24" s="9">
        <f>S24/C13</f>
        <v>0.15288659009659999</v>
      </c>
      <c r="U24" s="42">
        <f>SUM(U18:U23)</f>
        <v>5646</v>
      </c>
      <c r="V24" s="9">
        <f>U24/D13</f>
        <v>8.6219534542789078E-2</v>
      </c>
      <c r="W24" s="42">
        <f>SUM(W18:W23)</f>
        <v>4008</v>
      </c>
      <c r="X24" s="9">
        <f>W24/C13</f>
        <v>7.6215106107857311E-2</v>
      </c>
      <c r="Y24" s="42">
        <f>SUM(Y19:Y23)</f>
        <v>1665</v>
      </c>
      <c r="Z24" s="9">
        <f>Y24/D13</f>
        <v>2.5426058273776801E-2</v>
      </c>
      <c r="AA24" s="42">
        <f>SUM(AA19:AA23)</f>
        <v>7669</v>
      </c>
      <c r="AB24" s="9">
        <f>AA24/C13</f>
        <v>0.1458317486879136</v>
      </c>
      <c r="AC24" s="42">
        <f>SUM(AC19:AC23)</f>
        <v>6506</v>
      </c>
      <c r="AD24" s="9">
        <f>AC24/D13</f>
        <v>9.9352513591106223E-2</v>
      </c>
      <c r="AE24" s="42">
        <f>SUM(AE18:AE23)</f>
        <v>8016</v>
      </c>
      <c r="AF24" s="9">
        <f>AE24/C13</f>
        <v>0.15243021221571462</v>
      </c>
      <c r="AG24" s="42">
        <f>SUM(AG18:AG23)</f>
        <v>6167</v>
      </c>
      <c r="AH24" s="9">
        <f>AG24/D13</f>
        <v>9.4175676501130054E-2</v>
      </c>
      <c r="AI24" s="42">
        <f>SUM(AI18:AI23)</f>
        <v>7643</v>
      </c>
      <c r="AJ24" s="9">
        <f>AI24/C13</f>
        <v>0.14533733931695444</v>
      </c>
      <c r="AK24" s="42">
        <f>SUM(AK18:AK23)</f>
        <v>6699</v>
      </c>
      <c r="AL24" s="9">
        <f>AK24/D13</f>
        <v>0.10229979842404252</v>
      </c>
      <c r="AM24" s="42">
        <f>SUM(AM18:AM23)</f>
        <v>3155</v>
      </c>
      <c r="AN24" s="9">
        <f>AM24/C13</f>
        <v>5.9994675591389671E-2</v>
      </c>
      <c r="AO24" s="42">
        <f>SUM(AO18:AO23)</f>
        <v>5483</v>
      </c>
      <c r="AP24" s="9">
        <f>AO24/D13</f>
        <v>8.3730376885956873E-2</v>
      </c>
      <c r="AQ24" s="42">
        <f>SUM(AQ18:AQ23)</f>
        <v>0</v>
      </c>
      <c r="AR24" s="9">
        <f>IFERROR(AQ24/AD24, 0)</f>
        <v>0</v>
      </c>
      <c r="AS24" s="42">
        <f>SUM(AS18:AS23)</f>
        <v>3392</v>
      </c>
      <c r="AT24" s="9">
        <f>IFERROR(AS24/D13, 0)</f>
        <v>5.1798912711502047E-2</v>
      </c>
      <c r="AU24" s="42">
        <f>SUM(AU18:AU23)</f>
        <v>0</v>
      </c>
      <c r="AV24" s="9">
        <f>IFERROR(AU24/AH24, 0)</f>
        <v>0</v>
      </c>
      <c r="AW24" s="42">
        <f>SUM(AW18:AW23)</f>
        <v>4117</v>
      </c>
      <c r="AX24" s="9">
        <f>AW24/D13</f>
        <v>6.2870319467350805E-2</v>
      </c>
      <c r="AY24" s="42">
        <f>SUM(AY18:AY23)</f>
        <v>0</v>
      </c>
      <c r="AZ24" s="9">
        <f>IFERROR(AY24/AL24, 0)</f>
        <v>0</v>
      </c>
      <c r="BA24" s="42">
        <f>SUM(BA18:BA23)</f>
        <v>2871</v>
      </c>
      <c r="BB24" s="9">
        <f>IFERROR(BA24/D13, 0)</f>
        <v>4.3842770753161078E-2</v>
      </c>
    </row>
    <row r="25" spans="1:67" ht="15" thickTop="1" x14ac:dyDescent="0.3"/>
  </sheetData>
  <mergeCells count="25">
    <mergeCell ref="AU16:AX16"/>
    <mergeCell ref="AY16:BB16"/>
    <mergeCell ref="AI16:AL16"/>
    <mergeCell ref="AM16:AP16"/>
    <mergeCell ref="AQ16:AT16"/>
    <mergeCell ref="C5:D5"/>
    <mergeCell ref="F5:G5"/>
    <mergeCell ref="I5:N5"/>
    <mergeCell ref="P5:S5"/>
    <mergeCell ref="I6:K6"/>
    <mergeCell ref="L6:N6"/>
    <mergeCell ref="W16:Z16"/>
    <mergeCell ref="AA16:AD16"/>
    <mergeCell ref="AE16:AH16"/>
    <mergeCell ref="A8:A9"/>
    <mergeCell ref="A10:A12"/>
    <mergeCell ref="C16:D16"/>
    <mergeCell ref="E16:F16"/>
    <mergeCell ref="I16:J16"/>
    <mergeCell ref="A21:A23"/>
    <mergeCell ref="A19:A20"/>
    <mergeCell ref="G16:H16"/>
    <mergeCell ref="K16:N16"/>
    <mergeCell ref="S16:V16"/>
    <mergeCell ref="O16:R16"/>
  </mergeCells>
  <conditionalFormatting sqref="M10:M11 M13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{FB6A390A-9ED6-4B50-B8D8-AE7E68338504}</x14:id>
        </ext>
      </extLst>
    </cfRule>
  </conditionalFormatting>
  <conditionalFormatting sqref="J13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{0FB10D28-DC9C-4AE2-AB21-C220C2EEBBC0}</x14:id>
        </ext>
      </extLst>
    </cfRule>
  </conditionalFormatting>
  <conditionalFormatting sqref="Q13">
    <cfRule type="dataBar" priority="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{4F67EE08-9096-4107-BC51-0E5341C4F8C5}</x14:id>
        </ext>
      </extLst>
    </cfRule>
  </conditionalFormatting>
  <conditionalFormatting sqref="Q1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{560ABC2E-96B1-4633-86D0-4C529F7745FF}</x14:id>
        </ext>
      </extLst>
    </cfRule>
  </conditionalFormatting>
  <conditionalFormatting sqref="S13">
    <cfRule type="dataBar" priority="1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{DC3C2314-7524-4E79-8DD2-1C9ADB17D81D}</x14:id>
        </ext>
      </extLst>
    </cfRule>
  </conditionalFormatting>
  <conditionalFormatting sqref="S1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{74041C6D-8BB1-48E5-A331-2347156C15C8}</x14:id>
        </ext>
      </extLst>
    </cfRule>
  </conditionalFormatting>
  <conditionalFormatting sqref="BD24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{A5D9ABBE-A59C-41B2-9F0D-3A57FE99C5E5}</x14:id>
        </ext>
      </extLst>
    </cfRule>
  </conditionalFormatting>
  <conditionalFormatting sqref="BD24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{F69F1288-AA97-434D-9421-6622F719F4AE}</x14:id>
        </ext>
      </extLst>
    </cfRule>
  </conditionalFormatting>
  <conditionalFormatting sqref="BF24"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{9C7ED8A3-74BC-440A-8A98-754E8C7828FB}</x14:id>
        </ext>
      </extLst>
    </cfRule>
  </conditionalFormatting>
  <conditionalFormatting sqref="BF24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{2703A117-75AD-4A6B-B7B3-89365AF880CA}</x14:id>
        </ext>
      </extLst>
    </cfRule>
  </conditionalFormatting>
  <conditionalFormatting sqref="BH24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{B1D29E8A-5D8F-44AB-A5EC-3304EF69FD32}</x14:id>
        </ext>
      </extLst>
    </cfRule>
  </conditionalFormatting>
  <conditionalFormatting sqref="BH24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{03DA7291-BB06-4417-A2B1-86E72907CE08}</x14:id>
        </ext>
      </extLst>
    </cfRule>
  </conditionalFormatting>
  <conditionalFormatting sqref="BJ24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{FDCF8A82-1A12-4356-8F90-A7AF16E452C4}</x14:id>
        </ext>
      </extLst>
    </cfRule>
  </conditionalFormatting>
  <conditionalFormatting sqref="BJ24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{0F74CD4B-BE4C-4D63-9A5B-DC0AACED3F7C}</x14:id>
        </ext>
      </extLst>
    </cfRule>
  </conditionalFormatting>
  <conditionalFormatting sqref="BL24">
    <cfRule type="dataBar" priority="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{72A3A9A9-07AF-4582-B298-8108C4DCAF6D}</x14:id>
        </ext>
      </extLst>
    </cfRule>
  </conditionalFormatting>
  <conditionalFormatting sqref="BL24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{59508C19-848B-4DC8-9E73-025E1E291077}</x14:id>
        </ext>
      </extLst>
    </cfRule>
  </conditionalFormatting>
  <conditionalFormatting sqref="M1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{E5C05376-5CAE-4BA7-A6D6-284CCD72C88D}</x14:id>
        </ext>
      </extLst>
    </cfRule>
  </conditionalFormatting>
  <conditionalFormatting sqref="L24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{DAA05B8C-C4FA-4B37-9CB0-FE281CA24C42}</x14:id>
        </ext>
      </extLst>
    </cfRule>
  </conditionalFormatting>
  <conditionalFormatting sqref="L24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{5D64DECA-6032-4848-AF4A-0FFEB23965AD}</x14:id>
        </ext>
      </extLst>
    </cfRule>
  </conditionalFormatting>
  <conditionalFormatting sqref="N24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{45F343DB-D2D1-4E31-B102-4FAB7DE82EB4}</x14:id>
        </ext>
      </extLst>
    </cfRule>
  </conditionalFormatting>
  <conditionalFormatting sqref="N24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{502BB73E-4F0F-4B57-AB0A-192EAF500C6C}</x14:id>
        </ext>
      </extLst>
    </cfRule>
  </conditionalFormatting>
  <conditionalFormatting sqref="J24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{E632D079-E84B-4B9B-8BA1-CAA02B7499F6}</x14:id>
        </ext>
      </extLst>
    </cfRule>
  </conditionalFormatting>
  <conditionalFormatting sqref="J24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{19AC5905-5E73-4CB4-ABEE-DCFF2AE52145}</x14:id>
        </ext>
      </extLst>
    </cfRule>
  </conditionalFormatting>
  <conditionalFormatting sqref="P24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{46DB7825-84D5-42EA-9D78-DDB378D15BE3}</x14:id>
        </ext>
      </extLst>
    </cfRule>
  </conditionalFormatting>
  <conditionalFormatting sqref="P24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{2DFA467B-384E-4257-86E5-D4351DDCEA14}</x14:id>
        </ext>
      </extLst>
    </cfRule>
  </conditionalFormatting>
  <conditionalFormatting sqref="R2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{D1FE7109-B820-4139-B6FB-80CB0DEAEA16}</x14:id>
        </ext>
      </extLst>
    </cfRule>
  </conditionalFormatting>
  <conditionalFormatting sqref="R24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{4C8881C5-2C42-4ECD-A4E8-72785D776942}</x14:id>
        </ext>
      </extLst>
    </cfRule>
  </conditionalFormatting>
  <conditionalFormatting sqref="T24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{BE48CF77-119E-431D-AF9D-C9425FA37912}</x14:id>
        </ext>
      </extLst>
    </cfRule>
  </conditionalFormatting>
  <conditionalFormatting sqref="T2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{CF6ACD64-C75E-47BC-B783-6D3D24F4C207}</x14:id>
        </ext>
      </extLst>
    </cfRule>
  </conditionalFormatting>
  <conditionalFormatting sqref="V24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{00595FAA-70CE-4333-8A4B-55978974653C}</x14:id>
        </ext>
      </extLst>
    </cfRule>
  </conditionalFormatting>
  <conditionalFormatting sqref="V2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{29EC3B3E-FE69-44D2-849F-C1E98DFFF751}</x14:id>
        </ext>
      </extLst>
    </cfRule>
  </conditionalFormatting>
  <conditionalFormatting sqref="X2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{51220296-6FA9-4B73-8A95-F87FD823B292}</x14:id>
        </ext>
      </extLst>
    </cfRule>
  </conditionalFormatting>
  <conditionalFormatting sqref="X24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{2E50DEB6-B851-4A37-9171-65E578A3753B}</x14:id>
        </ext>
      </extLst>
    </cfRule>
  </conditionalFormatting>
  <conditionalFormatting sqref="Z24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{4EBE8DA4-6A9C-4BB0-8E98-15BE15BBF627}</x14:id>
        </ext>
      </extLst>
    </cfRule>
  </conditionalFormatting>
  <conditionalFormatting sqref="Z2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{B326B541-73DB-4814-B84E-F842CAEA476A}</x14:id>
        </ext>
      </extLst>
    </cfRule>
  </conditionalFormatting>
  <conditionalFormatting sqref="AB2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{20A9BE24-BAA6-4810-B488-D889E014A0DB}</x14:id>
        </ext>
      </extLst>
    </cfRule>
  </conditionalFormatting>
  <conditionalFormatting sqref="AB24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{41343B45-4907-49AA-AAD3-A5292EB86CB8}</x14:id>
        </ext>
      </extLst>
    </cfRule>
  </conditionalFormatting>
  <conditionalFormatting sqref="AD2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{EE8032FE-B906-4FB1-B11C-41111C6DBD6B}</x14:id>
        </ext>
      </extLst>
    </cfRule>
  </conditionalFormatting>
  <conditionalFormatting sqref="AD24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{6C0D1072-F8C2-42E0-B164-EF4E9830AB44}</x14:id>
        </ext>
      </extLst>
    </cfRule>
  </conditionalFormatting>
  <conditionalFormatting sqref="AF2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{EAB39DD9-8A81-478D-A2C7-A7FE7BC89845}</x14:id>
        </ext>
      </extLst>
    </cfRule>
  </conditionalFormatting>
  <conditionalFormatting sqref="AF2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{F96638F5-0961-4723-BBC5-E340C1BD9ADD}</x14:id>
        </ext>
      </extLst>
    </cfRule>
  </conditionalFormatting>
  <conditionalFormatting sqref="AH2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{50A8AC1F-67DE-4664-8433-9FCD8421A982}</x14:id>
        </ext>
      </extLst>
    </cfRule>
  </conditionalFormatting>
  <conditionalFormatting sqref="AH24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{FAE4CEC2-BB69-4E75-BED4-C56CAF84B4BC}</x14:id>
        </ext>
      </extLst>
    </cfRule>
  </conditionalFormatting>
  <conditionalFormatting sqref="J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{A13927E8-94C9-4707-815B-2DA3A04966FC}</x14:id>
        </ext>
      </extLst>
    </cfRule>
  </conditionalFormatting>
  <conditionalFormatting sqref="M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{AD021E1F-1A8B-4C9E-ABFF-DC76B090BEA5}</x14:id>
        </ext>
      </extLst>
    </cfRule>
  </conditionalFormatting>
  <conditionalFormatting sqref="J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{C177134E-6659-4219-81DA-996801E8D888}</x14:id>
        </ext>
      </extLst>
    </cfRule>
  </conditionalFormatting>
  <conditionalFormatting sqref="AJ2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{82B2B5B7-483E-4A12-B68F-AC407799FEB7}</x14:id>
        </ext>
      </extLst>
    </cfRule>
  </conditionalFormatting>
  <conditionalFormatting sqref="AJ2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{FF6D02C6-58C5-4443-8CF6-FE1680ACC5A3}</x14:id>
        </ext>
      </extLst>
    </cfRule>
  </conditionalFormatting>
  <conditionalFormatting sqref="AL2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{A78B7F1B-398B-4310-8E26-FA28BF126588}</x14:id>
        </ext>
      </extLst>
    </cfRule>
  </conditionalFormatting>
  <conditionalFormatting sqref="AL2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{CB50F057-C04C-4492-A6E2-5F248960AB36}</x14:id>
        </ext>
      </extLst>
    </cfRule>
  </conditionalFormatting>
  <conditionalFormatting sqref="AN24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{9F8C7296-B135-482D-982E-23378ADD3AD1}</x14:id>
        </ext>
      </extLst>
    </cfRule>
  </conditionalFormatting>
  <conditionalFormatting sqref="AN2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{F1797210-8226-45F0-A5ED-AA391349CF33}</x14:id>
        </ext>
      </extLst>
    </cfRule>
  </conditionalFormatting>
  <conditionalFormatting sqref="AP2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{0AE2B6EB-5B39-42A5-89DF-EFE41A42433C}</x14:id>
        </ext>
      </extLst>
    </cfRule>
  </conditionalFormatting>
  <conditionalFormatting sqref="AP2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{AC7914D0-ACE6-457F-8FB0-140486B215B7}</x14:id>
        </ext>
      </extLst>
    </cfRule>
  </conditionalFormatting>
  <conditionalFormatting sqref="M9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{FB4EBC5E-7C45-4843-B16C-E25B328D84AF}</x14:id>
        </ext>
      </extLst>
    </cfRule>
  </conditionalFormatting>
  <conditionalFormatting sqref="AR2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{C3E45716-3088-4369-ACBA-04A90521669B}</x14:id>
        </ext>
      </extLst>
    </cfRule>
  </conditionalFormatting>
  <conditionalFormatting sqref="AR2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{D0F363FA-CFA8-4B16-BEC1-FB27B39ED155}</x14:id>
        </ext>
      </extLst>
    </cfRule>
  </conditionalFormatting>
  <conditionalFormatting sqref="AT2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{33F90D5E-BA1E-4C9B-8574-2FA4035999A7}</x14:id>
        </ext>
      </extLst>
    </cfRule>
  </conditionalFormatting>
  <conditionalFormatting sqref="AT2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{E41E8106-9D40-42FA-BEEF-691836DDE64E}</x14:id>
        </ext>
      </extLst>
    </cfRule>
  </conditionalFormatting>
  <conditionalFormatting sqref="M1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{AFC84921-A520-4B76-B4F3-74DAE14929FC}</x14:id>
        </ext>
      </extLst>
    </cfRule>
  </conditionalFormatting>
  <conditionalFormatting sqref="M1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{012F62FD-7315-4015-B447-12CB80D30301}</x14:id>
        </ext>
      </extLst>
    </cfRule>
  </conditionalFormatting>
  <conditionalFormatting sqref="AV24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{D0D07874-FD8B-4E9B-9054-BF79543B028D}</x14:id>
        </ext>
      </extLst>
    </cfRule>
  </conditionalFormatting>
  <conditionalFormatting sqref="AV2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{4E708183-7690-4B74-A22E-5D14D9EE0207}</x14:id>
        </ext>
      </extLst>
    </cfRule>
  </conditionalFormatting>
  <conditionalFormatting sqref="AX2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{CB4FBFA8-FC04-41EB-9AB0-E1DFE4C591FF}</x14:id>
        </ext>
      </extLst>
    </cfRule>
  </conditionalFormatting>
  <conditionalFormatting sqref="AX2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{25DF880A-7F6D-4013-A29D-F38E836C20B7}</x14:id>
        </ext>
      </extLst>
    </cfRule>
  </conditionalFormatting>
  <conditionalFormatting sqref="AZ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{BBD7A746-878C-4F0D-9ECB-86BC5149DFC5}</x14:id>
        </ext>
      </extLst>
    </cfRule>
  </conditionalFormatting>
  <conditionalFormatting sqref="AZ2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{4A667237-C252-4C24-B8CE-776B8694E52D}</x14:id>
        </ext>
      </extLst>
    </cfRule>
  </conditionalFormatting>
  <conditionalFormatting sqref="BB2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{479C822C-7165-4AB6-AA74-C217626437B4}</x14:id>
        </ext>
      </extLst>
    </cfRule>
  </conditionalFormatting>
  <conditionalFormatting sqref="BB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{000C94E0-8ABD-4D5F-B75B-C4B229AFE6E2}</x14:id>
        </ext>
      </extLst>
    </cfRule>
  </conditionalFormatting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6A390A-9ED6-4B50-B8D8-AE7E683385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M10:M11 M13</xm:sqref>
        </x14:conditionalFormatting>
        <x14:conditionalFormatting xmlns:xm="http://schemas.microsoft.com/office/excel/2006/main">
          <x14:cfRule type="dataBar" id="{0FB10D28-DC9C-4AE2-AB21-C220C2EEBB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4F67EE08-9096-4107-BC51-0E5341C4F8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Q13</xm:sqref>
        </x14:conditionalFormatting>
        <x14:conditionalFormatting xmlns:xm="http://schemas.microsoft.com/office/excel/2006/main">
          <x14:cfRule type="dataBar" id="{560ABC2E-96B1-4633-86D0-4C529F7745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Q13</xm:sqref>
        </x14:conditionalFormatting>
        <x14:conditionalFormatting xmlns:xm="http://schemas.microsoft.com/office/excel/2006/main">
          <x14:cfRule type="dataBar" id="{DC3C2314-7524-4E79-8DD2-1C9ADB17D8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74041C6D-8BB1-48E5-A331-2347156C15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S13</xm:sqref>
        </x14:conditionalFormatting>
        <x14:conditionalFormatting xmlns:xm="http://schemas.microsoft.com/office/excel/2006/main">
          <x14:cfRule type="dataBar" id="{A5D9ABBE-A59C-41B2-9F0D-3A57FE99C5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BD24</xm:sqref>
        </x14:conditionalFormatting>
        <x14:conditionalFormatting xmlns:xm="http://schemas.microsoft.com/office/excel/2006/main">
          <x14:cfRule type="dataBar" id="{F69F1288-AA97-434D-9421-6622F719F4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BD24</xm:sqref>
        </x14:conditionalFormatting>
        <x14:conditionalFormatting xmlns:xm="http://schemas.microsoft.com/office/excel/2006/main">
          <x14:cfRule type="dataBar" id="{9C7ED8A3-74BC-440A-8A98-754E8C7828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BF24</xm:sqref>
        </x14:conditionalFormatting>
        <x14:conditionalFormatting xmlns:xm="http://schemas.microsoft.com/office/excel/2006/main">
          <x14:cfRule type="dataBar" id="{2703A117-75AD-4A6B-B7B3-89365AF880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BF24</xm:sqref>
        </x14:conditionalFormatting>
        <x14:conditionalFormatting xmlns:xm="http://schemas.microsoft.com/office/excel/2006/main">
          <x14:cfRule type="dataBar" id="{B1D29E8A-5D8F-44AB-A5EC-3304EF69FD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BH24</xm:sqref>
        </x14:conditionalFormatting>
        <x14:conditionalFormatting xmlns:xm="http://schemas.microsoft.com/office/excel/2006/main">
          <x14:cfRule type="dataBar" id="{03DA7291-BB06-4417-A2B1-86E72907CE0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BH24</xm:sqref>
        </x14:conditionalFormatting>
        <x14:conditionalFormatting xmlns:xm="http://schemas.microsoft.com/office/excel/2006/main">
          <x14:cfRule type="dataBar" id="{FDCF8A82-1A12-4356-8F90-A7AF16E45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BJ24</xm:sqref>
        </x14:conditionalFormatting>
        <x14:conditionalFormatting xmlns:xm="http://schemas.microsoft.com/office/excel/2006/main">
          <x14:cfRule type="dataBar" id="{0F74CD4B-BE4C-4D63-9A5B-DC0AACED3F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BJ24</xm:sqref>
        </x14:conditionalFormatting>
        <x14:conditionalFormatting xmlns:xm="http://schemas.microsoft.com/office/excel/2006/main">
          <x14:cfRule type="dataBar" id="{72A3A9A9-07AF-4582-B298-8108C4DCAF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BL24</xm:sqref>
        </x14:conditionalFormatting>
        <x14:conditionalFormatting xmlns:xm="http://schemas.microsoft.com/office/excel/2006/main">
          <x14:cfRule type="dataBar" id="{59508C19-848B-4DC8-9E73-025E1E2910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BL24</xm:sqref>
        </x14:conditionalFormatting>
        <x14:conditionalFormatting xmlns:xm="http://schemas.microsoft.com/office/excel/2006/main">
          <x14:cfRule type="dataBar" id="{E5C05376-5CAE-4BA7-A6D6-284CCD72C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DAA05B8C-C4FA-4B37-9CB0-FE281CA24C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5D64DECA-6032-4848-AF4A-0FFEB23965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45F343DB-D2D1-4E31-B102-4FAB7DE82E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502BB73E-4F0F-4B57-AB0A-192EAF500C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E632D079-E84B-4B9B-8BA1-CAA02B7499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19AC5905-5E73-4CB4-ABEE-DCFF2AE521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46DB7825-84D5-42EA-9D78-DDB378D15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2DFA467B-384E-4257-86E5-D4351DDCEA1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D1FE7109-B820-4139-B6FB-80CB0DEAEA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R24</xm:sqref>
        </x14:conditionalFormatting>
        <x14:conditionalFormatting xmlns:xm="http://schemas.microsoft.com/office/excel/2006/main">
          <x14:cfRule type="dataBar" id="{4C8881C5-2C42-4ECD-A4E8-72785D7769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R24</xm:sqref>
        </x14:conditionalFormatting>
        <x14:conditionalFormatting xmlns:xm="http://schemas.microsoft.com/office/excel/2006/main">
          <x14:cfRule type="dataBar" id="{BE48CF77-119E-431D-AF9D-C9425FA37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CF6ACD64-C75E-47BC-B783-6D3D24F4C2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T24</xm:sqref>
        </x14:conditionalFormatting>
        <x14:conditionalFormatting xmlns:xm="http://schemas.microsoft.com/office/excel/2006/main">
          <x14:cfRule type="dataBar" id="{00595FAA-70CE-4333-8A4B-5597897465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29EC3B3E-FE69-44D2-849F-C1E98DFFF7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V24</xm:sqref>
        </x14:conditionalFormatting>
        <x14:conditionalFormatting xmlns:xm="http://schemas.microsoft.com/office/excel/2006/main">
          <x14:cfRule type="dataBar" id="{51220296-6FA9-4B73-8A95-F87FD823B2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X24</xm:sqref>
        </x14:conditionalFormatting>
        <x14:conditionalFormatting xmlns:xm="http://schemas.microsoft.com/office/excel/2006/main">
          <x14:cfRule type="dataBar" id="{2E50DEB6-B851-4A37-9171-65E578A3753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X24</xm:sqref>
        </x14:conditionalFormatting>
        <x14:conditionalFormatting xmlns:xm="http://schemas.microsoft.com/office/excel/2006/main">
          <x14:cfRule type="dataBar" id="{4EBE8DA4-6A9C-4BB0-8E98-15BE15BBF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Z24</xm:sqref>
        </x14:conditionalFormatting>
        <x14:conditionalFormatting xmlns:xm="http://schemas.microsoft.com/office/excel/2006/main">
          <x14:cfRule type="dataBar" id="{B326B541-73DB-4814-B84E-F842CAEA47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Z24</xm:sqref>
        </x14:conditionalFormatting>
        <x14:conditionalFormatting xmlns:xm="http://schemas.microsoft.com/office/excel/2006/main">
          <x14:cfRule type="dataBar" id="{20A9BE24-BAA6-4810-B488-D889E014A0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41343B45-4907-49AA-AAD3-A5292EB86C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AB24</xm:sqref>
        </x14:conditionalFormatting>
        <x14:conditionalFormatting xmlns:xm="http://schemas.microsoft.com/office/excel/2006/main">
          <x14:cfRule type="dataBar" id="{EE8032FE-B906-4FB1-B11C-41111C6DBD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6C0D1072-F8C2-42E0-B164-EF4E9830AB4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AD24</xm:sqref>
        </x14:conditionalFormatting>
        <x14:conditionalFormatting xmlns:xm="http://schemas.microsoft.com/office/excel/2006/main">
          <x14:cfRule type="dataBar" id="{EAB39DD9-8A81-478D-A2C7-A7FE7BC898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F96638F5-0961-4723-BBC5-E340C1BD9A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AF24</xm:sqref>
        </x14:conditionalFormatting>
        <x14:conditionalFormatting xmlns:xm="http://schemas.microsoft.com/office/excel/2006/main">
          <x14:cfRule type="dataBar" id="{50A8AC1F-67DE-4664-8433-9FCD8421A9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FAE4CEC2-BB69-4E75-BED4-C56CAF84B4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AH24</xm:sqref>
        </x14:conditionalFormatting>
        <x14:conditionalFormatting xmlns:xm="http://schemas.microsoft.com/office/excel/2006/main">
          <x14:cfRule type="dataBar" id="{A13927E8-94C9-4707-815B-2DA3A04966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AD021E1F-1A8B-4C9E-ABFF-DC76B090BE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C177134E-6659-4219-81DA-996801E8D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82B2B5B7-483E-4A12-B68F-AC407799F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FF6D02C6-58C5-4443-8CF6-FE1680ACC5A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AJ24</xm:sqref>
        </x14:conditionalFormatting>
        <x14:conditionalFormatting xmlns:xm="http://schemas.microsoft.com/office/excel/2006/main">
          <x14:cfRule type="dataBar" id="{A78B7F1B-398B-4310-8E26-FA28BF1265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CB50F057-C04C-4492-A6E2-5F248960AB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AL24</xm:sqref>
        </x14:conditionalFormatting>
        <x14:conditionalFormatting xmlns:xm="http://schemas.microsoft.com/office/excel/2006/main">
          <x14:cfRule type="dataBar" id="{9F8C7296-B135-482D-982E-23378ADD3A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AN24</xm:sqref>
        </x14:conditionalFormatting>
        <x14:conditionalFormatting xmlns:xm="http://schemas.microsoft.com/office/excel/2006/main">
          <x14:cfRule type="dataBar" id="{F1797210-8226-45F0-A5ED-AA391349C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AN24</xm:sqref>
        </x14:conditionalFormatting>
        <x14:conditionalFormatting xmlns:xm="http://schemas.microsoft.com/office/excel/2006/main">
          <x14:cfRule type="dataBar" id="{0AE2B6EB-5B39-42A5-89DF-EFE41A42433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AP24</xm:sqref>
        </x14:conditionalFormatting>
        <x14:conditionalFormatting xmlns:xm="http://schemas.microsoft.com/office/excel/2006/main">
          <x14:cfRule type="dataBar" id="{AC7914D0-ACE6-457F-8FB0-140486B215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AP24</xm:sqref>
        </x14:conditionalFormatting>
        <x14:conditionalFormatting xmlns:xm="http://schemas.microsoft.com/office/excel/2006/main">
          <x14:cfRule type="dataBar" id="{FB4EBC5E-7C45-4843-B16C-E25B328D84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C3E45716-3088-4369-ACBA-04A9052166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AR24</xm:sqref>
        </x14:conditionalFormatting>
        <x14:conditionalFormatting xmlns:xm="http://schemas.microsoft.com/office/excel/2006/main">
          <x14:cfRule type="dataBar" id="{D0F363FA-CFA8-4B16-BEC1-FB27B39ED1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AR24</xm:sqref>
        </x14:conditionalFormatting>
        <x14:conditionalFormatting xmlns:xm="http://schemas.microsoft.com/office/excel/2006/main">
          <x14:cfRule type="dataBar" id="{33F90D5E-BA1E-4C9B-8574-2FA403599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AT24</xm:sqref>
        </x14:conditionalFormatting>
        <x14:conditionalFormatting xmlns:xm="http://schemas.microsoft.com/office/excel/2006/main">
          <x14:cfRule type="dataBar" id="{E41E8106-9D40-42FA-BEEF-691836DDE6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AT24</xm:sqref>
        </x14:conditionalFormatting>
        <x14:conditionalFormatting xmlns:xm="http://schemas.microsoft.com/office/excel/2006/main">
          <x14:cfRule type="dataBar" id="{AFC84921-A520-4B76-B4F3-74DAE14929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012F62FD-7315-4015-B447-12CB80D30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</xm:sqref>
        </x14:conditionalFormatting>
        <x14:conditionalFormatting xmlns:xm="http://schemas.microsoft.com/office/excel/2006/main">
          <x14:cfRule type="dataBar" id="{D0D07874-FD8B-4E9B-9054-BF79543B02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AV24</xm:sqref>
        </x14:conditionalFormatting>
        <x14:conditionalFormatting xmlns:xm="http://schemas.microsoft.com/office/excel/2006/main">
          <x14:cfRule type="dataBar" id="{4E708183-7690-4B74-A22E-5D14D9EE02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AV24</xm:sqref>
        </x14:conditionalFormatting>
        <x14:conditionalFormatting xmlns:xm="http://schemas.microsoft.com/office/excel/2006/main">
          <x14:cfRule type="dataBar" id="{CB4FBFA8-FC04-41EB-9AB0-E1DFE4C59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AX24</xm:sqref>
        </x14:conditionalFormatting>
        <x14:conditionalFormatting xmlns:xm="http://schemas.microsoft.com/office/excel/2006/main">
          <x14:cfRule type="dataBar" id="{25DF880A-7F6D-4013-A29D-F38E836C20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AX24</xm:sqref>
        </x14:conditionalFormatting>
        <x14:conditionalFormatting xmlns:xm="http://schemas.microsoft.com/office/excel/2006/main">
          <x14:cfRule type="dataBar" id="{BBD7A746-878C-4F0D-9ECB-86BC5149DF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AZ24</xm:sqref>
        </x14:conditionalFormatting>
        <x14:conditionalFormatting xmlns:xm="http://schemas.microsoft.com/office/excel/2006/main">
          <x14:cfRule type="dataBar" id="{4A667237-C252-4C24-B8CE-776B8694E5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AZ24</xm:sqref>
        </x14:conditionalFormatting>
        <x14:conditionalFormatting xmlns:xm="http://schemas.microsoft.com/office/excel/2006/main">
          <x14:cfRule type="dataBar" id="{479C822C-7165-4AB6-AA74-C21762643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BB24</xm:sqref>
        </x14:conditionalFormatting>
        <x14:conditionalFormatting xmlns:xm="http://schemas.microsoft.com/office/excel/2006/main">
          <x14:cfRule type="dataBar" id="{000C94E0-8ABD-4D5F-B75B-C4B229AFE6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BB24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BL53"/>
  <sheetViews>
    <sheetView zoomScale="70" zoomScaleNormal="70" workbookViewId="0">
      <selection activeCell="B12" sqref="B12"/>
    </sheetView>
  </sheetViews>
  <sheetFormatPr defaultRowHeight="14.4" x14ac:dyDescent="0.3"/>
  <cols>
    <col min="1" max="1" width="19.44140625" customWidth="1"/>
    <col min="2" max="2" width="24.44140625" bestFit="1" customWidth="1"/>
    <col min="3" max="3" width="12.109375" bestFit="1" customWidth="1"/>
    <col min="4" max="4" width="12.33203125" bestFit="1" customWidth="1"/>
    <col min="5" max="5" width="11" bestFit="1" customWidth="1"/>
    <col min="6" max="8" width="11" customWidth="1"/>
    <col min="9" max="9" width="13.44140625" bestFit="1" customWidth="1"/>
    <col min="10" max="10" width="9.6640625" bestFit="1" customWidth="1"/>
    <col min="11" max="11" width="10.6640625" bestFit="1" customWidth="1"/>
    <col min="12" max="12" width="12.6640625" bestFit="1" customWidth="1"/>
    <col min="13" max="13" width="13.44140625" bestFit="1" customWidth="1"/>
    <col min="14" max="14" width="11.109375" bestFit="1" customWidth="1"/>
    <col min="15" max="16" width="10.88671875" bestFit="1" customWidth="1"/>
    <col min="17" max="17" width="12.33203125" bestFit="1" customWidth="1"/>
    <col min="18" max="19" width="10.88671875" bestFit="1" customWidth="1"/>
    <col min="20" max="20" width="9.33203125" bestFit="1" customWidth="1"/>
    <col min="21" max="21" width="10.88671875" bestFit="1" customWidth="1"/>
    <col min="22" max="22" width="10.109375" bestFit="1" customWidth="1"/>
    <col min="23" max="23" width="9.44140625" bestFit="1" customWidth="1"/>
    <col min="24" max="24" width="10.109375" bestFit="1" customWidth="1"/>
    <col min="25" max="25" width="10.6640625" bestFit="1" customWidth="1"/>
    <col min="26" max="26" width="11" bestFit="1" customWidth="1"/>
    <col min="27" max="27" width="11.33203125" bestFit="1" customWidth="1"/>
    <col min="29" max="29" width="14.6640625" bestFit="1" customWidth="1"/>
    <col min="30" max="30" width="11.109375" bestFit="1" customWidth="1"/>
    <col min="31" max="31" width="10.88671875" bestFit="1" customWidth="1"/>
    <col min="32" max="32" width="9.88671875" customWidth="1"/>
    <col min="33" max="33" width="10.88671875" bestFit="1" customWidth="1"/>
    <col min="34" max="34" width="9.109375" bestFit="1" customWidth="1"/>
    <col min="35" max="35" width="10.88671875" bestFit="1" customWidth="1"/>
    <col min="36" max="37" width="10.109375" bestFit="1" customWidth="1"/>
    <col min="41" max="41" width="10.109375" customWidth="1"/>
    <col min="45" max="45" width="10.109375" bestFit="1" customWidth="1"/>
    <col min="46" max="46" width="9.109375" bestFit="1" customWidth="1"/>
    <col min="49" max="49" width="10.109375" bestFit="1" customWidth="1"/>
    <col min="53" max="53" width="10.109375" bestFit="1" customWidth="1"/>
    <col min="54" max="54" width="15.33203125" bestFit="1" customWidth="1"/>
  </cols>
  <sheetData>
    <row r="1" spans="1:19" ht="24" thickBot="1" x14ac:dyDescent="0.5">
      <c r="A1" s="76" t="s">
        <v>39</v>
      </c>
    </row>
    <row r="2" spans="1:19" ht="21" thickTop="1" thickBot="1" x14ac:dyDescent="0.45">
      <c r="A2" s="71" t="s">
        <v>35</v>
      </c>
      <c r="B2" s="78">
        <v>44165</v>
      </c>
    </row>
    <row r="3" spans="1:19" ht="18.600000000000001" thickTop="1" thickBot="1" x14ac:dyDescent="0.4">
      <c r="A3" s="72" t="s">
        <v>37</v>
      </c>
      <c r="B3" t="s">
        <v>33</v>
      </c>
    </row>
    <row r="4" spans="1:19" ht="15.6" thickTop="1" thickBot="1" x14ac:dyDescent="0.35"/>
    <row r="5" spans="1:19" x14ac:dyDescent="0.3">
      <c r="A5" s="73"/>
      <c r="B5" s="74" t="s">
        <v>22</v>
      </c>
      <c r="C5" s="184" t="s">
        <v>42</v>
      </c>
      <c r="D5" s="185"/>
      <c r="F5" s="186" t="s">
        <v>41</v>
      </c>
      <c r="G5" s="187"/>
      <c r="I5" s="188" t="s">
        <v>40</v>
      </c>
      <c r="J5" s="189"/>
      <c r="K5" s="189"/>
      <c r="L5" s="189"/>
      <c r="M5" s="189"/>
      <c r="N5" s="190"/>
      <c r="P5" s="163">
        <v>44165</v>
      </c>
      <c r="Q5" s="164"/>
      <c r="R5" s="164"/>
      <c r="S5" s="165"/>
    </row>
    <row r="6" spans="1:19" x14ac:dyDescent="0.3">
      <c r="A6" s="25"/>
      <c r="B6" s="79" t="s">
        <v>23</v>
      </c>
      <c r="C6" s="79" t="s">
        <v>1</v>
      </c>
      <c r="D6" s="24" t="s">
        <v>0</v>
      </c>
      <c r="F6" s="104" t="s">
        <v>1</v>
      </c>
      <c r="G6" s="105" t="s">
        <v>0</v>
      </c>
      <c r="I6" s="177" t="s">
        <v>1</v>
      </c>
      <c r="J6" s="181"/>
      <c r="K6" s="191"/>
      <c r="L6" s="192" t="s">
        <v>0</v>
      </c>
      <c r="M6" s="181"/>
      <c r="N6" s="182"/>
      <c r="P6" s="16" t="s">
        <v>1</v>
      </c>
      <c r="Q6" s="6" t="s">
        <v>20</v>
      </c>
      <c r="R6" s="10" t="s">
        <v>0</v>
      </c>
      <c r="S6" s="17" t="s">
        <v>19</v>
      </c>
    </row>
    <row r="7" spans="1:19" x14ac:dyDescent="0.3">
      <c r="A7" s="23" t="s">
        <v>25</v>
      </c>
      <c r="B7" s="79" t="s">
        <v>24</v>
      </c>
      <c r="C7" s="79"/>
      <c r="D7" s="24"/>
      <c r="F7" s="25"/>
      <c r="G7" s="26"/>
      <c r="I7" s="38" t="s">
        <v>33</v>
      </c>
      <c r="J7" s="39" t="s">
        <v>20</v>
      </c>
      <c r="K7" s="39" t="s">
        <v>21</v>
      </c>
      <c r="L7" s="41" t="s">
        <v>33</v>
      </c>
      <c r="M7" s="39" t="s">
        <v>19</v>
      </c>
      <c r="N7" s="40" t="s">
        <v>21</v>
      </c>
      <c r="P7" s="18"/>
      <c r="Q7" s="7"/>
      <c r="R7" s="11"/>
      <c r="S7" s="19"/>
    </row>
    <row r="8" spans="1:19" x14ac:dyDescent="0.3">
      <c r="A8" s="170" t="s">
        <v>2</v>
      </c>
      <c r="B8" s="30" t="s">
        <v>3</v>
      </c>
      <c r="C8" s="31">
        <v>10159</v>
      </c>
      <c r="D8" s="97">
        <v>4320</v>
      </c>
      <c r="F8" s="106">
        <f>C8/(C8+D8)</f>
        <v>0.70163685337385173</v>
      </c>
      <c r="G8" s="33">
        <f>D8/(D8+C8)</f>
        <v>0.29836314662614821</v>
      </c>
      <c r="I8" s="32">
        <v>10070</v>
      </c>
      <c r="J8" s="35">
        <f t="shared" ref="J8:J13" si="0">I8/C8</f>
        <v>0.99123929520622112</v>
      </c>
      <c r="K8" s="35" t="s">
        <v>27</v>
      </c>
      <c r="L8" s="31">
        <f>3837+413</f>
        <v>4250</v>
      </c>
      <c r="M8" s="35">
        <f>L8/D8</f>
        <v>0.98379629629629628</v>
      </c>
      <c r="N8" s="33" t="s">
        <v>27</v>
      </c>
      <c r="P8" s="32"/>
      <c r="Q8" s="35"/>
      <c r="R8" s="31"/>
      <c r="S8" s="33"/>
    </row>
    <row r="9" spans="1:19" x14ac:dyDescent="0.3">
      <c r="A9" s="170"/>
      <c r="B9" s="29" t="s">
        <v>29</v>
      </c>
      <c r="C9" s="11">
        <v>20196</v>
      </c>
      <c r="D9" s="98">
        <v>6295</v>
      </c>
      <c r="F9" s="103">
        <f t="shared" ref="F9:F27" si="1">C9/(C9+D9)</f>
        <v>0.76237212638254503</v>
      </c>
      <c r="G9" s="28">
        <f t="shared" ref="G9:G27" si="2">D9/(D9+C9)</f>
        <v>0.23762787361745499</v>
      </c>
      <c r="I9" s="27">
        <f>19997+44</f>
        <v>20041</v>
      </c>
      <c r="J9" s="9">
        <f t="shared" si="0"/>
        <v>0.99232521291344822</v>
      </c>
      <c r="K9" s="9" t="s">
        <v>27</v>
      </c>
      <c r="L9" s="4">
        <f>5132+1042</f>
        <v>6174</v>
      </c>
      <c r="M9" s="9">
        <f t="shared" ref="M9:M19" si="3">L9/D9</f>
        <v>0.98077839555202539</v>
      </c>
      <c r="N9" s="20" t="s">
        <v>27</v>
      </c>
      <c r="P9" s="18"/>
      <c r="Q9" s="9"/>
      <c r="R9" s="11"/>
      <c r="S9" s="20"/>
    </row>
    <row r="10" spans="1:19" x14ac:dyDescent="0.3">
      <c r="A10" s="170"/>
      <c r="B10" s="37" t="s">
        <v>30</v>
      </c>
      <c r="C10" s="31">
        <v>6677</v>
      </c>
      <c r="D10" s="97">
        <v>1542</v>
      </c>
      <c r="F10" s="106">
        <f t="shared" si="1"/>
        <v>0.81238593502859224</v>
      </c>
      <c r="G10" s="33">
        <f t="shared" si="2"/>
        <v>0.1876140649714077</v>
      </c>
      <c r="I10" s="32">
        <f>6628+13</f>
        <v>6641</v>
      </c>
      <c r="J10" s="35">
        <f t="shared" si="0"/>
        <v>0.9946083570465778</v>
      </c>
      <c r="K10" s="35" t="s">
        <v>27</v>
      </c>
      <c r="L10" s="31">
        <f>1469+59</f>
        <v>1528</v>
      </c>
      <c r="M10" s="35">
        <f t="shared" si="3"/>
        <v>0.99092088197146566</v>
      </c>
      <c r="N10" s="33" t="s">
        <v>27</v>
      </c>
      <c r="P10" s="32"/>
      <c r="Q10" s="35"/>
      <c r="R10" s="31"/>
      <c r="S10" s="33"/>
    </row>
    <row r="11" spans="1:19" x14ac:dyDescent="0.3">
      <c r="A11" s="170"/>
      <c r="B11" s="79" t="s">
        <v>4</v>
      </c>
      <c r="C11" s="4">
        <v>6208</v>
      </c>
      <c r="D11" s="99">
        <v>1795</v>
      </c>
      <c r="F11" s="103">
        <f t="shared" si="1"/>
        <v>0.77570910908409352</v>
      </c>
      <c r="G11" s="28">
        <f t="shared" si="2"/>
        <v>0.22429089091590654</v>
      </c>
      <c r="I11" s="27">
        <v>6135</v>
      </c>
      <c r="J11" s="9">
        <f t="shared" si="0"/>
        <v>0.98824097938144329</v>
      </c>
      <c r="K11" s="9" t="s">
        <v>27</v>
      </c>
      <c r="L11" s="4">
        <f>1558+193</f>
        <v>1751</v>
      </c>
      <c r="M11" s="9">
        <f t="shared" si="3"/>
        <v>0.97548746518105844</v>
      </c>
      <c r="N11" s="20" t="s">
        <v>27</v>
      </c>
      <c r="P11" s="18"/>
      <c r="Q11" s="9"/>
      <c r="R11" s="11"/>
      <c r="S11" s="20"/>
    </row>
    <row r="12" spans="1:19" x14ac:dyDescent="0.3">
      <c r="A12" s="170"/>
      <c r="B12" s="30" t="s">
        <v>5</v>
      </c>
      <c r="C12" s="31">
        <v>11355</v>
      </c>
      <c r="D12" s="97">
        <v>3221</v>
      </c>
      <c r="F12" s="106">
        <f t="shared" si="1"/>
        <v>0.77902030735455541</v>
      </c>
      <c r="G12" s="33">
        <f t="shared" si="2"/>
        <v>0.22097969264544456</v>
      </c>
      <c r="I12" s="32">
        <v>11059</v>
      </c>
      <c r="J12" s="35">
        <f t="shared" si="0"/>
        <v>0.97393218846323204</v>
      </c>
      <c r="K12" s="35" t="s">
        <v>27</v>
      </c>
      <c r="L12" s="31">
        <f>2773+382</f>
        <v>3155</v>
      </c>
      <c r="M12" s="35">
        <f t="shared" si="3"/>
        <v>0.97950946910897241</v>
      </c>
      <c r="N12" s="33" t="s">
        <v>27</v>
      </c>
      <c r="P12" s="32"/>
      <c r="Q12" s="35"/>
      <c r="R12" s="31"/>
      <c r="S12" s="33"/>
    </row>
    <row r="13" spans="1:19" x14ac:dyDescent="0.3">
      <c r="A13" s="170"/>
      <c r="B13" s="79" t="s">
        <v>6</v>
      </c>
      <c r="C13" s="4">
        <v>33206</v>
      </c>
      <c r="D13" s="99">
        <v>7278</v>
      </c>
      <c r="F13" s="103">
        <f t="shared" si="1"/>
        <v>0.82022527418239299</v>
      </c>
      <c r="G13" s="28">
        <f t="shared" si="2"/>
        <v>0.17977472581760695</v>
      </c>
      <c r="I13" s="27">
        <v>33084</v>
      </c>
      <c r="J13" s="9">
        <f t="shared" si="0"/>
        <v>0.99632596518701444</v>
      </c>
      <c r="K13" s="9" t="s">
        <v>27</v>
      </c>
      <c r="L13" s="4">
        <f>6621+579</f>
        <v>7200</v>
      </c>
      <c r="M13" s="9">
        <f t="shared" si="3"/>
        <v>0.98928276999175602</v>
      </c>
      <c r="N13" s="20" t="s">
        <v>27</v>
      </c>
      <c r="P13" s="18"/>
      <c r="Q13" s="9"/>
      <c r="R13" s="11"/>
      <c r="S13" s="20"/>
    </row>
    <row r="14" spans="1:19" x14ac:dyDescent="0.3">
      <c r="A14" s="170"/>
      <c r="B14" s="30" t="s">
        <v>7</v>
      </c>
      <c r="C14" s="31">
        <v>7485</v>
      </c>
      <c r="D14" s="97">
        <v>2217</v>
      </c>
      <c r="F14" s="106">
        <f t="shared" si="1"/>
        <v>0.77149041434755716</v>
      </c>
      <c r="G14" s="33">
        <f t="shared" si="2"/>
        <v>0.22850958565244278</v>
      </c>
      <c r="I14" s="32">
        <f>6960+5</f>
        <v>6965</v>
      </c>
      <c r="J14" s="35">
        <f t="shared" ref="J14:J21" si="4">I14/C14</f>
        <v>0.93052772211088841</v>
      </c>
      <c r="K14" s="35" t="s">
        <v>27</v>
      </c>
      <c r="L14" s="31">
        <f>1721+428</f>
        <v>2149</v>
      </c>
      <c r="M14" s="9">
        <f t="shared" si="3"/>
        <v>0.96932792061344164</v>
      </c>
      <c r="N14" s="33" t="s">
        <v>27</v>
      </c>
      <c r="P14" s="32"/>
      <c r="Q14" s="35"/>
      <c r="R14" s="31"/>
      <c r="S14" s="33"/>
    </row>
    <row r="15" spans="1:19" x14ac:dyDescent="0.3">
      <c r="A15" s="170"/>
      <c r="B15" s="79" t="s">
        <v>8</v>
      </c>
      <c r="C15" s="4">
        <v>15279</v>
      </c>
      <c r="D15" s="99">
        <v>20441</v>
      </c>
      <c r="F15" s="103">
        <f t="shared" si="1"/>
        <v>0.42774356103023514</v>
      </c>
      <c r="G15" s="28">
        <f t="shared" si="2"/>
        <v>0.57225643896976486</v>
      </c>
      <c r="I15" s="27">
        <v>14929</v>
      </c>
      <c r="J15" s="35">
        <f t="shared" si="4"/>
        <v>0.97709274167157534</v>
      </c>
      <c r="K15" s="9" t="s">
        <v>27</v>
      </c>
      <c r="L15" s="4">
        <f>19161+781</f>
        <v>19942</v>
      </c>
      <c r="M15" s="9">
        <f t="shared" si="3"/>
        <v>0.97558827845995788</v>
      </c>
      <c r="N15" s="20" t="s">
        <v>27</v>
      </c>
      <c r="P15" s="18"/>
      <c r="Q15" s="9"/>
      <c r="R15" s="11"/>
      <c r="S15" s="20"/>
    </row>
    <row r="16" spans="1:19" x14ac:dyDescent="0.3">
      <c r="A16" s="171" t="s">
        <v>9</v>
      </c>
      <c r="B16" s="30" t="s">
        <v>10</v>
      </c>
      <c r="C16" s="31">
        <v>3033</v>
      </c>
      <c r="D16" s="97">
        <v>4080</v>
      </c>
      <c r="F16" s="106">
        <f t="shared" si="1"/>
        <v>0.42640236187262759</v>
      </c>
      <c r="G16" s="33">
        <f t="shared" si="2"/>
        <v>0.57359763812737241</v>
      </c>
      <c r="I16" s="32">
        <f>2968</f>
        <v>2968</v>
      </c>
      <c r="J16" s="35">
        <f t="shared" si="4"/>
        <v>0.97856907352456313</v>
      </c>
      <c r="K16" s="35" t="s">
        <v>27</v>
      </c>
      <c r="L16" s="31">
        <f>3950+57</f>
        <v>4007</v>
      </c>
      <c r="M16" s="35">
        <f t="shared" si="3"/>
        <v>0.98210784313725485</v>
      </c>
      <c r="N16" s="33" t="s">
        <v>27</v>
      </c>
      <c r="P16" s="32"/>
      <c r="Q16" s="35"/>
      <c r="R16" s="31"/>
      <c r="S16" s="33"/>
    </row>
    <row r="17" spans="1:64" x14ac:dyDescent="0.3">
      <c r="A17" s="172"/>
      <c r="B17" s="79" t="s">
        <v>13</v>
      </c>
      <c r="C17" s="96">
        <v>5672</v>
      </c>
      <c r="D17" s="99">
        <v>860</v>
      </c>
      <c r="F17" s="103">
        <f t="shared" si="1"/>
        <v>0.86834047764849964</v>
      </c>
      <c r="G17" s="28">
        <f t="shared" si="2"/>
        <v>0.1316595223515003</v>
      </c>
      <c r="I17" s="27">
        <v>5594</v>
      </c>
      <c r="J17" s="9">
        <f t="shared" si="4"/>
        <v>0.98624823695345554</v>
      </c>
      <c r="K17" s="9" t="s">
        <v>27</v>
      </c>
      <c r="L17" s="4">
        <f>650+193</f>
        <v>843</v>
      </c>
      <c r="M17" s="9">
        <f t="shared" si="3"/>
        <v>0.98023255813953492</v>
      </c>
      <c r="N17" s="20" t="s">
        <v>27</v>
      </c>
      <c r="P17" s="18"/>
      <c r="Q17" s="9"/>
      <c r="R17" s="11"/>
      <c r="S17" s="20"/>
    </row>
    <row r="18" spans="1:64" x14ac:dyDescent="0.3">
      <c r="A18" s="172"/>
      <c r="B18" s="30" t="s">
        <v>12</v>
      </c>
      <c r="C18" s="31">
        <v>5108</v>
      </c>
      <c r="D18" s="97">
        <v>1966</v>
      </c>
      <c r="F18" s="106">
        <f t="shared" si="1"/>
        <v>0.72208085948543965</v>
      </c>
      <c r="G18" s="33">
        <f t="shared" si="2"/>
        <v>0.27791914051456035</v>
      </c>
      <c r="I18" s="32">
        <v>4998</v>
      </c>
      <c r="J18" s="35">
        <f t="shared" si="4"/>
        <v>0.97846515270164447</v>
      </c>
      <c r="K18" s="35" t="s">
        <v>27</v>
      </c>
      <c r="L18" s="31">
        <f>1782+159</f>
        <v>1941</v>
      </c>
      <c r="M18" s="35">
        <f t="shared" si="3"/>
        <v>0.98728382502543233</v>
      </c>
      <c r="N18" s="33" t="s">
        <v>27</v>
      </c>
      <c r="P18" s="32"/>
      <c r="Q18" s="35"/>
      <c r="R18" s="31"/>
      <c r="S18" s="33"/>
    </row>
    <row r="19" spans="1:64" x14ac:dyDescent="0.3">
      <c r="A19" s="172"/>
      <c r="B19" s="79" t="s">
        <v>11</v>
      </c>
      <c r="C19" s="4">
        <v>483</v>
      </c>
      <c r="D19" s="99">
        <v>66</v>
      </c>
      <c r="F19" s="103">
        <f t="shared" si="1"/>
        <v>0.8797814207650273</v>
      </c>
      <c r="G19" s="28">
        <f t="shared" si="2"/>
        <v>0.12021857923497267</v>
      </c>
      <c r="I19" s="27">
        <v>483</v>
      </c>
      <c r="J19" s="9">
        <f t="shared" si="4"/>
        <v>1</v>
      </c>
      <c r="K19" s="9" t="s">
        <v>27</v>
      </c>
      <c r="L19" s="4">
        <v>66</v>
      </c>
      <c r="M19" s="9">
        <f t="shared" si="3"/>
        <v>1</v>
      </c>
      <c r="N19" s="20" t="s">
        <v>27</v>
      </c>
      <c r="P19" s="18"/>
      <c r="Q19" s="9"/>
      <c r="R19" s="11"/>
      <c r="S19" s="20"/>
    </row>
    <row r="20" spans="1:64" x14ac:dyDescent="0.3">
      <c r="A20" s="172"/>
      <c r="B20" s="30" t="s">
        <v>34</v>
      </c>
      <c r="C20" s="31">
        <v>12422</v>
      </c>
      <c r="D20" s="97">
        <v>4412</v>
      </c>
      <c r="F20" s="106">
        <f t="shared" si="1"/>
        <v>0.73791136984673877</v>
      </c>
      <c r="G20" s="33">
        <f t="shared" si="2"/>
        <v>0.26208863015326128</v>
      </c>
      <c r="I20" s="32">
        <f>12342+39</f>
        <v>12381</v>
      </c>
      <c r="J20" s="9">
        <f t="shared" si="4"/>
        <v>0.99669940428272419</v>
      </c>
      <c r="K20" s="35" t="s">
        <v>27</v>
      </c>
      <c r="L20" s="31">
        <f>4019+289</f>
        <v>4308</v>
      </c>
      <c r="M20" s="9">
        <f t="shared" ref="M20:M27" si="5">L20/D20</f>
        <v>0.97642792384406163</v>
      </c>
      <c r="N20" s="33" t="s">
        <v>27</v>
      </c>
      <c r="P20" s="32">
        <f>623+22</f>
        <v>645</v>
      </c>
      <c r="Q20" s="35">
        <v>5.1900000000000002E-2</v>
      </c>
      <c r="R20" s="31">
        <f>1475+87</f>
        <v>1562</v>
      </c>
      <c r="S20" s="33">
        <v>0.35399999999999998</v>
      </c>
    </row>
    <row r="21" spans="1:64" x14ac:dyDescent="0.3">
      <c r="A21" s="193"/>
      <c r="B21" s="69" t="s">
        <v>28</v>
      </c>
      <c r="C21" s="63">
        <v>11501</v>
      </c>
      <c r="D21" s="100">
        <f>3554</f>
        <v>3554</v>
      </c>
      <c r="F21" s="103">
        <f t="shared" si="1"/>
        <v>0.763932248422451</v>
      </c>
      <c r="G21" s="28">
        <f t="shared" si="2"/>
        <v>0.23606775157754897</v>
      </c>
      <c r="I21" s="61">
        <f>11379</f>
        <v>11379</v>
      </c>
      <c r="J21" s="9">
        <f t="shared" si="4"/>
        <v>0.98939222676289018</v>
      </c>
      <c r="K21" s="62" t="s">
        <v>27</v>
      </c>
      <c r="L21" s="63">
        <f>3029+413</f>
        <v>3442</v>
      </c>
      <c r="M21" s="9">
        <f t="shared" si="5"/>
        <v>0.96848621271806412</v>
      </c>
      <c r="N21" s="64" t="s">
        <v>27</v>
      </c>
      <c r="P21" s="61">
        <f>6958</f>
        <v>6958</v>
      </c>
      <c r="Q21" s="62">
        <v>0.60499999999999998</v>
      </c>
      <c r="R21" s="63">
        <f>319+213</f>
        <v>532</v>
      </c>
      <c r="S21" s="64">
        <v>0.1497</v>
      </c>
    </row>
    <row r="22" spans="1:64" x14ac:dyDescent="0.3">
      <c r="A22" s="171" t="s">
        <v>14</v>
      </c>
      <c r="B22" s="30" t="s">
        <v>15</v>
      </c>
      <c r="C22" s="31">
        <v>25742</v>
      </c>
      <c r="D22" s="97">
        <v>6746</v>
      </c>
      <c r="F22" s="106">
        <f t="shared" si="1"/>
        <v>0.79235409997537554</v>
      </c>
      <c r="G22" s="33">
        <f t="shared" si="2"/>
        <v>0.20764590002462446</v>
      </c>
      <c r="I22" s="32">
        <f>25544+1</f>
        <v>25545</v>
      </c>
      <c r="J22" s="9">
        <f>I22/C22</f>
        <v>0.99234713697459409</v>
      </c>
      <c r="K22" s="35" t="s">
        <v>27</v>
      </c>
      <c r="L22" s="31">
        <f>6573+30</f>
        <v>6603</v>
      </c>
      <c r="M22" s="9">
        <f t="shared" si="5"/>
        <v>0.97880225318707381</v>
      </c>
      <c r="N22" s="33" t="s">
        <v>27</v>
      </c>
      <c r="P22" s="32"/>
      <c r="Q22" s="35"/>
      <c r="R22" s="31"/>
      <c r="S22" s="33"/>
    </row>
    <row r="23" spans="1:64" x14ac:dyDescent="0.3">
      <c r="A23" s="193"/>
      <c r="B23" s="68" t="s">
        <v>31</v>
      </c>
      <c r="C23" s="63">
        <v>26306</v>
      </c>
      <c r="D23" s="100">
        <v>10115</v>
      </c>
      <c r="F23" s="103">
        <f t="shared" si="1"/>
        <v>0.7222756102248703</v>
      </c>
      <c r="G23" s="28">
        <f t="shared" si="2"/>
        <v>0.27772438977512975</v>
      </c>
      <c r="I23" s="61">
        <v>26150</v>
      </c>
      <c r="J23" s="62">
        <f>I23/C23</f>
        <v>0.99406979396335438</v>
      </c>
      <c r="K23" s="62" t="s">
        <v>27</v>
      </c>
      <c r="L23" s="63">
        <f>9861+53</f>
        <v>9914</v>
      </c>
      <c r="M23" s="35">
        <f t="shared" si="5"/>
        <v>0.98012852199703415</v>
      </c>
      <c r="N23" s="64" t="s">
        <v>27</v>
      </c>
      <c r="P23" s="61"/>
      <c r="Q23" s="62"/>
      <c r="R23" s="63"/>
      <c r="S23" s="64"/>
    </row>
    <row r="24" spans="1:64" x14ac:dyDescent="0.3">
      <c r="A24" s="171" t="s">
        <v>16</v>
      </c>
      <c r="B24" s="30" t="s">
        <v>17</v>
      </c>
      <c r="C24" s="31"/>
      <c r="D24" s="97">
        <v>5190</v>
      </c>
      <c r="F24" s="106">
        <f t="shared" si="1"/>
        <v>0</v>
      </c>
      <c r="G24" s="33">
        <f t="shared" si="2"/>
        <v>1</v>
      </c>
      <c r="I24" s="32"/>
      <c r="J24" s="35"/>
      <c r="K24" s="35"/>
      <c r="L24" s="31">
        <f>5008+75</f>
        <v>5083</v>
      </c>
      <c r="M24" s="35">
        <f t="shared" si="5"/>
        <v>0.97938342967244696</v>
      </c>
      <c r="N24" s="33" t="s">
        <v>27</v>
      </c>
      <c r="P24" s="32"/>
      <c r="Q24" s="35"/>
      <c r="R24" s="31"/>
      <c r="S24" s="33"/>
    </row>
    <row r="25" spans="1:64" x14ac:dyDescent="0.3">
      <c r="A25" s="172"/>
      <c r="B25" s="54" t="s">
        <v>18</v>
      </c>
      <c r="C25" s="55"/>
      <c r="D25" s="101">
        <v>17592</v>
      </c>
      <c r="F25" s="103">
        <f t="shared" si="1"/>
        <v>0</v>
      </c>
      <c r="G25" s="28">
        <f t="shared" si="2"/>
        <v>1</v>
      </c>
      <c r="I25" s="61"/>
      <c r="J25" s="62"/>
      <c r="K25" s="62"/>
      <c r="L25" s="63">
        <f>16847+198</f>
        <v>17045</v>
      </c>
      <c r="M25" s="62">
        <f t="shared" si="5"/>
        <v>0.96890632105502505</v>
      </c>
      <c r="N25" s="64" t="s">
        <v>27</v>
      </c>
      <c r="P25" s="56"/>
      <c r="Q25" s="59"/>
      <c r="R25" s="55"/>
      <c r="S25" s="62"/>
    </row>
    <row r="26" spans="1:64" ht="15" thickBot="1" x14ac:dyDescent="0.35">
      <c r="A26" s="173"/>
      <c r="B26" s="75" t="s">
        <v>26</v>
      </c>
      <c r="C26" s="75"/>
      <c r="D26" s="102">
        <v>25386</v>
      </c>
      <c r="F26" s="107">
        <f t="shared" si="1"/>
        <v>0</v>
      </c>
      <c r="G26" s="52">
        <f t="shared" si="2"/>
        <v>1</v>
      </c>
      <c r="I26" s="50"/>
      <c r="J26" s="49"/>
      <c r="K26" s="51"/>
      <c r="L26" s="53">
        <f>23889+410</f>
        <v>24299</v>
      </c>
      <c r="M26" s="62">
        <f t="shared" si="5"/>
        <v>0.95718112345387218</v>
      </c>
      <c r="N26" s="45" t="s">
        <v>27</v>
      </c>
      <c r="P26" s="44"/>
      <c r="Q26" s="49"/>
      <c r="R26" s="53"/>
      <c r="S26" s="51"/>
    </row>
    <row r="27" spans="1:64" ht="16.2" thickBot="1" x14ac:dyDescent="0.35">
      <c r="A27" s="42" t="s">
        <v>32</v>
      </c>
      <c r="B27" s="43"/>
      <c r="C27" s="42">
        <f>SUM(C8:C26)</f>
        <v>200832</v>
      </c>
      <c r="D27" s="42">
        <f>SUM(D8:D26)</f>
        <v>127076</v>
      </c>
      <c r="F27" s="70">
        <f t="shared" si="1"/>
        <v>0.61246447174207397</v>
      </c>
      <c r="G27" s="70">
        <f t="shared" si="2"/>
        <v>0.38753552825792598</v>
      </c>
      <c r="I27" s="42">
        <f>SUM(I8:I26)</f>
        <v>198422</v>
      </c>
      <c r="J27" s="70">
        <f>I27/C27</f>
        <v>0.98799992033142126</v>
      </c>
      <c r="K27" s="43"/>
      <c r="L27" s="42">
        <f>SUM(L8:L26)</f>
        <v>123700</v>
      </c>
      <c r="M27" s="70">
        <f t="shared" si="5"/>
        <v>0.97343322106455976</v>
      </c>
      <c r="N27" s="43"/>
      <c r="P27" s="42">
        <f>SUM(P7:P26)</f>
        <v>7603</v>
      </c>
      <c r="Q27" s="9">
        <f>P27/C27</f>
        <v>3.7857512746972591E-2</v>
      </c>
      <c r="R27" s="42">
        <f>SUM(R7:R26)</f>
        <v>2094</v>
      </c>
      <c r="S27" s="9">
        <f>R27/D27</f>
        <v>1.6478327929742832E-2</v>
      </c>
    </row>
    <row r="28" spans="1:64" ht="15" thickTop="1" x14ac:dyDescent="0.3"/>
    <row r="29" spans="1:64" ht="18.600000000000001" thickBot="1" x14ac:dyDescent="0.4">
      <c r="A29" s="77" t="s">
        <v>36</v>
      </c>
    </row>
    <row r="30" spans="1:64" x14ac:dyDescent="0.3">
      <c r="A30" s="2"/>
      <c r="B30" s="1" t="s">
        <v>22</v>
      </c>
      <c r="C30" s="163">
        <v>44140</v>
      </c>
      <c r="D30" s="165"/>
      <c r="E30" s="201">
        <v>44141</v>
      </c>
      <c r="F30" s="202"/>
      <c r="G30" s="199">
        <v>44144</v>
      </c>
      <c r="H30" s="200"/>
      <c r="I30" s="202">
        <v>44145</v>
      </c>
      <c r="J30" s="202"/>
      <c r="K30" s="202"/>
      <c r="L30" s="206"/>
      <c r="M30" s="163">
        <v>44146</v>
      </c>
      <c r="N30" s="164"/>
      <c r="O30" s="164"/>
      <c r="P30" s="165"/>
      <c r="Q30" s="201">
        <v>44147</v>
      </c>
      <c r="R30" s="202"/>
      <c r="S30" s="202"/>
      <c r="T30" s="206"/>
      <c r="U30" s="163">
        <v>44148</v>
      </c>
      <c r="V30" s="164"/>
      <c r="W30" s="164"/>
      <c r="X30" s="165"/>
      <c r="Y30" s="201">
        <v>44151</v>
      </c>
      <c r="Z30" s="202"/>
      <c r="AA30" s="202"/>
      <c r="AB30" s="206"/>
      <c r="AC30" s="163">
        <v>44152</v>
      </c>
      <c r="AD30" s="164"/>
      <c r="AE30" s="164"/>
      <c r="AF30" s="165"/>
      <c r="AG30" s="204">
        <v>44153</v>
      </c>
      <c r="AH30" s="205"/>
      <c r="AI30" s="205"/>
      <c r="AJ30" s="205"/>
      <c r="AK30" s="163">
        <v>44155</v>
      </c>
      <c r="AL30" s="164"/>
      <c r="AM30" s="164"/>
      <c r="AN30" s="165"/>
      <c r="AO30" s="201">
        <v>44158</v>
      </c>
      <c r="AP30" s="202"/>
      <c r="AQ30" s="202"/>
      <c r="AR30" s="204"/>
      <c r="AS30" s="163">
        <v>44159</v>
      </c>
      <c r="AT30" s="164"/>
      <c r="AU30" s="164"/>
      <c r="AV30" s="165"/>
      <c r="AW30" s="201">
        <v>44160</v>
      </c>
      <c r="AX30" s="202"/>
      <c r="AY30" s="202"/>
      <c r="AZ30" s="202"/>
      <c r="BA30" s="199">
        <v>44161</v>
      </c>
      <c r="BB30" s="203"/>
      <c r="BC30" s="203"/>
      <c r="BD30" s="200"/>
      <c r="BE30" s="201">
        <v>44162</v>
      </c>
      <c r="BF30" s="202"/>
      <c r="BG30" s="202"/>
      <c r="BH30" s="202"/>
      <c r="BI30" s="199">
        <v>44165</v>
      </c>
      <c r="BJ30" s="203"/>
      <c r="BK30" s="203"/>
      <c r="BL30" s="200"/>
    </row>
    <row r="31" spans="1:64" x14ac:dyDescent="0.3">
      <c r="A31" s="2"/>
      <c r="B31" s="1" t="s">
        <v>23</v>
      </c>
      <c r="C31" s="16" t="s">
        <v>0</v>
      </c>
      <c r="D31" s="17" t="s">
        <v>19</v>
      </c>
      <c r="E31" t="s">
        <v>0</v>
      </c>
      <c r="F31" s="80" t="s">
        <v>38</v>
      </c>
      <c r="G31" s="87" t="s">
        <v>0</v>
      </c>
      <c r="H31" s="88" t="s">
        <v>19</v>
      </c>
      <c r="I31" s="13" t="s">
        <v>1</v>
      </c>
      <c r="J31" s="1" t="s">
        <v>20</v>
      </c>
      <c r="K31" s="3" t="s">
        <v>0</v>
      </c>
      <c r="L31" s="8" t="s">
        <v>19</v>
      </c>
      <c r="M31" s="16" t="s">
        <v>1</v>
      </c>
      <c r="N31" s="6" t="s">
        <v>20</v>
      </c>
      <c r="O31" s="10" t="s">
        <v>0</v>
      </c>
      <c r="P31" s="17" t="s">
        <v>19</v>
      </c>
      <c r="Q31" s="13" t="s">
        <v>1</v>
      </c>
      <c r="R31" s="79" t="s">
        <v>20</v>
      </c>
      <c r="S31" s="3" t="s">
        <v>0</v>
      </c>
      <c r="T31" s="8" t="s">
        <v>19</v>
      </c>
      <c r="U31" s="16" t="s">
        <v>1</v>
      </c>
      <c r="V31" s="6" t="s">
        <v>20</v>
      </c>
      <c r="W31" s="10" t="s">
        <v>0</v>
      </c>
      <c r="X31" s="17" t="s">
        <v>19</v>
      </c>
      <c r="Y31" s="16" t="s">
        <v>1</v>
      </c>
      <c r="Z31" s="6" t="s">
        <v>20</v>
      </c>
      <c r="AA31" s="10" t="s">
        <v>0</v>
      </c>
      <c r="AB31" s="17" t="s">
        <v>19</v>
      </c>
      <c r="AC31" s="16" t="s">
        <v>1</v>
      </c>
      <c r="AD31" s="6" t="s">
        <v>20</v>
      </c>
      <c r="AE31" s="10" t="s">
        <v>0</v>
      </c>
      <c r="AF31" s="17" t="s">
        <v>19</v>
      </c>
      <c r="AG31" s="108" t="s">
        <v>1</v>
      </c>
      <c r="AH31" s="6" t="s">
        <v>20</v>
      </c>
      <c r="AI31" s="10" t="s">
        <v>0</v>
      </c>
      <c r="AJ31" s="6" t="s">
        <v>19</v>
      </c>
      <c r="AK31" s="16" t="s">
        <v>1</v>
      </c>
      <c r="AL31" s="6" t="s">
        <v>20</v>
      </c>
      <c r="AM31" s="10" t="s">
        <v>0</v>
      </c>
      <c r="AN31" s="17" t="s">
        <v>19</v>
      </c>
      <c r="AO31" s="16" t="s">
        <v>1</v>
      </c>
      <c r="AP31" s="6" t="s">
        <v>20</v>
      </c>
      <c r="AQ31" s="10" t="s">
        <v>0</v>
      </c>
      <c r="AR31" s="17" t="s">
        <v>19</v>
      </c>
      <c r="AS31" s="16" t="s">
        <v>1</v>
      </c>
      <c r="AT31" s="6" t="s">
        <v>20</v>
      </c>
      <c r="AU31" s="10" t="s">
        <v>0</v>
      </c>
      <c r="AV31" s="17" t="s">
        <v>19</v>
      </c>
      <c r="AW31" s="16" t="s">
        <v>1</v>
      </c>
      <c r="AX31" s="6" t="s">
        <v>20</v>
      </c>
      <c r="AY31" s="10" t="s">
        <v>0</v>
      </c>
      <c r="AZ31" s="112" t="s">
        <v>19</v>
      </c>
      <c r="BA31" s="16" t="s">
        <v>1</v>
      </c>
      <c r="BB31" s="6" t="s">
        <v>20</v>
      </c>
      <c r="BC31" s="10" t="s">
        <v>0</v>
      </c>
      <c r="BD31" s="17" t="s">
        <v>19</v>
      </c>
      <c r="BE31" s="16" t="s">
        <v>1</v>
      </c>
      <c r="BF31" s="6" t="s">
        <v>20</v>
      </c>
      <c r="BG31" s="10" t="s">
        <v>0</v>
      </c>
      <c r="BH31" s="113" t="s">
        <v>19</v>
      </c>
      <c r="BI31" s="16" t="s">
        <v>1</v>
      </c>
      <c r="BJ31" s="6" t="s">
        <v>20</v>
      </c>
      <c r="BK31" s="10" t="s">
        <v>0</v>
      </c>
      <c r="BL31" s="17" t="s">
        <v>19</v>
      </c>
    </row>
    <row r="32" spans="1:64" x14ac:dyDescent="0.3">
      <c r="A32" s="1" t="s">
        <v>25</v>
      </c>
      <c r="B32" s="1" t="s">
        <v>24</v>
      </c>
      <c r="C32" s="18"/>
      <c r="D32" s="19"/>
      <c r="E32" s="14"/>
      <c r="F32" s="81"/>
      <c r="G32" s="27"/>
      <c r="H32" s="89"/>
      <c r="I32" s="14"/>
      <c r="J32" s="2"/>
      <c r="K32" s="4"/>
      <c r="L32" s="12"/>
      <c r="M32" s="18"/>
      <c r="N32" s="7"/>
      <c r="O32" s="11"/>
      <c r="P32" s="19"/>
      <c r="Q32" s="14"/>
      <c r="R32" s="2"/>
      <c r="S32" s="4"/>
      <c r="T32" s="12"/>
      <c r="U32" s="18"/>
      <c r="V32" s="7"/>
      <c r="W32" s="11"/>
      <c r="X32" s="19"/>
      <c r="Y32" s="14"/>
      <c r="Z32" s="2"/>
      <c r="AA32" s="4"/>
      <c r="AB32" s="12"/>
      <c r="AC32" s="18"/>
      <c r="AD32" s="7"/>
      <c r="AE32" s="11"/>
      <c r="AF32" s="19"/>
      <c r="AG32" s="14"/>
      <c r="AH32" s="2"/>
      <c r="AI32" s="4"/>
      <c r="AJ32" s="2"/>
      <c r="AK32" s="18"/>
      <c r="AL32" s="7"/>
      <c r="AM32" s="11"/>
      <c r="AN32" s="19"/>
      <c r="AO32" s="14"/>
      <c r="AP32" s="2"/>
      <c r="AQ32" s="4"/>
      <c r="AR32" s="2"/>
      <c r="AS32" s="18"/>
      <c r="AT32" s="7"/>
      <c r="AU32" s="11"/>
      <c r="AV32" s="19"/>
      <c r="AW32" s="14"/>
      <c r="AX32" s="2"/>
      <c r="AY32" s="4"/>
      <c r="AZ32" s="12"/>
      <c r="BA32" s="87"/>
      <c r="BB32" s="115"/>
      <c r="BC32" s="115"/>
      <c r="BD32" s="116"/>
      <c r="BE32" s="14"/>
      <c r="BF32" s="2"/>
      <c r="BG32" s="4"/>
      <c r="BH32" s="12"/>
      <c r="BI32" s="25"/>
      <c r="BJ32" s="2"/>
      <c r="BK32" s="2"/>
      <c r="BL32" s="26"/>
    </row>
    <row r="33" spans="1:64" x14ac:dyDescent="0.3">
      <c r="A33" s="166" t="s">
        <v>2</v>
      </c>
      <c r="B33" s="30" t="s">
        <v>3</v>
      </c>
      <c r="C33" s="32"/>
      <c r="D33" s="33"/>
      <c r="E33" s="34"/>
      <c r="F33" s="82"/>
      <c r="G33" s="32"/>
      <c r="H33" s="90"/>
      <c r="I33" s="34"/>
      <c r="J33" s="35"/>
      <c r="K33" s="31"/>
      <c r="L33" s="36"/>
      <c r="M33" s="32"/>
      <c r="N33" s="35"/>
      <c r="O33" s="31"/>
      <c r="P33" s="33"/>
      <c r="Q33" s="34"/>
      <c r="R33" s="35"/>
      <c r="S33" s="31"/>
      <c r="T33" s="36"/>
      <c r="U33" s="32"/>
      <c r="V33" s="35"/>
      <c r="W33" s="31"/>
      <c r="X33" s="33"/>
      <c r="Y33" s="34">
        <v>3236</v>
      </c>
      <c r="Z33" s="35">
        <v>0.3078386605783866</v>
      </c>
      <c r="AA33" s="31">
        <v>1246</v>
      </c>
      <c r="AB33" s="36">
        <v>0.31409999999999999</v>
      </c>
      <c r="AC33" s="32">
        <v>4655</v>
      </c>
      <c r="AD33" s="35">
        <v>0.44979999999999998</v>
      </c>
      <c r="AE33" s="31">
        <f>1105+163</f>
        <v>1268</v>
      </c>
      <c r="AF33" s="33">
        <v>0.30690000000000001</v>
      </c>
      <c r="AG33" s="34">
        <f>2191+0</f>
        <v>2191</v>
      </c>
      <c r="AH33" s="35">
        <v>0.2157</v>
      </c>
      <c r="AI33" s="31">
        <f>1539+197</f>
        <v>1736</v>
      </c>
      <c r="AJ33" s="35">
        <v>0.40189999999999998</v>
      </c>
      <c r="AK33" s="32"/>
      <c r="AL33" s="35"/>
      <c r="AM33" s="31"/>
      <c r="AN33" s="33"/>
      <c r="AO33" s="34"/>
      <c r="AP33" s="35"/>
      <c r="AQ33" s="31"/>
      <c r="AR33" s="35"/>
      <c r="AS33" s="32"/>
      <c r="AT33" s="35"/>
      <c r="AU33" s="31"/>
      <c r="AV33" s="33"/>
      <c r="AW33" s="32"/>
      <c r="AX33" s="35"/>
      <c r="AY33" s="31"/>
      <c r="AZ33" s="36"/>
      <c r="BA33" s="32"/>
      <c r="BB33" s="35"/>
      <c r="BC33" s="31"/>
      <c r="BD33" s="33"/>
      <c r="BE33" s="32"/>
      <c r="BF33" s="35"/>
      <c r="BG33" s="31"/>
      <c r="BH33" s="36"/>
      <c r="BI33" s="32"/>
      <c r="BJ33" s="35"/>
      <c r="BK33" s="31"/>
      <c r="BL33" s="33"/>
    </row>
    <row r="34" spans="1:64" x14ac:dyDescent="0.3">
      <c r="A34" s="166"/>
      <c r="B34" s="29" t="s">
        <v>29</v>
      </c>
      <c r="C34" s="18"/>
      <c r="D34" s="20"/>
      <c r="E34" s="15"/>
      <c r="F34" s="83"/>
      <c r="G34" s="18"/>
      <c r="H34" s="91"/>
      <c r="I34" s="15"/>
      <c r="J34" s="9"/>
      <c r="K34" s="11"/>
      <c r="L34" s="21"/>
      <c r="M34" s="18"/>
      <c r="N34" s="9"/>
      <c r="O34" s="11"/>
      <c r="P34" s="20"/>
      <c r="Q34" s="15"/>
      <c r="R34" s="9"/>
      <c r="S34" s="11"/>
      <c r="T34" s="21"/>
      <c r="U34" s="18"/>
      <c r="V34" s="9"/>
      <c r="W34" s="11"/>
      <c r="X34" s="20"/>
      <c r="Y34" s="15"/>
      <c r="Z34" s="9"/>
      <c r="AA34" s="11"/>
      <c r="AB34" s="21"/>
      <c r="AC34" s="18"/>
      <c r="AD34" s="9"/>
      <c r="AE34" s="11"/>
      <c r="AF34" s="20"/>
      <c r="AG34" s="15"/>
      <c r="AH34" s="9"/>
      <c r="AI34" s="11"/>
      <c r="AJ34" s="9"/>
      <c r="AK34" s="18">
        <f>2182+0</f>
        <v>2182</v>
      </c>
      <c r="AL34" s="9">
        <v>0.1041</v>
      </c>
      <c r="AM34" s="11">
        <f>769+37</f>
        <v>806</v>
      </c>
      <c r="AN34" s="20">
        <v>0.15329999999999999</v>
      </c>
      <c r="AO34" s="15">
        <v>5388</v>
      </c>
      <c r="AP34" s="9">
        <v>0.25879999999999997</v>
      </c>
      <c r="AQ34" s="11">
        <v>1398</v>
      </c>
      <c r="AR34" s="9">
        <v>0.25779999999999997</v>
      </c>
      <c r="AS34" s="18">
        <f>3400+41</f>
        <v>3441</v>
      </c>
      <c r="AT34" s="9">
        <v>0.1663</v>
      </c>
      <c r="AU34" s="11">
        <f>1075+169</f>
        <v>1244</v>
      </c>
      <c r="AV34" s="20">
        <v>0.22189999999999999</v>
      </c>
      <c r="AW34" s="18">
        <v>7004</v>
      </c>
      <c r="AX34" s="9">
        <v>0.34029999999999999</v>
      </c>
      <c r="AY34" s="11">
        <v>1135</v>
      </c>
      <c r="AZ34" s="21">
        <v>0.1961</v>
      </c>
      <c r="BA34" s="18">
        <f>2023+3</f>
        <v>2026</v>
      </c>
      <c r="BB34" s="9">
        <v>0.1003</v>
      </c>
      <c r="BC34" s="11">
        <f>1110+481</f>
        <v>1591</v>
      </c>
      <c r="BD34" s="20">
        <v>0.25269999999999998</v>
      </c>
      <c r="BE34" s="18"/>
      <c r="BF34" s="9"/>
      <c r="BG34" s="11"/>
      <c r="BH34" s="21"/>
      <c r="BI34" s="18"/>
      <c r="BJ34" s="9"/>
      <c r="BK34" s="11"/>
      <c r="BL34" s="20"/>
    </row>
    <row r="35" spans="1:64" x14ac:dyDescent="0.3">
      <c r="A35" s="166"/>
      <c r="B35" s="37" t="s">
        <v>30</v>
      </c>
      <c r="C35" s="32"/>
      <c r="D35" s="33"/>
      <c r="E35" s="34"/>
      <c r="F35" s="82"/>
      <c r="G35" s="32"/>
      <c r="H35" s="90"/>
      <c r="I35" s="34"/>
      <c r="J35" s="35"/>
      <c r="K35" s="31"/>
      <c r="L35" s="36"/>
      <c r="M35" s="32"/>
      <c r="N35" s="35"/>
      <c r="O35" s="31"/>
      <c r="P35" s="33"/>
      <c r="Q35" s="34"/>
      <c r="R35" s="35"/>
      <c r="S35" s="31"/>
      <c r="T35" s="36"/>
      <c r="U35" s="32"/>
      <c r="V35" s="35"/>
      <c r="W35" s="31"/>
      <c r="X35" s="33"/>
      <c r="Y35" s="34"/>
      <c r="Z35" s="35"/>
      <c r="AA35" s="31"/>
      <c r="AB35" s="36"/>
      <c r="AC35" s="32"/>
      <c r="AD35" s="35"/>
      <c r="AE35" s="31"/>
      <c r="AF35" s="33"/>
      <c r="AG35" s="34"/>
      <c r="AH35" s="35"/>
      <c r="AI35" s="31"/>
      <c r="AJ35" s="35"/>
      <c r="AK35" s="32"/>
      <c r="AL35" s="35"/>
      <c r="AM35" s="31"/>
      <c r="AN35" s="33"/>
      <c r="AO35" s="34"/>
      <c r="AP35" s="35"/>
      <c r="AQ35" s="31">
        <v>1326</v>
      </c>
      <c r="AR35" s="35">
        <v>0.87760000000000005</v>
      </c>
      <c r="AS35" s="32"/>
      <c r="AT35" s="35"/>
      <c r="AU35" s="31"/>
      <c r="AV35" s="33"/>
      <c r="AW35" s="32">
        <v>4128</v>
      </c>
      <c r="AX35" s="35">
        <v>0.61939999999999995</v>
      </c>
      <c r="AY35" s="31">
        <v>114</v>
      </c>
      <c r="AZ35" s="36">
        <v>7.4200000000000002E-2</v>
      </c>
      <c r="BA35" s="32">
        <f>2500+13</f>
        <v>2513</v>
      </c>
      <c r="BB35" s="35">
        <v>0.37640000000000001</v>
      </c>
      <c r="BC35" s="31">
        <f>64+24</f>
        <v>88</v>
      </c>
      <c r="BD35" s="33">
        <v>5.7099999999999998E-2</v>
      </c>
      <c r="BE35" s="32"/>
      <c r="BF35" s="35"/>
      <c r="BG35" s="31"/>
      <c r="BH35" s="36"/>
      <c r="BI35" s="32"/>
      <c r="BJ35" s="35"/>
      <c r="BK35" s="31"/>
      <c r="BL35" s="33"/>
    </row>
    <row r="36" spans="1:64" x14ac:dyDescent="0.3">
      <c r="A36" s="166"/>
      <c r="B36" s="1" t="s">
        <v>4</v>
      </c>
      <c r="C36" s="18"/>
      <c r="D36" s="20"/>
      <c r="E36" s="14"/>
      <c r="F36" s="81"/>
      <c r="G36" s="27"/>
      <c r="H36" s="89"/>
      <c r="I36" s="14"/>
      <c r="J36" s="5"/>
      <c r="K36" s="4"/>
      <c r="L36" s="22"/>
      <c r="M36" s="18"/>
      <c r="N36" s="9"/>
      <c r="O36" s="11"/>
      <c r="P36" s="20"/>
      <c r="Q36" s="14"/>
      <c r="R36" s="5"/>
      <c r="S36" s="4"/>
      <c r="T36" s="22"/>
      <c r="U36" s="18"/>
      <c r="V36" s="9"/>
      <c r="W36" s="11"/>
      <c r="X36" s="20"/>
      <c r="Y36" s="14"/>
      <c r="Z36" s="5"/>
      <c r="AA36" s="4"/>
      <c r="AB36" s="22"/>
      <c r="AC36" s="18"/>
      <c r="AD36" s="9"/>
      <c r="AE36" s="11"/>
      <c r="AF36" s="20"/>
      <c r="AG36" s="14"/>
      <c r="AH36" s="5"/>
      <c r="AI36" s="4"/>
      <c r="AJ36" s="5"/>
      <c r="AK36" s="18"/>
      <c r="AL36" s="9"/>
      <c r="AM36" s="11"/>
      <c r="AN36" s="20"/>
      <c r="AO36" s="14">
        <v>4564</v>
      </c>
      <c r="AP36" s="5">
        <v>0.71899999999999997</v>
      </c>
      <c r="AQ36" s="4"/>
      <c r="AR36" s="5"/>
      <c r="AS36" s="18">
        <f>1571+0</f>
        <v>1571</v>
      </c>
      <c r="AT36" s="9">
        <v>0.25309999999999999</v>
      </c>
      <c r="AU36" s="11">
        <f>996+147</f>
        <v>1143</v>
      </c>
      <c r="AV36" s="20">
        <v>0.65169999999999995</v>
      </c>
      <c r="AW36" s="18"/>
      <c r="AX36" s="9"/>
      <c r="AY36" s="11">
        <v>608</v>
      </c>
      <c r="AZ36" s="21">
        <v>0.3387</v>
      </c>
      <c r="BA36" s="18"/>
      <c r="BB36" s="9"/>
      <c r="BC36" s="11"/>
      <c r="BD36" s="20"/>
      <c r="BE36" s="18"/>
      <c r="BF36" s="9"/>
      <c r="BG36" s="11"/>
      <c r="BH36" s="21"/>
      <c r="BI36" s="18"/>
      <c r="BJ36" s="9"/>
      <c r="BK36" s="11"/>
      <c r="BL36" s="20"/>
    </row>
    <row r="37" spans="1:64" x14ac:dyDescent="0.3">
      <c r="A37" s="166"/>
      <c r="B37" s="30" t="s">
        <v>5</v>
      </c>
      <c r="C37" s="32"/>
      <c r="D37" s="33"/>
      <c r="E37" s="34"/>
      <c r="F37" s="82"/>
      <c r="G37" s="32"/>
      <c r="H37" s="90"/>
      <c r="I37" s="34">
        <f>3354</f>
        <v>3354</v>
      </c>
      <c r="J37" s="35">
        <v>0.2954</v>
      </c>
      <c r="K37" s="95">
        <f>704+0</f>
        <v>704</v>
      </c>
      <c r="L37" s="36">
        <v>0.23169999999999999</v>
      </c>
      <c r="M37" s="32">
        <f>5567</f>
        <v>5567</v>
      </c>
      <c r="N37" s="35">
        <v>0.49030000000000001</v>
      </c>
      <c r="O37" s="31">
        <f>1590+14</f>
        <v>1604</v>
      </c>
      <c r="P37" s="33">
        <v>0.52780000000000005</v>
      </c>
      <c r="Q37" s="34">
        <v>2138</v>
      </c>
      <c r="R37" s="35">
        <v>0.1883</v>
      </c>
      <c r="S37" s="31">
        <f>428+186</f>
        <v>614</v>
      </c>
      <c r="T37" s="36">
        <v>0.20200000000000001</v>
      </c>
      <c r="U37" s="32"/>
      <c r="V37" s="35"/>
      <c r="W37" s="31">
        <f>51+182</f>
        <v>233</v>
      </c>
      <c r="X37" s="33">
        <v>7.2300000000000003E-2</v>
      </c>
      <c r="Y37" s="34"/>
      <c r="Z37" s="35"/>
      <c r="AA37" s="31"/>
      <c r="AB37" s="36"/>
      <c r="AC37" s="32"/>
      <c r="AD37" s="35"/>
      <c r="AE37" s="31"/>
      <c r="AF37" s="33"/>
      <c r="AG37" s="34"/>
      <c r="AH37" s="35"/>
      <c r="AI37" s="31"/>
      <c r="AJ37" s="35"/>
      <c r="AK37" s="32"/>
      <c r="AL37" s="35"/>
      <c r="AM37" s="31"/>
      <c r="AN37" s="33"/>
      <c r="AO37" s="34"/>
      <c r="AP37" s="35"/>
      <c r="AQ37" s="31"/>
      <c r="AR37" s="35"/>
      <c r="AS37" s="32"/>
      <c r="AT37" s="35"/>
      <c r="AU37" s="31"/>
      <c r="AV37" s="33"/>
      <c r="AW37" s="32"/>
      <c r="AX37" s="35"/>
      <c r="AY37" s="31"/>
      <c r="AZ37" s="36"/>
      <c r="BA37" s="32"/>
      <c r="BB37" s="35"/>
      <c r="BC37" s="31"/>
      <c r="BD37" s="33"/>
      <c r="BE37" s="32"/>
      <c r="BF37" s="35"/>
      <c r="BG37" s="31"/>
      <c r="BH37" s="36"/>
      <c r="BI37" s="32"/>
      <c r="BJ37" s="35"/>
      <c r="BK37" s="31"/>
      <c r="BL37" s="33"/>
    </row>
    <row r="38" spans="1:64" x14ac:dyDescent="0.3">
      <c r="A38" s="166"/>
      <c r="B38" s="1" t="s">
        <v>6</v>
      </c>
      <c r="C38" s="18"/>
      <c r="D38" s="20"/>
      <c r="E38" s="14"/>
      <c r="F38" s="81"/>
      <c r="G38" s="27"/>
      <c r="H38" s="89"/>
      <c r="I38" s="14"/>
      <c r="J38" s="5"/>
      <c r="K38" s="4"/>
      <c r="L38" s="22"/>
      <c r="M38" s="18"/>
      <c r="N38" s="9"/>
      <c r="O38" s="11"/>
      <c r="P38" s="20"/>
      <c r="Q38" s="14"/>
      <c r="R38" s="5"/>
      <c r="S38" s="4"/>
      <c r="T38" s="22"/>
      <c r="U38" s="18"/>
      <c r="V38" s="9"/>
      <c r="W38" s="11"/>
      <c r="X38" s="20"/>
      <c r="Y38" s="14"/>
      <c r="Z38" s="5"/>
      <c r="AA38" s="4">
        <v>2030</v>
      </c>
      <c r="AB38" s="22">
        <v>0.30199999999999999</v>
      </c>
      <c r="AC38" s="18"/>
      <c r="AD38" s="9"/>
      <c r="AE38" s="11">
        <f>1827+25</f>
        <v>1852</v>
      </c>
      <c r="AF38" s="20">
        <v>0.27450000000000002</v>
      </c>
      <c r="AG38" s="14">
        <f>4437+0</f>
        <v>4437</v>
      </c>
      <c r="AH38" s="5">
        <v>0.1318</v>
      </c>
      <c r="AI38" s="4">
        <f>685+0</f>
        <v>685</v>
      </c>
      <c r="AJ38" s="5">
        <v>0.10150000000000001</v>
      </c>
      <c r="AK38" s="18">
        <f>5578+0</f>
        <v>5578</v>
      </c>
      <c r="AL38" s="9">
        <v>0.16639999999999999</v>
      </c>
      <c r="AM38" s="11">
        <f>873+137</f>
        <v>1010</v>
      </c>
      <c r="AN38" s="20">
        <v>0.1462</v>
      </c>
      <c r="AO38" s="14">
        <v>6207</v>
      </c>
      <c r="AP38" s="5">
        <v>0.18570488271900432</v>
      </c>
      <c r="AQ38" s="4">
        <v>959</v>
      </c>
      <c r="AR38" s="5">
        <v>0.13600907672670542</v>
      </c>
      <c r="AS38" s="18">
        <f>13524</f>
        <v>13524</v>
      </c>
      <c r="AT38" s="9">
        <v>0.40670000000000001</v>
      </c>
      <c r="AU38" s="11">
        <f>368+169</f>
        <v>537</v>
      </c>
      <c r="AV38" s="20">
        <v>7.4399999999999994E-2</v>
      </c>
      <c r="AW38" s="18">
        <v>3338</v>
      </c>
      <c r="AX38" s="9">
        <v>0.10050000000000001</v>
      </c>
      <c r="AY38" s="11">
        <v>127</v>
      </c>
      <c r="AZ38" s="21">
        <v>1.7399999999999999E-2</v>
      </c>
      <c r="BA38" s="18"/>
      <c r="BB38" s="9"/>
      <c r="BC38" s="11"/>
      <c r="BD38" s="20"/>
      <c r="BE38" s="18"/>
      <c r="BF38" s="9"/>
      <c r="BG38" s="11"/>
      <c r="BH38" s="21"/>
      <c r="BI38" s="18"/>
      <c r="BJ38" s="9"/>
      <c r="BK38" s="11"/>
      <c r="BL38" s="20"/>
    </row>
    <row r="39" spans="1:64" x14ac:dyDescent="0.3">
      <c r="A39" s="166"/>
      <c r="B39" s="30" t="s">
        <v>7</v>
      </c>
      <c r="C39" s="32"/>
      <c r="D39" s="33"/>
      <c r="E39" s="34"/>
      <c r="F39" s="82"/>
      <c r="G39" s="32"/>
      <c r="H39" s="90"/>
      <c r="I39" s="34"/>
      <c r="J39" s="35"/>
      <c r="K39" s="31"/>
      <c r="L39" s="36"/>
      <c r="M39" s="32"/>
      <c r="N39" s="35"/>
      <c r="O39" s="31"/>
      <c r="P39" s="33"/>
      <c r="Q39" s="34"/>
      <c r="R39" s="35"/>
      <c r="S39" s="31"/>
      <c r="T39" s="36"/>
      <c r="U39" s="32"/>
      <c r="V39" s="35"/>
      <c r="W39" s="31"/>
      <c r="X39" s="33"/>
      <c r="Y39" s="34"/>
      <c r="Z39" s="35"/>
      <c r="AA39" s="31"/>
      <c r="AB39" s="36"/>
      <c r="AC39" s="32">
        <f>6960+5</f>
        <v>6965</v>
      </c>
      <c r="AD39" s="35">
        <v>0.93049999999999999</v>
      </c>
      <c r="AE39" s="31"/>
      <c r="AF39" s="33"/>
      <c r="AG39" s="34"/>
      <c r="AH39" s="35"/>
      <c r="AI39" s="31">
        <f>1667+202</f>
        <v>1869</v>
      </c>
      <c r="AJ39" s="35">
        <v>0.93220000000000003</v>
      </c>
      <c r="AK39" s="32"/>
      <c r="AL39" s="35"/>
      <c r="AM39" s="31">
        <f>54+226</f>
        <v>280</v>
      </c>
      <c r="AN39" s="33">
        <v>0.1263</v>
      </c>
      <c r="AO39" s="34"/>
      <c r="AP39" s="35"/>
      <c r="AQ39" s="31"/>
      <c r="AR39" s="35"/>
      <c r="AS39" s="32"/>
      <c r="AT39" s="35"/>
      <c r="AU39" s="31"/>
      <c r="AV39" s="33"/>
      <c r="AW39" s="32"/>
      <c r="AX39" s="35"/>
      <c r="AY39" s="31"/>
      <c r="AZ39" s="36"/>
      <c r="BA39" s="32"/>
      <c r="BB39" s="35"/>
      <c r="BC39" s="31"/>
      <c r="BD39" s="33"/>
      <c r="BE39" s="32"/>
      <c r="BF39" s="35"/>
      <c r="BG39" s="31"/>
      <c r="BH39" s="36"/>
      <c r="BI39" s="32"/>
      <c r="BJ39" s="35"/>
      <c r="BK39" s="31"/>
      <c r="BL39" s="33"/>
    </row>
    <row r="40" spans="1:64" x14ac:dyDescent="0.3">
      <c r="A40" s="166"/>
      <c r="B40" s="1" t="s">
        <v>8</v>
      </c>
      <c r="C40" s="18"/>
      <c r="D40" s="20"/>
      <c r="E40" s="14"/>
      <c r="F40" s="81"/>
      <c r="G40" s="27"/>
      <c r="H40" s="89"/>
      <c r="I40" s="14"/>
      <c r="J40" s="5"/>
      <c r="K40" s="4">
        <f>2001+28</f>
        <v>2029</v>
      </c>
      <c r="L40" s="22">
        <v>0.1026</v>
      </c>
      <c r="M40" s="18"/>
      <c r="N40" s="9"/>
      <c r="O40" s="11">
        <f>2859+42</f>
        <v>2901</v>
      </c>
      <c r="P40" s="20">
        <v>0.1467</v>
      </c>
      <c r="Q40" s="14">
        <f>4400+0</f>
        <v>4400</v>
      </c>
      <c r="R40" s="5">
        <v>0.28370000000000001</v>
      </c>
      <c r="S40" s="4">
        <f>2459+43</f>
        <v>2502</v>
      </c>
      <c r="T40" s="22">
        <v>0.1265</v>
      </c>
      <c r="U40" s="18">
        <f>2999+0</f>
        <v>2999</v>
      </c>
      <c r="V40" s="9">
        <v>0.1943</v>
      </c>
      <c r="W40" s="11">
        <f>1898+100</f>
        <v>1998</v>
      </c>
      <c r="X40" s="20">
        <v>0.10050000000000001</v>
      </c>
      <c r="Y40" s="14">
        <v>4365</v>
      </c>
      <c r="Z40" s="5">
        <v>0.28570000000000001</v>
      </c>
      <c r="AA40" s="4">
        <f>1829+135</f>
        <v>1964</v>
      </c>
      <c r="AB40" s="22">
        <v>9.69E-2</v>
      </c>
      <c r="AC40" s="18">
        <v>3165</v>
      </c>
      <c r="AD40" s="9">
        <v>0.97709999999999997</v>
      </c>
      <c r="AE40" s="11">
        <f>2908+250</f>
        <v>3158</v>
      </c>
      <c r="AF40" s="20">
        <v>0.15590000000000001</v>
      </c>
      <c r="AG40" s="14"/>
      <c r="AH40" s="5"/>
      <c r="AI40" s="4">
        <v>1470</v>
      </c>
      <c r="AJ40" s="5">
        <v>7.22E-2</v>
      </c>
      <c r="AK40" s="18"/>
      <c r="AL40" s="9"/>
      <c r="AM40" s="11">
        <f>3852+68</f>
        <v>3920</v>
      </c>
      <c r="AN40" s="20">
        <v>0.1918</v>
      </c>
      <c r="AO40" s="14"/>
      <c r="AP40" s="5"/>
      <c r="AQ40" s="4"/>
      <c r="AR40" s="5"/>
      <c r="AS40" s="18"/>
      <c r="AT40" s="9"/>
      <c r="AU40" s="11"/>
      <c r="AV40" s="20"/>
      <c r="AW40" s="18"/>
      <c r="AX40" s="9"/>
      <c r="AY40" s="11"/>
      <c r="AZ40" s="21"/>
      <c r="BA40" s="18"/>
      <c r="BB40" s="9"/>
      <c r="BC40" s="11"/>
      <c r="BD40" s="20"/>
      <c r="BE40" s="18"/>
      <c r="BF40" s="9"/>
      <c r="BG40" s="11"/>
      <c r="BH40" s="21"/>
      <c r="BI40" s="18"/>
      <c r="BJ40" s="9"/>
      <c r="BK40" s="11"/>
      <c r="BL40" s="20"/>
    </row>
    <row r="41" spans="1:64" x14ac:dyDescent="0.3">
      <c r="A41" s="167" t="s">
        <v>9</v>
      </c>
      <c r="B41" s="30" t="s">
        <v>10</v>
      </c>
      <c r="C41" s="32"/>
      <c r="D41" s="33"/>
      <c r="E41" s="34"/>
      <c r="F41" s="82"/>
      <c r="G41" s="32"/>
      <c r="H41" s="90"/>
      <c r="I41" s="34">
        <v>1880</v>
      </c>
      <c r="J41" s="35">
        <v>0.61980000000000002</v>
      </c>
      <c r="K41" s="31">
        <f>1244+0</f>
        <v>1244</v>
      </c>
      <c r="L41" s="36">
        <v>0.3049</v>
      </c>
      <c r="M41" s="32">
        <f>1088+0</f>
        <v>1088</v>
      </c>
      <c r="N41" s="35">
        <v>0.35870000000000002</v>
      </c>
      <c r="O41" s="31">
        <f>2118+47</f>
        <v>2165</v>
      </c>
      <c r="P41" s="33">
        <v>0.53059999999999996</v>
      </c>
      <c r="Q41" s="34"/>
      <c r="R41" s="35"/>
      <c r="S41" s="31">
        <f>588+10</f>
        <v>598</v>
      </c>
      <c r="T41" s="36">
        <v>0.14660000000000001</v>
      </c>
      <c r="U41" s="32"/>
      <c r="V41" s="35"/>
      <c r="W41" s="31"/>
      <c r="X41" s="33"/>
      <c r="Y41" s="34"/>
      <c r="Z41" s="35"/>
      <c r="AA41" s="31"/>
      <c r="AB41" s="36"/>
      <c r="AC41" s="32"/>
      <c r="AD41" s="35"/>
      <c r="AE41" s="31"/>
      <c r="AF41" s="33"/>
      <c r="AG41" s="34"/>
      <c r="AH41" s="35"/>
      <c r="AI41" s="31"/>
      <c r="AJ41" s="35"/>
      <c r="AK41" s="32"/>
      <c r="AL41" s="35"/>
      <c r="AM41" s="31"/>
      <c r="AN41" s="33"/>
      <c r="AO41" s="34"/>
      <c r="AP41" s="35"/>
      <c r="AQ41" s="31"/>
      <c r="AR41" s="35"/>
      <c r="AS41" s="32"/>
      <c r="AT41" s="35"/>
      <c r="AU41" s="31"/>
      <c r="AV41" s="33"/>
      <c r="AW41" s="32"/>
      <c r="AX41" s="35"/>
      <c r="AY41" s="31"/>
      <c r="AZ41" s="36"/>
      <c r="BA41" s="32"/>
      <c r="BB41" s="35"/>
      <c r="BC41" s="31"/>
      <c r="BD41" s="33"/>
      <c r="BE41" s="32"/>
      <c r="BF41" s="35"/>
      <c r="BG41" s="31"/>
      <c r="BH41" s="36"/>
      <c r="BI41" s="32"/>
      <c r="BJ41" s="35"/>
      <c r="BK41" s="31"/>
      <c r="BL41" s="33"/>
    </row>
    <row r="42" spans="1:64" x14ac:dyDescent="0.3">
      <c r="A42" s="168"/>
      <c r="B42" s="1" t="s">
        <v>13</v>
      </c>
      <c r="C42" s="18"/>
      <c r="D42" s="20"/>
      <c r="E42" s="14"/>
      <c r="F42" s="81"/>
      <c r="G42" s="27"/>
      <c r="H42" s="89"/>
      <c r="I42" s="14">
        <f>4496</f>
        <v>4496</v>
      </c>
      <c r="J42" s="5">
        <v>0.79269999999999996</v>
      </c>
      <c r="K42" s="4">
        <f>531+0</f>
        <v>531</v>
      </c>
      <c r="L42" s="22">
        <v>0.61739999999999995</v>
      </c>
      <c r="M42" s="18">
        <f>1098</f>
        <v>1098</v>
      </c>
      <c r="N42" s="9">
        <v>0.19359999999999999</v>
      </c>
      <c r="O42" s="11">
        <f>119+193</f>
        <v>312</v>
      </c>
      <c r="P42" s="20">
        <v>0.36280000000000001</v>
      </c>
      <c r="Q42" s="14"/>
      <c r="R42" s="5"/>
      <c r="S42" s="4"/>
      <c r="T42" s="22"/>
      <c r="U42" s="18"/>
      <c r="V42" s="9"/>
      <c r="W42" s="11"/>
      <c r="X42" s="20"/>
      <c r="Y42" s="14"/>
      <c r="Z42" s="5"/>
      <c r="AA42" s="4"/>
      <c r="AB42" s="22"/>
      <c r="AC42" s="18"/>
      <c r="AD42" s="9"/>
      <c r="AE42" s="11"/>
      <c r="AF42" s="20"/>
      <c r="AG42" s="14"/>
      <c r="AH42" s="5"/>
      <c r="AI42" s="4"/>
      <c r="AJ42" s="5"/>
      <c r="AK42" s="18"/>
      <c r="AL42" s="9"/>
      <c r="AM42" s="11"/>
      <c r="AN42" s="20"/>
      <c r="AO42" s="14"/>
      <c r="AP42" s="5"/>
      <c r="AQ42" s="4"/>
      <c r="AR42" s="5"/>
      <c r="AS42" s="18"/>
      <c r="AT42" s="9"/>
      <c r="AU42" s="11"/>
      <c r="AV42" s="20"/>
      <c r="AW42" s="18"/>
      <c r="AX42" s="9"/>
      <c r="AY42" s="11"/>
      <c r="AZ42" s="21"/>
      <c r="BA42" s="18"/>
      <c r="BB42" s="9"/>
      <c r="BC42" s="11"/>
      <c r="BD42" s="20"/>
      <c r="BE42" s="18"/>
      <c r="BF42" s="9"/>
      <c r="BG42" s="11"/>
      <c r="BH42" s="21"/>
      <c r="BI42" s="18"/>
      <c r="BJ42" s="9"/>
      <c r="BK42" s="11"/>
      <c r="BL42" s="20"/>
    </row>
    <row r="43" spans="1:64" x14ac:dyDescent="0.3">
      <c r="A43" s="168"/>
      <c r="B43" s="30" t="s">
        <v>12</v>
      </c>
      <c r="C43" s="32"/>
      <c r="D43" s="33"/>
      <c r="E43" s="34"/>
      <c r="F43" s="82"/>
      <c r="G43" s="32"/>
      <c r="H43" s="90"/>
      <c r="I43" s="34"/>
      <c r="J43" s="35"/>
      <c r="K43" s="31"/>
      <c r="L43" s="36"/>
      <c r="M43" s="32"/>
      <c r="N43" s="35"/>
      <c r="O43" s="31"/>
      <c r="P43" s="33"/>
      <c r="Q43" s="34">
        <f>3767+0</f>
        <v>3767</v>
      </c>
      <c r="R43" s="35">
        <v>0.71889999999999998</v>
      </c>
      <c r="S43" s="31">
        <f>1501+27</f>
        <v>1528</v>
      </c>
      <c r="T43" s="36">
        <v>0.83320000000000005</v>
      </c>
      <c r="U43" s="32">
        <f>1231+0</f>
        <v>1231</v>
      </c>
      <c r="V43" s="35">
        <v>0.24099999999999999</v>
      </c>
      <c r="W43" s="31">
        <f>281+132</f>
        <v>413</v>
      </c>
      <c r="X43" s="33">
        <v>0.21010000000000001</v>
      </c>
      <c r="Y43" s="34"/>
      <c r="Z43" s="35"/>
      <c r="AA43" s="31"/>
      <c r="AB43" s="36"/>
      <c r="AC43" s="32"/>
      <c r="AD43" s="35"/>
      <c r="AE43" s="31"/>
      <c r="AF43" s="33"/>
      <c r="AG43" s="34"/>
      <c r="AH43" s="35"/>
      <c r="AI43" s="31"/>
      <c r="AJ43" s="35"/>
      <c r="AK43" s="32"/>
      <c r="AL43" s="35"/>
      <c r="AM43" s="31"/>
      <c r="AN43" s="33"/>
      <c r="AO43" s="34"/>
      <c r="AP43" s="35"/>
      <c r="AQ43" s="31"/>
      <c r="AR43" s="35"/>
      <c r="AS43" s="32"/>
      <c r="AT43" s="35"/>
      <c r="AU43" s="31"/>
      <c r="AV43" s="33"/>
      <c r="AW43" s="32"/>
      <c r="AX43" s="35"/>
      <c r="AY43" s="31"/>
      <c r="AZ43" s="36"/>
      <c r="BA43" s="32"/>
      <c r="BB43" s="35"/>
      <c r="BC43" s="31"/>
      <c r="BD43" s="33"/>
      <c r="BE43" s="32"/>
      <c r="BF43" s="35"/>
      <c r="BG43" s="31"/>
      <c r="BH43" s="36"/>
      <c r="BI43" s="32"/>
      <c r="BJ43" s="35"/>
      <c r="BK43" s="31"/>
      <c r="BL43" s="33"/>
    </row>
    <row r="44" spans="1:64" x14ac:dyDescent="0.3">
      <c r="A44" s="168"/>
      <c r="B44" s="1" t="s">
        <v>11</v>
      </c>
      <c r="C44" s="18"/>
      <c r="D44" s="20"/>
      <c r="E44" s="14"/>
      <c r="F44" s="81"/>
      <c r="G44" s="27"/>
      <c r="H44" s="89"/>
      <c r="I44" s="14"/>
      <c r="J44" s="5"/>
      <c r="K44" s="4"/>
      <c r="L44" s="22"/>
      <c r="M44" s="18"/>
      <c r="N44" s="9"/>
      <c r="O44" s="11"/>
      <c r="P44" s="20"/>
      <c r="Q44" s="14"/>
      <c r="R44" s="5"/>
      <c r="S44" s="4"/>
      <c r="T44" s="22"/>
      <c r="U44" s="18">
        <v>483</v>
      </c>
      <c r="V44" s="9">
        <v>1</v>
      </c>
      <c r="W44" s="11">
        <v>66</v>
      </c>
      <c r="X44" s="20">
        <v>1</v>
      </c>
      <c r="Y44" s="14"/>
      <c r="Z44" s="5"/>
      <c r="AA44" s="4"/>
      <c r="AB44" s="22"/>
      <c r="AC44" s="18"/>
      <c r="AD44" s="9"/>
      <c r="AE44" s="11"/>
      <c r="AF44" s="20"/>
      <c r="AG44" s="14"/>
      <c r="AH44" s="5"/>
      <c r="AI44" s="4"/>
      <c r="AJ44" s="5"/>
      <c r="AK44" s="18"/>
      <c r="AL44" s="9"/>
      <c r="AM44" s="11"/>
      <c r="AN44" s="20"/>
      <c r="AO44" s="14"/>
      <c r="AP44" s="5"/>
      <c r="AQ44" s="4"/>
      <c r="AR44" s="5"/>
      <c r="AS44" s="18"/>
      <c r="AT44" s="9"/>
      <c r="AU44" s="11"/>
      <c r="AV44" s="20"/>
      <c r="AW44" s="18"/>
      <c r="AX44" s="9"/>
      <c r="AY44" s="11"/>
      <c r="AZ44" s="21"/>
      <c r="BA44" s="18"/>
      <c r="BB44" s="9"/>
      <c r="BC44" s="11"/>
      <c r="BD44" s="20"/>
      <c r="BE44" s="18"/>
      <c r="BF44" s="9"/>
      <c r="BG44" s="11"/>
      <c r="BH44" s="21"/>
      <c r="BI44" s="18"/>
      <c r="BJ44" s="9"/>
      <c r="BK44" s="11"/>
      <c r="BL44" s="20"/>
    </row>
    <row r="45" spans="1:64" s="67" customFormat="1" x14ac:dyDescent="0.3">
      <c r="A45" s="168"/>
      <c r="B45" s="30" t="s">
        <v>34</v>
      </c>
      <c r="C45" s="32"/>
      <c r="D45" s="33"/>
      <c r="E45" s="34"/>
      <c r="F45" s="82"/>
      <c r="G45" s="32"/>
      <c r="H45" s="90"/>
      <c r="I45" s="34"/>
      <c r="J45" s="35"/>
      <c r="K45" s="31"/>
      <c r="L45" s="36"/>
      <c r="M45" s="32"/>
      <c r="N45" s="35"/>
      <c r="O45" s="31"/>
      <c r="P45" s="33"/>
      <c r="Q45" s="34"/>
      <c r="R45" s="35"/>
      <c r="S45" s="31"/>
      <c r="T45" s="36"/>
      <c r="U45" s="32"/>
      <c r="V45" s="35"/>
      <c r="W45" s="31"/>
      <c r="X45" s="33"/>
      <c r="Y45" s="34"/>
      <c r="Z45" s="35"/>
      <c r="AA45" s="31"/>
      <c r="AB45" s="36"/>
      <c r="AC45" s="32"/>
      <c r="AD45" s="35"/>
      <c r="AE45" s="31"/>
      <c r="AF45" s="33"/>
      <c r="AG45" s="34"/>
      <c r="AH45" s="35"/>
      <c r="AI45" s="31"/>
      <c r="AJ45" s="35"/>
      <c r="AK45" s="32"/>
      <c r="AL45" s="35"/>
      <c r="AM45" s="31"/>
      <c r="AN45" s="33"/>
      <c r="AO45" s="34"/>
      <c r="AP45" s="35"/>
      <c r="AQ45" s="31"/>
      <c r="AR45" s="35"/>
      <c r="AS45" s="32"/>
      <c r="AT45" s="35"/>
      <c r="AU45" s="31"/>
      <c r="AV45" s="33"/>
      <c r="AW45" s="32"/>
      <c r="AX45" s="35"/>
      <c r="AY45" s="31"/>
      <c r="AZ45" s="36"/>
      <c r="BA45" s="32">
        <v>6506</v>
      </c>
      <c r="BB45" s="35">
        <v>0.51829999999999998</v>
      </c>
      <c r="BC45" s="31">
        <f>1126+72</f>
        <v>1198</v>
      </c>
      <c r="BD45" s="33">
        <v>0.28610000000000002</v>
      </c>
      <c r="BE45" s="32">
        <v>5230</v>
      </c>
      <c r="BF45" s="35">
        <v>0.42009999999999997</v>
      </c>
      <c r="BG45" s="31">
        <v>1548</v>
      </c>
      <c r="BH45" s="36">
        <v>0.3579</v>
      </c>
      <c r="BI45" s="32">
        <v>645</v>
      </c>
      <c r="BJ45" s="35">
        <v>5.1900000000000002E-2</v>
      </c>
      <c r="BK45" s="31">
        <v>1562</v>
      </c>
      <c r="BL45" s="33">
        <v>0.35399999999999998</v>
      </c>
    </row>
    <row r="46" spans="1:64" s="67" customFormat="1" x14ac:dyDescent="0.3">
      <c r="A46" s="169"/>
      <c r="B46" s="69" t="s">
        <v>28</v>
      </c>
      <c r="C46" s="61"/>
      <c r="D46" s="64"/>
      <c r="E46" s="66"/>
      <c r="F46" s="84"/>
      <c r="G46" s="61"/>
      <c r="H46" s="92"/>
      <c r="I46" s="66"/>
      <c r="J46" s="62"/>
      <c r="K46" s="63"/>
      <c r="L46" s="65"/>
      <c r="M46" s="61"/>
      <c r="N46" s="62"/>
      <c r="O46" s="63"/>
      <c r="P46" s="64"/>
      <c r="Q46" s="66"/>
      <c r="R46" s="62"/>
      <c r="S46" s="63"/>
      <c r="T46" s="65"/>
      <c r="U46" s="61"/>
      <c r="V46" s="62"/>
      <c r="W46" s="63"/>
      <c r="X46" s="64"/>
      <c r="Y46" s="66"/>
      <c r="Z46" s="62"/>
      <c r="AA46" s="63"/>
      <c r="AB46" s="65"/>
      <c r="AC46" s="61"/>
      <c r="AD46" s="62"/>
      <c r="AE46" s="63"/>
      <c r="AF46" s="64"/>
      <c r="AG46" s="66"/>
      <c r="AH46" s="62"/>
      <c r="AI46" s="63"/>
      <c r="AJ46" s="62"/>
      <c r="AK46" s="61"/>
      <c r="AL46" s="62"/>
      <c r="AM46" s="63"/>
      <c r="AN46" s="64"/>
      <c r="AO46" s="66"/>
      <c r="AP46" s="62"/>
      <c r="AQ46" s="63"/>
      <c r="AR46" s="62"/>
      <c r="AS46" s="61"/>
      <c r="AT46" s="62"/>
      <c r="AU46" s="63"/>
      <c r="AV46" s="64"/>
      <c r="AW46" s="61"/>
      <c r="AX46" s="62"/>
      <c r="AY46" s="63"/>
      <c r="AZ46" s="65"/>
      <c r="BA46" s="61"/>
      <c r="BB46" s="62"/>
      <c r="BC46" s="63">
        <f>1765+59</f>
        <v>1824</v>
      </c>
      <c r="BD46" s="64">
        <v>0.56999999999999995</v>
      </c>
      <c r="BE46" s="61">
        <v>4421</v>
      </c>
      <c r="BF46" s="62">
        <v>0.38119999999999998</v>
      </c>
      <c r="BG46" s="63">
        <v>1086</v>
      </c>
      <c r="BH46" s="65">
        <v>0.3241</v>
      </c>
      <c r="BI46" s="61">
        <v>6958</v>
      </c>
      <c r="BJ46" s="62">
        <v>0.60499999999999998</v>
      </c>
      <c r="BK46" s="63">
        <v>532</v>
      </c>
      <c r="BL46" s="64">
        <v>0.1497</v>
      </c>
    </row>
    <row r="47" spans="1:64" s="67" customFormat="1" x14ac:dyDescent="0.3">
      <c r="A47" s="194" t="s">
        <v>14</v>
      </c>
      <c r="B47" s="30" t="s">
        <v>15</v>
      </c>
      <c r="C47" s="32"/>
      <c r="D47" s="33"/>
      <c r="E47" s="34"/>
      <c r="F47" s="82"/>
      <c r="G47" s="32"/>
      <c r="H47" s="90"/>
      <c r="I47" s="34"/>
      <c r="J47" s="35"/>
      <c r="K47" s="31"/>
      <c r="L47" s="36"/>
      <c r="M47" s="32"/>
      <c r="N47" s="35"/>
      <c r="O47" s="31"/>
      <c r="P47" s="33"/>
      <c r="Q47" s="34"/>
      <c r="R47" s="35"/>
      <c r="S47" s="31"/>
      <c r="T47" s="36"/>
      <c r="U47" s="32"/>
      <c r="V47" s="35"/>
      <c r="W47" s="31"/>
      <c r="X47" s="33"/>
      <c r="Y47" s="34">
        <v>6870</v>
      </c>
      <c r="Z47" s="35">
        <v>0.26690000000000003</v>
      </c>
      <c r="AA47" s="31">
        <v>2168</v>
      </c>
      <c r="AB47" s="36">
        <v>0.32269999999999999</v>
      </c>
      <c r="AC47" s="32">
        <f>8386</f>
        <v>8386</v>
      </c>
      <c r="AD47" s="35">
        <v>0.32579999999999998</v>
      </c>
      <c r="AE47" s="31">
        <f>1918+6</f>
        <v>1924</v>
      </c>
      <c r="AF47" s="33">
        <v>0.2858</v>
      </c>
      <c r="AG47" s="34">
        <f>7289+0</f>
        <v>7289</v>
      </c>
      <c r="AH47" s="35">
        <v>0.28320000000000001</v>
      </c>
      <c r="AI47" s="31">
        <f>2102+20</f>
        <v>2122</v>
      </c>
      <c r="AJ47" s="35">
        <v>0.31459999999999999</v>
      </c>
      <c r="AK47" s="32">
        <f>3000</f>
        <v>3000</v>
      </c>
      <c r="AL47" s="35">
        <v>0.11650000000000001</v>
      </c>
      <c r="AM47" s="31">
        <f>389+0</f>
        <v>389</v>
      </c>
      <c r="AN47" s="33">
        <v>5.7700000000000001E-2</v>
      </c>
      <c r="AO47" s="34"/>
      <c r="AP47" s="35"/>
      <c r="AQ47" s="31"/>
      <c r="AR47" s="35"/>
      <c r="AS47" s="32"/>
      <c r="AT47" s="35"/>
      <c r="AU47" s="31"/>
      <c r="AV47" s="33"/>
      <c r="AW47" s="32"/>
      <c r="AX47" s="35"/>
      <c r="AY47" s="31"/>
      <c r="AZ47" s="36"/>
      <c r="BA47" s="32"/>
      <c r="BB47" s="35"/>
      <c r="BC47" s="31"/>
      <c r="BD47" s="33"/>
      <c r="BE47" s="32"/>
      <c r="BF47" s="35"/>
      <c r="BG47" s="31"/>
      <c r="BH47" s="36"/>
      <c r="BI47" s="32"/>
      <c r="BJ47" s="35"/>
      <c r="BK47" s="31"/>
      <c r="BL47" s="33"/>
    </row>
    <row r="48" spans="1:64" s="67" customFormat="1" x14ac:dyDescent="0.3">
      <c r="A48" s="196"/>
      <c r="B48" s="68" t="s">
        <v>31</v>
      </c>
      <c r="C48" s="61"/>
      <c r="D48" s="64"/>
      <c r="E48" s="66"/>
      <c r="F48" s="84"/>
      <c r="G48" s="61"/>
      <c r="H48" s="92"/>
      <c r="I48" s="66">
        <f>5121</f>
        <v>5121</v>
      </c>
      <c r="J48" s="62">
        <v>0.1946</v>
      </c>
      <c r="K48" s="63">
        <f>2056+0</f>
        <v>2056</v>
      </c>
      <c r="L48" s="65">
        <v>0.20399999999999999</v>
      </c>
      <c r="M48" s="61">
        <f>6802</f>
        <v>6802</v>
      </c>
      <c r="N48" s="62">
        <v>0.25850000000000001</v>
      </c>
      <c r="O48" s="63">
        <f>2655+15</f>
        <v>2670</v>
      </c>
      <c r="P48" s="64">
        <v>0.26490000000000002</v>
      </c>
      <c r="Q48" s="66">
        <f>8066</f>
        <v>8066</v>
      </c>
      <c r="R48" s="62">
        <v>0.30649999999999999</v>
      </c>
      <c r="S48" s="63">
        <f>3343+13</f>
        <v>3356</v>
      </c>
      <c r="T48" s="65">
        <v>0.33289999999999997</v>
      </c>
      <c r="U48" s="61">
        <f>6161+0</f>
        <v>6161</v>
      </c>
      <c r="V48" s="62">
        <v>0.23419999999999999</v>
      </c>
      <c r="W48" s="63">
        <f>1814+25</f>
        <v>1839</v>
      </c>
      <c r="X48" s="64">
        <v>0.18179999999999999</v>
      </c>
      <c r="Y48" s="66"/>
      <c r="Z48" s="62"/>
      <c r="AA48" s="63"/>
      <c r="AB48" s="65"/>
      <c r="AC48" s="61"/>
      <c r="AD48" s="62"/>
      <c r="AE48" s="63"/>
      <c r="AF48" s="64"/>
      <c r="AG48" s="66"/>
      <c r="AH48" s="62"/>
      <c r="AI48" s="63"/>
      <c r="AJ48" s="62"/>
      <c r="AK48" s="61"/>
      <c r="AL48" s="62"/>
      <c r="AM48" s="63"/>
      <c r="AN48" s="64"/>
      <c r="AO48" s="66"/>
      <c r="AP48" s="62"/>
      <c r="AQ48" s="63"/>
      <c r="AR48" s="62"/>
      <c r="AS48" s="61"/>
      <c r="AT48" s="62"/>
      <c r="AU48" s="63"/>
      <c r="AV48" s="64"/>
      <c r="AW48" s="61"/>
      <c r="AX48" s="62"/>
      <c r="AY48" s="63"/>
      <c r="AZ48" s="65"/>
      <c r="BA48" s="61"/>
      <c r="BB48" s="62"/>
      <c r="BC48" s="63"/>
      <c r="BD48" s="64"/>
      <c r="BE48" s="61"/>
      <c r="BF48" s="62"/>
      <c r="BG48" s="63"/>
      <c r="BH48" s="65"/>
      <c r="BI48" s="61"/>
      <c r="BJ48" s="62"/>
      <c r="BK48" s="63"/>
      <c r="BL48" s="64"/>
    </row>
    <row r="49" spans="1:64" s="67" customFormat="1" x14ac:dyDescent="0.3">
      <c r="A49" s="194" t="s">
        <v>16</v>
      </c>
      <c r="B49" s="30" t="s">
        <v>17</v>
      </c>
      <c r="C49" s="32">
        <f>2643+52</f>
        <v>2695</v>
      </c>
      <c r="D49" s="33">
        <v>0.51929999999999998</v>
      </c>
      <c r="E49" s="34">
        <f>2365+23</f>
        <v>2388</v>
      </c>
      <c r="F49" s="36">
        <v>0.46010000000000001</v>
      </c>
      <c r="G49" s="32"/>
      <c r="H49" s="90"/>
      <c r="I49" s="34"/>
      <c r="J49" s="35"/>
      <c r="K49" s="31"/>
      <c r="L49" s="36"/>
      <c r="M49" s="32"/>
      <c r="N49" s="35"/>
      <c r="O49" s="31"/>
      <c r="P49" s="33"/>
      <c r="Q49" s="34"/>
      <c r="R49" s="35"/>
      <c r="S49" s="31"/>
      <c r="T49" s="36"/>
      <c r="U49" s="32"/>
      <c r="V49" s="35"/>
      <c r="W49" s="31"/>
      <c r="X49" s="33"/>
      <c r="Y49" s="34"/>
      <c r="Z49" s="35"/>
      <c r="AA49" s="31"/>
      <c r="AB49" s="36"/>
      <c r="AC49" s="32"/>
      <c r="AD49" s="35"/>
      <c r="AE49" s="31"/>
      <c r="AF49" s="33"/>
      <c r="AG49" s="34"/>
      <c r="AH49" s="35"/>
      <c r="AI49" s="31"/>
      <c r="AJ49" s="35"/>
      <c r="AK49" s="32"/>
      <c r="AL49" s="35"/>
      <c r="AM49" s="31"/>
      <c r="AN49" s="33"/>
      <c r="AO49" s="34"/>
      <c r="AP49" s="35"/>
      <c r="AQ49" s="31"/>
      <c r="AR49" s="35"/>
      <c r="AS49" s="32"/>
      <c r="AT49" s="35"/>
      <c r="AU49" s="31"/>
      <c r="AV49" s="33"/>
      <c r="AW49" s="32"/>
      <c r="AX49" s="35"/>
      <c r="AY49" s="31"/>
      <c r="AZ49" s="36"/>
      <c r="BA49" s="32"/>
      <c r="BB49" s="35"/>
      <c r="BC49" s="31"/>
      <c r="BD49" s="33"/>
      <c r="BE49" s="32"/>
      <c r="BF49" s="35"/>
      <c r="BG49" s="31"/>
      <c r="BH49" s="36"/>
      <c r="BI49" s="32"/>
      <c r="BJ49" s="35"/>
      <c r="BK49" s="31"/>
      <c r="BL49" s="33"/>
    </row>
    <row r="50" spans="1:64" s="67" customFormat="1" x14ac:dyDescent="0.3">
      <c r="A50" s="195"/>
      <c r="B50" s="54" t="s">
        <v>18</v>
      </c>
      <c r="C50" s="56"/>
      <c r="D50" s="57"/>
      <c r="E50" s="58"/>
      <c r="F50" s="85"/>
      <c r="G50" s="56">
        <f>5248+8</f>
        <v>5256</v>
      </c>
      <c r="H50" s="94">
        <v>0.3004</v>
      </c>
      <c r="I50" s="58"/>
      <c r="J50" s="59"/>
      <c r="K50" s="55">
        <f>3344+46</f>
        <v>3390</v>
      </c>
      <c r="L50" s="60">
        <v>0.19370000000000001</v>
      </c>
      <c r="M50" s="56"/>
      <c r="N50" s="59"/>
      <c r="O50" s="55">
        <f>3219+29</f>
        <v>3248</v>
      </c>
      <c r="P50" s="57">
        <v>0.18559999999999999</v>
      </c>
      <c r="Q50" s="58"/>
      <c r="R50" s="59"/>
      <c r="S50" s="55">
        <f>2893+21</f>
        <v>2914</v>
      </c>
      <c r="T50" s="60">
        <v>0.16650000000000001</v>
      </c>
      <c r="U50" s="56"/>
      <c r="V50" s="59"/>
      <c r="W50" s="55">
        <f>2138+94</f>
        <v>2232</v>
      </c>
      <c r="X50" s="57">
        <v>0.12690000000000001</v>
      </c>
      <c r="Y50" s="58"/>
      <c r="Z50" s="59"/>
      <c r="AA50" s="55"/>
      <c r="AB50" s="60"/>
      <c r="AC50" s="56"/>
      <c r="AD50" s="59"/>
      <c r="AE50" s="55"/>
      <c r="AF50" s="64"/>
      <c r="AG50" s="66"/>
      <c r="AH50" s="62"/>
      <c r="AI50" s="63"/>
      <c r="AJ50" s="62"/>
      <c r="AK50" s="56"/>
      <c r="AL50" s="59"/>
      <c r="AM50" s="55"/>
      <c r="AN50" s="62"/>
      <c r="AO50" s="66"/>
      <c r="AP50" s="62"/>
      <c r="AQ50" s="63"/>
      <c r="AR50" s="62"/>
      <c r="AS50" s="56"/>
      <c r="AT50" s="59"/>
      <c r="AU50" s="55"/>
      <c r="AV50" s="62"/>
      <c r="AW50" s="56"/>
      <c r="AX50" s="59"/>
      <c r="AY50" s="55"/>
      <c r="AZ50" s="65"/>
      <c r="BA50" s="56"/>
      <c r="BB50" s="59"/>
      <c r="BC50" s="55"/>
      <c r="BD50" s="64"/>
      <c r="BE50" s="56"/>
      <c r="BF50" s="59"/>
      <c r="BG50" s="55"/>
      <c r="BH50" s="65"/>
      <c r="BI50" s="56"/>
      <c r="BJ50" s="59"/>
      <c r="BK50" s="55"/>
      <c r="BL50" s="64"/>
    </row>
    <row r="51" spans="1:64" s="67" customFormat="1" ht="15" thickBot="1" x14ac:dyDescent="0.35">
      <c r="A51" s="196"/>
      <c r="B51" s="30" t="s">
        <v>26</v>
      </c>
      <c r="C51" s="44"/>
      <c r="D51" s="45"/>
      <c r="E51" s="46"/>
      <c r="F51" s="86"/>
      <c r="G51" s="44"/>
      <c r="H51" s="93"/>
      <c r="I51" s="46"/>
      <c r="J51" s="47"/>
      <c r="K51" s="47"/>
      <c r="L51" s="48"/>
      <c r="M51" s="44"/>
      <c r="N51" s="49"/>
      <c r="O51" s="49"/>
      <c r="P51" s="45"/>
      <c r="Q51" s="46"/>
      <c r="R51" s="47"/>
      <c r="S51" s="47"/>
      <c r="T51" s="48"/>
      <c r="U51" s="44"/>
      <c r="V51" s="49"/>
      <c r="W51" s="49"/>
      <c r="X51" s="45"/>
      <c r="Y51" s="46"/>
      <c r="Z51" s="47"/>
      <c r="AA51" s="47">
        <v>86</v>
      </c>
      <c r="AB51" s="48">
        <v>0.34</v>
      </c>
      <c r="AC51" s="44"/>
      <c r="AD51" s="49"/>
      <c r="AE51" s="53">
        <f>4440+20</f>
        <v>4460</v>
      </c>
      <c r="AF51" s="45">
        <v>17.84</v>
      </c>
      <c r="AG51" s="44"/>
      <c r="AH51" s="49"/>
      <c r="AI51" s="49">
        <f>4478+39</f>
        <v>4517</v>
      </c>
      <c r="AJ51" s="49">
        <v>18.04</v>
      </c>
      <c r="AK51" s="44"/>
      <c r="AL51" s="49"/>
      <c r="AM51" s="53">
        <f>3257+202</f>
        <v>3459</v>
      </c>
      <c r="AN51" s="49">
        <v>13.69</v>
      </c>
      <c r="AO51" s="44"/>
      <c r="AP51" s="49"/>
      <c r="AQ51" s="49">
        <v>3476</v>
      </c>
      <c r="AR51" s="49">
        <v>13.82</v>
      </c>
      <c r="AS51" s="44"/>
      <c r="AT51" s="49"/>
      <c r="AU51" s="53">
        <f>3031+32</f>
        <v>3063</v>
      </c>
      <c r="AV51" s="49">
        <v>12.09</v>
      </c>
      <c r="AW51" s="44"/>
      <c r="AX51" s="49"/>
      <c r="AY51" s="53">
        <v>3150</v>
      </c>
      <c r="AZ51" s="114">
        <v>12.42</v>
      </c>
      <c r="BA51" s="44"/>
      <c r="BB51" s="49"/>
      <c r="BC51" s="53">
        <f>1983+27</f>
        <v>2010</v>
      </c>
      <c r="BD51" s="52">
        <v>7.9200000000000007E-2</v>
      </c>
      <c r="BE51" s="44"/>
      <c r="BF51" s="49"/>
      <c r="BG51" s="53">
        <v>2010</v>
      </c>
      <c r="BH51" s="114">
        <v>7.9200000000000007E-2</v>
      </c>
      <c r="BI51" s="44"/>
      <c r="BJ51" s="49"/>
      <c r="BK51" s="53"/>
      <c r="BL51" s="52"/>
    </row>
    <row r="52" spans="1:64" ht="16.2" thickBot="1" x14ac:dyDescent="0.35">
      <c r="A52" s="42" t="s">
        <v>32</v>
      </c>
      <c r="B52" s="43"/>
      <c r="C52" s="42">
        <f>SUM(C32:C51)</f>
        <v>2695</v>
      </c>
      <c r="D52" s="42"/>
      <c r="E52" s="42">
        <f>SUM(E32:E51)</f>
        <v>2388</v>
      </c>
      <c r="F52" s="42"/>
      <c r="G52" s="42"/>
      <c r="H52" s="42"/>
      <c r="I52" s="42"/>
      <c r="J52" s="42"/>
      <c r="K52" s="42">
        <f>SUM(K32:K51)</f>
        <v>9954</v>
      </c>
      <c r="L52" s="42"/>
      <c r="M52" s="42">
        <f>SUM(M32:M51)</f>
        <v>14555</v>
      </c>
      <c r="N52" s="42"/>
      <c r="O52" s="42">
        <f>SUM(O32:O51)</f>
        <v>12900</v>
      </c>
      <c r="P52" s="42"/>
      <c r="Q52" s="42">
        <f>SUM(Q32:Q51)</f>
        <v>18371</v>
      </c>
      <c r="R52" s="42"/>
      <c r="S52" s="42">
        <f>SUM(S32:S51)</f>
        <v>11512</v>
      </c>
      <c r="T52" s="42"/>
      <c r="U52" s="42">
        <f>SUM(U32:U51)</f>
        <v>10874</v>
      </c>
      <c r="V52" s="42"/>
      <c r="W52" s="42">
        <f>SUM(W32:W51)</f>
        <v>6781</v>
      </c>
      <c r="X52" s="42"/>
      <c r="Y52" s="42">
        <v>14471</v>
      </c>
      <c r="Z52" s="42"/>
      <c r="AA52" s="42">
        <v>7359</v>
      </c>
      <c r="AB52" s="42"/>
      <c r="AC52" s="42">
        <v>23171</v>
      </c>
      <c r="AD52" s="110">
        <v>0.11504850994528357</v>
      </c>
      <c r="AE52" s="42">
        <v>12662</v>
      </c>
      <c r="AF52" s="110">
        <v>0.10134789011974131</v>
      </c>
      <c r="AG52" s="109">
        <v>13917</v>
      </c>
      <c r="AH52" s="111">
        <v>6.8972182161495116E-2</v>
      </c>
      <c r="AI52" s="109">
        <v>12399</v>
      </c>
      <c r="AJ52" s="111">
        <v>9.9265853795223652E-2</v>
      </c>
      <c r="AK52" s="42">
        <v>10760</v>
      </c>
      <c r="AL52" s="9">
        <v>5.3124259420175367E-2</v>
      </c>
      <c r="AM52" s="42">
        <v>9864</v>
      </c>
      <c r="AN52" s="9">
        <v>7.8823087557235438E-2</v>
      </c>
      <c r="AO52" s="109">
        <v>16159</v>
      </c>
      <c r="AP52" s="111">
        <v>7.9757750455328458E-2</v>
      </c>
      <c r="AQ52" s="109">
        <v>7159</v>
      </c>
      <c r="AR52" s="111">
        <v>5.7072929621480278E-2</v>
      </c>
      <c r="AS52" s="42">
        <v>18536</v>
      </c>
      <c r="AT52" s="9">
        <v>9.1691564930054023E-2</v>
      </c>
      <c r="AU52" s="42">
        <v>5987</v>
      </c>
      <c r="AV52" s="9">
        <v>4.7648608425057103E-2</v>
      </c>
      <c r="AW52" s="42">
        <v>14470</v>
      </c>
      <c r="AX52" s="9">
        <v>7.1643948883750641E-2</v>
      </c>
      <c r="AY52" s="42">
        <v>5134</v>
      </c>
      <c r="AZ52" s="21">
        <v>4.075282388334564E-2</v>
      </c>
      <c r="BA52" s="42">
        <v>11045</v>
      </c>
      <c r="BB52" s="9">
        <v>5.4829950208745988E-2</v>
      </c>
      <c r="BC52" s="42">
        <v>6711</v>
      </c>
      <c r="BD52" s="9">
        <v>5.305222216952047E-2</v>
      </c>
      <c r="BE52" s="42">
        <v>9651</v>
      </c>
      <c r="BF52" s="9">
        <v>4.802519942077161E-2</v>
      </c>
      <c r="BG52" s="42">
        <v>4644</v>
      </c>
      <c r="BH52" s="21">
        <v>3.6628649850929916E-2</v>
      </c>
      <c r="BI52" s="42">
        <v>7603</v>
      </c>
      <c r="BJ52" s="9">
        <v>3.7857512746972591E-2</v>
      </c>
      <c r="BK52" s="42">
        <v>2094</v>
      </c>
      <c r="BL52" s="9">
        <v>1.6478327929742832E-2</v>
      </c>
    </row>
    <row r="53" spans="1:64" ht="15" thickTop="1" x14ac:dyDescent="0.3"/>
  </sheetData>
  <mergeCells count="31">
    <mergeCell ref="A49:A51"/>
    <mergeCell ref="A47:A48"/>
    <mergeCell ref="A41:A46"/>
    <mergeCell ref="E30:F30"/>
    <mergeCell ref="G30:H30"/>
    <mergeCell ref="A33:A40"/>
    <mergeCell ref="P5:S5"/>
    <mergeCell ref="C5:D5"/>
    <mergeCell ref="C30:D30"/>
    <mergeCell ref="M30:P30"/>
    <mergeCell ref="Q30:T30"/>
    <mergeCell ref="I6:K6"/>
    <mergeCell ref="F5:G5"/>
    <mergeCell ref="I5:N5"/>
    <mergeCell ref="L6:N6"/>
    <mergeCell ref="BI30:BL30"/>
    <mergeCell ref="A8:A15"/>
    <mergeCell ref="A16:A21"/>
    <mergeCell ref="AK30:AN30"/>
    <mergeCell ref="AG30:AJ30"/>
    <mergeCell ref="AC30:AF30"/>
    <mergeCell ref="Y30:AB30"/>
    <mergeCell ref="U30:X30"/>
    <mergeCell ref="A22:A23"/>
    <mergeCell ref="A24:A26"/>
    <mergeCell ref="I30:L30"/>
    <mergeCell ref="BE30:BH30"/>
    <mergeCell ref="BA30:BD30"/>
    <mergeCell ref="AW30:AZ30"/>
    <mergeCell ref="AS30:AV30"/>
    <mergeCell ref="AO30:AR30"/>
  </mergeCells>
  <conditionalFormatting sqref="J9:J14 J23 J16:J21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{14AED97F-7433-402D-AE82-8596E63738B7}</x14:id>
        </ext>
      </extLst>
    </cfRule>
  </conditionalFormatting>
  <conditionalFormatting sqref="M8:M19 M22:M2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{80E37258-78A2-4D20-8BCA-6F0849C2B61C}</x14:id>
        </ext>
      </extLst>
    </cfRule>
  </conditionalFormatting>
  <conditionalFormatting sqref="J2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{77155161-39CC-4AB7-A425-763998D068A8}</x14:id>
        </ext>
      </extLst>
    </cfRule>
  </conditionalFormatting>
  <conditionalFormatting sqref="M15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{3DD18670-CA2F-438D-8E07-144C18FFB630}</x14:id>
        </ext>
      </extLst>
    </cfRule>
  </conditionalFormatting>
  <conditionalFormatting sqref="M1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{708AF81C-3B42-430C-A28E-0F56085DCD8B}</x14:id>
        </ext>
      </extLst>
    </cfRule>
  </conditionalFormatting>
  <conditionalFormatting sqref="M22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{36F76DDE-8389-41B7-AA66-62E60D321960}</x14:id>
        </ext>
      </extLst>
    </cfRule>
  </conditionalFormatting>
  <conditionalFormatting sqref="J22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{915CEFDC-8B0D-4EEF-84D7-544F921E0FAB}</x14:id>
        </ext>
      </extLst>
    </cfRule>
  </conditionalFormatting>
  <conditionalFormatting sqref="J22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{DC2AAFCE-05E6-475E-AB14-EB538AE6FF0B}</x14:id>
        </ext>
      </extLst>
    </cfRule>
  </conditionalFormatting>
  <conditionalFormatting sqref="M8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{CFF93D11-1298-483A-BB76-C88AF2CAB904}</x14:id>
        </ext>
      </extLst>
    </cfRule>
  </conditionalFormatting>
  <conditionalFormatting sqref="Q27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{817320DB-2379-4F8C-890F-5243B1B4A78E}</x14:id>
        </ext>
      </extLst>
    </cfRule>
  </conditionalFormatting>
  <conditionalFormatting sqref="Q27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{FFB07BD1-1F99-4833-82D1-D822577804DE}</x14:id>
        </ext>
      </extLst>
    </cfRule>
  </conditionalFormatting>
  <conditionalFormatting sqref="S27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{4FAD6820-839F-47E6-915C-CEA2520854B9}</x14:id>
        </ext>
      </extLst>
    </cfRule>
  </conditionalFormatting>
  <conditionalFormatting sqref="S27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{24EC0556-03CB-4389-82BE-F39C74C842FC}</x14:id>
        </ext>
      </extLst>
    </cfRule>
  </conditionalFormatting>
  <conditionalFormatting sqref="AD52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{F9161543-18FE-4837-B416-9B941CEF6825}</x14:id>
        </ext>
      </extLst>
    </cfRule>
  </conditionalFormatting>
  <conditionalFormatting sqref="AD52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{29B613DF-2931-4896-899F-12E0E3C74D71}</x14:id>
        </ext>
      </extLst>
    </cfRule>
  </conditionalFormatting>
  <conditionalFormatting sqref="AF52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{5116385A-4C1E-44B2-A953-D1E49570F874}</x14:id>
        </ext>
      </extLst>
    </cfRule>
  </conditionalFormatting>
  <conditionalFormatting sqref="AF52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{04F51888-7181-45D7-9C80-B816ABF247A8}</x14:id>
        </ext>
      </extLst>
    </cfRule>
  </conditionalFormatting>
  <conditionalFormatting sqref="M14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{6F7C6C84-3485-4C26-BC35-E6CD82500920}</x14:id>
        </ext>
      </extLst>
    </cfRule>
  </conditionalFormatting>
  <conditionalFormatting sqref="J13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{C102FA65-0A68-458B-AC8F-D43D7C8DAB72}</x14:id>
        </ext>
      </extLst>
    </cfRule>
  </conditionalFormatting>
  <conditionalFormatting sqref="J8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{AE620163-5BAF-40B2-830E-0FD00851EDB0}</x14:id>
        </ext>
      </extLst>
    </cfRule>
  </conditionalFormatting>
  <conditionalFormatting sqref="J15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{43E378B2-959E-43D1-8021-A0F1B1B386F7}</x14:id>
        </ext>
      </extLst>
    </cfRule>
  </conditionalFormatting>
  <conditionalFormatting sqref="AH52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{C7124471-4E71-4214-9FCA-2B750D550A84}</x14:id>
        </ext>
      </extLst>
    </cfRule>
  </conditionalFormatting>
  <conditionalFormatting sqref="AH52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{4D3BE6FC-32E6-49DF-A87E-264CA5F053C4}</x14:id>
        </ext>
      </extLst>
    </cfRule>
  </conditionalFormatting>
  <conditionalFormatting sqref="AJ52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{79CAF439-1C35-4BF8-8C90-6781B695DC87}</x14:id>
        </ext>
      </extLst>
    </cfRule>
  </conditionalFormatting>
  <conditionalFormatting sqref="AJ52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{44D86A96-14B2-42C9-A7E8-C056838C8CA9}</x14:id>
        </ext>
      </extLst>
    </cfRule>
  </conditionalFormatting>
  <conditionalFormatting sqref="J9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{1779460F-3D3F-4522-A106-7CDA155BF0F5}</x14:id>
        </ext>
      </extLst>
    </cfRule>
  </conditionalFormatting>
  <conditionalFormatting sqref="M9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{501746E7-F8E6-4071-AD1A-22856BFB401C}</x14:id>
        </ext>
      </extLst>
    </cfRule>
  </conditionalFormatting>
  <conditionalFormatting sqref="AL5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{76E4F808-34D9-483A-8B13-935293008460}</x14:id>
        </ext>
      </extLst>
    </cfRule>
  </conditionalFormatting>
  <conditionalFormatting sqref="AL52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{BA0B890B-B288-49A0-9A1B-C03B89735CEF}</x14:id>
        </ext>
      </extLst>
    </cfRule>
  </conditionalFormatting>
  <conditionalFormatting sqref="AN52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{129F232C-3E2B-4079-ABD9-5996EDD8E77D}</x14:id>
        </ext>
      </extLst>
    </cfRule>
  </conditionalFormatting>
  <conditionalFormatting sqref="AN5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{636D5229-D928-4B45-8A27-F7C44B263694}</x14:id>
        </ext>
      </extLst>
    </cfRule>
  </conditionalFormatting>
  <conditionalFormatting sqref="M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{E8301E61-556A-43AF-891E-16BBB3D762C3}</x14:id>
        </ext>
      </extLst>
    </cfRule>
  </conditionalFormatting>
  <conditionalFormatting sqref="J11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{FFE6EC77-C7C1-4F36-9326-B43C005E53CA}</x14:id>
        </ext>
      </extLst>
    </cfRule>
  </conditionalFormatting>
  <conditionalFormatting sqref="AP52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{50B35449-4121-4376-A9D1-FAFDA70FD4F6}</x14:id>
        </ext>
      </extLst>
    </cfRule>
  </conditionalFormatting>
  <conditionalFormatting sqref="AP52">
    <cfRule type="dataBar" priority="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{A25AC034-76C6-4391-90C2-300062A1223E}</x14:id>
        </ext>
      </extLst>
    </cfRule>
  </conditionalFormatting>
  <conditionalFormatting sqref="AR52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{E1CA52F7-BEF4-4EC1-8CAC-5EF4F3D1D5F8}</x14:id>
        </ext>
      </extLst>
    </cfRule>
  </conditionalFormatting>
  <conditionalFormatting sqref="AR52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{65AB0F9C-DC1B-4E11-AC55-DFD0B5943FCE}</x14:id>
        </ext>
      </extLst>
    </cfRule>
  </conditionalFormatting>
  <conditionalFormatting sqref="M1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{9A111905-8258-4D1E-8260-0AA1F8E589DF}</x14:id>
        </ext>
      </extLst>
    </cfRule>
  </conditionalFormatting>
  <conditionalFormatting sqref="AT52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{9C501ADD-8E55-4937-A59C-BD966913A628}</x14:id>
        </ext>
      </extLst>
    </cfRule>
  </conditionalFormatting>
  <conditionalFormatting sqref="AT52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{6C3013D5-E4FA-4F4E-878C-154067B9ADB8}</x14:id>
        </ext>
      </extLst>
    </cfRule>
  </conditionalFormatting>
  <conditionalFormatting sqref="AV5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{16302FDB-A29F-43F3-8031-34AE1AC36A2B}</x14:id>
        </ext>
      </extLst>
    </cfRule>
  </conditionalFormatting>
  <conditionalFormatting sqref="AV5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{567E3588-0DC0-467F-8358-5DE1E053C0E7}</x14:id>
        </ext>
      </extLst>
    </cfRule>
  </conditionalFormatting>
  <conditionalFormatting sqref="J1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{A71F643D-4F27-455E-A30F-1A072D77CDD7}</x14:id>
        </ext>
      </extLst>
    </cfRule>
  </conditionalFormatting>
  <conditionalFormatting sqref="M11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{F3C2A166-D5D8-4B6F-A8B3-A1B3A0A15CF2}</x14:id>
        </ext>
      </extLst>
    </cfRule>
  </conditionalFormatting>
  <conditionalFormatting sqref="J1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{C174A363-3BCF-4E85-B7E0-BF7F0FCF98D7}</x14:id>
        </ext>
      </extLst>
    </cfRule>
  </conditionalFormatting>
  <conditionalFormatting sqref="M1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{6215E4D6-FBE3-4283-B066-266ED144FD5D}</x14:id>
        </ext>
      </extLst>
    </cfRule>
  </conditionalFormatting>
  <conditionalFormatting sqref="AX5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{471CA64B-A8C4-4768-AF03-562F5DE2CF54}</x14:id>
        </ext>
      </extLst>
    </cfRule>
  </conditionalFormatting>
  <conditionalFormatting sqref="AX52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{1C92E2DC-35B0-466C-A3B0-EF0E8B0A406E}</x14:id>
        </ext>
      </extLst>
    </cfRule>
  </conditionalFormatting>
  <conditionalFormatting sqref="AZ52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{4A8FC7E8-A6FC-4E24-8570-1E213E586B2E}</x14:id>
        </ext>
      </extLst>
    </cfRule>
  </conditionalFormatting>
  <conditionalFormatting sqref="AZ5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{0C4048FB-A435-4177-B7F8-91D02FF82B19}</x14:id>
        </ext>
      </extLst>
    </cfRule>
  </conditionalFormatting>
  <conditionalFormatting sqref="M20:M2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{98A75AE4-AE8D-440E-B074-4B923A9BD934}</x14:id>
        </ext>
      </extLst>
    </cfRule>
  </conditionalFormatting>
  <conditionalFormatting sqref="M20:M21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{2D27E711-85FE-407B-9EE2-E57EB5D086A4}</x14:id>
        </ext>
      </extLst>
    </cfRule>
  </conditionalFormatting>
  <conditionalFormatting sqref="J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{B19A94C6-72BB-47D6-B6E7-4AC74F7FE888}</x14:id>
        </ext>
      </extLst>
    </cfRule>
  </conditionalFormatting>
  <conditionalFormatting sqref="M9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{E835B72F-043A-4F02-B5D6-8FA023016CFD}</x14:id>
        </ext>
      </extLst>
    </cfRule>
  </conditionalFormatting>
  <conditionalFormatting sqref="M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{5134E6B7-5AA5-4C1F-BA35-33C59B54EFF4}</x14:id>
        </ext>
      </extLst>
    </cfRule>
  </conditionalFormatting>
  <conditionalFormatting sqref="J20:J21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{61298FFA-BD0F-40A3-B413-A21BF809B4F7}</x14:id>
        </ext>
      </extLst>
    </cfRule>
    <cfRule type="colorScale" priority="28">
      <colorScale>
        <cfvo type="min"/>
        <cfvo type="max"/>
        <color rgb="FF63BE7B"/>
        <color rgb="FFFFEF9C"/>
      </colorScale>
    </cfRule>
  </conditionalFormatting>
  <conditionalFormatting sqref="BB5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{A3FB3EF1-967E-4910-A047-802E6307A2D9}</x14:id>
        </ext>
      </extLst>
    </cfRule>
  </conditionalFormatting>
  <conditionalFormatting sqref="BB5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{944A514A-A192-4B81-A5B4-FB78ED15EF42}</x14:id>
        </ext>
      </extLst>
    </cfRule>
  </conditionalFormatting>
  <conditionalFormatting sqref="BD52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{8D669414-DBA8-4A65-8720-162919041873}</x14:id>
        </ext>
      </extLst>
    </cfRule>
  </conditionalFormatting>
  <conditionalFormatting sqref="BD5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{AA756E4E-D44A-4A9F-A75E-98A73E57E054}</x14:id>
        </ext>
      </extLst>
    </cfRule>
  </conditionalFormatting>
  <conditionalFormatting sqref="BF5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{06D58BD6-7E46-4383-AF68-404980C88E9F}</x14:id>
        </ext>
      </extLst>
    </cfRule>
  </conditionalFormatting>
  <conditionalFormatting sqref="BF52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{2A656B7E-240C-428C-A81A-C16567735FD5}</x14:id>
        </ext>
      </extLst>
    </cfRule>
  </conditionalFormatting>
  <conditionalFormatting sqref="BH52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{6CDFB309-ED0E-4DC4-96B4-67321A434CD6}</x14:id>
        </ext>
      </extLst>
    </cfRule>
  </conditionalFormatting>
  <conditionalFormatting sqref="BH5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{A8BA65E3-C687-44B0-9A06-2354A4865865}</x14:id>
        </ext>
      </extLst>
    </cfRule>
  </conditionalFormatting>
  <conditionalFormatting sqref="J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{B79C6EB1-5B2F-4BF2-8B86-476B7C2CEA1A}</x14:id>
        </ext>
      </extLst>
    </cfRule>
  </conditionalFormatting>
  <conditionalFormatting sqref="M2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{C272F644-C57F-4DF7-9800-0D782804FC01}</x14:id>
        </ext>
      </extLst>
    </cfRule>
  </conditionalFormatting>
  <conditionalFormatting sqref="M2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{D44EE019-264E-4F12-B5E5-B4B2F6A2314E}</x14:id>
        </ext>
      </extLst>
    </cfRule>
  </conditionalFormatting>
  <conditionalFormatting sqref="J2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{8B2180BE-86E2-4810-854D-9E3578BA3C34}</x14:id>
        </ext>
      </extLst>
    </cfRule>
  </conditionalFormatting>
  <conditionalFormatting sqref="BJ5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{860F69CD-476E-4EDF-BB3F-2A289E64CCB5}</x14:id>
        </ext>
      </extLst>
    </cfRule>
  </conditionalFormatting>
  <conditionalFormatting sqref="BJ5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{366C595D-495C-4252-84AA-DC85CD928396}</x14:id>
        </ext>
      </extLst>
    </cfRule>
  </conditionalFormatting>
  <conditionalFormatting sqref="BL5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{5687F18C-B244-416D-A873-CE1CD3119094}</x14:id>
        </ext>
      </extLst>
    </cfRule>
  </conditionalFormatting>
  <conditionalFormatting sqref="BL5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{9CD7B30B-5FF3-4520-AA17-8B12450612D5}</x14:id>
        </ext>
      </extLst>
    </cfRule>
  </conditionalFormatting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AED97F-7433-402D-AE82-8596E63738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J9:J14 J23 J16:J21</xm:sqref>
        </x14:conditionalFormatting>
        <x14:conditionalFormatting xmlns:xm="http://schemas.microsoft.com/office/excel/2006/main">
          <x14:cfRule type="dataBar" id="{80E37258-78A2-4D20-8BCA-6F0849C2B6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M8:M19 M22:M27</xm:sqref>
        </x14:conditionalFormatting>
        <x14:conditionalFormatting xmlns:xm="http://schemas.microsoft.com/office/excel/2006/main">
          <x14:cfRule type="dataBar" id="{77155161-39CC-4AB7-A425-763998D068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3DD18670-CA2F-438D-8E07-144C18FFB6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708AF81C-3B42-430C-A28E-0F56085DCD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</xm:sqref>
        </x14:conditionalFormatting>
        <x14:conditionalFormatting xmlns:xm="http://schemas.microsoft.com/office/excel/2006/main">
          <x14:cfRule type="dataBar" id="{36F76DDE-8389-41B7-AA66-62E60D3219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915CEFDC-8B0D-4EEF-84D7-544F921E0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DC2AAFCE-05E6-475E-AB14-EB538AE6FF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CFF93D11-1298-483A-BB76-C88AF2CAB9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817320DB-2379-4F8C-890F-5243B1B4A7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Q27</xm:sqref>
        </x14:conditionalFormatting>
        <x14:conditionalFormatting xmlns:xm="http://schemas.microsoft.com/office/excel/2006/main">
          <x14:cfRule type="dataBar" id="{FFB07BD1-1F99-4833-82D1-D822577804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Q27</xm:sqref>
        </x14:conditionalFormatting>
        <x14:conditionalFormatting xmlns:xm="http://schemas.microsoft.com/office/excel/2006/main">
          <x14:cfRule type="dataBar" id="{4FAD6820-839F-47E6-915C-CEA2520854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S27</xm:sqref>
        </x14:conditionalFormatting>
        <x14:conditionalFormatting xmlns:xm="http://schemas.microsoft.com/office/excel/2006/main">
          <x14:cfRule type="dataBar" id="{24EC0556-03CB-4389-82BE-F39C74C842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S27</xm:sqref>
        </x14:conditionalFormatting>
        <x14:conditionalFormatting xmlns:xm="http://schemas.microsoft.com/office/excel/2006/main">
          <x14:cfRule type="dataBar" id="{F9161543-18FE-4837-B416-9B941CEF68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AD52</xm:sqref>
        </x14:conditionalFormatting>
        <x14:conditionalFormatting xmlns:xm="http://schemas.microsoft.com/office/excel/2006/main">
          <x14:cfRule type="dataBar" id="{29B613DF-2931-4896-899F-12E0E3C74D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AD52</xm:sqref>
        </x14:conditionalFormatting>
        <x14:conditionalFormatting xmlns:xm="http://schemas.microsoft.com/office/excel/2006/main">
          <x14:cfRule type="dataBar" id="{5116385A-4C1E-44B2-A953-D1E49570F8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AF52</xm:sqref>
        </x14:conditionalFormatting>
        <x14:conditionalFormatting xmlns:xm="http://schemas.microsoft.com/office/excel/2006/main">
          <x14:cfRule type="dataBar" id="{04F51888-7181-45D7-9C80-B816ABF247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AF52</xm:sqref>
        </x14:conditionalFormatting>
        <x14:conditionalFormatting xmlns:xm="http://schemas.microsoft.com/office/excel/2006/main">
          <x14:cfRule type="dataBar" id="{6F7C6C84-3485-4C26-BC35-E6CD825009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M14</xm:sqref>
        </x14:conditionalFormatting>
        <x14:conditionalFormatting xmlns:xm="http://schemas.microsoft.com/office/excel/2006/main">
          <x14:cfRule type="dataBar" id="{C102FA65-0A68-458B-AC8F-D43D7C8DAB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AE620163-5BAF-40B2-830E-0FD00851ED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43E378B2-959E-43D1-8021-A0F1B1B38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C7124471-4E71-4214-9FCA-2B750D550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AH52</xm:sqref>
        </x14:conditionalFormatting>
        <x14:conditionalFormatting xmlns:xm="http://schemas.microsoft.com/office/excel/2006/main">
          <x14:cfRule type="dataBar" id="{4D3BE6FC-32E6-49DF-A87E-264CA5F053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AH52</xm:sqref>
        </x14:conditionalFormatting>
        <x14:conditionalFormatting xmlns:xm="http://schemas.microsoft.com/office/excel/2006/main">
          <x14:cfRule type="dataBar" id="{79CAF439-1C35-4BF8-8C90-6781B695DC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AJ52</xm:sqref>
        </x14:conditionalFormatting>
        <x14:conditionalFormatting xmlns:xm="http://schemas.microsoft.com/office/excel/2006/main">
          <x14:cfRule type="dataBar" id="{44D86A96-14B2-42C9-A7E8-C056838C8C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AJ52</xm:sqref>
        </x14:conditionalFormatting>
        <x14:conditionalFormatting xmlns:xm="http://schemas.microsoft.com/office/excel/2006/main">
          <x14:cfRule type="dataBar" id="{1779460F-3D3F-4522-A106-7CDA155BF0F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501746E7-F8E6-4071-AD1A-22856BFB40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76E4F808-34D9-483A-8B13-9352930084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AL52</xm:sqref>
        </x14:conditionalFormatting>
        <x14:conditionalFormatting xmlns:xm="http://schemas.microsoft.com/office/excel/2006/main">
          <x14:cfRule type="dataBar" id="{BA0B890B-B288-49A0-9A1B-C03B89735C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AL52</xm:sqref>
        </x14:conditionalFormatting>
        <x14:conditionalFormatting xmlns:xm="http://schemas.microsoft.com/office/excel/2006/main">
          <x14:cfRule type="dataBar" id="{129F232C-3E2B-4079-ABD9-5996EDD8E7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AN52</xm:sqref>
        </x14:conditionalFormatting>
        <x14:conditionalFormatting xmlns:xm="http://schemas.microsoft.com/office/excel/2006/main">
          <x14:cfRule type="dataBar" id="{636D5229-D928-4B45-8A27-F7C44B2636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AN52</xm:sqref>
        </x14:conditionalFormatting>
        <x14:conditionalFormatting xmlns:xm="http://schemas.microsoft.com/office/excel/2006/main">
          <x14:cfRule type="dataBar" id="{E8301E61-556A-43AF-891E-16BBB3D762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FFE6EC77-C7C1-4F36-9326-B43C005E53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50B35449-4121-4376-A9D1-FAFDA70FD4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AP52</xm:sqref>
        </x14:conditionalFormatting>
        <x14:conditionalFormatting xmlns:xm="http://schemas.microsoft.com/office/excel/2006/main">
          <x14:cfRule type="dataBar" id="{A25AC034-76C6-4391-90C2-300062A12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AP52</xm:sqref>
        </x14:conditionalFormatting>
        <x14:conditionalFormatting xmlns:xm="http://schemas.microsoft.com/office/excel/2006/main">
          <x14:cfRule type="dataBar" id="{E1CA52F7-BEF4-4EC1-8CAC-5EF4F3D1D5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AR52</xm:sqref>
        </x14:conditionalFormatting>
        <x14:conditionalFormatting xmlns:xm="http://schemas.microsoft.com/office/excel/2006/main">
          <x14:cfRule type="dataBar" id="{65AB0F9C-DC1B-4E11-AC55-DFD0B5943F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AR52</xm:sqref>
        </x14:conditionalFormatting>
        <x14:conditionalFormatting xmlns:xm="http://schemas.microsoft.com/office/excel/2006/main">
          <x14:cfRule type="dataBar" id="{9A111905-8258-4D1E-8260-0AA1F8E589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9C501ADD-8E55-4937-A59C-BD966913A6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AT52</xm:sqref>
        </x14:conditionalFormatting>
        <x14:conditionalFormatting xmlns:xm="http://schemas.microsoft.com/office/excel/2006/main">
          <x14:cfRule type="dataBar" id="{6C3013D5-E4FA-4F4E-878C-154067B9AD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AT52</xm:sqref>
        </x14:conditionalFormatting>
        <x14:conditionalFormatting xmlns:xm="http://schemas.microsoft.com/office/excel/2006/main">
          <x14:cfRule type="dataBar" id="{16302FDB-A29F-43F3-8031-34AE1AC36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AV52</xm:sqref>
        </x14:conditionalFormatting>
        <x14:conditionalFormatting xmlns:xm="http://schemas.microsoft.com/office/excel/2006/main">
          <x14:cfRule type="dataBar" id="{567E3588-0DC0-467F-8358-5DE1E053C0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AV52</xm:sqref>
        </x14:conditionalFormatting>
        <x14:conditionalFormatting xmlns:xm="http://schemas.microsoft.com/office/excel/2006/main">
          <x14:cfRule type="dataBar" id="{A71F643D-4F27-455E-A30F-1A072D77C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F3C2A166-D5D8-4B6F-A8B3-A1B3A0A15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C174A363-3BCF-4E85-B7E0-BF7F0FCF98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6215E4D6-FBE3-4283-B066-266ED144FD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M13</xm:sqref>
        </x14:conditionalFormatting>
        <x14:conditionalFormatting xmlns:xm="http://schemas.microsoft.com/office/excel/2006/main">
          <x14:cfRule type="dataBar" id="{471CA64B-A8C4-4768-AF03-562F5DE2CF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AX52</xm:sqref>
        </x14:conditionalFormatting>
        <x14:conditionalFormatting xmlns:xm="http://schemas.microsoft.com/office/excel/2006/main">
          <x14:cfRule type="dataBar" id="{1C92E2DC-35B0-466C-A3B0-EF0E8B0A40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AX52</xm:sqref>
        </x14:conditionalFormatting>
        <x14:conditionalFormatting xmlns:xm="http://schemas.microsoft.com/office/excel/2006/main">
          <x14:cfRule type="dataBar" id="{4A8FC7E8-A6FC-4E24-8570-1E213E586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AZ52</xm:sqref>
        </x14:conditionalFormatting>
        <x14:conditionalFormatting xmlns:xm="http://schemas.microsoft.com/office/excel/2006/main">
          <x14:cfRule type="dataBar" id="{0C4048FB-A435-4177-B7F8-91D02FF82B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AZ52</xm:sqref>
        </x14:conditionalFormatting>
        <x14:conditionalFormatting xmlns:xm="http://schemas.microsoft.com/office/excel/2006/main">
          <x14:cfRule type="dataBar" id="{98A75AE4-AE8D-440E-B074-4B923A9BD9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M20:M21</xm:sqref>
        </x14:conditionalFormatting>
        <x14:conditionalFormatting xmlns:xm="http://schemas.microsoft.com/office/excel/2006/main">
          <x14:cfRule type="dataBar" id="{2D27E711-85FE-407B-9EE2-E57EB5D086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M20:M21</xm:sqref>
        </x14:conditionalFormatting>
        <x14:conditionalFormatting xmlns:xm="http://schemas.microsoft.com/office/excel/2006/main">
          <x14:cfRule type="dataBar" id="{B19A94C6-72BB-47D6-B6E7-4AC74F7FE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E835B72F-043A-4F02-B5D6-8FA023016C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5134E6B7-5AA5-4C1F-BA35-33C59B54EF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M9</xm:sqref>
        </x14:conditionalFormatting>
        <x14:conditionalFormatting xmlns:xm="http://schemas.microsoft.com/office/excel/2006/main">
          <x14:cfRule type="dataBar" id="{61298FFA-BD0F-40A3-B413-A21BF809B4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J20:J21</xm:sqref>
        </x14:conditionalFormatting>
        <x14:conditionalFormatting xmlns:xm="http://schemas.microsoft.com/office/excel/2006/main">
          <x14:cfRule type="dataBar" id="{A3FB3EF1-967E-4910-A047-802E6307A2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BB52</xm:sqref>
        </x14:conditionalFormatting>
        <x14:conditionalFormatting xmlns:xm="http://schemas.microsoft.com/office/excel/2006/main">
          <x14:cfRule type="dataBar" id="{944A514A-A192-4B81-A5B4-FB78ED15EF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BB52</xm:sqref>
        </x14:conditionalFormatting>
        <x14:conditionalFormatting xmlns:xm="http://schemas.microsoft.com/office/excel/2006/main">
          <x14:cfRule type="dataBar" id="{8D669414-DBA8-4A65-8720-1629190418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BD52</xm:sqref>
        </x14:conditionalFormatting>
        <x14:conditionalFormatting xmlns:xm="http://schemas.microsoft.com/office/excel/2006/main">
          <x14:cfRule type="dataBar" id="{AA756E4E-D44A-4A9F-A75E-98A73E57E0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BD52</xm:sqref>
        </x14:conditionalFormatting>
        <x14:conditionalFormatting xmlns:xm="http://schemas.microsoft.com/office/excel/2006/main">
          <x14:cfRule type="dataBar" id="{06D58BD6-7E46-4383-AF68-404980C88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BF52</xm:sqref>
        </x14:conditionalFormatting>
        <x14:conditionalFormatting xmlns:xm="http://schemas.microsoft.com/office/excel/2006/main">
          <x14:cfRule type="dataBar" id="{2A656B7E-240C-428C-A81A-C16567735F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BF52</xm:sqref>
        </x14:conditionalFormatting>
        <x14:conditionalFormatting xmlns:xm="http://schemas.microsoft.com/office/excel/2006/main">
          <x14:cfRule type="dataBar" id="{6CDFB309-ED0E-4DC4-96B4-67321A434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BH52</xm:sqref>
        </x14:conditionalFormatting>
        <x14:conditionalFormatting xmlns:xm="http://schemas.microsoft.com/office/excel/2006/main">
          <x14:cfRule type="dataBar" id="{A8BA65E3-C687-44B0-9A06-2354A48658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BH52</xm:sqref>
        </x14:conditionalFormatting>
        <x14:conditionalFormatting xmlns:xm="http://schemas.microsoft.com/office/excel/2006/main">
          <x14:cfRule type="dataBar" id="{B79C6EB1-5B2F-4BF2-8B86-476B7C2C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C272F644-C57F-4DF7-9800-0D782804FC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</xm:sqref>
        </x14:conditionalFormatting>
        <x14:conditionalFormatting xmlns:xm="http://schemas.microsoft.com/office/excel/2006/main">
          <x14:cfRule type="dataBar" id="{D44EE019-264E-4F12-B5E5-B4B2F6A231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M21</xm:sqref>
        </x14:conditionalFormatting>
        <x14:conditionalFormatting xmlns:xm="http://schemas.microsoft.com/office/excel/2006/main">
          <x14:cfRule type="dataBar" id="{8B2180BE-86E2-4810-854D-9E3578BA3C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dataBar" id="{860F69CD-476E-4EDF-BB3F-2A289E64CC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BJ52</xm:sqref>
        </x14:conditionalFormatting>
        <x14:conditionalFormatting xmlns:xm="http://schemas.microsoft.com/office/excel/2006/main">
          <x14:cfRule type="dataBar" id="{366C595D-495C-4252-84AA-DC85CD928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BJ52</xm:sqref>
        </x14:conditionalFormatting>
        <x14:conditionalFormatting xmlns:xm="http://schemas.microsoft.com/office/excel/2006/main">
          <x14:cfRule type="dataBar" id="{5687F18C-B244-416D-A873-CE1CD31190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BL52</xm:sqref>
        </x14:conditionalFormatting>
        <x14:conditionalFormatting xmlns:xm="http://schemas.microsoft.com/office/excel/2006/main">
          <x14:cfRule type="dataBar" id="{9CD7B30B-5FF3-4520-AA17-8B1245061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BL52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GFA cycle 03 2021</vt:lpstr>
      <vt:lpstr>GFA Cycle 02 2021</vt:lpstr>
      <vt:lpstr>GFA Cycle 01 2021</vt:lpstr>
      <vt:lpstr>GFA Cycle 12 2020</vt:lpstr>
      <vt:lpstr>GFA Cycle 11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2020-09-16T18:00:46Z</dcterms:created>
  <dcterms:modified xsi:type="dcterms:W3CDTF">2021-03-16T18:34:21Z</dcterms:modified>
</cp:coreProperties>
</file>