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esktop\"/>
    </mc:Choice>
  </mc:AlternateContent>
  <xr:revisionPtr revIDLastSave="0" documentId="13_ncr:1_{D3C8B9CD-BE87-43A7-BA8A-7E37C5730F19}" xr6:coauthVersionLast="47" xr6:coauthVersionMax="47" xr10:uidLastSave="{00000000-0000-0000-0000-000000000000}"/>
  <bookViews>
    <workbookView xWindow="-108" yWindow="-108" windowWidth="23256" windowHeight="12456" xr2:uid="{53D98C0A-EC82-4E5E-8351-DD6712F0EDB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C16" i="1"/>
  <c r="I4" i="3"/>
  <c r="F7" i="1" s="1"/>
  <c r="I5" i="3"/>
  <c r="I6" i="3"/>
  <c r="F9" i="1" s="1"/>
  <c r="I7" i="3"/>
  <c r="F10" i="1" s="1"/>
  <c r="I8" i="3"/>
  <c r="F11" i="1" s="1"/>
  <c r="I9" i="3"/>
  <c r="F12" i="1" s="1"/>
  <c r="I10" i="3"/>
  <c r="F13" i="1" s="1"/>
  <c r="I11" i="3"/>
  <c r="F14" i="1" s="1"/>
  <c r="I12" i="3"/>
  <c r="F15" i="1" s="1"/>
  <c r="I13" i="3"/>
  <c r="F16" i="1" s="1"/>
  <c r="I14" i="3"/>
  <c r="F17" i="1" s="1"/>
  <c r="I15" i="3"/>
  <c r="F18" i="1" s="1"/>
  <c r="I16" i="3"/>
  <c r="F19" i="1" s="1"/>
  <c r="I17" i="3"/>
  <c r="F20" i="1" s="1"/>
  <c r="I18" i="3"/>
  <c r="I19" i="3"/>
  <c r="I3" i="3"/>
  <c r="F6" i="1" s="1"/>
  <c r="O31" i="1" s="1"/>
  <c r="D6" i="1"/>
  <c r="N33" i="1" s="1"/>
  <c r="C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J6" i="1"/>
  <c r="K6" i="1"/>
  <c r="I6" i="1"/>
  <c r="F8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D16" i="1"/>
  <c r="C17" i="1"/>
  <c r="D17" i="1"/>
  <c r="C18" i="1"/>
  <c r="D18" i="1"/>
  <c r="C19" i="1"/>
  <c r="D19" i="1"/>
  <c r="C20" i="1"/>
  <c r="D20" i="1"/>
  <c r="A19" i="1"/>
  <c r="A20" i="1"/>
  <c r="A7" i="1"/>
  <c r="A8" i="1"/>
  <c r="A9" i="1"/>
  <c r="A10" i="1"/>
  <c r="A11" i="1"/>
  <c r="A12" i="1"/>
  <c r="A13" i="1"/>
  <c r="A14" i="1"/>
  <c r="A15" i="1"/>
  <c r="A16" i="1"/>
  <c r="A17" i="1"/>
  <c r="A18" i="1"/>
  <c r="A6" i="1"/>
  <c r="F4" i="3"/>
  <c r="K4" i="3" s="1"/>
  <c r="F5" i="3"/>
  <c r="K5" i="3" s="1"/>
  <c r="F6" i="3"/>
  <c r="K6" i="3" s="1"/>
  <c r="F7" i="3"/>
  <c r="K7" i="3" s="1"/>
  <c r="F8" i="3"/>
  <c r="K8" i="3" s="1"/>
  <c r="F9" i="3"/>
  <c r="K9" i="3" s="1"/>
  <c r="F10" i="3"/>
  <c r="K10" i="3" s="1"/>
  <c r="F11" i="3"/>
  <c r="K11" i="3" s="1"/>
  <c r="F12" i="3"/>
  <c r="K12" i="3" s="1"/>
  <c r="F13" i="3"/>
  <c r="K13" i="3" s="1"/>
  <c r="F14" i="3"/>
  <c r="K14" i="3" s="1"/>
  <c r="F15" i="3"/>
  <c r="K15" i="3" s="1"/>
  <c r="F16" i="3"/>
  <c r="K16" i="3" s="1"/>
  <c r="F17" i="3"/>
  <c r="K17" i="3" s="1"/>
  <c r="F19" i="3"/>
  <c r="K19" i="3" s="1"/>
  <c r="F3" i="3"/>
  <c r="K3" i="3" s="1"/>
  <c r="E6" i="1" l="1"/>
  <c r="N31" i="1"/>
  <c r="E18" i="1"/>
  <c r="G18" i="1" s="1"/>
  <c r="M18" i="1" s="1"/>
  <c r="M33" i="1"/>
  <c r="O33" i="1"/>
  <c r="M31" i="1"/>
  <c r="E15" i="1"/>
  <c r="E13" i="1"/>
  <c r="G13" i="1" s="1"/>
  <c r="E12" i="1"/>
  <c r="G12" i="1" s="1"/>
  <c r="E17" i="1"/>
  <c r="G17" i="1" s="1"/>
  <c r="E11" i="1"/>
  <c r="G11" i="1" s="1"/>
  <c r="E16" i="1"/>
  <c r="G16" i="1" s="1"/>
  <c r="E10" i="1"/>
  <c r="G10" i="1" s="1"/>
  <c r="E14" i="1"/>
  <c r="G14" i="1" s="1"/>
  <c r="E20" i="1"/>
  <c r="G20" i="1" s="1"/>
  <c r="E7" i="1"/>
  <c r="G7" i="1" s="1"/>
  <c r="E9" i="1"/>
  <c r="G9" i="1" s="1"/>
  <c r="E8" i="1"/>
  <c r="G8" i="1" s="1"/>
  <c r="E19" i="1"/>
  <c r="G19" i="1" s="1"/>
  <c r="G6" i="1" l="1"/>
  <c r="M6" i="1" s="1"/>
  <c r="N6" i="1"/>
  <c r="O15" i="1"/>
  <c r="G15" i="1"/>
  <c r="M15" i="1" s="1"/>
  <c r="O18" i="1"/>
  <c r="N18" i="1"/>
  <c r="O7" i="1"/>
  <c r="O20" i="1"/>
  <c r="O10" i="1"/>
  <c r="O16" i="1"/>
  <c r="O19" i="1"/>
  <c r="O13" i="1"/>
  <c r="O14" i="1"/>
  <c r="O8" i="1"/>
  <c r="O11" i="1"/>
  <c r="O17" i="1"/>
  <c r="O12" i="1"/>
  <c r="O9" i="1"/>
  <c r="N15" i="1" l="1"/>
  <c r="O23" i="1"/>
  <c r="O26" i="1"/>
  <c r="O27" i="1"/>
  <c r="O25" i="1"/>
  <c r="O32" i="1" s="1"/>
  <c r="O30" i="1" s="1"/>
  <c r="N11" i="1"/>
  <c r="M11" i="1"/>
  <c r="N12" i="1"/>
  <c r="M12" i="1"/>
  <c r="M13" i="1"/>
  <c r="N13" i="1"/>
  <c r="O22" i="1"/>
  <c r="N17" i="1"/>
  <c r="M17" i="1"/>
  <c r="M19" i="1"/>
  <c r="N19" i="1"/>
  <c r="O24" i="1"/>
  <c r="M10" i="1"/>
  <c r="N10" i="1"/>
  <c r="M8" i="1"/>
  <c r="N8" i="1"/>
  <c r="N20" i="1"/>
  <c r="M20" i="1"/>
  <c r="N16" i="1"/>
  <c r="M16" i="1"/>
  <c r="N9" i="1"/>
  <c r="M9" i="1"/>
  <c r="N14" i="1"/>
  <c r="M14" i="1"/>
  <c r="M7" i="1"/>
  <c r="N7" i="1"/>
  <c r="O34" i="1" l="1"/>
  <c r="O37" i="1" s="1"/>
  <c r="M22" i="1"/>
  <c r="M23" i="1"/>
  <c r="M24" i="1"/>
  <c r="M25" i="1"/>
  <c r="M30" i="1" s="1"/>
  <c r="M32" i="1" s="1"/>
  <c r="M34" i="1" s="1"/>
  <c r="M37" i="1" s="1"/>
  <c r="M26" i="1"/>
  <c r="M27" i="1"/>
  <c r="N22" i="1"/>
  <c r="N24" i="1"/>
  <c r="N26" i="1"/>
  <c r="N23" i="1"/>
  <c r="N25" i="1"/>
  <c r="N30" i="1" s="1"/>
  <c r="N32" i="1" s="1"/>
  <c r="N34" i="1" s="1"/>
  <c r="N37" i="1" s="1"/>
  <c r="N27" i="1"/>
</calcChain>
</file>

<file path=xl/sharedStrings.xml><?xml version="1.0" encoding="utf-8"?>
<sst xmlns="http://schemas.openxmlformats.org/spreadsheetml/2006/main" count="90" uniqueCount="85">
  <si>
    <t xml:space="preserve"> </t>
  </si>
  <si>
    <t xml:space="preserve">Company </t>
  </si>
  <si>
    <t>Ticker</t>
  </si>
  <si>
    <t>Share</t>
  </si>
  <si>
    <t>Price</t>
  </si>
  <si>
    <t>Shares</t>
  </si>
  <si>
    <t>Outstanding</t>
  </si>
  <si>
    <t>Net Debt</t>
  </si>
  <si>
    <t>Enterprise</t>
  </si>
  <si>
    <t>Value</t>
  </si>
  <si>
    <t>Market Data</t>
  </si>
  <si>
    <t>Revenue</t>
  </si>
  <si>
    <t>EBIDTA</t>
  </si>
  <si>
    <t>Net</t>
  </si>
  <si>
    <t>Income</t>
  </si>
  <si>
    <t>Valuation</t>
  </si>
  <si>
    <t>Financials</t>
  </si>
  <si>
    <t>S.No.</t>
  </si>
  <si>
    <t>Name</t>
  </si>
  <si>
    <t>CMP Rs.</t>
  </si>
  <si>
    <t>No. Eq. Shares Cr.</t>
  </si>
  <si>
    <t>Debt Rs.Cr.</t>
  </si>
  <si>
    <t>Cash End Rs.Cr.</t>
  </si>
  <si>
    <t>EV Rs.Cr.</t>
  </si>
  <si>
    <t>Sales Rs.Cr.</t>
  </si>
  <si>
    <t>NP 12M Rs.Cr.</t>
  </si>
  <si>
    <t>HDFC Bank</t>
  </si>
  <si>
    <t>ICICI Bank</t>
  </si>
  <si>
    <t>Kotak Mah. Bank</t>
  </si>
  <si>
    <t>Axis Bank</t>
  </si>
  <si>
    <t>IDBI Bank</t>
  </si>
  <si>
    <t>Yes Bank</t>
  </si>
  <si>
    <t>Federal Bank</t>
  </si>
  <si>
    <t>Karur Vysya Bank</t>
  </si>
  <si>
    <t>City Union Bank</t>
  </si>
  <si>
    <t>J &amp; K Bank</t>
  </si>
  <si>
    <t>South Ind.Bank</t>
  </si>
  <si>
    <t>Karnataka Bank</t>
  </si>
  <si>
    <t>T N Merc. Bank</t>
  </si>
  <si>
    <t>CSB Bank</t>
  </si>
  <si>
    <t>DCB Bank</t>
  </si>
  <si>
    <t>Median: 20 Co.</t>
  </si>
  <si>
    <t>Market Cao</t>
  </si>
  <si>
    <t>EV</t>
  </si>
  <si>
    <t>EBITA</t>
  </si>
  <si>
    <t>ICICIBANK</t>
  </si>
  <si>
    <t>AXISBANK</t>
  </si>
  <si>
    <t>HDFCBANK</t>
  </si>
  <si>
    <t>YESBANK</t>
  </si>
  <si>
    <t>CSBBANK</t>
  </si>
  <si>
    <t>J&amp;KBANK</t>
  </si>
  <si>
    <t>IDBI</t>
  </si>
  <si>
    <t>TMB</t>
  </si>
  <si>
    <t>CUB</t>
  </si>
  <si>
    <t>KARURVYSYA</t>
  </si>
  <si>
    <t>FEDERALBNK</t>
  </si>
  <si>
    <t>SOUTHBANK</t>
  </si>
  <si>
    <t>KTKBANK</t>
  </si>
  <si>
    <t>KOTAKBANK</t>
  </si>
  <si>
    <t>DBCBANK</t>
  </si>
  <si>
    <t>EV/Revenue</t>
  </si>
  <si>
    <t>EV/EBIDTA</t>
  </si>
  <si>
    <t>P/E</t>
  </si>
  <si>
    <t>High</t>
  </si>
  <si>
    <t>75th Percentile</t>
  </si>
  <si>
    <t>Average</t>
  </si>
  <si>
    <t>Median</t>
  </si>
  <si>
    <t>25th Percentile</t>
  </si>
  <si>
    <t>Low</t>
  </si>
  <si>
    <t>ICICI Bank Comaprable Valuation</t>
  </si>
  <si>
    <t>Implied EV</t>
  </si>
  <si>
    <t>Implied Market Value</t>
  </si>
  <si>
    <t>Shares Outstanding</t>
  </si>
  <si>
    <t>Implied Value per share</t>
  </si>
  <si>
    <t>Source: Screener.in</t>
  </si>
  <si>
    <t>Comparable Company Valuation (in Cr.)</t>
  </si>
  <si>
    <t>Market</t>
  </si>
  <si>
    <t>Capitalisation</t>
  </si>
  <si>
    <t>p/e less better- in what time I can recover my money if I buy it</t>
  </si>
  <si>
    <t>p/e= market cap/ profit- for last 1 yr</t>
  </si>
  <si>
    <t>ttm p/e- for last 4 quarters</t>
  </si>
  <si>
    <t>ebit+depreciation+interest=ebidta</t>
  </si>
  <si>
    <t>ebidta=revenue/sales-expenses(dep+tax+interest)</t>
  </si>
  <si>
    <t>ebit-tax=net profit after taxes</t>
  </si>
  <si>
    <t>enterprise value= market cap+debt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</si>
</sst>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4" formatCode="_ &quot;₹&quot;\ * #,##0.00_ ;_ &quot;₹&quot;\ * \-#,##0.00_ ;_ &quot;₹&quot;\ * &quot;-&quot;??_ ;_ @_ "/>
    <numFmt numFmtId="164" formatCode="_ * #,##0.00_ ;_ * \-#,##0.00_ ;_ * &quot;-&quot;_ ;_ @_ "/>
    <numFmt numFmtId="165" formatCode="0.0\x"/>
    <numFmt numFmtId="166" formatCode="_ * #,##0_ ;_ * \-#,##0_ ;_ * &quot;-&quot;??_ ;_ @_ "/>
    <numFmt numFmtId="167" formatCode="_ * #,##0.0_ ;_ * \-#,##0.0_ ;_ * &quot;-&quot;_ ;_ @_ 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BE4F0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hair">
        <color theme="6"/>
      </top>
      <bottom style="hair">
        <color theme="6"/>
      </bottom>
      <diagonal/>
    </border>
    <border>
      <left/>
      <right/>
      <top style="hair">
        <color theme="6"/>
      </top>
      <bottom/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3" borderId="1" xfId="2" applyFill="1" applyBorder="1" applyAlignment="1">
      <alignment horizontal="right" vertical="center" wrapText="1"/>
    </xf>
    <xf numFmtId="0" fontId="5" fillId="4" borderId="0" xfId="0" applyFont="1" applyFill="1" applyAlignment="1">
      <alignment horizontal="left" vertical="center" indent="2"/>
    </xf>
    <xf numFmtId="0" fontId="5" fillId="3" borderId="0" xfId="0" applyFont="1" applyFill="1" applyAlignment="1">
      <alignment horizontal="left" vertical="center" indent="2"/>
    </xf>
    <xf numFmtId="0" fontId="6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left" vertical="center"/>
    </xf>
    <xf numFmtId="2" fontId="5" fillId="4" borderId="0" xfId="0" applyNumberFormat="1" applyFont="1" applyFill="1" applyAlignment="1">
      <alignment horizontal="right" vertical="center" wrapText="1"/>
    </xf>
    <xf numFmtId="2" fontId="5" fillId="3" borderId="0" xfId="0" applyNumberFormat="1" applyFont="1" applyFill="1" applyAlignment="1">
      <alignment horizontal="right" vertical="center" wrapText="1"/>
    </xf>
    <xf numFmtId="2" fontId="6" fillId="3" borderId="0" xfId="0" applyNumberFormat="1" applyFont="1" applyFill="1" applyAlignment="1">
      <alignment horizontal="right" vertical="center" wrapText="1"/>
    </xf>
    <xf numFmtId="0" fontId="2" fillId="5" borderId="0" xfId="0" applyFont="1" applyFill="1"/>
    <xf numFmtId="0" fontId="2" fillId="2" borderId="0" xfId="0" applyFont="1" applyFill="1" applyAlignment="1">
      <alignment horizontal="right"/>
    </xf>
    <xf numFmtId="165" fontId="0" fillId="0" borderId="0" xfId="0" applyNumberFormat="1"/>
    <xf numFmtId="0" fontId="0" fillId="5" borderId="0" xfId="0" applyFill="1"/>
    <xf numFmtId="0" fontId="3" fillId="0" borderId="0" xfId="0" applyFont="1"/>
    <xf numFmtId="0" fontId="0" fillId="0" borderId="2" xfId="0" applyBorder="1"/>
    <xf numFmtId="41" fontId="0" fillId="0" borderId="2" xfId="1" applyNumberFormat="1" applyFont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164" fontId="0" fillId="0" borderId="2" xfId="0" applyNumberFormat="1" applyBorder="1"/>
    <xf numFmtId="165" fontId="0" fillId="0" borderId="2" xfId="0" applyNumberFormat="1" applyBorder="1"/>
    <xf numFmtId="0" fontId="3" fillId="0" borderId="2" xfId="0" applyFont="1" applyBorder="1"/>
    <xf numFmtId="165" fontId="3" fillId="0" borderId="2" xfId="0" applyNumberFormat="1" applyFont="1" applyBorder="1"/>
    <xf numFmtId="0" fontId="0" fillId="0" borderId="3" xfId="0" applyBorder="1"/>
    <xf numFmtId="41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7" fillId="0" borderId="0" xfId="0" applyFont="1"/>
    <xf numFmtId="166" fontId="0" fillId="0" borderId="3" xfId="0" applyNumberFormat="1" applyBorder="1"/>
    <xf numFmtId="0" fontId="0" fillId="6" borderId="2" xfId="0" applyFill="1" applyBorder="1"/>
    <xf numFmtId="41" fontId="0" fillId="6" borderId="2" xfId="1" applyNumberFormat="1" applyFont="1" applyFill="1" applyBorder="1" applyAlignment="1">
      <alignment horizontal="right"/>
    </xf>
    <xf numFmtId="164" fontId="0" fillId="6" borderId="2" xfId="1" applyNumberFormat="1" applyFont="1" applyFill="1" applyBorder="1" applyAlignment="1">
      <alignment horizontal="right"/>
    </xf>
    <xf numFmtId="164" fontId="0" fillId="6" borderId="2" xfId="0" applyNumberFormat="1" applyFill="1" applyBorder="1"/>
    <xf numFmtId="165" fontId="0" fillId="6" borderId="2" xfId="0" applyNumberFormat="1" applyFill="1" applyBorder="1"/>
    <xf numFmtId="2" fontId="0" fillId="0" borderId="0" xfId="0" applyNumberFormat="1"/>
    <xf numFmtId="167" fontId="0" fillId="6" borderId="2" xfId="1" applyNumberFormat="1" applyFont="1" applyFill="1" applyBorder="1" applyAlignment="1">
      <alignment horizontal="right"/>
    </xf>
    <xf numFmtId="167" fontId="0" fillId="0" borderId="2" xfId="1" applyNumberFormat="1" applyFont="1" applyBorder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/>
    <xf numFmtId="0" fontId="5" fillId="0" borderId="0" xfId="0" applyFont="1"/>
    <xf numFmtId="0" fontId="9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6810-1348-423A-88EE-DA62580B5FA3}">
  <dimension ref="A2:V37"/>
  <sheetViews>
    <sheetView showGridLines="0" tabSelected="1" zoomScale="79" zoomScaleNormal="55" workbookViewId="0">
      <selection activeCell="Q11" sqref="Q11"/>
    </sheetView>
  </sheetViews>
  <sheetFormatPr defaultRowHeight="14.4" x14ac:dyDescent="0.3"/>
  <cols>
    <col min="1" max="1" width="21.33203125" customWidth="1"/>
    <col min="2" max="2" width="14.33203125" customWidth="1"/>
    <col min="3" max="3" width="10.77734375" bestFit="1" customWidth="1"/>
    <col min="4" max="4" width="12.88671875" customWidth="1"/>
    <col min="5" max="5" width="14.6640625" bestFit="1" customWidth="1"/>
    <col min="6" max="6" width="14.5546875" customWidth="1"/>
    <col min="7" max="7" width="14.33203125" customWidth="1"/>
    <col min="8" max="8" width="2.21875" customWidth="1"/>
    <col min="9" max="9" width="13.5546875" customWidth="1"/>
    <col min="10" max="10" width="15.5546875" customWidth="1"/>
    <col min="11" max="11" width="10.77734375" customWidth="1"/>
    <col min="12" max="12" width="2.21875" customWidth="1"/>
    <col min="13" max="13" width="14.77734375" customWidth="1"/>
    <col min="14" max="14" width="17.33203125" customWidth="1"/>
    <col min="15" max="15" width="13" customWidth="1"/>
  </cols>
  <sheetData>
    <row r="2" spans="1:22" x14ac:dyDescent="0.3">
      <c r="A2" s="42" t="s">
        <v>75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22" s="2" customFormat="1" x14ac:dyDescent="0.3">
      <c r="A3" s="1"/>
      <c r="B3" s="1"/>
      <c r="C3" s="43" t="s">
        <v>10</v>
      </c>
      <c r="D3" s="43"/>
      <c r="E3" s="43"/>
      <c r="F3" s="43"/>
      <c r="G3" s="43"/>
      <c r="H3" s="1"/>
      <c r="I3" s="43" t="s">
        <v>16</v>
      </c>
      <c r="J3" s="43"/>
      <c r="K3" s="43"/>
      <c r="L3" s="1"/>
      <c r="M3" s="43" t="s">
        <v>15</v>
      </c>
      <c r="N3" s="43"/>
      <c r="O3" s="43"/>
      <c r="P3" s="11"/>
      <c r="Q3" s="11"/>
      <c r="R3" s="11"/>
      <c r="S3" s="11"/>
      <c r="T3" s="11"/>
      <c r="U3" s="11"/>
      <c r="V3" s="11"/>
    </row>
    <row r="4" spans="1:22" s="2" customFormat="1" x14ac:dyDescent="0.3">
      <c r="A4" s="1"/>
      <c r="B4" s="1"/>
      <c r="C4" s="12" t="s">
        <v>3</v>
      </c>
      <c r="D4" s="12" t="s">
        <v>5</v>
      </c>
      <c r="E4" s="12" t="s">
        <v>76</v>
      </c>
      <c r="F4" s="12"/>
      <c r="G4" s="12" t="s">
        <v>8</v>
      </c>
      <c r="H4" s="12"/>
      <c r="I4" s="12"/>
      <c r="J4" s="12"/>
      <c r="K4" s="12" t="s">
        <v>13</v>
      </c>
      <c r="L4" s="12"/>
      <c r="M4" s="12"/>
      <c r="N4" s="12"/>
      <c r="O4" s="12"/>
      <c r="P4" s="11"/>
      <c r="Q4" s="11"/>
      <c r="R4" s="11"/>
      <c r="S4" s="11"/>
      <c r="T4" s="11"/>
      <c r="U4" s="11"/>
      <c r="V4" s="11"/>
    </row>
    <row r="5" spans="1:22" s="2" customFormat="1" x14ac:dyDescent="0.3">
      <c r="A5" s="1" t="s">
        <v>1</v>
      </c>
      <c r="B5" s="1" t="s">
        <v>2</v>
      </c>
      <c r="C5" s="12" t="s">
        <v>4</v>
      </c>
      <c r="D5" s="12" t="s">
        <v>6</v>
      </c>
      <c r="E5" s="12" t="s">
        <v>77</v>
      </c>
      <c r="F5" s="12" t="s">
        <v>7</v>
      </c>
      <c r="G5" s="12" t="s">
        <v>9</v>
      </c>
      <c r="H5" s="12"/>
      <c r="I5" s="12" t="s">
        <v>11</v>
      </c>
      <c r="J5" s="12" t="s">
        <v>12</v>
      </c>
      <c r="K5" s="12" t="s">
        <v>14</v>
      </c>
      <c r="L5" s="12"/>
      <c r="M5" s="12" t="s">
        <v>60</v>
      </c>
      <c r="N5" s="12" t="s">
        <v>61</v>
      </c>
      <c r="O5" s="12" t="s">
        <v>62</v>
      </c>
      <c r="P5" s="11"/>
      <c r="Q5" s="11"/>
      <c r="R5" s="11"/>
      <c r="S5" s="11"/>
      <c r="T5" s="11"/>
      <c r="U5" s="11"/>
      <c r="V5" s="11"/>
    </row>
    <row r="6" spans="1:22" s="14" customFormat="1" x14ac:dyDescent="0.3">
      <c r="A6" s="29" t="str">
        <f>Sheet3!C3</f>
        <v>ICICI Bank</v>
      </c>
      <c r="B6" s="29" t="s">
        <v>45</v>
      </c>
      <c r="C6" s="35">
        <f>Sheet3!D3</f>
        <v>1423.2</v>
      </c>
      <c r="D6" s="31">
        <f>Sheet3!E3</f>
        <v>713.44</v>
      </c>
      <c r="E6" s="30">
        <f>C6*D6</f>
        <v>1015367.8080000001</v>
      </c>
      <c r="F6" s="30">
        <f>Sheet3!I3</f>
        <v>1740279.9300000002</v>
      </c>
      <c r="G6" s="30">
        <f>E6+F6</f>
        <v>2755647.7380000004</v>
      </c>
      <c r="H6" s="30"/>
      <c r="I6" s="30">
        <f>Sheet3!L3</f>
        <v>186331.47</v>
      </c>
      <c r="J6" s="30">
        <f>Sheet3!M3</f>
        <v>250908.85</v>
      </c>
      <c r="K6" s="30">
        <f>Sheet3!N3</f>
        <v>54569.38</v>
      </c>
      <c r="L6" s="29"/>
      <c r="M6" s="32">
        <f t="shared" ref="M6:M20" si="0">$G6/I6</f>
        <v>14.788955070230489</v>
      </c>
      <c r="N6" s="32">
        <f t="shared" ref="N6:N20" si="1">$G6/J6</f>
        <v>10.982664573210551</v>
      </c>
      <c r="O6" s="33">
        <f>E6/K6</f>
        <v>18.60691486690888</v>
      </c>
    </row>
    <row r="7" spans="1:22" x14ac:dyDescent="0.3">
      <c r="A7" s="16" t="str">
        <f>Sheet3!C4</f>
        <v>IDBI Bank</v>
      </c>
      <c r="B7" s="16" t="s">
        <v>51</v>
      </c>
      <c r="C7" s="36">
        <f>Sheet3!D4</f>
        <v>92.48</v>
      </c>
      <c r="D7" s="18">
        <f>Sheet3!E4</f>
        <v>1075.24</v>
      </c>
      <c r="E7" s="17">
        <f t="shared" ref="E7:E20" si="2">C7*D7</f>
        <v>99438.195200000002</v>
      </c>
      <c r="F7" s="17">
        <f>Sheet3!I4</f>
        <v>308612.79000000004</v>
      </c>
      <c r="G7" s="17">
        <f t="shared" ref="G7:G20" si="3">E7+F7</f>
        <v>408050.98520000005</v>
      </c>
      <c r="H7" s="17"/>
      <c r="I7" s="17">
        <f>Sheet3!L4</f>
        <v>28917.07</v>
      </c>
      <c r="J7" s="17">
        <f>Sheet3!M4</f>
        <v>39183.57</v>
      </c>
      <c r="K7" s="17">
        <f>Sheet3!N4</f>
        <v>7656.32</v>
      </c>
      <c r="L7" s="16"/>
      <c r="M7" s="19">
        <f t="shared" si="0"/>
        <v>14.111076440317088</v>
      </c>
      <c r="N7" s="19">
        <f t="shared" si="1"/>
        <v>10.413828683808037</v>
      </c>
      <c r="O7" s="20">
        <f t="shared" ref="O6:O20" si="4">E7/K7</f>
        <v>12.987727158739448</v>
      </c>
    </row>
    <row r="8" spans="1:22" x14ac:dyDescent="0.3">
      <c r="A8" s="16" t="str">
        <f>Sheet3!C5</f>
        <v>T N Merc. Bank</v>
      </c>
      <c r="B8" s="16" t="s">
        <v>52</v>
      </c>
      <c r="C8" s="36">
        <f>Sheet3!D5</f>
        <v>448.3</v>
      </c>
      <c r="D8" s="18">
        <f>Sheet3!E5</f>
        <v>15.84</v>
      </c>
      <c r="E8" s="17">
        <f t="shared" si="2"/>
        <v>7101.0720000000001</v>
      </c>
      <c r="F8" s="17">
        <f>Sheet3!I5</f>
        <v>51538.58</v>
      </c>
      <c r="G8" s="17">
        <f t="shared" si="3"/>
        <v>58639.652000000002</v>
      </c>
      <c r="H8" s="17"/>
      <c r="I8" s="17">
        <f>Sheet3!L5</f>
        <v>5291.26</v>
      </c>
      <c r="J8" s="17">
        <f>Sheet3!M5</f>
        <v>7555.57</v>
      </c>
      <c r="K8" s="17">
        <f>Sheet3!N5</f>
        <v>1182.6099999999999</v>
      </c>
      <c r="L8" s="16"/>
      <c r="M8" s="19">
        <f t="shared" si="0"/>
        <v>11.082360723154787</v>
      </c>
      <c r="N8" s="19">
        <f t="shared" si="1"/>
        <v>7.7611155743378735</v>
      </c>
      <c r="O8" s="20">
        <f t="shared" si="4"/>
        <v>6.0045763184820027</v>
      </c>
    </row>
    <row r="9" spans="1:22" x14ac:dyDescent="0.3">
      <c r="A9" s="16" t="str">
        <f>Sheet3!C6</f>
        <v>City Union Bank</v>
      </c>
      <c r="B9" s="16" t="s">
        <v>53</v>
      </c>
      <c r="C9" s="36">
        <f>Sheet3!D6</f>
        <v>192.82</v>
      </c>
      <c r="D9" s="18">
        <f>Sheet3!E6</f>
        <v>74.099999999999994</v>
      </c>
      <c r="E9" s="17">
        <f t="shared" si="2"/>
        <v>14287.961999999998</v>
      </c>
      <c r="F9" s="17">
        <f>Sheet3!I6</f>
        <v>61820.79</v>
      </c>
      <c r="G9" s="17">
        <f t="shared" si="3"/>
        <v>76108.751999999993</v>
      </c>
      <c r="H9" s="17"/>
      <c r="I9" s="17">
        <f>Sheet3!L6</f>
        <v>5834.04</v>
      </c>
      <c r="J9" s="17">
        <f>Sheet3!M6</f>
        <v>8453.2900000000009</v>
      </c>
      <c r="K9" s="17">
        <f>Sheet3!N6</f>
        <v>1123.6300000000001</v>
      </c>
      <c r="L9" s="16"/>
      <c r="M9" s="19">
        <f t="shared" si="0"/>
        <v>13.045634243165969</v>
      </c>
      <c r="N9" s="19">
        <f t="shared" si="1"/>
        <v>9.0034474151484201</v>
      </c>
      <c r="O9" s="20">
        <f t="shared" si="4"/>
        <v>12.715895801998876</v>
      </c>
    </row>
    <row r="10" spans="1:22" x14ac:dyDescent="0.3">
      <c r="A10" s="16" t="str">
        <f>Sheet3!C7</f>
        <v>Axis Bank</v>
      </c>
      <c r="B10" s="16" t="s">
        <v>46</v>
      </c>
      <c r="C10" s="36">
        <f>Sheet3!D7</f>
        <v>1215.0999999999999</v>
      </c>
      <c r="D10" s="18">
        <f>Sheet3!E7</f>
        <v>310.08</v>
      </c>
      <c r="E10" s="17">
        <f t="shared" si="2"/>
        <v>376778.20799999993</v>
      </c>
      <c r="F10" s="17">
        <f>Sheet3!I7</f>
        <v>1317969.2</v>
      </c>
      <c r="G10" s="17">
        <f t="shared" si="3"/>
        <v>1694747.4079999998</v>
      </c>
      <c r="H10" s="17"/>
      <c r="I10" s="17">
        <f>Sheet3!L7</f>
        <v>127374.09</v>
      </c>
      <c r="J10" s="17">
        <f>Sheet3!M7</f>
        <v>178794.78</v>
      </c>
      <c r="K10" s="17">
        <f>Sheet3!N7</f>
        <v>28190.799999999999</v>
      </c>
      <c r="L10" s="16"/>
      <c r="M10" s="19">
        <f t="shared" si="0"/>
        <v>13.30527588460102</v>
      </c>
      <c r="N10" s="19">
        <f t="shared" si="1"/>
        <v>9.4787297928944003</v>
      </c>
      <c r="O10" s="20">
        <f t="shared" si="4"/>
        <v>13.365289668970016</v>
      </c>
    </row>
    <row r="11" spans="1:22" x14ac:dyDescent="0.3">
      <c r="A11" s="16" t="str">
        <f>Sheet3!C8</f>
        <v>Karur Vysya Bank</v>
      </c>
      <c r="B11" s="16" t="s">
        <v>54</v>
      </c>
      <c r="C11" s="36">
        <f>Sheet3!D8</f>
        <v>246.79</v>
      </c>
      <c r="D11" s="18">
        <f>Sheet3!E8</f>
        <v>80.510000000000005</v>
      </c>
      <c r="E11" s="17">
        <f t="shared" si="2"/>
        <v>19869.062900000001</v>
      </c>
      <c r="F11" s="17">
        <f>Sheet3!I8</f>
        <v>95940.78</v>
      </c>
      <c r="G11" s="17">
        <f t="shared" si="3"/>
        <v>115809.8429</v>
      </c>
      <c r="H11" s="17"/>
      <c r="I11" s="17">
        <f>Sheet3!L8</f>
        <v>9678.0400000000009</v>
      </c>
      <c r="J11" s="17">
        <f>Sheet3!M8</f>
        <v>13426.97</v>
      </c>
      <c r="K11" s="17">
        <f>Sheet3!N8</f>
        <v>1941.64</v>
      </c>
      <c r="L11" s="16"/>
      <c r="M11" s="19">
        <f t="shared" si="0"/>
        <v>11.966249664188203</v>
      </c>
      <c r="N11" s="19">
        <f t="shared" si="1"/>
        <v>8.625165834138306</v>
      </c>
      <c r="O11" s="20">
        <f t="shared" si="4"/>
        <v>10.233134309140727</v>
      </c>
    </row>
    <row r="12" spans="1:22" x14ac:dyDescent="0.3">
      <c r="A12" s="16" t="str">
        <f>Sheet3!C9</f>
        <v>Federal Bank</v>
      </c>
      <c r="B12" s="16" t="s">
        <v>55</v>
      </c>
      <c r="C12" s="36">
        <f>Sheet3!D9</f>
        <v>204.77</v>
      </c>
      <c r="D12" s="18">
        <f>Sheet3!E9</f>
        <v>245.66</v>
      </c>
      <c r="E12" s="17">
        <f t="shared" si="2"/>
        <v>50303.798200000005</v>
      </c>
      <c r="F12" s="17">
        <f>Sheet3!I9</f>
        <v>295718.47000000003</v>
      </c>
      <c r="G12" s="17">
        <f t="shared" si="3"/>
        <v>346022.26820000005</v>
      </c>
      <c r="H12" s="17"/>
      <c r="I12" s="17">
        <f>Sheet3!L9</f>
        <v>28106.080000000002</v>
      </c>
      <c r="J12" s="17">
        <f>Sheet3!M9</f>
        <v>40850.370000000003</v>
      </c>
      <c r="K12" s="17">
        <f>Sheet3!N9</f>
        <v>4234.0200000000004</v>
      </c>
      <c r="L12" s="16"/>
      <c r="M12" s="19">
        <f t="shared" si="0"/>
        <v>12.311295926006046</v>
      </c>
      <c r="N12" s="19">
        <f t="shared" si="1"/>
        <v>8.4704806394654444</v>
      </c>
      <c r="O12" s="20">
        <f t="shared" si="4"/>
        <v>11.880859844781083</v>
      </c>
    </row>
    <row r="13" spans="1:22" x14ac:dyDescent="0.3">
      <c r="A13" s="16" t="str">
        <f>Sheet3!C10</f>
        <v>HDFC Bank</v>
      </c>
      <c r="B13" s="16" t="s">
        <v>47</v>
      </c>
      <c r="C13" s="36">
        <f>Sheet3!D10</f>
        <v>1929.6</v>
      </c>
      <c r="D13" s="18">
        <f>Sheet3!E10</f>
        <v>766.09</v>
      </c>
      <c r="E13" s="17">
        <f t="shared" si="2"/>
        <v>1478247.264</v>
      </c>
      <c r="F13" s="17">
        <f>Sheet3!I10</f>
        <v>3201113.55</v>
      </c>
      <c r="G13" s="17">
        <f>E13+F13</f>
        <v>4679360.8139999993</v>
      </c>
      <c r="H13" s="17"/>
      <c r="I13" s="17">
        <f>Sheet3!L10</f>
        <v>336367.43</v>
      </c>
      <c r="J13" s="17">
        <f>Sheet3!M10</f>
        <v>464030.45</v>
      </c>
      <c r="K13" s="17">
        <f>Sheet3!N10</f>
        <v>73440.17</v>
      </c>
      <c r="L13" s="16"/>
      <c r="M13" s="19">
        <f t="shared" si="0"/>
        <v>13.911456332142501</v>
      </c>
      <c r="N13" s="19">
        <f t="shared" si="1"/>
        <v>10.084167567020653</v>
      </c>
      <c r="O13" s="20">
        <f t="shared" si="4"/>
        <v>20.128592621721872</v>
      </c>
    </row>
    <row r="14" spans="1:22" x14ac:dyDescent="0.3">
      <c r="A14" s="16" t="str">
        <f>Sheet3!C11</f>
        <v>South Ind.Bank</v>
      </c>
      <c r="B14" s="16" t="s">
        <v>56</v>
      </c>
      <c r="C14" s="36">
        <f>Sheet3!D11</f>
        <v>29.81</v>
      </c>
      <c r="D14" s="18">
        <f>Sheet3!E11</f>
        <v>261.63</v>
      </c>
      <c r="E14" s="17">
        <f t="shared" si="2"/>
        <v>7799.1902999999993</v>
      </c>
      <c r="F14" s="17">
        <f>Sheet3!I11</f>
        <v>106728.37000000001</v>
      </c>
      <c r="G14" s="17">
        <f t="shared" si="3"/>
        <v>114527.56030000001</v>
      </c>
      <c r="H14" s="17"/>
      <c r="I14" s="17">
        <f>Sheet3!L11</f>
        <v>9413.31</v>
      </c>
      <c r="J14" s="17">
        <f>Sheet3!M11</f>
        <v>13612.23</v>
      </c>
      <c r="K14" s="17">
        <f>Sheet3!N11</f>
        <v>1302.8800000000001</v>
      </c>
      <c r="L14" s="16"/>
      <c r="M14" s="19">
        <f t="shared" si="0"/>
        <v>12.166555685513387</v>
      </c>
      <c r="N14" s="19">
        <f t="shared" si="1"/>
        <v>8.4135781058650938</v>
      </c>
      <c r="O14" s="20">
        <f t="shared" si="4"/>
        <v>5.9861156054279743</v>
      </c>
    </row>
    <row r="15" spans="1:22" x14ac:dyDescent="0.3">
      <c r="A15" s="16" t="str">
        <f>Sheet3!C12</f>
        <v>Yes Bank</v>
      </c>
      <c r="B15" s="16" t="s">
        <v>48</v>
      </c>
      <c r="C15" s="36">
        <f>Sheet3!D12</f>
        <v>19.940000000000001</v>
      </c>
      <c r="D15" s="18">
        <f>Sheet3!E12</f>
        <v>3136.27</v>
      </c>
      <c r="E15" s="17">
        <f t="shared" si="2"/>
        <v>62537.223800000007</v>
      </c>
      <c r="F15" s="17">
        <f>Sheet3!I12</f>
        <v>341131.35</v>
      </c>
      <c r="G15" s="17">
        <f t="shared" si="3"/>
        <v>403668.57380000001</v>
      </c>
      <c r="H15" s="17"/>
      <c r="I15" s="17">
        <f>Sheet3!L12</f>
        <v>30918.81</v>
      </c>
      <c r="J15" s="17">
        <f>Sheet3!M12</f>
        <v>47220.68</v>
      </c>
      <c r="K15" s="17">
        <f>Sheet3!N12</f>
        <v>2446.4899999999998</v>
      </c>
      <c r="L15" s="16"/>
      <c r="M15" s="19">
        <f t="shared" si="0"/>
        <v>13.055760354295654</v>
      </c>
      <c r="N15" s="19">
        <f t="shared" si="1"/>
        <v>8.5485548662153956</v>
      </c>
      <c r="O15" s="20">
        <f t="shared" si="4"/>
        <v>25.562018974122115</v>
      </c>
    </row>
    <row r="16" spans="1:22" x14ac:dyDescent="0.3">
      <c r="A16" s="16" t="str">
        <f>Sheet3!C13</f>
        <v>Karnataka Bank</v>
      </c>
      <c r="B16" s="37" t="s">
        <v>57</v>
      </c>
      <c r="C16" s="36">
        <f>Sheet3!D13</f>
        <v>205.77</v>
      </c>
      <c r="D16" s="18">
        <f>Sheet3!E13</f>
        <v>37.799999999999997</v>
      </c>
      <c r="E16" s="17">
        <f t="shared" si="2"/>
        <v>7778.1059999999998</v>
      </c>
      <c r="F16" s="17">
        <f>Sheet3!I13</f>
        <v>99222.31</v>
      </c>
      <c r="G16" s="17">
        <f t="shared" si="3"/>
        <v>107000.416</v>
      </c>
      <c r="H16" s="17"/>
      <c r="I16" s="17">
        <f>Sheet3!L13</f>
        <v>9013.6</v>
      </c>
      <c r="J16" s="17">
        <f>Sheet3!M13</f>
        <v>13047.04</v>
      </c>
      <c r="K16" s="17">
        <f>Sheet3!N13</f>
        <v>1272.3699999999999</v>
      </c>
      <c r="L16" s="16"/>
      <c r="M16" s="19">
        <f t="shared" si="0"/>
        <v>11.870996716073488</v>
      </c>
      <c r="N16" s="19">
        <f t="shared" si="1"/>
        <v>8.2011257725890303</v>
      </c>
      <c r="O16" s="20">
        <f t="shared" si="4"/>
        <v>6.1130850302977908</v>
      </c>
    </row>
    <row r="17" spans="1:15" x14ac:dyDescent="0.3">
      <c r="A17" s="16" t="str">
        <f>Sheet3!C14</f>
        <v>Kotak Mah. Bank</v>
      </c>
      <c r="B17" s="38" t="s">
        <v>58</v>
      </c>
      <c r="C17" s="36">
        <f>Sheet3!D14</f>
        <v>2136.8000000000002</v>
      </c>
      <c r="D17" s="18">
        <f>Sheet3!E14</f>
        <v>198.83</v>
      </c>
      <c r="E17" s="17">
        <f t="shared" si="2"/>
        <v>424859.94400000008</v>
      </c>
      <c r="F17" s="17">
        <f>Sheet3!I14</f>
        <v>550581.16</v>
      </c>
      <c r="G17" s="17">
        <f t="shared" si="3"/>
        <v>975441.10400000005</v>
      </c>
      <c r="H17" s="17"/>
      <c r="I17" s="17">
        <f>Sheet3!L14</f>
        <v>65668.83</v>
      </c>
      <c r="J17" s="17">
        <f>Sheet3!M14</f>
        <v>81734.73</v>
      </c>
      <c r="K17" s="17">
        <f>Sheet3!N14</f>
        <v>22125.99</v>
      </c>
      <c r="L17" s="16"/>
      <c r="M17" s="19">
        <f t="shared" si="0"/>
        <v>14.853943705103319</v>
      </c>
      <c r="N17" s="19">
        <f t="shared" si="1"/>
        <v>11.934230455034232</v>
      </c>
      <c r="O17" s="20">
        <f t="shared" si="4"/>
        <v>19.201850131903704</v>
      </c>
    </row>
    <row r="18" spans="1:15" x14ac:dyDescent="0.3">
      <c r="A18" s="16" t="str">
        <f>Sheet3!C15</f>
        <v>CSB Bank</v>
      </c>
      <c r="B18" s="38" t="s">
        <v>49</v>
      </c>
      <c r="C18" s="36">
        <f>Sheet3!D15</f>
        <v>392.2</v>
      </c>
      <c r="D18" s="18">
        <f>Sheet3!E15</f>
        <v>17.350000000000001</v>
      </c>
      <c r="E18" s="17">
        <f t="shared" si="2"/>
        <v>6804.67</v>
      </c>
      <c r="F18" s="17">
        <f>Sheet3!I15</f>
        <v>39220.49</v>
      </c>
      <c r="G18" s="17">
        <f t="shared" si="3"/>
        <v>46025.159999999996</v>
      </c>
      <c r="H18" s="17"/>
      <c r="I18" s="17">
        <f>Sheet3!L15</f>
        <v>3597.14</v>
      </c>
      <c r="J18" s="17">
        <f>Sheet3!M15</f>
        <v>5041.47</v>
      </c>
      <c r="K18" s="17">
        <f>Sheet3!N15</f>
        <v>593.79999999999995</v>
      </c>
      <c r="L18" s="16"/>
      <c r="M18" s="19">
        <f t="shared" si="0"/>
        <v>12.794931528936877</v>
      </c>
      <c r="N18" s="19">
        <f t="shared" si="1"/>
        <v>9.1293134740462598</v>
      </c>
      <c r="O18" s="20">
        <f t="shared" si="4"/>
        <v>11.459531828898619</v>
      </c>
    </row>
    <row r="19" spans="1:15" x14ac:dyDescent="0.3">
      <c r="A19" s="16" t="str">
        <f>Sheet3!C16</f>
        <v>DCB Bank</v>
      </c>
      <c r="B19" s="38" t="s">
        <v>59</v>
      </c>
      <c r="C19" s="36">
        <f>Sheet3!D16</f>
        <v>142.05000000000001</v>
      </c>
      <c r="D19" s="18">
        <f>Sheet3!E16</f>
        <v>31.44</v>
      </c>
      <c r="E19" s="17">
        <f t="shared" si="2"/>
        <v>4466.0520000000006</v>
      </c>
      <c r="F19" s="17">
        <f>Sheet3!I16</f>
        <v>66638.64</v>
      </c>
      <c r="G19" s="17">
        <f t="shared" si="3"/>
        <v>71104.691999999995</v>
      </c>
      <c r="H19" s="17"/>
      <c r="I19" s="17">
        <f>Sheet3!L16</f>
        <v>6470.59</v>
      </c>
      <c r="J19" s="17">
        <f>Sheet3!M16</f>
        <v>9556.65</v>
      </c>
      <c r="K19" s="17">
        <f>Sheet3!N16</f>
        <v>615.33000000000004</v>
      </c>
      <c r="L19" s="16"/>
      <c r="M19" s="19">
        <f t="shared" si="0"/>
        <v>10.98890394848074</v>
      </c>
      <c r="N19" s="19">
        <f t="shared" si="1"/>
        <v>7.4403365195963023</v>
      </c>
      <c r="O19" s="20">
        <f t="shared" si="4"/>
        <v>7.2579786456047977</v>
      </c>
    </row>
    <row r="20" spans="1:15" x14ac:dyDescent="0.3">
      <c r="A20" s="16" t="str">
        <f>Sheet3!C17</f>
        <v>J &amp; K Bank</v>
      </c>
      <c r="B20" s="37" t="s">
        <v>50</v>
      </c>
      <c r="C20" s="36">
        <f>Sheet3!D17</f>
        <v>103.03</v>
      </c>
      <c r="D20" s="18">
        <f>Sheet3!E17</f>
        <v>110.12</v>
      </c>
      <c r="E20" s="17">
        <f t="shared" si="2"/>
        <v>11345.6636</v>
      </c>
      <c r="F20" s="17">
        <f>Sheet3!I17</f>
        <v>143549.37999999998</v>
      </c>
      <c r="G20" s="17">
        <f t="shared" si="3"/>
        <v>154895.04359999998</v>
      </c>
      <c r="H20" s="17"/>
      <c r="I20" s="17">
        <f>Sheet3!L17</f>
        <v>12541.08</v>
      </c>
      <c r="J20" s="17">
        <f>Sheet3!M17</f>
        <v>16421.2</v>
      </c>
      <c r="K20" s="17">
        <f>Sheet3!N17</f>
        <v>2081.79</v>
      </c>
      <c r="L20" s="16"/>
      <c r="M20" s="19">
        <f t="shared" si="0"/>
        <v>12.351013118487401</v>
      </c>
      <c r="N20" s="19">
        <f t="shared" si="1"/>
        <v>9.4326263366867202</v>
      </c>
      <c r="O20" s="20">
        <f t="shared" si="4"/>
        <v>5.4499558552976044</v>
      </c>
    </row>
    <row r="22" spans="1:15" ht="13.8" customHeight="1" x14ac:dyDescent="0.3">
      <c r="A22" s="16" t="s">
        <v>63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>
        <f>MAX(M6:M20)</f>
        <v>14.853943705103319</v>
      </c>
      <c r="N22" s="20">
        <f>MAX(N6:N20)</f>
        <v>11.934230455034232</v>
      </c>
      <c r="O22" s="20">
        <f>MAX(O6:O20)</f>
        <v>25.562018974122115</v>
      </c>
    </row>
    <row r="23" spans="1:15" x14ac:dyDescent="0.3">
      <c r="A23" s="16" t="s">
        <v>64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>
        <f>QUARTILE(M6:M20,3)</f>
        <v>13.608366108371762</v>
      </c>
      <c r="N23" s="20">
        <f>QUARTILE(N6:N20,3)</f>
        <v>9.7814486799575278</v>
      </c>
      <c r="O23" s="20">
        <f>QUARTILE(O6:O20,3)</f>
        <v>15.986102267939447</v>
      </c>
    </row>
    <row r="24" spans="1:15" x14ac:dyDescent="0.3">
      <c r="A24" s="21" t="s">
        <v>65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2">
        <f>AVERAGE(M6:M20)</f>
        <v>12.840293956046464</v>
      </c>
      <c r="N24" s="22">
        <f>AVERAGE(N6:N20)</f>
        <v>9.1946243740037819</v>
      </c>
      <c r="O24" s="22">
        <f>AVERAGE(O6:O20)</f>
        <v>12.463568444153035</v>
      </c>
    </row>
    <row r="25" spans="1:15" x14ac:dyDescent="0.3">
      <c r="A25" s="21" t="s">
        <v>66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2">
        <f>MEDIAN(M6:M20)</f>
        <v>12.794931528936877</v>
      </c>
      <c r="N25" s="22">
        <f>MEDIAN(N6:N20)</f>
        <v>9.0034474151484201</v>
      </c>
      <c r="O25" s="22">
        <f>MEDIAN(O6:O20)</f>
        <v>11.880859844781083</v>
      </c>
    </row>
    <row r="26" spans="1:15" x14ac:dyDescent="0.3">
      <c r="A26" s="16" t="s">
        <v>67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>
        <f>QUARTILE(M6:M20,)</f>
        <v>10.98890394848074</v>
      </c>
      <c r="N26" s="20">
        <f>QUARTILE(N6:N20,)</f>
        <v>7.4403365195963023</v>
      </c>
      <c r="O26" s="20">
        <f>QUARTILE(O6:O20,)</f>
        <v>5.4499558552976044</v>
      </c>
    </row>
    <row r="27" spans="1:15" x14ac:dyDescent="0.3">
      <c r="A27" s="16" t="s">
        <v>68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>
        <f>MIN(M6:M20)</f>
        <v>10.98890394848074</v>
      </c>
      <c r="N27" s="20">
        <f>MIN(N6:N20)</f>
        <v>7.4403365195963023</v>
      </c>
      <c r="O27" s="20">
        <f>MIN(O6:O20)</f>
        <v>5.4499558552976044</v>
      </c>
    </row>
    <row r="28" spans="1:15" x14ac:dyDescent="0.3">
      <c r="O28" s="13"/>
    </row>
    <row r="29" spans="1:15" x14ac:dyDescent="0.3">
      <c r="A29" s="1" t="s">
        <v>69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2" t="s">
        <v>60</v>
      </c>
      <c r="N29" s="12" t="s">
        <v>61</v>
      </c>
      <c r="O29" s="12" t="s">
        <v>62</v>
      </c>
    </row>
    <row r="30" spans="1:15" x14ac:dyDescent="0.3">
      <c r="A30" s="23" t="s">
        <v>70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8">
        <f>M$25*I6</f>
        <v>2384098.4003361557</v>
      </c>
      <c r="N30" s="28">
        <f>N$25*J6</f>
        <v>2259044.6369703626</v>
      </c>
      <c r="O30" s="28">
        <f>O32+O31</f>
        <v>2388611.0855966001</v>
      </c>
    </row>
    <row r="31" spans="1:15" x14ac:dyDescent="0.3">
      <c r="A31" s="23" t="s">
        <v>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4">
        <f>$F$6</f>
        <v>1740279.9300000002</v>
      </c>
      <c r="N31" s="24">
        <f t="shared" ref="N31" si="5">$F$6</f>
        <v>1740279.9300000002</v>
      </c>
      <c r="O31" s="24">
        <f>$F$6</f>
        <v>1740279.9300000002</v>
      </c>
    </row>
    <row r="32" spans="1:15" x14ac:dyDescent="0.3">
      <c r="A32" s="23" t="s">
        <v>71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4">
        <f>M30-M31</f>
        <v>643818.4703361555</v>
      </c>
      <c r="N32" s="24">
        <f>N30-N31</f>
        <v>518764.70697036246</v>
      </c>
      <c r="O32" s="24">
        <f>O25*K6</f>
        <v>648331.15559659991</v>
      </c>
    </row>
    <row r="33" spans="1:15" x14ac:dyDescent="0.3">
      <c r="A33" s="25" t="s">
        <v>72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>
        <f>$D$6</f>
        <v>713.44</v>
      </c>
      <c r="N33" s="26">
        <f t="shared" ref="N33:O33" si="6">$D$6</f>
        <v>713.44</v>
      </c>
      <c r="O33" s="26">
        <f t="shared" si="6"/>
        <v>713.44</v>
      </c>
    </row>
    <row r="34" spans="1:15" x14ac:dyDescent="0.3">
      <c r="A34" s="21" t="s">
        <v>73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>
        <f>M32/M33</f>
        <v>902.41431702197167</v>
      </c>
      <c r="N34" s="21">
        <f t="shared" ref="N34:O34" si="7">N32/N33</f>
        <v>727.13151347045641</v>
      </c>
      <c r="O34" s="21">
        <f t="shared" si="7"/>
        <v>908.73956548076899</v>
      </c>
    </row>
    <row r="35" spans="1:15" ht="6.6" customHeigh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3">
      <c r="A36" s="27" t="s">
        <v>74</v>
      </c>
      <c r="M36" t="s">
        <v>0</v>
      </c>
    </row>
    <row r="37" spans="1:15" x14ac:dyDescent="0.3">
      <c r="L37" s="15"/>
      <c r="M37" s="41" t="str">
        <f>IF(M34&gt;$C$6, "Undervalued", "Overvalued")</f>
        <v>Overvalued</v>
      </c>
      <c r="N37" s="41" t="str">
        <f t="shared" ref="N37:O37" si="8">IF(N34&gt;$C$6, "Undervalued", "Overvalued")</f>
        <v>Overvalued</v>
      </c>
      <c r="O37" s="41" t="str">
        <f t="shared" si="8"/>
        <v>Overvalued</v>
      </c>
    </row>
  </sheetData>
  <mergeCells count="4">
    <mergeCell ref="A2:O2"/>
    <mergeCell ref="C3:G3"/>
    <mergeCell ref="I3:K3"/>
    <mergeCell ref="M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3F28-CB4E-4DA8-A63D-EB0D32D393B9}">
  <dimension ref="B2:O28"/>
  <sheetViews>
    <sheetView zoomScale="86" zoomScaleNormal="145" workbookViewId="0">
      <selection activeCell="C3" sqref="C3"/>
    </sheetView>
  </sheetViews>
  <sheetFormatPr defaultColWidth="17.5546875" defaultRowHeight="14.4" x14ac:dyDescent="0.3"/>
  <cols>
    <col min="1" max="1" width="2.5546875" customWidth="1"/>
    <col min="2" max="2" width="8.6640625" customWidth="1"/>
    <col min="15" max="15" width="45.44140625" customWidth="1"/>
  </cols>
  <sheetData>
    <row r="2" spans="2:15" ht="15" thickBot="1" x14ac:dyDescent="0.35">
      <c r="B2" t="s">
        <v>17</v>
      </c>
      <c r="C2" t="s">
        <v>18</v>
      </c>
      <c r="D2" t="s">
        <v>19</v>
      </c>
      <c r="E2" t="s">
        <v>20</v>
      </c>
      <c r="F2" s="3" t="s">
        <v>42</v>
      </c>
      <c r="G2" t="s">
        <v>21</v>
      </c>
      <c r="H2" t="s">
        <v>22</v>
      </c>
      <c r="I2" s="3" t="s">
        <v>7</v>
      </c>
      <c r="J2" t="s">
        <v>23</v>
      </c>
      <c r="K2" s="3" t="s">
        <v>43</v>
      </c>
      <c r="L2" t="s">
        <v>24</v>
      </c>
      <c r="M2" s="3" t="s">
        <v>44</v>
      </c>
      <c r="N2" t="s">
        <v>25</v>
      </c>
    </row>
    <row r="3" spans="2:15" x14ac:dyDescent="0.3">
      <c r="B3" s="4">
        <v>1</v>
      </c>
      <c r="C3" t="s">
        <v>27</v>
      </c>
      <c r="D3" s="8">
        <v>1423.2</v>
      </c>
      <c r="E3" s="8">
        <v>713.44</v>
      </c>
      <c r="F3" s="8">
        <f>E3*D3</f>
        <v>1015367.8080000001</v>
      </c>
      <c r="G3" s="8">
        <v>1860520.84</v>
      </c>
      <c r="H3" s="8">
        <v>120240.91</v>
      </c>
      <c r="I3" s="8">
        <f>(H3-G3)*-1</f>
        <v>1740279.9300000002</v>
      </c>
      <c r="J3" s="8">
        <v>2755685.24</v>
      </c>
      <c r="K3" s="8">
        <f>F3+G3-H3</f>
        <v>2755647.7379999999</v>
      </c>
      <c r="L3" s="8">
        <v>186331.47</v>
      </c>
      <c r="M3" s="8">
        <v>250908.85</v>
      </c>
      <c r="N3" s="8">
        <v>54569.38</v>
      </c>
      <c r="O3" s="34"/>
    </row>
    <row r="4" spans="2:15" x14ac:dyDescent="0.3">
      <c r="B4" s="5">
        <v>2</v>
      </c>
      <c r="C4" t="s">
        <v>30</v>
      </c>
      <c r="D4" s="9">
        <v>92.48</v>
      </c>
      <c r="E4" s="9">
        <v>1075.24</v>
      </c>
      <c r="F4" s="8">
        <f t="shared" ref="F4:F17" si="0">E4*D4</f>
        <v>99438.195200000002</v>
      </c>
      <c r="G4" s="9">
        <v>329907.03000000003</v>
      </c>
      <c r="H4" s="9">
        <v>21294.240000000002</v>
      </c>
      <c r="I4" s="8">
        <f t="shared" ref="I4:I18" si="1">(H4-G4)*-1</f>
        <v>308612.79000000004</v>
      </c>
      <c r="J4" s="9">
        <v>408029.95</v>
      </c>
      <c r="K4" s="8">
        <f t="shared" ref="K4:K17" si="2">F4+G4-H4</f>
        <v>408050.98520000005</v>
      </c>
      <c r="L4" s="9">
        <v>28917.07</v>
      </c>
      <c r="M4" s="39">
        <v>39183.57</v>
      </c>
      <c r="N4" s="9">
        <v>7656.32</v>
      </c>
    </row>
    <row r="5" spans="2:15" x14ac:dyDescent="0.3">
      <c r="B5" s="4">
        <v>3</v>
      </c>
      <c r="C5" t="s">
        <v>38</v>
      </c>
      <c r="D5" s="8">
        <v>448.3</v>
      </c>
      <c r="E5" s="8">
        <v>15.84</v>
      </c>
      <c r="F5" s="8">
        <f t="shared" si="0"/>
        <v>7101.0720000000001</v>
      </c>
      <c r="G5" s="8">
        <v>54188.959999999999</v>
      </c>
      <c r="H5" s="8">
        <v>2650.38</v>
      </c>
      <c r="I5" s="8">
        <f t="shared" si="1"/>
        <v>51538.58</v>
      </c>
      <c r="J5" s="8">
        <v>58639.06</v>
      </c>
      <c r="K5" s="8">
        <f t="shared" si="2"/>
        <v>58639.652000000002</v>
      </c>
      <c r="L5" s="8">
        <v>5291.26</v>
      </c>
      <c r="M5" s="39">
        <v>7555.57</v>
      </c>
      <c r="N5" s="8">
        <v>1182.6099999999999</v>
      </c>
    </row>
    <row r="6" spans="2:15" x14ac:dyDescent="0.3">
      <c r="B6" s="5">
        <v>4</v>
      </c>
      <c r="C6" t="s">
        <v>34</v>
      </c>
      <c r="D6" s="9">
        <v>192.82</v>
      </c>
      <c r="E6" s="9">
        <v>74.099999999999994</v>
      </c>
      <c r="F6" s="8">
        <f t="shared" si="0"/>
        <v>14287.961999999998</v>
      </c>
      <c r="G6" s="9">
        <v>65695.360000000001</v>
      </c>
      <c r="H6" s="9">
        <v>3874.57</v>
      </c>
      <c r="I6" s="8">
        <f t="shared" si="1"/>
        <v>61820.79</v>
      </c>
      <c r="J6" s="9">
        <v>76103.789999999994</v>
      </c>
      <c r="K6" s="8">
        <f t="shared" si="2"/>
        <v>76108.751999999993</v>
      </c>
      <c r="L6" s="9">
        <v>5834.04</v>
      </c>
      <c r="M6" s="39">
        <v>8453.2900000000009</v>
      </c>
      <c r="N6" s="9">
        <v>1123.6300000000001</v>
      </c>
    </row>
    <row r="7" spans="2:15" x14ac:dyDescent="0.3">
      <c r="B7" s="4">
        <v>5</v>
      </c>
      <c r="C7" t="s">
        <v>29</v>
      </c>
      <c r="D7" s="8">
        <v>1215.0999999999999</v>
      </c>
      <c r="E7" s="8">
        <v>310.08</v>
      </c>
      <c r="F7" s="8">
        <f t="shared" si="0"/>
        <v>376778.20799999993</v>
      </c>
      <c r="G7" s="8">
        <v>1391607.64</v>
      </c>
      <c r="H7" s="8">
        <v>73638.44</v>
      </c>
      <c r="I7" s="8">
        <f t="shared" si="1"/>
        <v>1317969.2</v>
      </c>
      <c r="J7" s="8">
        <v>1694665.62</v>
      </c>
      <c r="K7" s="8">
        <f t="shared" si="2"/>
        <v>1694747.4079999998</v>
      </c>
      <c r="L7" s="8">
        <v>127374.09</v>
      </c>
      <c r="M7" s="39">
        <v>178794.78</v>
      </c>
      <c r="N7" s="8">
        <v>28190.799999999999</v>
      </c>
    </row>
    <row r="8" spans="2:15" x14ac:dyDescent="0.3">
      <c r="B8" s="5">
        <v>6</v>
      </c>
      <c r="C8" t="s">
        <v>33</v>
      </c>
      <c r="D8" s="9">
        <v>246.79</v>
      </c>
      <c r="E8" s="9">
        <v>80.510000000000005</v>
      </c>
      <c r="F8" s="8">
        <f t="shared" si="0"/>
        <v>19869.062900000001</v>
      </c>
      <c r="G8" s="9">
        <v>103294.97</v>
      </c>
      <c r="H8" s="9">
        <v>7354.19</v>
      </c>
      <c r="I8" s="8">
        <f t="shared" si="1"/>
        <v>95940.78</v>
      </c>
      <c r="J8" s="9">
        <v>115817.13</v>
      </c>
      <c r="K8" s="8">
        <f t="shared" si="2"/>
        <v>115809.8429</v>
      </c>
      <c r="L8" s="9">
        <v>9678.0400000000009</v>
      </c>
      <c r="M8" s="39">
        <v>13426.97</v>
      </c>
      <c r="N8" s="9">
        <v>1941.64</v>
      </c>
    </row>
    <row r="9" spans="2:15" x14ac:dyDescent="0.3">
      <c r="B9" s="4">
        <v>7</v>
      </c>
      <c r="C9" t="s">
        <v>32</v>
      </c>
      <c r="D9" s="8">
        <v>204.77</v>
      </c>
      <c r="E9" s="8">
        <v>245.66</v>
      </c>
      <c r="F9" s="8">
        <f t="shared" si="0"/>
        <v>50303.798200000005</v>
      </c>
      <c r="G9" s="8">
        <v>316079.45</v>
      </c>
      <c r="H9" s="8">
        <v>20360.98</v>
      </c>
      <c r="I9" s="8">
        <f t="shared" si="1"/>
        <v>295718.47000000003</v>
      </c>
      <c r="J9" s="8">
        <v>346049.83</v>
      </c>
      <c r="K9" s="8">
        <f t="shared" si="2"/>
        <v>346022.26820000005</v>
      </c>
      <c r="L9" s="8">
        <v>28106.080000000002</v>
      </c>
      <c r="M9" s="39">
        <v>40850.370000000003</v>
      </c>
      <c r="N9" s="8">
        <v>4234.0200000000004</v>
      </c>
    </row>
    <row r="10" spans="2:15" x14ac:dyDescent="0.3">
      <c r="B10" s="5">
        <v>8</v>
      </c>
      <c r="C10" t="s">
        <v>26</v>
      </c>
      <c r="D10" s="9">
        <v>1929.6</v>
      </c>
      <c r="E10" s="9">
        <v>766.09</v>
      </c>
      <c r="F10" s="8">
        <f t="shared" si="0"/>
        <v>1478247.264</v>
      </c>
      <c r="G10" s="9">
        <v>3345503.8</v>
      </c>
      <c r="H10" s="9">
        <v>144390.25</v>
      </c>
      <c r="I10" s="8">
        <f t="shared" si="1"/>
        <v>3201113.55</v>
      </c>
      <c r="J10" s="9">
        <v>4679619.97</v>
      </c>
      <c r="K10" s="8">
        <f t="shared" si="2"/>
        <v>4679360.8139999993</v>
      </c>
      <c r="L10" s="9">
        <v>336367.43</v>
      </c>
      <c r="M10" s="39">
        <v>464030.45</v>
      </c>
      <c r="N10" s="9">
        <v>73440.17</v>
      </c>
    </row>
    <row r="11" spans="2:15" x14ac:dyDescent="0.3">
      <c r="B11" s="4">
        <v>9</v>
      </c>
      <c r="C11" t="s">
        <v>36</v>
      </c>
      <c r="D11" s="8">
        <v>29.81</v>
      </c>
      <c r="E11" s="8">
        <v>261.63</v>
      </c>
      <c r="F11" s="8">
        <f t="shared" si="0"/>
        <v>7799.1902999999993</v>
      </c>
      <c r="G11" s="8">
        <v>111826.07</v>
      </c>
      <c r="H11" s="8">
        <v>5097.7</v>
      </c>
      <c r="I11" s="8">
        <f t="shared" si="1"/>
        <v>106728.37000000001</v>
      </c>
      <c r="J11" s="8">
        <v>114524.99</v>
      </c>
      <c r="K11" s="8">
        <f t="shared" si="2"/>
        <v>114527.56030000001</v>
      </c>
      <c r="L11" s="8">
        <v>9413.31</v>
      </c>
      <c r="M11" s="39">
        <v>13612.23</v>
      </c>
      <c r="N11" s="8">
        <v>1302.8800000000001</v>
      </c>
    </row>
    <row r="12" spans="2:15" x14ac:dyDescent="0.3">
      <c r="B12" s="5">
        <v>10</v>
      </c>
      <c r="C12" t="s">
        <v>31</v>
      </c>
      <c r="D12" s="9">
        <v>19.940000000000001</v>
      </c>
      <c r="E12" s="9">
        <v>3136.27</v>
      </c>
      <c r="F12" s="8">
        <f t="shared" si="0"/>
        <v>62537.223800000007</v>
      </c>
      <c r="G12" s="9">
        <v>356391.48</v>
      </c>
      <c r="H12" s="9">
        <v>15260.13</v>
      </c>
      <c r="I12" s="8">
        <f t="shared" si="1"/>
        <v>341131.35</v>
      </c>
      <c r="J12" s="9">
        <v>403637.64</v>
      </c>
      <c r="K12" s="8">
        <f t="shared" si="2"/>
        <v>403668.57380000001</v>
      </c>
      <c r="L12" s="9">
        <v>30918.81</v>
      </c>
      <c r="M12" s="39">
        <v>47220.68</v>
      </c>
      <c r="N12" s="9">
        <v>2446.4899999999998</v>
      </c>
    </row>
    <row r="13" spans="2:15" x14ac:dyDescent="0.3">
      <c r="B13" s="4">
        <v>11</v>
      </c>
      <c r="C13" t="s">
        <v>37</v>
      </c>
      <c r="D13" s="8">
        <v>205.77</v>
      </c>
      <c r="E13" s="8">
        <v>37.799999999999997</v>
      </c>
      <c r="F13" s="8">
        <f t="shared" si="0"/>
        <v>7778.1059999999998</v>
      </c>
      <c r="G13" s="8">
        <v>106748.04</v>
      </c>
      <c r="H13" s="8">
        <v>7525.73</v>
      </c>
      <c r="I13" s="8">
        <f t="shared" si="1"/>
        <v>99222.31</v>
      </c>
      <c r="J13" s="8">
        <v>107001.74</v>
      </c>
      <c r="K13" s="8">
        <f t="shared" si="2"/>
        <v>107000.416</v>
      </c>
      <c r="L13" s="8">
        <v>9013.6</v>
      </c>
      <c r="M13" s="39">
        <v>13047.04</v>
      </c>
      <c r="N13" s="8">
        <v>1272.3699999999999</v>
      </c>
    </row>
    <row r="14" spans="2:15" x14ac:dyDescent="0.3">
      <c r="B14" s="5">
        <v>12</v>
      </c>
      <c r="C14" t="s">
        <v>28</v>
      </c>
      <c r="D14" s="9">
        <v>2136.8000000000002</v>
      </c>
      <c r="E14" s="9">
        <v>198.83</v>
      </c>
      <c r="F14" s="8">
        <f t="shared" si="0"/>
        <v>424859.94400000008</v>
      </c>
      <c r="G14" s="9">
        <v>592329.51</v>
      </c>
      <c r="H14" s="9">
        <v>41748.35</v>
      </c>
      <c r="I14" s="8">
        <f t="shared" si="1"/>
        <v>550581.16</v>
      </c>
      <c r="J14" s="9">
        <v>975545.4</v>
      </c>
      <c r="K14" s="8">
        <f t="shared" si="2"/>
        <v>975441.10400000017</v>
      </c>
      <c r="L14" s="9">
        <v>65668.83</v>
      </c>
      <c r="M14" s="39">
        <v>81734.73</v>
      </c>
      <c r="N14" s="9">
        <v>22125.99</v>
      </c>
    </row>
    <row r="15" spans="2:15" x14ac:dyDescent="0.3">
      <c r="B15" s="4">
        <v>13</v>
      </c>
      <c r="C15" t="s">
        <v>39</v>
      </c>
      <c r="D15" s="8">
        <v>392.2</v>
      </c>
      <c r="E15" s="8">
        <v>17.350000000000001</v>
      </c>
      <c r="F15" s="8">
        <f t="shared" si="0"/>
        <v>6804.67</v>
      </c>
      <c r="G15" s="8">
        <v>42407.77</v>
      </c>
      <c r="H15" s="8">
        <v>3187.28</v>
      </c>
      <c r="I15" s="8">
        <f t="shared" si="1"/>
        <v>39220.49</v>
      </c>
      <c r="J15" s="8">
        <v>46024.61</v>
      </c>
      <c r="K15" s="8">
        <f t="shared" si="2"/>
        <v>46025.159999999996</v>
      </c>
      <c r="L15" s="8">
        <v>3597.14</v>
      </c>
      <c r="M15" s="8">
        <v>5041.47</v>
      </c>
      <c r="N15" s="8">
        <v>593.79999999999995</v>
      </c>
    </row>
    <row r="16" spans="2:15" x14ac:dyDescent="0.3">
      <c r="B16" s="5">
        <v>14</v>
      </c>
      <c r="C16" t="s">
        <v>40</v>
      </c>
      <c r="D16" s="9">
        <v>142.05000000000001</v>
      </c>
      <c r="E16" s="9">
        <v>31.44</v>
      </c>
      <c r="F16" s="8">
        <f t="shared" si="0"/>
        <v>4466.0520000000006</v>
      </c>
      <c r="G16" s="9">
        <v>69146.13</v>
      </c>
      <c r="H16" s="9">
        <v>2507.4899999999998</v>
      </c>
      <c r="I16" s="8">
        <f t="shared" si="1"/>
        <v>66638.64</v>
      </c>
      <c r="J16" s="9">
        <v>71100.02</v>
      </c>
      <c r="K16" s="8">
        <f t="shared" si="2"/>
        <v>71104.691999999995</v>
      </c>
      <c r="L16" s="9">
        <v>6470.59</v>
      </c>
      <c r="M16" s="39">
        <v>9556.65</v>
      </c>
      <c r="N16" s="9">
        <v>615.33000000000004</v>
      </c>
    </row>
    <row r="17" spans="2:14" x14ac:dyDescent="0.3">
      <c r="B17" s="4">
        <v>15</v>
      </c>
      <c r="C17" t="s">
        <v>35</v>
      </c>
      <c r="D17" s="8">
        <v>103.03</v>
      </c>
      <c r="E17" s="8">
        <v>110.12</v>
      </c>
      <c r="F17" s="8">
        <f t="shared" si="0"/>
        <v>11345.6636</v>
      </c>
      <c r="G17" s="8">
        <v>150934.85999999999</v>
      </c>
      <c r="H17" s="8">
        <v>7385.48</v>
      </c>
      <c r="I17" s="8">
        <f t="shared" si="1"/>
        <v>143549.37999999998</v>
      </c>
      <c r="J17" s="8">
        <v>154880.84</v>
      </c>
      <c r="K17" s="8">
        <f t="shared" si="2"/>
        <v>154895.04359999998</v>
      </c>
      <c r="L17" s="8">
        <v>12541.08</v>
      </c>
      <c r="M17" s="39">
        <v>16421.2</v>
      </c>
      <c r="N17" s="8">
        <v>2081.79</v>
      </c>
    </row>
    <row r="18" spans="2:14" x14ac:dyDescent="0.3">
      <c r="I18" s="8">
        <f t="shared" si="1"/>
        <v>0</v>
      </c>
      <c r="M18" s="40"/>
    </row>
    <row r="19" spans="2:14" x14ac:dyDescent="0.3">
      <c r="B19" s="6"/>
      <c r="C19" s="7" t="s">
        <v>41</v>
      </c>
      <c r="D19" s="10">
        <v>205.27</v>
      </c>
      <c r="E19" s="10">
        <v>135.61000000000001</v>
      </c>
      <c r="F19" s="8">
        <f>E19*D19</f>
        <v>27836.664700000005</v>
      </c>
      <c r="G19" s="10">
        <v>156642.92000000001</v>
      </c>
      <c r="H19" s="10">
        <v>9245.24</v>
      </c>
      <c r="I19" s="8">
        <f>(H19-G19)*-1</f>
        <v>147397.68000000002</v>
      </c>
      <c r="J19" s="10">
        <v>168982.69</v>
      </c>
      <c r="K19" s="8">
        <f>F19+G19-H19</f>
        <v>175234.34470000002</v>
      </c>
      <c r="L19" s="10">
        <v>17994.669999999998</v>
      </c>
      <c r="M19" s="8">
        <v>14575.682699999999</v>
      </c>
      <c r="N19" s="10">
        <v>2011.72</v>
      </c>
    </row>
    <row r="20" spans="2:14" x14ac:dyDescent="0.3">
      <c r="B20" s="5"/>
      <c r="D20" s="9"/>
      <c r="E20" s="9"/>
      <c r="F20" s="8"/>
      <c r="G20" s="9"/>
      <c r="H20" s="9"/>
      <c r="I20" s="8"/>
      <c r="J20" s="9"/>
      <c r="K20" s="8"/>
      <c r="L20" s="9"/>
      <c r="M20" s="8"/>
      <c r="N20" s="9"/>
    </row>
    <row r="21" spans="2:14" x14ac:dyDescent="0.3">
      <c r="B21" t="s">
        <v>82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3">
      <c r="B22" t="s">
        <v>81</v>
      </c>
      <c r="D22" s="9"/>
      <c r="E22" s="9"/>
      <c r="F22" s="8"/>
      <c r="G22" s="9"/>
      <c r="H22" s="9"/>
      <c r="I22" s="8"/>
      <c r="J22" s="9"/>
      <c r="K22" s="8"/>
      <c r="L22" s="9"/>
      <c r="M22" s="8"/>
      <c r="N22" s="9"/>
    </row>
    <row r="23" spans="2:14" x14ac:dyDescent="0.3">
      <c r="B23" t="s">
        <v>83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3">
      <c r="B24" t="s">
        <v>84</v>
      </c>
    </row>
    <row r="26" spans="2:14" x14ac:dyDescent="0.3">
      <c r="B26" t="s">
        <v>79</v>
      </c>
    </row>
    <row r="27" spans="2:14" x14ac:dyDescent="0.3">
      <c r="B27" t="s">
        <v>78</v>
      </c>
    </row>
    <row r="28" spans="2:14" x14ac:dyDescent="0.3">
      <c r="B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Mangal</dc:creator>
  <cp:lastModifiedBy>Deepak Mangal</cp:lastModifiedBy>
  <dcterms:created xsi:type="dcterms:W3CDTF">2025-06-17T18:59:15Z</dcterms:created>
  <dcterms:modified xsi:type="dcterms:W3CDTF">2025-06-20T12:07:24Z</dcterms:modified>
</cp:coreProperties>
</file>