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25" windowWidth="19815" windowHeight="7110" activeTab="3"/>
  </bookViews>
  <sheets>
    <sheet name="Introduction" sheetId="1" r:id="rId1"/>
    <sheet name="MAIN SHEET" sheetId="2" r:id="rId2"/>
    <sheet name="A" sheetId="3" r:id="rId3"/>
    <sheet name="B" sheetId="4" r:id="rId4"/>
    <sheet name="C" sheetId="5" r:id="rId5"/>
    <sheet name="D" sheetId="6" r:id="rId6"/>
    <sheet name="E" sheetId="7" r:id="rId7"/>
    <sheet name="F" sheetId="8" r:id="rId8"/>
    <sheet name="G" sheetId="9" r:id="rId9"/>
    <sheet name="H" sheetId="10" r:id="rId10"/>
    <sheet name="I" sheetId="11" r:id="rId11"/>
    <sheet name="J" sheetId="12" r:id="rId12"/>
    <sheet name="Sheet1" sheetId="13" state="hidden" r:id="rId13"/>
    <sheet name="Sheet2" sheetId="14" state="hidden" r:id="rId14"/>
    <sheet name="Sheet3" sheetId="15" state="hidden" r:id="rId15"/>
    <sheet name="Sheet4" sheetId="16" state="hidden" r:id="rId16"/>
    <sheet name="Sheet5" sheetId="17" state="hidden" r:id="rId17"/>
  </sheets>
  <calcPr calcId="144525"/>
</workbook>
</file>

<file path=xl/calcChain.xml><?xml version="1.0" encoding="utf-8"?>
<calcChain xmlns="http://schemas.openxmlformats.org/spreadsheetml/2006/main">
  <c r="A9" i="4" l="1"/>
  <c r="A7" i="4"/>
  <c r="A5" i="4" l="1"/>
  <c r="E2" i="2" l="1"/>
  <c r="A3" i="3" l="1"/>
  <c r="A6" i="3" l="1"/>
  <c r="A7" i="3"/>
  <c r="A8" i="3"/>
  <c r="A9" i="3"/>
  <c r="A10" i="3"/>
  <c r="A11" i="3"/>
  <c r="A12" i="3"/>
  <c r="A13" i="3"/>
  <c r="A14" i="3"/>
  <c r="A15" i="3"/>
  <c r="A16" i="3"/>
  <c r="A17" i="3"/>
  <c r="A18" i="3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8" i="4"/>
  <c r="A6" i="4"/>
  <c r="A4" i="4"/>
  <c r="A3" i="4"/>
  <c r="A2" i="4"/>
  <c r="A27" i="3"/>
  <c r="A26" i="3"/>
  <c r="A25" i="3"/>
  <c r="A24" i="3"/>
  <c r="A23" i="3"/>
  <c r="A22" i="3"/>
  <c r="A21" i="3"/>
  <c r="A20" i="3"/>
  <c r="A19" i="3"/>
  <c r="A5" i="3"/>
  <c r="A4" i="3"/>
  <c r="A2" i="3"/>
  <c r="F78" i="2"/>
  <c r="F77" i="2"/>
  <c r="F76" i="2"/>
  <c r="C75" i="2"/>
  <c r="B75" i="2"/>
  <c r="D74" i="2"/>
  <c r="D71" i="2"/>
  <c r="C71" i="2"/>
  <c r="B71" i="2"/>
  <c r="F69" i="2"/>
  <c r="D68" i="2"/>
  <c r="B68" i="2"/>
  <c r="D67" i="2"/>
  <c r="B67" i="2"/>
  <c r="D66" i="2"/>
  <c r="B66" i="2"/>
  <c r="D65" i="2"/>
  <c r="C65" i="2"/>
  <c r="B65" i="2"/>
  <c r="D64" i="2"/>
  <c r="D61" i="2"/>
  <c r="C61" i="2"/>
  <c r="B61" i="2"/>
  <c r="F59" i="2"/>
  <c r="D57" i="2"/>
  <c r="D56" i="2"/>
  <c r="C56" i="2"/>
  <c r="B56" i="2"/>
  <c r="D53" i="2"/>
  <c r="C53" i="2"/>
  <c r="B53" i="2"/>
  <c r="D52" i="2"/>
  <c r="C52" i="2"/>
  <c r="B52" i="2"/>
  <c r="F51" i="2"/>
  <c r="C50" i="2"/>
  <c r="B50" i="2"/>
  <c r="D49" i="2"/>
  <c r="B46" i="2"/>
  <c r="B45" i="2"/>
  <c r="C44" i="2"/>
  <c r="B44" i="2"/>
  <c r="D43" i="2"/>
  <c r="C43" i="2"/>
  <c r="B43" i="2"/>
  <c r="F41" i="2"/>
  <c r="D40" i="2"/>
  <c r="D39" i="2"/>
  <c r="B39" i="2"/>
  <c r="D38" i="2"/>
  <c r="B38" i="2"/>
  <c r="D37" i="2"/>
  <c r="C37" i="2"/>
  <c r="B37" i="2"/>
  <c r="D36" i="2"/>
  <c r="D33" i="2"/>
  <c r="C33" i="2"/>
  <c r="B33" i="2"/>
  <c r="F31" i="2"/>
  <c r="D30" i="2"/>
  <c r="B30" i="2"/>
  <c r="D29" i="2"/>
  <c r="C29" i="2"/>
  <c r="B29" i="2"/>
  <c r="D28" i="2"/>
  <c r="C28" i="2"/>
  <c r="B28" i="2"/>
  <c r="D27" i="2"/>
  <c r="D24" i="2"/>
  <c r="D23" i="2"/>
  <c r="D22" i="2"/>
  <c r="C22" i="2"/>
  <c r="B22" i="2"/>
  <c r="F20" i="2"/>
  <c r="D19" i="2"/>
  <c r="D18" i="2"/>
  <c r="B18" i="2"/>
  <c r="D17" i="2"/>
  <c r="B17" i="2"/>
  <c r="D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7" i="2"/>
  <c r="D6" i="2"/>
  <c r="C6" i="2"/>
  <c r="B6" i="2"/>
  <c r="D5" i="2"/>
  <c r="C5" i="2"/>
  <c r="B5" i="2"/>
  <c r="D4" i="2"/>
  <c r="C4" i="2"/>
  <c r="B4" i="2"/>
  <c r="E18" i="1"/>
  <c r="E17" i="1"/>
  <c r="E16" i="1"/>
  <c r="E15" i="1"/>
  <c r="E14" i="1"/>
  <c r="E13" i="1"/>
  <c r="E12" i="1"/>
  <c r="E11" i="1"/>
  <c r="E10" i="1"/>
  <c r="G4" i="1"/>
  <c r="A1" i="1"/>
</calcChain>
</file>

<file path=xl/sharedStrings.xml><?xml version="1.0" encoding="utf-8"?>
<sst xmlns="http://schemas.openxmlformats.org/spreadsheetml/2006/main" count="171" uniqueCount="62">
  <si>
    <t>This Sheet was made for newcomers in programming who are looking for an online training to improve their knowledge in basic programming skills</t>
  </si>
  <si>
    <t>How to interact with the sheet :</t>
  </si>
  <si>
    <t>Explaning video</t>
  </si>
  <si>
    <t>In the "MAIN SHEET" you will find the topics and its tutorial and problems</t>
  </si>
  <si>
    <t>In rest of the sheet you will find a problem set, that refers to a specific topic, states and notes</t>
  </si>
  <si>
    <t>States will be "AC" for Accepted problem, "WA" for Wrong Answer and "TLE" for time limit exceeded</t>
  </si>
  <si>
    <t>In notes you can mark a problem as important, not important or a link to the problem code</t>
  </si>
  <si>
    <t>Computer Basic Components</t>
  </si>
  <si>
    <t>What is programming language ?</t>
  </si>
  <si>
    <t>Algorithms - What and Why</t>
  </si>
  <si>
    <t>Programming Competitions - What and Why</t>
  </si>
  <si>
    <t>The ACM ICPC, ACPC, ECPC</t>
  </si>
  <si>
    <t>What is online Judge and How to register in Codeforces ?</t>
  </si>
  <si>
    <t>Join our  group in codeforces to solve problems</t>
  </si>
  <si>
    <t>How to ask about a problem ?</t>
  </si>
  <si>
    <t>Our group in facebook you should join it .</t>
  </si>
  <si>
    <t>About US  :</t>
  </si>
  <si>
    <t>The main goal of this community is to improve problem solving and programming skills of all students interested in participating in programming competitions or anyone wants to improve his/her algorithmic skills.</t>
  </si>
  <si>
    <t>Topic</t>
  </si>
  <si>
    <t>Tutorial</t>
  </si>
  <si>
    <t>Problems</t>
  </si>
  <si>
    <t>Solved</t>
  </si>
  <si>
    <t>Data Type &amp; Conditions</t>
  </si>
  <si>
    <t>References</t>
  </si>
  <si>
    <t xml:space="preserve">Cplusplus </t>
  </si>
  <si>
    <t xml:space="preserve">GeeksforGeeks </t>
  </si>
  <si>
    <t>Tutorialspoint</t>
  </si>
  <si>
    <t xml:space="preserve">Videos </t>
  </si>
  <si>
    <t xml:space="preserve">Arabic Videos </t>
  </si>
  <si>
    <t xml:space="preserve">English Videos </t>
  </si>
  <si>
    <t xml:space="preserve">First lecturer </t>
  </si>
  <si>
    <t xml:space="preserve">Second lecturer </t>
  </si>
  <si>
    <t>Loops</t>
  </si>
  <si>
    <t>Sheet B</t>
  </si>
  <si>
    <t xml:space="preserve">Tutorialspoint </t>
  </si>
  <si>
    <t>Arabic Videos :</t>
  </si>
  <si>
    <t>English Videos :</t>
  </si>
  <si>
    <t>First lecturer :</t>
  </si>
  <si>
    <t>second lecturer :</t>
  </si>
  <si>
    <t>Arrays</t>
  </si>
  <si>
    <t>Sheet C</t>
  </si>
  <si>
    <t xml:space="preserve">second lecturer </t>
  </si>
  <si>
    <t>Strings</t>
  </si>
  <si>
    <t>Sheet D</t>
  </si>
  <si>
    <t>Math</t>
  </si>
  <si>
    <t>Sheet E</t>
  </si>
  <si>
    <t>Permutations and Combinations</t>
  </si>
  <si>
    <t>Functions</t>
  </si>
  <si>
    <t>Sheet F</t>
  </si>
  <si>
    <t>Basic Recursion</t>
  </si>
  <si>
    <t>Sheet G</t>
  </si>
  <si>
    <t>General Easy</t>
  </si>
  <si>
    <t>Sheet H</t>
  </si>
  <si>
    <t>General Medium</t>
  </si>
  <si>
    <t>Sheet I</t>
  </si>
  <si>
    <t>General Hard</t>
  </si>
  <si>
    <t>Sheet J</t>
  </si>
  <si>
    <t>State</t>
  </si>
  <si>
    <t>Notes</t>
  </si>
  <si>
    <t>AC</t>
  </si>
  <si>
    <t xml:space="preserve">Sheet A Is Completed </t>
  </si>
  <si>
    <t>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</si>
</sst>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6">
    <font>
      <sz val="10"/>
      <color rgb="FF000000"/>
      <name val="Arial"/>
    </font>
    <font>
      <b/>
      <u/>
      <sz val="14"/>
      <color rgb="FFFFFF00"/>
      <name val="Arial"/>
    </font>
    <font>
      <sz val="10"/>
      <name val="Arial"/>
    </font>
    <font>
      <sz val="14"/>
      <name val="Arial"/>
    </font>
    <font>
      <b/>
      <sz val="14"/>
      <color rgb="FFFFFFFF"/>
      <name val="Arial"/>
    </font>
    <font>
      <b/>
      <sz val="24"/>
      <color rgb="FFFFFFFF"/>
      <name val="Arial"/>
    </font>
    <font>
      <b/>
      <u/>
      <sz val="24"/>
      <color rgb="FFFFFFFF"/>
      <name val="Arial"/>
    </font>
    <font>
      <sz val="14"/>
      <color rgb="FF000000"/>
      <name val="Arial"/>
    </font>
    <font>
      <b/>
      <sz val="12"/>
      <color rgb="FFFFFFFF"/>
      <name val="Arial"/>
    </font>
    <font>
      <b/>
      <sz val="12"/>
      <color rgb="FF000000"/>
      <name val="Arial"/>
    </font>
    <font>
      <b/>
      <sz val="14"/>
      <color rgb="FFFFFFFF"/>
      <name val="Roboto"/>
    </font>
    <font>
      <b/>
      <u/>
      <sz val="14"/>
      <color rgb="FF1155CC"/>
      <name val="Arial"/>
    </font>
    <font>
      <b/>
      <u/>
      <sz val="14"/>
      <color rgb="FF0000FF"/>
      <name val="Arial"/>
    </font>
    <font>
      <b/>
      <sz val="14"/>
      <color rgb="FFFFFFFF"/>
      <name val="Arial"/>
    </font>
    <font>
      <b/>
      <u/>
      <sz val="14"/>
      <color rgb="FF0000FF"/>
      <name val="Arial"/>
    </font>
    <font>
      <b/>
      <sz val="14"/>
      <name val="Arial"/>
    </font>
    <font>
      <b/>
      <sz val="14"/>
      <color rgb="FFFFF2CC"/>
      <name val="Arial"/>
    </font>
    <font>
      <b/>
      <u/>
      <sz val="14"/>
      <color rgb="FFFFFFFF"/>
      <name val="Arial"/>
    </font>
    <font>
      <b/>
      <u/>
      <sz val="10"/>
      <color rgb="FFFFFFFF"/>
      <name val="Arial"/>
    </font>
    <font>
      <b/>
      <u/>
      <sz val="10"/>
      <color rgb="FFFFFFFF"/>
      <name val="Arial"/>
    </font>
    <font>
      <b/>
      <u/>
      <sz val="10"/>
      <color rgb="FFFFFFFF"/>
      <name val="Arial"/>
    </font>
    <font>
      <b/>
      <u/>
      <sz val="10"/>
      <color rgb="FFFFFFFF"/>
      <name val="Arial"/>
    </font>
    <font>
      <b/>
      <sz val="10"/>
      <color rgb="FFFFFFFF"/>
      <name val="Arial"/>
    </font>
    <font>
      <b/>
      <u/>
      <sz val="10"/>
      <color rgb="FFFFFFFF"/>
      <name val="Arial"/>
    </font>
    <font>
      <b/>
      <sz val="11"/>
      <color rgb="FFFFFFFF"/>
      <name val="Arial"/>
    </font>
    <font>
      <b/>
      <u/>
      <sz val="11"/>
      <color rgb="FFFFFFFF"/>
      <name val="Arial"/>
    </font>
    <font>
      <b/>
      <u/>
      <sz val="11"/>
      <color rgb="FFFFFFFF"/>
      <name val="Arial"/>
    </font>
    <font>
      <b/>
      <u/>
      <sz val="11"/>
      <color rgb="FFFFFFFF"/>
      <name val="Arial"/>
    </font>
    <font>
      <b/>
      <u/>
      <sz val="11"/>
      <color rgb="FFFFFFFF"/>
      <name val="Arial"/>
    </font>
    <font>
      <b/>
      <u/>
      <sz val="11"/>
      <color rgb="FFFFFFFF"/>
      <name val="Arial"/>
    </font>
    <font>
      <b/>
      <u/>
      <sz val="11"/>
      <color rgb="FFFFFFFF"/>
      <name val="Arial"/>
    </font>
    <font>
      <b/>
      <u/>
      <sz val="11"/>
      <color rgb="FFFFFFFF"/>
      <name val="Arial"/>
    </font>
    <font>
      <b/>
      <u/>
      <sz val="11"/>
      <color rgb="FFFFFFFF"/>
      <name val="Arial"/>
    </font>
    <font>
      <b/>
      <u/>
      <sz val="11"/>
      <color rgb="FFFFFFFF"/>
      <name val="Arial"/>
    </font>
    <font>
      <b/>
      <u/>
      <sz val="11"/>
      <color rgb="FFFFFFFF"/>
      <name val="Arial"/>
    </font>
    <font>
      <b/>
      <u/>
      <sz val="11"/>
      <color rgb="FFFFFFFF"/>
      <name val="Arial"/>
    </font>
    <font>
      <b/>
      <u/>
      <sz val="11"/>
      <color rgb="FFFFFFFF"/>
      <name val="Arial"/>
    </font>
    <font>
      <b/>
      <u/>
      <sz val="11"/>
      <color rgb="FFFFFFFF"/>
      <name val="Arial"/>
    </font>
    <font>
      <b/>
      <u/>
      <sz val="11"/>
      <color rgb="FFFFFFFF"/>
      <name val="Arial"/>
    </font>
    <font>
      <b/>
      <u/>
      <sz val="11"/>
      <color rgb="FFFFFFFF"/>
      <name val="Arial"/>
    </font>
    <font>
      <b/>
      <u/>
      <sz val="11"/>
      <color rgb="FFFFFFFF"/>
      <name val="Arial"/>
    </font>
    <font>
      <b/>
      <u/>
      <sz val="11"/>
      <color rgb="FFFFFFFF"/>
      <name val="Arial"/>
    </font>
    <font>
      <b/>
      <u/>
      <sz val="11"/>
      <color rgb="FFFFFFFF"/>
      <name val="Roboto"/>
    </font>
    <font>
      <b/>
      <u/>
      <sz val="10"/>
      <color rgb="FFFFFFFF"/>
      <name val="Roboto"/>
    </font>
    <font>
      <b/>
      <u/>
      <sz val="11"/>
      <color rgb="FFFFFFFF"/>
      <name val="Arial"/>
    </font>
    <font>
      <b/>
      <u/>
      <sz val="10"/>
      <color rgb="FFFFFFFF"/>
      <name val="Roboto"/>
    </font>
    <font>
      <b/>
      <u/>
      <sz val="12"/>
      <color rgb="FFFFFFFF"/>
      <name val="Arial"/>
    </font>
    <font>
      <b/>
      <sz val="11"/>
      <name val="Arial"/>
    </font>
    <font>
      <sz val="11"/>
      <name val="Arial"/>
    </font>
    <font>
      <b/>
      <u/>
      <sz val="10"/>
      <color rgb="FFFFFFFF"/>
      <name val="Arial"/>
    </font>
    <font>
      <b/>
      <u/>
      <sz val="10"/>
      <color rgb="FFFFFFFF"/>
      <name val="Arial"/>
    </font>
    <font>
      <b/>
      <u/>
      <sz val="12"/>
      <color rgb="FFFFFFFF"/>
      <name val="Arial"/>
    </font>
    <font>
      <sz val="11"/>
      <color rgb="FF000000"/>
      <name val="Arial"/>
    </font>
    <font>
      <u/>
      <sz val="10"/>
      <color rgb="FFFFFFFF"/>
      <name val="Arial"/>
    </font>
    <font>
      <b/>
      <sz val="14"/>
      <color theme="1" tint="0.14999847407452621"/>
      <name val="Batang"/>
      <family val="1"/>
    </font>
    <font>
      <u/>
      <sz val="10"/>
      <color theme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9CB9C"/>
        <bgColor rgb="FFF9CB9C"/>
      </patternFill>
    </fill>
    <fill>
      <patternFill patternType="solid">
        <fgColor rgb="FFA61C00"/>
        <bgColor rgb="FFA61C00"/>
      </patternFill>
    </fill>
    <fill>
      <patternFill patternType="solid">
        <fgColor rgb="FF073763"/>
        <bgColor rgb="FF073763"/>
      </patternFill>
    </fill>
    <fill>
      <patternFill patternType="solid">
        <fgColor rgb="FF20124D"/>
        <bgColor rgb="FF20124D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1C4587"/>
        <bgColor rgb="FF1C4587"/>
      </patternFill>
    </fill>
  </fills>
  <borders count="4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2">
    <xf numFmtId="0" fontId="0" fillId="0" borderId="0"/>
    <xf numFmtId="0" fontId="55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6" fillId="6" borderId="0" xfId="0" applyFont="1" applyFill="1" applyAlignment="1">
      <alignment horizontal="center"/>
    </xf>
    <xf numFmtId="0" fontId="7" fillId="7" borderId="0" xfId="0" applyFont="1" applyFill="1"/>
    <xf numFmtId="0" fontId="7" fillId="7" borderId="10" xfId="0" applyFont="1" applyFill="1" applyBorder="1"/>
    <xf numFmtId="0" fontId="9" fillId="7" borderId="0" xfId="0" applyFont="1" applyFill="1" applyAlignment="1"/>
    <xf numFmtId="0" fontId="9" fillId="7" borderId="10" xfId="0" applyFont="1" applyFill="1" applyBorder="1" applyAlignment="1"/>
    <xf numFmtId="0" fontId="11" fillId="12" borderId="15" xfId="0" applyFont="1" applyFill="1" applyBorder="1" applyAlignment="1"/>
    <xf numFmtId="0" fontId="12" fillId="12" borderId="15" xfId="0" applyFont="1" applyFill="1" applyBorder="1" applyAlignment="1"/>
    <xf numFmtId="0" fontId="4" fillId="4" borderId="2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18" fillId="9" borderId="29" xfId="0" applyFont="1" applyFill="1" applyBorder="1" applyAlignment="1">
      <alignment horizontal="center" vertical="center"/>
    </xf>
    <xf numFmtId="0" fontId="19" fillId="9" borderId="30" xfId="0" applyFont="1" applyFill="1" applyBorder="1" applyAlignment="1">
      <alignment horizontal="center" vertical="center"/>
    </xf>
    <xf numFmtId="0" fontId="20" fillId="9" borderId="31" xfId="0" applyFont="1" applyFill="1" applyBorder="1" applyAlignment="1">
      <alignment horizontal="center" vertical="center"/>
    </xf>
    <xf numFmtId="0" fontId="21" fillId="9" borderId="32" xfId="0" applyFont="1" applyFill="1" applyBorder="1" applyAlignment="1">
      <alignment horizontal="center" vertical="center"/>
    </xf>
    <xf numFmtId="0" fontId="22" fillId="9" borderId="33" xfId="0" applyFont="1" applyFill="1" applyBorder="1" applyAlignment="1">
      <alignment horizontal="center" vertical="center"/>
    </xf>
    <xf numFmtId="0" fontId="22" fillId="9" borderId="34" xfId="0" applyFont="1" applyFill="1" applyBorder="1" applyAlignment="1">
      <alignment horizontal="center" vertical="center"/>
    </xf>
    <xf numFmtId="0" fontId="23" fillId="9" borderId="34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27" xfId="0" applyFont="1" applyFill="1" applyBorder="1" applyAlignment="1">
      <alignment horizontal="center" vertical="center"/>
    </xf>
    <xf numFmtId="0" fontId="24" fillId="9" borderId="35" xfId="0" applyFont="1" applyFill="1" applyBorder="1" applyAlignment="1">
      <alignment horizontal="center" vertical="center"/>
    </xf>
    <xf numFmtId="0" fontId="25" fillId="9" borderId="10" xfId="0" applyFont="1" applyFill="1" applyBorder="1" applyAlignment="1">
      <alignment horizontal="center" vertical="center"/>
    </xf>
    <xf numFmtId="0" fontId="26" fillId="9" borderId="29" xfId="0" applyFont="1" applyFill="1" applyBorder="1" applyAlignment="1">
      <alignment horizontal="center" vertical="center"/>
    </xf>
    <xf numFmtId="0" fontId="27" fillId="9" borderId="17" xfId="0" applyFont="1" applyFill="1" applyBorder="1" applyAlignment="1">
      <alignment horizontal="center" vertical="center"/>
    </xf>
    <xf numFmtId="0" fontId="28" fillId="9" borderId="33" xfId="0" applyFont="1" applyFill="1" applyBorder="1" applyAlignment="1">
      <alignment horizontal="center" vertical="center"/>
    </xf>
    <xf numFmtId="0" fontId="29" fillId="9" borderId="31" xfId="0" applyFont="1" applyFill="1" applyBorder="1" applyAlignment="1">
      <alignment horizontal="center" vertical="center"/>
    </xf>
    <xf numFmtId="0" fontId="30" fillId="9" borderId="31" xfId="0" applyFont="1" applyFill="1" applyBorder="1" applyAlignment="1">
      <alignment horizontal="center" vertical="center"/>
    </xf>
    <xf numFmtId="0" fontId="31" fillId="9" borderId="33" xfId="0" applyFont="1" applyFill="1" applyBorder="1" applyAlignment="1">
      <alignment horizontal="center" vertical="center"/>
    </xf>
    <xf numFmtId="0" fontId="24" fillId="9" borderId="31" xfId="0" applyFont="1" applyFill="1" applyBorder="1" applyAlignment="1">
      <alignment horizontal="center" vertical="center"/>
    </xf>
    <xf numFmtId="0" fontId="24" fillId="9" borderId="31" xfId="0" applyFont="1" applyFill="1" applyBorder="1" applyAlignment="1">
      <alignment horizontal="center" vertical="center"/>
    </xf>
    <xf numFmtId="0" fontId="24" fillId="9" borderId="37" xfId="0" applyFont="1" applyFill="1" applyBorder="1" applyAlignment="1">
      <alignment horizontal="center" vertical="center"/>
    </xf>
    <xf numFmtId="0" fontId="24" fillId="9" borderId="37" xfId="0" applyFont="1" applyFill="1" applyBorder="1" applyAlignment="1">
      <alignment horizontal="center" vertical="center"/>
    </xf>
    <xf numFmtId="0" fontId="32" fillId="9" borderId="37" xfId="0" applyFont="1" applyFill="1" applyBorder="1" applyAlignment="1">
      <alignment horizontal="center" vertical="center"/>
    </xf>
    <xf numFmtId="0" fontId="33" fillId="9" borderId="30" xfId="0" applyFont="1" applyFill="1" applyBorder="1" applyAlignment="1">
      <alignment horizontal="center" vertical="center"/>
    </xf>
    <xf numFmtId="0" fontId="24" fillId="9" borderId="31" xfId="0" applyFont="1" applyFill="1" applyBorder="1" applyAlignment="1">
      <alignment horizontal="center" vertical="center"/>
    </xf>
    <xf numFmtId="0" fontId="24" fillId="9" borderId="32" xfId="0" applyFont="1" applyFill="1" applyBorder="1" applyAlignment="1">
      <alignment horizontal="center" vertical="center"/>
    </xf>
    <xf numFmtId="0" fontId="34" fillId="9" borderId="32" xfId="0" applyFont="1" applyFill="1" applyBorder="1" applyAlignment="1">
      <alignment horizontal="center" vertical="center"/>
    </xf>
    <xf numFmtId="0" fontId="24" fillId="9" borderId="33" xfId="0" applyFont="1" applyFill="1" applyBorder="1" applyAlignment="1">
      <alignment horizontal="center" vertical="center"/>
    </xf>
    <xf numFmtId="0" fontId="24" fillId="9" borderId="34" xfId="0" applyFont="1" applyFill="1" applyBorder="1" applyAlignment="1">
      <alignment horizontal="center" vertical="center"/>
    </xf>
    <xf numFmtId="0" fontId="35" fillId="9" borderId="34" xfId="0" applyFont="1" applyFill="1" applyBorder="1" applyAlignment="1">
      <alignment horizontal="center" vertical="center"/>
    </xf>
    <xf numFmtId="0" fontId="24" fillId="8" borderId="35" xfId="0" applyFont="1" applyFill="1" applyBorder="1" applyAlignment="1">
      <alignment horizontal="center" vertical="center"/>
    </xf>
    <xf numFmtId="0" fontId="36" fillId="9" borderId="39" xfId="0" applyFont="1" applyFill="1" applyBorder="1" applyAlignment="1">
      <alignment horizontal="center" vertical="center"/>
    </xf>
    <xf numFmtId="0" fontId="37" fillId="9" borderId="29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38" fillId="9" borderId="10" xfId="0" applyFont="1" applyFill="1" applyBorder="1" applyAlignment="1">
      <alignment horizontal="center" vertical="center"/>
    </xf>
    <xf numFmtId="0" fontId="24" fillId="9" borderId="33" xfId="0" applyFont="1" applyFill="1" applyBorder="1" applyAlignment="1">
      <alignment horizontal="center" vertical="center"/>
    </xf>
    <xf numFmtId="0" fontId="39" fillId="9" borderId="37" xfId="0" applyFont="1" applyFill="1" applyBorder="1" applyAlignment="1">
      <alignment horizontal="center" vertical="center"/>
    </xf>
    <xf numFmtId="0" fontId="40" fillId="9" borderId="40" xfId="0" applyFont="1" applyFill="1" applyBorder="1" applyAlignment="1">
      <alignment horizontal="center" vertical="center"/>
    </xf>
    <xf numFmtId="0" fontId="41" fillId="9" borderId="41" xfId="0" applyFont="1" applyFill="1" applyBorder="1" applyAlignment="1">
      <alignment horizontal="center" vertical="center"/>
    </xf>
    <xf numFmtId="0" fontId="42" fillId="9" borderId="29" xfId="0" applyFont="1" applyFill="1" applyBorder="1" applyAlignment="1">
      <alignment horizontal="center" vertical="center"/>
    </xf>
    <xf numFmtId="0" fontId="43" fillId="9" borderId="29" xfId="0" applyFont="1" applyFill="1" applyBorder="1" applyAlignment="1">
      <alignment horizontal="center" vertical="center"/>
    </xf>
    <xf numFmtId="0" fontId="24" fillId="9" borderId="42" xfId="0" applyFont="1" applyFill="1" applyBorder="1" applyAlignment="1">
      <alignment horizontal="center" vertical="center"/>
    </xf>
    <xf numFmtId="0" fontId="44" fillId="9" borderId="42" xfId="0" applyFont="1" applyFill="1" applyBorder="1" applyAlignment="1">
      <alignment horizontal="center" vertical="center"/>
    </xf>
    <xf numFmtId="0" fontId="24" fillId="9" borderId="37" xfId="0" applyFont="1" applyFill="1" applyBorder="1" applyAlignment="1">
      <alignment horizontal="center" vertical="center"/>
    </xf>
    <xf numFmtId="0" fontId="24" fillId="9" borderId="43" xfId="0" applyFont="1" applyFill="1" applyBorder="1" applyAlignment="1">
      <alignment horizontal="center" vertical="center"/>
    </xf>
    <xf numFmtId="0" fontId="45" fillId="9" borderId="10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6" fillId="5" borderId="0" xfId="0" applyFont="1" applyFill="1" applyAlignment="1">
      <alignment horizontal="center"/>
    </xf>
    <xf numFmtId="0" fontId="47" fillId="14" borderId="41" xfId="0" applyFont="1" applyFill="1" applyBorder="1" applyAlignment="1">
      <alignment horizontal="center" vertical="center"/>
    </xf>
    <xf numFmtId="0" fontId="15" fillId="14" borderId="41" xfId="0" applyFont="1" applyFill="1" applyBorder="1" applyAlignment="1">
      <alignment horizontal="center" vertical="center"/>
    </xf>
    <xf numFmtId="0" fontId="15" fillId="14" borderId="41" xfId="0" applyFont="1" applyFill="1" applyBorder="1" applyAlignment="1">
      <alignment horizontal="center" vertical="center"/>
    </xf>
    <xf numFmtId="0" fontId="47" fillId="14" borderId="46" xfId="0" applyFont="1" applyFill="1" applyBorder="1" applyAlignment="1">
      <alignment horizontal="center" vertical="center"/>
    </xf>
    <xf numFmtId="0" fontId="15" fillId="14" borderId="46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8" fillId="14" borderId="41" xfId="0" applyFont="1" applyFill="1" applyBorder="1" applyAlignment="1">
      <alignment horizontal="center" vertical="center"/>
    </xf>
    <xf numFmtId="0" fontId="3" fillId="14" borderId="41" xfId="0" applyFont="1" applyFill="1" applyBorder="1" applyAlignment="1">
      <alignment horizontal="center" vertical="center"/>
    </xf>
    <xf numFmtId="0" fontId="48" fillId="14" borderId="41" xfId="0" applyFont="1" applyFill="1" applyBorder="1" applyAlignment="1">
      <alignment horizontal="center" vertical="center"/>
    </xf>
    <xf numFmtId="0" fontId="3" fillId="14" borderId="41" xfId="0" applyFont="1" applyFill="1" applyBorder="1" applyAlignment="1">
      <alignment horizontal="center" vertical="center"/>
    </xf>
    <xf numFmtId="0" fontId="48" fillId="14" borderId="46" xfId="0" applyFont="1" applyFill="1" applyBorder="1" applyAlignment="1">
      <alignment horizontal="center" vertical="center"/>
    </xf>
    <xf numFmtId="0" fontId="3" fillId="14" borderId="46" xfId="0" applyFont="1" applyFill="1" applyBorder="1" applyAlignment="1">
      <alignment horizontal="center" vertical="center"/>
    </xf>
    <xf numFmtId="0" fontId="49" fillId="5" borderId="0" xfId="0" applyFont="1" applyFill="1" applyAlignment="1">
      <alignment horizontal="center"/>
    </xf>
    <xf numFmtId="0" fontId="48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48" fillId="14" borderId="46" xfId="0" applyFont="1" applyFill="1" applyBorder="1" applyAlignment="1">
      <alignment horizontal="center" vertical="center"/>
    </xf>
    <xf numFmtId="0" fontId="50" fillId="15" borderId="0" xfId="0" applyFont="1" applyFill="1" applyAlignment="1">
      <alignment horizontal="center"/>
    </xf>
    <xf numFmtId="0" fontId="51" fillId="15" borderId="0" xfId="0" applyFont="1" applyFill="1" applyAlignment="1">
      <alignment horizontal="center"/>
    </xf>
    <xf numFmtId="0" fontId="52" fillId="14" borderId="41" xfId="0" applyFont="1" applyFill="1" applyBorder="1" applyAlignment="1">
      <alignment horizontal="center" vertical="center"/>
    </xf>
    <xf numFmtId="0" fontId="7" fillId="14" borderId="41" xfId="0" applyFont="1" applyFill="1" applyBorder="1" applyAlignment="1">
      <alignment horizontal="center" vertical="center"/>
    </xf>
    <xf numFmtId="0" fontId="52" fillId="14" borderId="41" xfId="0" applyFont="1" applyFill="1" applyBorder="1" applyAlignment="1">
      <alignment horizontal="center" vertical="center"/>
    </xf>
    <xf numFmtId="0" fontId="7" fillId="14" borderId="41" xfId="0" applyFont="1" applyFill="1" applyBorder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48" fillId="14" borderId="10" xfId="0" applyFont="1" applyFill="1" applyBorder="1" applyAlignment="1">
      <alignment horizontal="center" vertical="center"/>
    </xf>
    <xf numFmtId="0" fontId="3" fillId="14" borderId="10" xfId="0" applyFont="1" applyFill="1" applyBorder="1" applyAlignment="1">
      <alignment horizontal="center" vertical="center"/>
    </xf>
    <xf numFmtId="0" fontId="48" fillId="14" borderId="38" xfId="0" applyFont="1" applyFill="1" applyBorder="1" applyAlignment="1">
      <alignment horizontal="center" vertical="center"/>
    </xf>
    <xf numFmtId="0" fontId="3" fillId="14" borderId="38" xfId="0" applyFont="1" applyFill="1" applyBorder="1" applyAlignment="1">
      <alignment horizontal="center" vertical="center"/>
    </xf>
    <xf numFmtId="0" fontId="53" fillId="5" borderId="0" xfId="0" applyFont="1" applyFill="1" applyAlignment="1">
      <alignment horizontal="center"/>
    </xf>
    <xf numFmtId="0" fontId="54" fillId="14" borderId="41" xfId="0" applyFont="1" applyFill="1" applyBorder="1" applyAlignment="1">
      <alignment horizontal="center" vertical="center"/>
    </xf>
    <xf numFmtId="0" fontId="55" fillId="5" borderId="0" xfId="1" applyFill="1" applyAlignment="1">
      <alignment horizontal="center"/>
    </xf>
    <xf numFmtId="0" fontId="15" fillId="14" borderId="41" xfId="0" quotePrefix="1" applyFont="1" applyFill="1" applyBorder="1" applyAlignment="1">
      <alignment horizontal="center" vertical="center"/>
    </xf>
    <xf numFmtId="0" fontId="3" fillId="7" borderId="0" xfId="0" applyFont="1" applyFill="1"/>
    <xf numFmtId="0" fontId="0" fillId="0" borderId="0" xfId="0" applyFont="1" applyAlignment="1"/>
    <xf numFmtId="0" fontId="2" fillId="0" borderId="10" xfId="0" applyFont="1" applyBorder="1"/>
    <xf numFmtId="0" fontId="10" fillId="4" borderId="13" xfId="0" applyFont="1" applyFill="1" applyBorder="1" applyAlignment="1"/>
    <xf numFmtId="0" fontId="2" fillId="0" borderId="14" xfId="0" applyFont="1" applyBorder="1"/>
    <xf numFmtId="0" fontId="2" fillId="0" borderId="15" xfId="0" applyFont="1" applyBorder="1"/>
    <xf numFmtId="0" fontId="10" fillId="4" borderId="7" xfId="0" applyFont="1" applyFill="1" applyBorder="1" applyAlignment="1"/>
    <xf numFmtId="0" fontId="2" fillId="0" borderId="8" xfId="0" applyFont="1" applyBorder="1"/>
    <xf numFmtId="0" fontId="2" fillId="0" borderId="9" xfId="0" applyFont="1" applyBorder="1"/>
    <xf numFmtId="0" fontId="16" fillId="4" borderId="21" xfId="0" applyFont="1" applyFill="1" applyBorder="1" applyAlignment="1">
      <alignment vertical="center"/>
    </xf>
    <xf numFmtId="0" fontId="2" fillId="0" borderId="22" xfId="0" applyFont="1" applyBorder="1"/>
    <xf numFmtId="0" fontId="2" fillId="0" borderId="23" xfId="0" applyFont="1" applyBorder="1"/>
    <xf numFmtId="0" fontId="3" fillId="3" borderId="4" xfId="0" applyFont="1" applyFill="1" applyBorder="1" applyAlignment="1">
      <alignment vertical="top" wrapText="1"/>
    </xf>
    <xf numFmtId="0" fontId="2" fillId="0" borderId="5" xfId="0" applyFont="1" applyBorder="1"/>
    <xf numFmtId="0" fontId="2" fillId="0" borderId="6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7" xfId="0" applyFont="1" applyBorder="1"/>
    <xf numFmtId="0" fontId="3" fillId="7" borderId="16" xfId="0" applyFont="1" applyFill="1" applyBorder="1"/>
    <xf numFmtId="0" fontId="2" fillId="0" borderId="16" xfId="0" applyFont="1" applyBorder="1"/>
    <xf numFmtId="0" fontId="2" fillId="0" borderId="17" xfId="0" applyFont="1" applyBorder="1"/>
    <xf numFmtId="0" fontId="15" fillId="13" borderId="0" xfId="0" applyFont="1" applyFill="1" applyAlignment="1"/>
    <xf numFmtId="0" fontId="14" fillId="12" borderId="18" xfId="0" applyFont="1" applyFill="1" applyBorder="1" applyAlignment="1"/>
    <xf numFmtId="0" fontId="2" fillId="0" borderId="19" xfId="0" applyFont="1" applyBorder="1"/>
    <xf numFmtId="0" fontId="2" fillId="0" borderId="20" xfId="0" applyFont="1" applyBorder="1"/>
    <xf numFmtId="0" fontId="13" fillId="4" borderId="7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center"/>
    </xf>
    <xf numFmtId="0" fontId="8" fillId="8" borderId="4" xfId="0" applyFont="1" applyFill="1" applyBorder="1" applyAlignment="1"/>
    <xf numFmtId="0" fontId="8" fillId="9" borderId="4" xfId="0" applyFont="1" applyFill="1" applyBorder="1" applyAlignment="1"/>
    <xf numFmtId="0" fontId="8" fillId="10" borderId="13" xfId="0" applyFont="1" applyFill="1" applyBorder="1" applyAlignment="1"/>
    <xf numFmtId="0" fontId="8" fillId="11" borderId="13" xfId="0" applyFont="1" applyFill="1" applyBorder="1" applyAlignment="1"/>
    <xf numFmtId="0" fontId="4" fillId="11" borderId="10" xfId="0" applyFont="1" applyFill="1" applyBorder="1" applyAlignment="1">
      <alignment horizontal="center" vertical="center"/>
    </xf>
    <xf numFmtId="0" fontId="2" fillId="0" borderId="38" xfId="0" applyFont="1" applyBorder="1"/>
    <xf numFmtId="0" fontId="17" fillId="10" borderId="10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2" fillId="0" borderId="26" xfId="0" applyFont="1" applyBorder="1"/>
    <xf numFmtId="0" fontId="2" fillId="0" borderId="36" xfId="0" applyFont="1" applyBorder="1"/>
    <xf numFmtId="0" fontId="4" fillId="5" borderId="0" xfId="0" applyFont="1" applyFill="1" applyAlignment="1">
      <alignment horizontal="center"/>
    </xf>
    <xf numFmtId="0" fontId="13" fillId="11" borderId="1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55" fillId="10" borderId="10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0">
    <dxf>
      <font>
        <b/>
      </font>
      <fill>
        <patternFill patternType="solid">
          <fgColor rgb="FFEA9999"/>
          <bgColor rgb="FFEA9999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EA9999"/>
          <bgColor rgb="FFEA9999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EA9999"/>
          <bgColor rgb="FFEA9999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EA9999"/>
          <bgColor rgb="FFEA9999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EA9999"/>
          <bgColor rgb="FFEA9999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EA9999"/>
          <bgColor rgb="FFEA9999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EA9999"/>
          <bgColor rgb="FFEA9999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EA9999"/>
          <bgColor rgb="FFEA9999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EA9999"/>
          <bgColor rgb="FFEA9999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0NAASclUm4k&amp;list=PLmdFyQYShrjfPLdHQxuNWvh2ct666Na3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"/>
  <sheetViews>
    <sheetView showGridLines="0" workbookViewId="0">
      <selection sqref="A1:I1"/>
    </sheetView>
  </sheetViews>
  <sheetFormatPr defaultColWidth="14.42578125" defaultRowHeight="15.75" customHeight="1"/>
  <cols>
    <col min="1" max="1" width="15.28515625" customWidth="1"/>
    <col min="2" max="2" width="26.7109375" customWidth="1"/>
    <col min="3" max="3" width="4.85546875" customWidth="1"/>
    <col min="4" max="4" width="28.5703125" customWidth="1"/>
    <col min="5" max="5" width="11.85546875" customWidth="1"/>
    <col min="6" max="6" width="19.140625" customWidth="1"/>
    <col min="7" max="7" width="23.7109375" customWidth="1"/>
    <col min="8" max="8" width="19" customWidth="1"/>
    <col min="9" max="9" width="30.5703125" customWidth="1"/>
  </cols>
  <sheetData>
    <row r="1" spans="1:9" ht="24.75" customHeight="1">
      <c r="A1" s="122" t="e">
        <f>HYPERLINK("https://www.facebook.com/icpc.assiut/?__tn__=kC-R&amp;eid=ARDfjrqu1I8PW3EtHgDzy_E16uM0roQC4gr0LwV2SojPKyflIAKVTKHfADY-FAPJqpsevA39xoVViBDc&amp;hc_ref=ARTpi9gkPmFEToioO_kUkKglpa4Ht2FyNyTA3xirM0HuDJlZgdTV1ojmajst5RavwmY&amp;fref=nf&amp;__xts__[0]=68.ARBzSeTQRXu0Jic0HW608xM"&amp;"GmR2UER_wb1YRfNxv3Vd47-N-yH7vGd_6nYSH3S-uc5x0mqjnqb4WxcmW3un67Zqfs9aTyLlNtQE72eua250H3x61WIX01oGYAutGSORQg793HoYC6sFqf7Ba44p_TdGz-cxSzKXqm3JxR3lNix6vEQGj8CgN61aSJ-pRF34vRNIV_1681_wPdGMECemIIZPWCLmAZu-zuPPrFok6y91kZaLsHHelLRsTedTO5biKnzesOxbkI9zLN1g7t0VJ99"&amp;"BHW2VLrPJV8oIogV9FFeeZRm7xrZQgCQT_Z1zEWEeYrlea8UhEeiwJcNSrwwLWcc0j6vBR5KQvNfOIjQ","This sheet belongs to ICPC Assiut Community")</f>
        <v>#VALUE!</v>
      </c>
      <c r="B1" s="123"/>
      <c r="C1" s="123"/>
      <c r="D1" s="123"/>
      <c r="E1" s="123"/>
      <c r="F1" s="123"/>
      <c r="G1" s="123"/>
      <c r="H1" s="123"/>
      <c r="I1" s="124"/>
    </row>
    <row r="2" spans="1:9" ht="12.75">
      <c r="A2" s="125" t="s">
        <v>0</v>
      </c>
      <c r="B2" s="109"/>
      <c r="C2" s="109"/>
      <c r="D2" s="109"/>
      <c r="E2" s="109"/>
      <c r="F2" s="109"/>
      <c r="G2" s="109"/>
      <c r="H2" s="109"/>
      <c r="I2" s="110"/>
    </row>
    <row r="3" spans="1:9" ht="12.75">
      <c r="A3" s="113"/>
      <c r="B3" s="103"/>
      <c r="C3" s="103"/>
      <c r="D3" s="103"/>
      <c r="E3" s="103"/>
      <c r="F3" s="103"/>
      <c r="G3" s="103"/>
      <c r="H3" s="103"/>
      <c r="I3" s="104"/>
    </row>
    <row r="4" spans="1:9" ht="30">
      <c r="A4" s="126" t="s">
        <v>1</v>
      </c>
      <c r="B4" s="110"/>
      <c r="C4" s="127" t="s">
        <v>2</v>
      </c>
      <c r="D4" s="109"/>
      <c r="E4" s="109"/>
      <c r="F4" s="110"/>
      <c r="G4" s="1" t="str">
        <f>HYPERLINK("https://goo.gl/mxpkZM","Link")</f>
        <v>Link</v>
      </c>
      <c r="H4" s="2"/>
      <c r="I4" s="3"/>
    </row>
    <row r="5" spans="1:9">
      <c r="A5" s="111"/>
      <c r="B5" s="112"/>
      <c r="C5" s="128" t="s">
        <v>3</v>
      </c>
      <c r="D5" s="109"/>
      <c r="E5" s="109"/>
      <c r="F5" s="109"/>
      <c r="G5" s="110"/>
      <c r="H5" s="4"/>
      <c r="I5" s="5"/>
    </row>
    <row r="6" spans="1:9">
      <c r="A6" s="111"/>
      <c r="B6" s="112"/>
      <c r="C6" s="129" t="s">
        <v>4</v>
      </c>
      <c r="D6" s="109"/>
      <c r="E6" s="109"/>
      <c r="F6" s="109"/>
      <c r="G6" s="109"/>
      <c r="H6" s="110"/>
      <c r="I6" s="5"/>
    </row>
    <row r="7" spans="1:9">
      <c r="A7" s="111"/>
      <c r="B7" s="112"/>
      <c r="C7" s="130" t="s">
        <v>5</v>
      </c>
      <c r="D7" s="100"/>
      <c r="E7" s="100"/>
      <c r="F7" s="100"/>
      <c r="G7" s="100"/>
      <c r="H7" s="100"/>
      <c r="I7" s="101"/>
    </row>
    <row r="8" spans="1:9">
      <c r="A8" s="113"/>
      <c r="B8" s="104"/>
      <c r="C8" s="131" t="s">
        <v>6</v>
      </c>
      <c r="D8" s="100"/>
      <c r="E8" s="100"/>
      <c r="F8" s="100"/>
      <c r="G8" s="100"/>
      <c r="H8" s="101"/>
      <c r="I8" s="5"/>
    </row>
    <row r="9" spans="1:9" ht="18">
      <c r="A9" s="96"/>
      <c r="B9" s="97"/>
      <c r="C9" s="97"/>
      <c r="D9" s="97"/>
      <c r="E9" s="97"/>
      <c r="F9" s="97"/>
      <c r="G9" s="97"/>
      <c r="H9" s="97"/>
      <c r="I9" s="98"/>
    </row>
    <row r="10" spans="1:9" ht="18">
      <c r="A10" s="99" t="s">
        <v>7</v>
      </c>
      <c r="B10" s="100"/>
      <c r="C10" s="100"/>
      <c r="D10" s="101"/>
      <c r="E10" s="6" t="str">
        <f>HYPERLINK("https://www.youtube.com/watch?v=sqIQjgTYys8&amp;t=1s","SEE")</f>
        <v>SEE</v>
      </c>
      <c r="F10" s="114"/>
      <c r="G10" s="115"/>
      <c r="H10" s="115"/>
      <c r="I10" s="116"/>
    </row>
    <row r="11" spans="1:9" ht="18">
      <c r="A11" s="102" t="s">
        <v>8</v>
      </c>
      <c r="B11" s="103"/>
      <c r="C11" s="103"/>
      <c r="D11" s="104"/>
      <c r="E11" s="6" t="str">
        <f>HYPERLINK("https://www.youtube.com/watch?v=nJkfnxDu_uo","SEE")</f>
        <v>SEE</v>
      </c>
      <c r="F11" s="97"/>
      <c r="G11" s="97"/>
      <c r="H11" s="97"/>
      <c r="I11" s="98"/>
    </row>
    <row r="12" spans="1:9" ht="18">
      <c r="A12" s="102" t="s">
        <v>9</v>
      </c>
      <c r="B12" s="103"/>
      <c r="C12" s="103"/>
      <c r="D12" s="104"/>
      <c r="E12" s="6" t="str">
        <f>HYPERLINK("https://www.youtube.com/watch?v=mURktueKdmU&amp;list=PLPt2dINI2MIaNcU070HIAO8JWYBcafuyG&amp;index=1","SEE")</f>
        <v>SEE</v>
      </c>
      <c r="F12" s="97"/>
      <c r="G12" s="97"/>
      <c r="H12" s="97"/>
      <c r="I12" s="98"/>
    </row>
    <row r="13" spans="1:9" ht="18">
      <c r="A13" s="102" t="s">
        <v>10</v>
      </c>
      <c r="B13" s="103"/>
      <c r="C13" s="103"/>
      <c r="D13" s="104"/>
      <c r="E13" s="6" t="str">
        <f>HYPERLINK("https://goo.gl/Hm5e2Q","SEE")</f>
        <v>SEE</v>
      </c>
      <c r="F13" s="97"/>
      <c r="G13" s="97"/>
      <c r="H13" s="97"/>
      <c r="I13" s="98"/>
    </row>
    <row r="14" spans="1:9" ht="18">
      <c r="A14" s="102" t="s">
        <v>11</v>
      </c>
      <c r="B14" s="103"/>
      <c r="C14" s="103"/>
      <c r="D14" s="104"/>
      <c r="E14" s="7" t="str">
        <f>HYPERLINK("https://www.youtube.com/watch?v=TngPtAFRcbE&amp;list=PLPt2dINI2MIaNcU070HIAO8JWYBcafuyG&amp;index=3","SEE")</f>
        <v>SEE</v>
      </c>
      <c r="F14" s="97"/>
      <c r="G14" s="97"/>
      <c r="H14" s="97"/>
      <c r="I14" s="98"/>
    </row>
    <row r="15" spans="1:9" ht="18">
      <c r="A15" s="102" t="s">
        <v>12</v>
      </c>
      <c r="B15" s="103"/>
      <c r="C15" s="103"/>
      <c r="D15" s="104"/>
      <c r="E15" s="7" t="str">
        <f>HYPERLINK("https://goo.gl/2i9WFC","SEE")</f>
        <v>SEE</v>
      </c>
      <c r="F15" s="97"/>
      <c r="G15" s="97"/>
      <c r="H15" s="97"/>
      <c r="I15" s="98"/>
    </row>
    <row r="16" spans="1:9" ht="18">
      <c r="A16" s="121" t="s">
        <v>13</v>
      </c>
      <c r="B16" s="103"/>
      <c r="C16" s="103"/>
      <c r="D16" s="104"/>
      <c r="E16" s="118" t="str">
        <f>HYPERLINK("http://codeforces.com/group/MWSDmqGsZm/contests","Assiut University Training - Newcomers")</f>
        <v>Assiut University Training - Newcomers</v>
      </c>
      <c r="F16" s="119"/>
      <c r="G16" s="120"/>
      <c r="H16" s="96"/>
      <c r="I16" s="98"/>
    </row>
    <row r="17" spans="1:9" ht="18">
      <c r="A17" s="121" t="s">
        <v>14</v>
      </c>
      <c r="B17" s="103"/>
      <c r="C17" s="103"/>
      <c r="D17" s="104"/>
      <c r="E17" s="7" t="str">
        <f>HYPERLINK("https://www.youtube.com/watch?v=WTha01S8uVA","SEE")</f>
        <v>SEE</v>
      </c>
      <c r="F17" s="117"/>
      <c r="G17" s="97"/>
      <c r="H17" s="97"/>
      <c r="I17" s="98"/>
    </row>
    <row r="18" spans="1:9" ht="18">
      <c r="A18" s="121" t="s">
        <v>15</v>
      </c>
      <c r="B18" s="103"/>
      <c r="C18" s="103"/>
      <c r="D18" s="104"/>
      <c r="E18" s="118" t="str">
        <f>HYPERLINK("https://goo.gl/bTQFot","Assiut University Training ")</f>
        <v xml:space="preserve">Assiut University Training </v>
      </c>
      <c r="F18" s="119"/>
      <c r="G18" s="120"/>
      <c r="H18" s="97"/>
      <c r="I18" s="98"/>
    </row>
    <row r="19" spans="1:9" ht="18">
      <c r="A19" s="96"/>
      <c r="B19" s="97"/>
      <c r="C19" s="97"/>
      <c r="D19" s="97"/>
      <c r="E19" s="97"/>
      <c r="F19" s="97"/>
      <c r="G19" s="97"/>
      <c r="H19" s="97"/>
      <c r="I19" s="98"/>
    </row>
    <row r="20" spans="1:9" ht="12.75">
      <c r="A20" s="105" t="s">
        <v>16</v>
      </c>
      <c r="B20" s="108" t="s">
        <v>17</v>
      </c>
      <c r="C20" s="109"/>
      <c r="D20" s="109"/>
      <c r="E20" s="109"/>
      <c r="F20" s="109"/>
      <c r="G20" s="109"/>
      <c r="H20" s="109"/>
      <c r="I20" s="110"/>
    </row>
    <row r="21" spans="1:9" ht="12.75">
      <c r="A21" s="106"/>
      <c r="B21" s="111"/>
      <c r="C21" s="97"/>
      <c r="D21" s="97"/>
      <c r="E21" s="97"/>
      <c r="F21" s="97"/>
      <c r="G21" s="97"/>
      <c r="H21" s="97"/>
      <c r="I21" s="112"/>
    </row>
    <row r="22" spans="1:9" ht="12.75">
      <c r="A22" s="107"/>
      <c r="B22" s="113"/>
      <c r="C22" s="103"/>
      <c r="D22" s="103"/>
      <c r="E22" s="103"/>
      <c r="F22" s="103"/>
      <c r="G22" s="103"/>
      <c r="H22" s="103"/>
      <c r="I22" s="104"/>
    </row>
  </sheetData>
  <mergeCells count="26">
    <mergeCell ref="A1:I1"/>
    <mergeCell ref="A2:I3"/>
    <mergeCell ref="A4:B8"/>
    <mergeCell ref="C4:F4"/>
    <mergeCell ref="C5:G5"/>
    <mergeCell ref="C6:H6"/>
    <mergeCell ref="C7:I7"/>
    <mergeCell ref="C8:H8"/>
    <mergeCell ref="A19:G19"/>
    <mergeCell ref="A20:A22"/>
    <mergeCell ref="B20:I22"/>
    <mergeCell ref="F10:I15"/>
    <mergeCell ref="H16:I19"/>
    <mergeCell ref="F17:G17"/>
    <mergeCell ref="E18:G18"/>
    <mergeCell ref="E16:G16"/>
    <mergeCell ref="A14:D14"/>
    <mergeCell ref="A15:D15"/>
    <mergeCell ref="A16:D16"/>
    <mergeCell ref="A17:D17"/>
    <mergeCell ref="A18:D18"/>
    <mergeCell ref="A9:I9"/>
    <mergeCell ref="A10:D10"/>
    <mergeCell ref="A11:D11"/>
    <mergeCell ref="A12:D12"/>
    <mergeCell ref="A13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/>
  <cols>
    <col min="1" max="1" width="46.28515625" customWidth="1"/>
    <col min="2" max="2" width="9" customWidth="1"/>
    <col min="3" max="3" width="59.140625" customWidth="1"/>
  </cols>
  <sheetData>
    <row r="1" spans="1:3" ht="30" customHeight="1">
      <c r="A1" s="69" t="s">
        <v>20</v>
      </c>
      <c r="B1" s="70" t="s">
        <v>57</v>
      </c>
      <c r="C1" s="70" t="s">
        <v>58</v>
      </c>
    </row>
    <row r="2" spans="1:3" ht="20.25" customHeight="1">
      <c r="A2" s="77" t="str">
        <f>HYPERLINK("https://codeforces.com/group/MWSDmqGsZm/contest/223206/problem/A", "Expression")</f>
        <v>Expression</v>
      </c>
      <c r="B2" s="71"/>
      <c r="C2" s="72"/>
    </row>
    <row r="3" spans="1:3" ht="18">
      <c r="A3" s="77" t="str">
        <f>HYPERLINK("https://codeforces.com/group/MWSDmqGsZm/contest/223206/problem/B", "Watermelon")</f>
        <v>Watermelon</v>
      </c>
      <c r="B3" s="71"/>
      <c r="C3" s="72"/>
    </row>
    <row r="4" spans="1:3" ht="18">
      <c r="A4" s="77" t="str">
        <f>HYPERLINK("https://codeforces.com/group/MWSDmqGsZm/contest/223206/problem/C", "Beautiful Matrix")</f>
        <v>Beautiful Matrix</v>
      </c>
      <c r="B4" s="71"/>
      <c r="C4" s="72"/>
    </row>
    <row r="5" spans="1:3" ht="18">
      <c r="A5" s="77" t="str">
        <f>HYPERLINK("https://codeforces.com/group/MWSDmqGsZm/contest/223206/problem/D", "Bear and Big Brother")</f>
        <v>Bear and Big Brother</v>
      </c>
      <c r="B5" s="71"/>
      <c r="C5" s="72"/>
    </row>
    <row r="6" spans="1:3" ht="18">
      <c r="A6" s="77" t="str">
        <f>HYPERLINK("https://codeforces.com/group/MWSDmqGsZm/contest/223206/problem/E", "George and Accommodation")</f>
        <v>George and Accommodation</v>
      </c>
      <c r="B6" s="73"/>
      <c r="C6" s="74"/>
    </row>
    <row r="7" spans="1:3" ht="18">
      <c r="A7" s="77" t="str">
        <f>HYPERLINK("https://codeforces.com/group/MWSDmqGsZm/contest/223206/problem/F", " Fox And Snake")</f>
        <v> Fox And Snake</v>
      </c>
      <c r="B7" s="73"/>
      <c r="C7" s="74"/>
    </row>
    <row r="8" spans="1:3" ht="18">
      <c r="A8" s="77" t="str">
        <f>HYPERLINK("https://codeforces.com/group/MWSDmqGsZm/contest/223206/problem/G", "Magnets")</f>
        <v>Magnets</v>
      </c>
      <c r="B8" s="73"/>
      <c r="C8" s="74"/>
    </row>
    <row r="9" spans="1:3" ht="18">
      <c r="A9" s="77" t="str">
        <f>HYPERLINK("https://codeforces.com/group/MWSDmqGsZm/contest/223206/problem/H", "Presents")</f>
        <v>Presents</v>
      </c>
      <c r="B9" s="73"/>
      <c r="C9" s="74"/>
    </row>
    <row r="10" spans="1:3" ht="18">
      <c r="A10" s="77" t="str">
        <f>HYPERLINK("https://codeforces.com/group/MWSDmqGsZm/contest/223206/problem/I", "Colorful Stones (Simplified Edition)")</f>
        <v>Colorful Stones (Simplified Edition)</v>
      </c>
      <c r="B10" s="73"/>
      <c r="C10" s="74"/>
    </row>
    <row r="11" spans="1:3" ht="18">
      <c r="A11" s="77" t="str">
        <f>HYPERLINK("https://codeforces.com/group/MWSDmqGsZm/contest/223206/problem/J", "Lucky Division")</f>
        <v>Lucky Division</v>
      </c>
      <c r="B11" s="73"/>
      <c r="C11" s="74"/>
    </row>
    <row r="12" spans="1:3" ht="18">
      <c r="A12" s="77" t="str">
        <f>HYPERLINK("https://codeforces.com/group/MWSDmqGsZm/contest/223206/problem/K", "Prime Fibonacci")</f>
        <v>Prime Fibonacci</v>
      </c>
      <c r="B12" s="73"/>
      <c r="C12" s="74"/>
    </row>
    <row r="13" spans="1:3" ht="18">
      <c r="A13" s="77" t="str">
        <f>HYPERLINK("https://codeforces.com/group/MWSDmqGsZm/contest/223206/problem/L", "Sereja and Dima")</f>
        <v>Sereja and Dima</v>
      </c>
      <c r="B13" s="71"/>
      <c r="C13" s="74"/>
    </row>
    <row r="14" spans="1:3" ht="18">
      <c r="A14" s="77" t="str">
        <f>HYPERLINK("https://codeforces.com/group/MWSDmqGsZm/contest/223206/problem/M", "The New Year: Meeting Friends")</f>
        <v>The New Year: Meeting Friends</v>
      </c>
      <c r="B14" s="73"/>
      <c r="C14" s="74"/>
    </row>
    <row r="15" spans="1:3" ht="18">
      <c r="A15" s="77" t="str">
        <f>HYPERLINK("https://codeforces.com/group/MWSDmqGsZm/contest/223206/problem/N", "Cakeminator")</f>
        <v>Cakeminator</v>
      </c>
      <c r="B15" s="73"/>
      <c r="C15" s="74"/>
    </row>
    <row r="16" spans="1:3" ht="18">
      <c r="A16" s="77" t="str">
        <f>HYPERLINK("https://codeforces.com/group/MWSDmqGsZm/contest/223206/problem/O", "Free Ice Cream")</f>
        <v>Free Ice Cream</v>
      </c>
      <c r="B16" s="73"/>
      <c r="C16" s="74"/>
    </row>
    <row r="17" spans="1:3" ht="18">
      <c r="A17" s="77" t="str">
        <f>HYPERLINK("https://codeforces.com/group/MWSDmqGsZm/contest/223206/problem/P", "Police Recruits")</f>
        <v>Police Recruits</v>
      </c>
      <c r="B17" s="88"/>
      <c r="C17" s="89"/>
    </row>
    <row r="18" spans="1:3" ht="18">
      <c r="A18" s="77" t="str">
        <f>HYPERLINK("https://codeforces.com/group/MWSDmqGsZm/contest/223206/problem/Q", "Night at the Museum")</f>
        <v>Night at the Museum</v>
      </c>
      <c r="B18" s="88"/>
      <c r="C18" s="89"/>
    </row>
    <row r="19" spans="1:3" ht="18">
      <c r="A19" s="77" t="str">
        <f>HYPERLINK("https://codeforces.com/group/MWSDmqGsZm/contest/223206/problem/R", "Arrival of the General")</f>
        <v>Arrival of the General</v>
      </c>
      <c r="B19" s="88"/>
      <c r="C19" s="89"/>
    </row>
    <row r="20" spans="1:3" ht="18">
      <c r="A20" s="77" t="str">
        <f>HYPERLINK("https://codeforces.com/group/MWSDmqGsZm/contest/223206/problem/S", "Good Number")</f>
        <v>Good Number</v>
      </c>
      <c r="B20" s="88"/>
      <c r="C20" s="89"/>
    </row>
    <row r="21" spans="1:3" ht="18">
      <c r="A21" s="77" t="str">
        <f>HYPERLINK("https://codeforces.com/group/MWSDmqGsZm/contest/223206/problem/T", "Helpful Maths")</f>
        <v>Helpful Maths</v>
      </c>
      <c r="B21" s="88"/>
      <c r="C21" s="89"/>
    </row>
    <row r="22" spans="1:3" ht="18">
      <c r="A22" s="77" t="str">
        <f>HYPERLINK("https://codeforces.com/group/MWSDmqGsZm/contest/223206/problem/U", " Ilya and Bank Account")</f>
        <v> Ilya and Bank Account</v>
      </c>
      <c r="B22" s="88"/>
      <c r="C22" s="89"/>
    </row>
    <row r="23" spans="1:3" ht="18">
      <c r="A23" s="77" t="str">
        <f>HYPERLINK("https://codeforces.com/group/MWSDmqGsZm/contest/223206/problem/V", "Is it rated?")</f>
        <v>Is it rated?</v>
      </c>
      <c r="B23" s="88"/>
      <c r="C23" s="89"/>
    </row>
    <row r="24" spans="1:3" ht="18">
      <c r="A24" s="77" t="str">
        <f>HYPERLINK("https://codeforces.com/group/MWSDmqGsZm/contest/223206/problem/W", "Mahmoud and Longest Uncommon Subsequence")</f>
        <v>Mahmoud and Longest Uncommon Subsequence</v>
      </c>
      <c r="B24" s="88"/>
      <c r="C24" s="89"/>
    </row>
    <row r="25" spans="1:3" ht="18">
      <c r="A25" s="77" t="str">
        <f>HYPERLINK("https://codeforces.com/group/MWSDmqGsZm/contest/223206/problem/X", "Panoramix's Prediction")</f>
        <v>Panoramix's Prediction</v>
      </c>
      <c r="B25" s="88"/>
      <c r="C25" s="89"/>
    </row>
    <row r="26" spans="1:3" ht="18">
      <c r="A26" s="77" t="str">
        <f>HYPERLINK("https://codeforces.com/group/MWSDmqGsZm/contest/223206/problem/Y", "Team Olympiad")</f>
        <v>Team Olympiad</v>
      </c>
      <c r="B26" s="88"/>
      <c r="C26" s="89"/>
    </row>
    <row r="27" spans="1:3" ht="18">
      <c r="A27" s="77" t="str">
        <f>HYPERLINK("https://codeforces.com/group/MWSDmqGsZm/contest/223206/problem/Z", "Decoding")</f>
        <v>Decoding</v>
      </c>
      <c r="B27" s="90"/>
      <c r="C27" s="91"/>
    </row>
  </sheetData>
  <conditionalFormatting sqref="B2:C27">
    <cfRule type="containsText" dxfId="8" priority="1" operator="containsText" text="AC">
      <formula>NOT(ISERROR(SEARCH(("AC"),(B2))))</formula>
    </cfRule>
  </conditionalFormatting>
  <conditionalFormatting sqref="B2:C27">
    <cfRule type="containsText" dxfId="7" priority="2" operator="containsText" text="WA">
      <formula>NOT(ISERROR(SEARCH(("WA"),(B2))))</formula>
    </cfRule>
  </conditionalFormatting>
  <conditionalFormatting sqref="B2:B27">
    <cfRule type="containsText" dxfId="6" priority="3" operator="containsText" text="TLE">
      <formula>NOT(ISERROR(SEARCH(("TLE"),(B2))))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/>
  <cols>
    <col min="1" max="1" width="48.42578125" customWidth="1"/>
    <col min="2" max="2" width="9" customWidth="1"/>
    <col min="3" max="3" width="59.140625" customWidth="1"/>
  </cols>
  <sheetData>
    <row r="1" spans="1:3" ht="30" customHeight="1">
      <c r="A1" s="69" t="s">
        <v>20</v>
      </c>
      <c r="B1" s="70" t="s">
        <v>57</v>
      </c>
      <c r="C1" s="70" t="s">
        <v>58</v>
      </c>
    </row>
    <row r="2" spans="1:3" ht="20.25" customHeight="1">
      <c r="A2" s="92" t="str">
        <f>HYPERLINK("https://codeforces.com/group/MWSDmqGsZm/contest/223207/problem/A", "Drawing Task")</f>
        <v>Drawing Task</v>
      </c>
      <c r="B2" s="71"/>
      <c r="C2" s="72"/>
    </row>
    <row r="3" spans="1:3" ht="18">
      <c r="A3" s="92" t="str">
        <f>HYPERLINK("https://codeforces.com/group/MWSDmqGsZm/contest/223207/problem/B", "Arpa’s hard exam and Mehrdad’s naive cheat")</f>
        <v>Arpa’s hard exam and Mehrdad’s naive cheat</v>
      </c>
      <c r="B3" s="71"/>
      <c r="C3" s="72"/>
    </row>
    <row r="4" spans="1:3" ht="18">
      <c r="A4" s="92" t="str">
        <f>HYPERLINK("https://codeforces.com/group/MWSDmqGsZm/contest/223207/problem/C", "Dragons")</f>
        <v>Dragons</v>
      </c>
      <c r="B4" s="71"/>
      <c r="C4" s="72"/>
    </row>
    <row r="5" spans="1:3" ht="18">
      <c r="A5" s="92" t="str">
        <f>HYPERLINK("https://codeforces.com/group/MWSDmqGsZm/contest/223207/problem/D", "Juicer")</f>
        <v>Juicer</v>
      </c>
      <c r="B5" s="71"/>
      <c r="C5" s="72"/>
    </row>
    <row r="6" spans="1:3" ht="18">
      <c r="A6" s="92" t="str">
        <f>HYPERLINK("https://codeforces.com/group/MWSDmqGsZm/contest/223207/problem/E", "Keyboard")</f>
        <v>Keyboard</v>
      </c>
      <c r="B6" s="73"/>
      <c r="C6" s="74"/>
    </row>
    <row r="7" spans="1:3" ht="18">
      <c r="A7" s="92" t="str">
        <f>HYPERLINK("https://codeforces.com/group/MWSDmqGsZm/contest/223207/problem/F", "Puzzles")</f>
        <v>Puzzles</v>
      </c>
      <c r="B7" s="73"/>
      <c r="C7" s="74"/>
    </row>
    <row r="8" spans="1:3" ht="18">
      <c r="A8" s="92" t="str">
        <f>HYPERLINK("https://codeforces.com/group/MWSDmqGsZm/contest/223207/problem/G", "Twins")</f>
        <v>Twins</v>
      </c>
      <c r="B8" s="73"/>
      <c r="C8" s="74"/>
    </row>
    <row r="9" spans="1:3" ht="18">
      <c r="A9" s="92" t="str">
        <f>HYPERLINK("https://codeforces.com/group/MWSDmqGsZm/contest/223207/problem/H", "Launch of Collider")</f>
        <v>Launch of Collider</v>
      </c>
      <c r="B9" s="71"/>
      <c r="C9" s="74"/>
    </row>
    <row r="10" spans="1:3" ht="18">
      <c r="A10" s="92" t="str">
        <f>HYPERLINK("https://codeforces.com/group/MWSDmqGsZm/contest/223207/problem/I", "Lineland Mail")</f>
        <v>Lineland Mail</v>
      </c>
      <c r="B10" s="73"/>
      <c r="C10" s="74"/>
    </row>
    <row r="11" spans="1:3" ht="18">
      <c r="A11" s="92" t="str">
        <f>HYPERLINK("https://codeforces.com/group/MWSDmqGsZm/contest/223207/problem/J", "Shaass and Oskols")</f>
        <v>Shaass and Oskols</v>
      </c>
      <c r="B11" s="73"/>
      <c r="C11" s="74"/>
    </row>
    <row r="12" spans="1:3" ht="18">
      <c r="A12" s="92" t="str">
        <f>HYPERLINK("https://codeforces.com/group/MWSDmqGsZm/contest/223207/problem/K", "Stars Drawing (Easy Edition)")</f>
        <v>Stars Drawing (Easy Edition)</v>
      </c>
      <c r="B12" s="73"/>
      <c r="C12" s="74"/>
    </row>
    <row r="13" spans="1:3" ht="18">
      <c r="A13" s="92" t="str">
        <f>HYPERLINK("https://codeforces.com/group/MWSDmqGsZm/contest/223207/problem/L", "Announcement !")</f>
        <v>Announcement !</v>
      </c>
      <c r="B13" s="71"/>
      <c r="C13" s="74"/>
    </row>
    <row r="14" spans="1:3" ht="18">
      <c r="A14" s="92" t="str">
        <f>HYPERLINK("https://codeforces.com/group/MWSDmqGsZm/contest/223207/problem/M", " !Palindromes")</f>
        <v> !Palindromes</v>
      </c>
      <c r="B14" s="73"/>
      <c r="C14" s="74"/>
    </row>
    <row r="15" spans="1:3" ht="18">
      <c r="A15" s="92" t="str">
        <f>HYPERLINK("https://codeforces.com/group/MWSDmqGsZm/contest/223207/problem/N", "Pumbaa And Apples")</f>
        <v>Pumbaa And Apples</v>
      </c>
      <c r="B15" s="73"/>
      <c r="C15" s="74"/>
    </row>
    <row r="16" spans="1:3" ht="18">
      <c r="A16" s="92" t="str">
        <f>HYPERLINK("https://codeforces.com/group/MWSDmqGsZm/contest/223207/problem/O", "Yaroslav and Permutations")</f>
        <v>Yaroslav and Permutations</v>
      </c>
      <c r="B16" s="73"/>
      <c r="C16" s="74"/>
    </row>
    <row r="17" spans="1:3" ht="18">
      <c r="A17" s="92" t="str">
        <f>HYPERLINK("https://codeforces.com/group/MWSDmqGsZm/contest/223207/problem/P", "Calculating Function")</f>
        <v>Calculating Function</v>
      </c>
      <c r="B17" s="73"/>
      <c r="C17" s="74"/>
    </row>
    <row r="18" spans="1:3" ht="18">
      <c r="A18" s="92" t="str">
        <f>HYPERLINK("https://codeforces.com/group/MWSDmqGsZm/contest/223207/problem/Q", "Dreamoon and Stairs")</f>
        <v>Dreamoon and Stairs</v>
      </c>
      <c r="B18" s="73"/>
      <c r="C18" s="74"/>
    </row>
    <row r="19" spans="1:3" ht="18">
      <c r="A19" s="92" t="str">
        <f>HYPERLINK("https://codeforces.com/group/MWSDmqGsZm/contest/223207/problem/R", "Ksenia and Pan Scales")</f>
        <v>Ksenia and Pan Scales</v>
      </c>
      <c r="B19" s="73"/>
      <c r="C19" s="74"/>
    </row>
    <row r="20" spans="1:3" ht="18">
      <c r="A20" s="92" t="str">
        <f>HYPERLINK("https://codeforces.com/group/MWSDmqGsZm/contest/223207/problem/S", "Mahmoud and a Triangle")</f>
        <v>Mahmoud and a Triangle</v>
      </c>
      <c r="B20" s="73"/>
      <c r="C20" s="74"/>
    </row>
    <row r="21" spans="1:3" ht="18">
      <c r="A21" s="92" t="str">
        <f>HYPERLINK("https://codeforces.com/group/MWSDmqGsZm/contest/223207/problem/T", "Olesya and Rodion")</f>
        <v>Olesya and Rodion</v>
      </c>
      <c r="B21" s="73"/>
      <c r="C21" s="74"/>
    </row>
    <row r="22" spans="1:3" ht="18">
      <c r="A22" s="92" t="str">
        <f>HYPERLINK("https://codeforces.com/group/MWSDmqGsZm/contest/223207/problem/U", "T-primes")</f>
        <v>T-primes</v>
      </c>
      <c r="B22" s="73"/>
      <c r="C22" s="74"/>
    </row>
    <row r="23" spans="1:3" ht="18">
      <c r="A23" s="92" t="str">
        <f>HYPERLINK("https://codeforces.com/group/MWSDmqGsZm/contest/223207/problem/V", "Balanced Rating Changes")</f>
        <v>Balanced Rating Changes</v>
      </c>
      <c r="B23" s="73"/>
      <c r="C23" s="74"/>
    </row>
    <row r="24" spans="1:3" ht="18">
      <c r="A24" s="92" t="str">
        <f>HYPERLINK("https://codeforces.com/group/MWSDmqGsZm/contest/223207/problem/W", "Football")</f>
        <v>Football</v>
      </c>
      <c r="B24" s="73"/>
      <c r="C24" s="74"/>
    </row>
    <row r="25" spans="1:3" ht="18">
      <c r="A25" s="92" t="str">
        <f>HYPERLINK("https://codeforces.com/group/MWSDmqGsZm/contest/223207/problem/X", "Mountain Scenery")</f>
        <v>Mountain Scenery</v>
      </c>
      <c r="B25" s="73"/>
      <c r="C25" s="74"/>
    </row>
    <row r="26" spans="1:3" ht="18">
      <c r="A26" s="92" t="str">
        <f>HYPERLINK("https://codeforces.com/group/MWSDmqGsZm/contest/223207/problem/Y", "Polo the Penguin and Segments")</f>
        <v>Polo the Penguin and Segments</v>
      </c>
      <c r="B26" s="73"/>
      <c r="C26" s="74"/>
    </row>
    <row r="27" spans="1:3" ht="18">
      <c r="A27" s="92" t="str">
        <f>HYPERLINK("https://codeforces.com/group/MWSDmqGsZm/contest/223207/problem/Z", "Fraction")</f>
        <v>Fraction</v>
      </c>
      <c r="B27" s="80"/>
      <c r="C27" s="76"/>
    </row>
  </sheetData>
  <conditionalFormatting sqref="B2:C27">
    <cfRule type="containsText" dxfId="5" priority="1" operator="containsText" text="AC">
      <formula>NOT(ISERROR(SEARCH(("AC"),(B2))))</formula>
    </cfRule>
  </conditionalFormatting>
  <conditionalFormatting sqref="B2:C27">
    <cfRule type="containsText" dxfId="4" priority="2" operator="containsText" text="WA">
      <formula>NOT(ISERROR(SEARCH(("WA"),(B2))))</formula>
    </cfRule>
  </conditionalFormatting>
  <conditionalFormatting sqref="B2:B27">
    <cfRule type="containsText" dxfId="3" priority="3" operator="containsText" text="TLE">
      <formula>NOT(ISERROR(SEARCH(("TLE"),(B2))))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7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ColWidth="14.42578125" defaultRowHeight="15.75" customHeight="1"/>
  <cols>
    <col min="1" max="1" width="38.7109375" customWidth="1"/>
    <col min="2" max="2" width="9" customWidth="1"/>
    <col min="3" max="3" width="59.140625" customWidth="1"/>
  </cols>
  <sheetData>
    <row r="1" spans="1:3" ht="30" customHeight="1">
      <c r="A1" s="69" t="s">
        <v>20</v>
      </c>
      <c r="B1" s="70" t="s">
        <v>57</v>
      </c>
      <c r="C1" s="70" t="s">
        <v>58</v>
      </c>
    </row>
    <row r="2" spans="1:3" ht="20.25" customHeight="1">
      <c r="A2" s="77" t="str">
        <f>HYPERLINK("https://codeforces.com/group/MWSDmqGsZm/contest/223340/problem/A", "Palindromes Replace")</f>
        <v>Palindromes Replace</v>
      </c>
      <c r="B2" s="71"/>
      <c r="C2" s="72"/>
    </row>
    <row r="3" spans="1:3" ht="18">
      <c r="A3" s="77" t="str">
        <f>HYPERLINK("https://codeforces.com/group/MWSDmqGsZm/contest/223340/problem/B", "Delete from the Left")</f>
        <v>Delete from the Left</v>
      </c>
      <c r="B3" s="71"/>
      <c r="C3" s="72"/>
    </row>
    <row r="4" spans="1:3" ht="18">
      <c r="A4" s="77" t="str">
        <f>HYPERLINK("https://codeforces.com/group/MWSDmqGsZm/contest/223340/problem/C", "Koko And The Transformation")</f>
        <v>Koko And The Transformation</v>
      </c>
      <c r="B4" s="71"/>
      <c r="C4" s="72"/>
    </row>
    <row r="5" spans="1:3" ht="18">
      <c r="A5" s="77" t="str">
        <f>HYPERLINK("https://codeforces.com/group/MWSDmqGsZm/contest/223340/problem/D", "Hussien and Strings")</f>
        <v>Hussien and Strings</v>
      </c>
      <c r="B5" s="71"/>
      <c r="C5" s="72"/>
    </row>
    <row r="6" spans="1:3" ht="18">
      <c r="A6" s="77" t="str">
        <f>HYPERLINK("https://codeforces.com/group/MWSDmqGsZm/contest/223340/problem/E", "Construct The Sum")</f>
        <v>Construct The Sum</v>
      </c>
      <c r="B6" s="73"/>
      <c r="C6" s="74"/>
    </row>
    <row r="7" spans="1:3" ht="18">
      <c r="A7" s="77" t="str">
        <f>HYPERLINK("https://codeforces.com/group/MWSDmqGsZm/contest/223340/problem/F", "Marks")</f>
        <v>Marks</v>
      </c>
      <c r="B7" s="73"/>
      <c r="C7" s="74"/>
    </row>
    <row r="8" spans="1:3" ht="18">
      <c r="A8" s="77" t="str">
        <f>HYPERLINK("https://codeforces.com/group/MWSDmqGsZm/contest/223340/problem/G", "Smallest Product")</f>
        <v>Smallest Product</v>
      </c>
      <c r="B8" s="73"/>
      <c r="C8" s="74"/>
    </row>
    <row r="9" spans="1:3" ht="18">
      <c r="A9" s="77" t="str">
        <f>HYPERLINK("https://codeforces.com/group/MWSDmqGsZm/contest/223340/problem/H", "Chewbaсca and Number")</f>
        <v>Chewbaсca and Number</v>
      </c>
      <c r="B9" s="73"/>
      <c r="C9" s="74"/>
    </row>
    <row r="10" spans="1:3" ht="18">
      <c r="A10" s="77" t="str">
        <f>HYPERLINK("https://codeforces.com/group/MWSDmqGsZm/contest/223340/problem/I", "Coins")</f>
        <v>Coins</v>
      </c>
      <c r="B10" s="71"/>
      <c r="C10" s="74"/>
    </row>
    <row r="11" spans="1:3" ht="18">
      <c r="A11" s="77" t="str">
        <f>HYPERLINK("https://codeforces.com/group/MWSDmqGsZm/contest/223340/problem/J", "Help Vasilisa the Wise 2")</f>
        <v>Help Vasilisa the Wise 2</v>
      </c>
      <c r="B11" s="73"/>
      <c r="C11" s="74"/>
    </row>
    <row r="12" spans="1:3" ht="18">
      <c r="A12" s="77" t="str">
        <f>HYPERLINK("https://codeforces.com/group/MWSDmqGsZm/contest/223340/problem/K", "Snacktower")</f>
        <v>Snacktower</v>
      </c>
      <c r="B12" s="73"/>
      <c r="C12" s="74"/>
    </row>
    <row r="13" spans="1:3" ht="18">
      <c r="A13" s="77" t="str">
        <f>HYPERLINK("https://codeforces.com/group/MWSDmqGsZm/contest/223340/problem/L", "Two Squares")</f>
        <v>Two Squares</v>
      </c>
      <c r="B13" s="71"/>
      <c r="C13" s="74"/>
    </row>
    <row r="14" spans="1:3" ht="18">
      <c r="A14" s="77" t="str">
        <f>HYPERLINK("https://codeforces.com/group/MWSDmqGsZm/contest/223340/problem/M", "Postcard")</f>
        <v>Postcard</v>
      </c>
      <c r="B14" s="73"/>
      <c r="C14" s="74"/>
    </row>
    <row r="15" spans="1:3" ht="18">
      <c r="A15" s="77" t="str">
        <f>HYPERLINK("https://codeforces.com/group/MWSDmqGsZm/contest/223340/problem/N", "Katryoshka")</f>
        <v>Katryoshka</v>
      </c>
      <c r="B15" s="73"/>
      <c r="C15" s="74"/>
    </row>
    <row r="16" spans="1:3" ht="18">
      <c r="A16" s="77" t="str">
        <f>HYPERLINK("https://codeforces.com/group/MWSDmqGsZm/contest/223340/problem/O", "Help Koko")</f>
        <v>Help Koko</v>
      </c>
      <c r="B16" s="73"/>
      <c r="C16" s="74"/>
    </row>
    <row r="17" spans="1:3" ht="18">
      <c r="A17" s="77" t="str">
        <f>HYPERLINK("https://codeforces.com/group/MWSDmqGsZm/contest/223340/problem/P", "No Time for Dragons")</f>
        <v>No Time for Dragons</v>
      </c>
      <c r="B17" s="73"/>
      <c r="C17" s="74"/>
    </row>
    <row r="18" spans="1:3" ht="18">
      <c r="A18" s="77" t="str">
        <f>HYPERLINK("https://codeforces.com/group/MWSDmqGsZm/contest/223340/problem/Q", "Bulbs")</f>
        <v>Bulbs</v>
      </c>
      <c r="B18" s="73"/>
      <c r="C18" s="74"/>
    </row>
    <row r="19" spans="1:3" ht="18">
      <c r="A19" s="77" t="str">
        <f>HYPERLINK("https://codeforces.com/group/MWSDmqGsZm/contest/223340/problem/R", "Cut Ribbon")</f>
        <v>Cut Ribbon</v>
      </c>
      <c r="B19" s="73"/>
      <c r="C19" s="74"/>
    </row>
    <row r="20" spans="1:3" ht="18">
      <c r="A20" s="77" t="str">
        <f>HYPERLINK("https://codeforces.com/group/MWSDmqGsZm/contest/223340/problem/S", "DZY Loves Chessboard")</f>
        <v>DZY Loves Chessboard</v>
      </c>
      <c r="B20" s="73"/>
      <c r="C20" s="74"/>
    </row>
    <row r="21" spans="1:3" ht="18">
      <c r="A21" s="77" t="str">
        <f>HYPERLINK("https://codeforces.com/group/MWSDmqGsZm/contest/223340/problem/T", "Easter Eggs")</f>
        <v>Easter Eggs</v>
      </c>
      <c r="B21" s="73"/>
      <c r="C21" s="74"/>
    </row>
    <row r="22" spans="1:3" ht="18">
      <c r="A22" s="77" t="str">
        <f>HYPERLINK("https://codeforces.com/group/MWSDmqGsZm/contest/223340/problem/U", "From S To T")</f>
        <v>From S To T</v>
      </c>
      <c r="B22" s="73"/>
      <c r="C22" s="74"/>
    </row>
    <row r="23" spans="1:3" ht="18">
      <c r="A23" s="77" t="str">
        <f>HYPERLINK("https://codeforces.com/group/MWSDmqGsZm/contest/223340/problem/V", "New Password")</f>
        <v>New Password</v>
      </c>
      <c r="B23" s="73"/>
      <c r="C23" s="74"/>
    </row>
    <row r="24" spans="1:3" ht="18">
      <c r="A24" s="77" t="str">
        <f>HYPERLINK("https://codeforces.com/group/MWSDmqGsZm/contest/223340/problem/W", "Hussien and Arrays 2")</f>
        <v>Hussien and Arrays 2</v>
      </c>
      <c r="B24" s="73"/>
      <c r="C24" s="74"/>
    </row>
    <row r="25" spans="1:3" ht="18">
      <c r="A25" s="77" t="str">
        <f>HYPERLINK("https://codeforces.com/group/MWSDmqGsZm/contest/223340/problem/X", "Strange Addition")</f>
        <v>Strange Addition</v>
      </c>
      <c r="B25" s="73"/>
      <c r="C25" s="74"/>
    </row>
    <row r="26" spans="1:3" ht="18">
      <c r="A26" s="77" t="str">
        <f>HYPERLINK("https://codeforces.com/group/MWSDmqGsZm/contest/223340/problem/Y", "Spiral")</f>
        <v>Spiral</v>
      </c>
      <c r="B26" s="73"/>
      <c r="C26" s="74"/>
    </row>
    <row r="27" spans="1:3" ht="18">
      <c r="A27" s="77" t="str">
        <f>HYPERLINK("https://codeforces.com/group/MWSDmqGsZm/contest/223340/problem/Z", "Triangle")</f>
        <v>Triangle</v>
      </c>
      <c r="B27" s="80"/>
      <c r="C27" s="76"/>
    </row>
  </sheetData>
  <conditionalFormatting sqref="B2:C27">
    <cfRule type="containsText" dxfId="2" priority="1" operator="containsText" text="AC">
      <formula>NOT(ISERROR(SEARCH(("AC"),(B2))))</formula>
    </cfRule>
  </conditionalFormatting>
  <conditionalFormatting sqref="B2:C27">
    <cfRule type="containsText" dxfId="1" priority="2" operator="containsText" text="WA">
      <formula>NOT(ISERROR(SEARCH(("WA"),(B2))))</formula>
    </cfRule>
  </conditionalFormatting>
  <conditionalFormatting sqref="B2:B27">
    <cfRule type="containsText" dxfId="0" priority="3" operator="containsText" text="TLE">
      <formula>NOT(ISERROR(SEARCH(("TLE"),(B2))))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H29" sqref="H29"/>
    </sheetView>
  </sheetViews>
  <sheetFormatPr defaultRowHeight="12.7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D2"/>
    </sheetView>
  </sheetViews>
  <sheetFormatPr defaultColWidth="14.42578125" defaultRowHeight="15.75" customHeight="1"/>
  <cols>
    <col min="1" max="1" width="30.85546875" customWidth="1"/>
    <col min="2" max="2" width="31.28515625" customWidth="1"/>
    <col min="3" max="3" width="35.7109375" customWidth="1"/>
    <col min="4" max="4" width="36" customWidth="1"/>
    <col min="5" max="5" width="20.5703125" customWidth="1"/>
    <col min="6" max="6" width="17.85546875" customWidth="1"/>
  </cols>
  <sheetData>
    <row r="1" spans="1:6" ht="35.25" customHeight="1">
      <c r="A1" s="8" t="s">
        <v>18</v>
      </c>
      <c r="B1" s="145" t="s">
        <v>19</v>
      </c>
      <c r="C1" s="123"/>
      <c r="D1" s="124"/>
      <c r="E1" s="9" t="s">
        <v>20</v>
      </c>
      <c r="F1" s="9" t="s">
        <v>21</v>
      </c>
    </row>
    <row r="2" spans="1:6" ht="24" customHeight="1">
      <c r="A2" s="139" t="s">
        <v>22</v>
      </c>
      <c r="B2" s="136" t="s">
        <v>23</v>
      </c>
      <c r="C2" s="123"/>
      <c r="D2" s="124"/>
      <c r="E2" s="146" t="str">
        <f>HYPERLINK("https://docs.google.com/spreadsheets/d/18_ni_jYDVe5PnPKLoHq_1taHYRzmspPvEB9dma2RxN8/edit#gid=880637188","Sheet A")</f>
        <v>Sheet A</v>
      </c>
      <c r="F2" s="132">
        <v>26</v>
      </c>
    </row>
    <row r="3" spans="1:6" ht="24" customHeight="1">
      <c r="A3" s="140"/>
      <c r="B3" s="10" t="s">
        <v>24</v>
      </c>
      <c r="C3" s="11" t="s">
        <v>25</v>
      </c>
      <c r="D3" s="11" t="s">
        <v>26</v>
      </c>
      <c r="E3" s="98"/>
      <c r="F3" s="98"/>
    </row>
    <row r="4" spans="1:6" ht="19.5" customHeight="1">
      <c r="A4" s="140"/>
      <c r="B4" s="12" t="str">
        <f>HYPERLINK("http://www.cplusplus.com/doc/tutorial/variables/","Variables and types")</f>
        <v>Variables and types</v>
      </c>
      <c r="C4" s="13" t="str">
        <f>HYPERLINK("https://www.geeksforgeeks.org/c-data-types/","C++ Data types")</f>
        <v>C++ Data types</v>
      </c>
      <c r="D4" s="13" t="str">
        <f>HYPERLINK("https://www.tutorialspoint.com/cplusplus/cpp_data_types.htm","Data types")</f>
        <v>Data types</v>
      </c>
      <c r="E4" s="98"/>
      <c r="F4" s="98"/>
    </row>
    <row r="5" spans="1:6" ht="19.5" customHeight="1">
      <c r="A5" s="140"/>
      <c r="B5" s="14" t="str">
        <f>HYPERLINK("http://www.cplusplus.com/doc/tutorial/operators/","Operators in C++")</f>
        <v>Operators in C++</v>
      </c>
      <c r="C5" s="15" t="str">
        <f>HYPERLINK("https://www.geeksforgeeks.org/operators-c-c/","Operators in C / C++")</f>
        <v>Operators in C / C++</v>
      </c>
      <c r="D5" s="15" t="str">
        <f>HYPERLINK("https://www.tutorialspoint.com/cplusplus/cpp_operators.htm","Operators")</f>
        <v>Operators</v>
      </c>
      <c r="E5" s="98"/>
      <c r="F5" s="98"/>
    </row>
    <row r="6" spans="1:6" ht="18.75" customHeight="1">
      <c r="A6" s="140"/>
      <c r="B6" s="14" t="str">
        <f>HYPERLINK("http://www.cplusplus.com/doc/tutorial/control/","Selection statements: if and else")</f>
        <v>Selection statements: if and else</v>
      </c>
      <c r="C6" s="15" t="str">
        <f>HYPERLINK("https://www.geeksforgeeks.org/decision-making-c-c-else-nested-else/","Decision making")</f>
        <v>Decision making</v>
      </c>
      <c r="D6" s="15" t="str">
        <f>HYPERLINK("https://www.tutorialspoint.com/cplusplus/cpp_if_else_statement.htm","if else statement")</f>
        <v>if else statement</v>
      </c>
      <c r="E6" s="98"/>
      <c r="F6" s="98"/>
    </row>
    <row r="7" spans="1:6" ht="18" customHeight="1">
      <c r="A7" s="140"/>
      <c r="B7" s="16"/>
      <c r="C7" s="17"/>
      <c r="D7" s="18" t="str">
        <f>HYPERLINK("https://www.tutorialspoint.com/cplusplus/cpp_switch_statement.htm","Switch statement")</f>
        <v>Switch statement</v>
      </c>
      <c r="E7" s="98"/>
      <c r="F7" s="98"/>
    </row>
    <row r="8" spans="1:6" ht="24" customHeight="1">
      <c r="A8" s="140"/>
      <c r="B8" s="137" t="s">
        <v>27</v>
      </c>
      <c r="C8" s="123"/>
      <c r="D8" s="124"/>
      <c r="E8" s="98"/>
      <c r="F8" s="98"/>
    </row>
    <row r="9" spans="1:6" ht="24" customHeight="1">
      <c r="A9" s="140"/>
      <c r="B9" s="138" t="s">
        <v>28</v>
      </c>
      <c r="C9" s="124"/>
      <c r="D9" s="20" t="s">
        <v>29</v>
      </c>
      <c r="E9" s="98"/>
      <c r="F9" s="98"/>
    </row>
    <row r="10" spans="1:6" ht="20.25" customHeight="1">
      <c r="A10" s="140"/>
      <c r="B10" s="20" t="s">
        <v>30</v>
      </c>
      <c r="C10" s="20" t="s">
        <v>31</v>
      </c>
      <c r="D10" s="21"/>
      <c r="E10" s="98"/>
      <c r="F10" s="98"/>
    </row>
    <row r="11" spans="1:6" ht="20.25" customHeight="1">
      <c r="A11" s="140"/>
      <c r="B11" s="22" t="str">
        <f>HYPERLINK("https://www.youtube.com/watch?v=mh7SNBRc38c&amp;list=PLsECTUuTGe7pfm3TTshn5V3PFQQ_cZyvv&amp;index=2","Your first program ")</f>
        <v xml:space="preserve">Your first program </v>
      </c>
      <c r="C11" s="23" t="str">
        <f>HYPERLINK("https://www.youtube.com/watch?v=Fr6wJ5_Hok0&amp;list=PLJzrJ6NUlRb8e5o0jGe8yHYGy2Mu17Eeg&amp;index=0","Introduction")</f>
        <v>Introduction</v>
      </c>
      <c r="D11" s="24" t="str">
        <f>HYPERLINK("https://www.youtube.com/watch?v=tvC1WCdV1XU&amp;list=PLAE85DE8440AA6B83&amp;index=0","install codeblocks")</f>
        <v>install codeblocks</v>
      </c>
      <c r="E11" s="98"/>
      <c r="F11" s="98"/>
    </row>
    <row r="12" spans="1:6" ht="20.25" customHeight="1">
      <c r="A12" s="140"/>
      <c r="B12" s="25" t="str">
        <f>HYPERLINK("https://www.youtube.com/watch?v=Vu3nN2sFblc&amp;index=3&amp;list=PLsECTUuTGe7pfm3TTshn5V3PFQQ_cZyvv","Cin, Variables")</f>
        <v>Cin, Variables</v>
      </c>
      <c r="C12" s="26" t="str">
        <f>HYPERLINK("https://www.youtube.com/watch?v=H7pUHZrgscY&amp;index=2&amp;list=PLJzrJ6NUlRb8e5o0jGe8yHYGy2Mu17Eeg","Data types, Cout, Cin")</f>
        <v>Data types, Cout, Cin</v>
      </c>
      <c r="D12" s="23" t="str">
        <f>HYPERLINK("https://www.youtube.com/watch?v=SWZfFNyUsxc&amp;list=PLAE85DE8440AA6B83&amp;index=2","Understanding a Simple code")</f>
        <v>Understanding a Simple code</v>
      </c>
      <c r="E12" s="98"/>
      <c r="F12" s="98"/>
    </row>
    <row r="13" spans="1:6" ht="18" customHeight="1">
      <c r="A13" s="140"/>
      <c r="B13" s="25" t="str">
        <f>HYPERLINK("https://www.youtube.com/watch?v=SY84RXfVhFI&amp;list=PLsECTUuTGe7pfm3TTshn5V3PFQQ_cZyvv&amp;index=4","Mathmatical Operators")</f>
        <v>Mathmatical Operators</v>
      </c>
      <c r="C13" s="27" t="str">
        <f>HYPERLINK("https://www.youtube.com/watch?v=-ZRhEfMx7RU&amp;list=PLJzrJ6NUlRb8e5o0jGe8yHYGy2Mu17Eeg&amp;index=3","Arithmetic Operators, Expressions")</f>
        <v>Arithmetic Operators, Expressions</v>
      </c>
      <c r="D13" s="23" t="str">
        <f>HYPERLINK("https://www.youtube.com/watch?v=sPv0HQ8xOaU&amp;list=PLAE85DE8440AA6B83&amp;index=3","More on Printing Text")</f>
        <v>More on Printing Text</v>
      </c>
      <c r="E13" s="98"/>
      <c r="F13" s="98"/>
    </row>
    <row r="14" spans="1:6" ht="18" customHeight="1">
      <c r="A14" s="140"/>
      <c r="B14" s="28" t="str">
        <f>HYPERLINK("https://www.youtube.com/watch?v=jsYmdyvhLQw&amp;list=PLsECTUuTGe7pfm3TTshn5V3PFQQ_cZyvv&amp;index=5","arithmetic operators")</f>
        <v>arithmetic operators</v>
      </c>
      <c r="C14" s="27" t="str">
        <f>HYPERLINK("https://www.youtube.com/watch?v=02ZmSVsoAV4&amp;list=PLJzrJ6NUlRb8e5o0jGe8yHYGy2Mu17Eeg&amp;index=4","IF , IF - Else , IF - Else If statements")</f>
        <v>IF , IF - Else , IF - Else If statements</v>
      </c>
      <c r="D14" s="27" t="str">
        <f>HYPERLINK("https://www.youtube.com/watch?v=3Iq_uFbc4L4&amp;list=PLAE85DE8440AA6B83&amp;index=6","Variables Memory Concepts")</f>
        <v>Variables Memory Concepts</v>
      </c>
      <c r="E14" s="98"/>
      <c r="F14" s="98"/>
    </row>
    <row r="15" spans="1:6" ht="19.5" customHeight="1">
      <c r="A15" s="140"/>
      <c r="B15" s="26" t="str">
        <f>HYPERLINK("https://www.youtube.com/watch?v=RXpbdiySxmc&amp;index=6&amp;list=PLsECTUuTGe7pfm3TTshn5V3PFQQ_cZyvv","Shortcuts")</f>
        <v>Shortcuts</v>
      </c>
      <c r="C15" s="27" t="str">
        <f>HYPERLINK("https://www.youtube.com/watch?v=waw-DeBp_H0&amp;index=5&amp;list=PLJzrJ6NUlRb8e5o0jGe8yHYGy2Mu17Eeg","Switch - Case - default statement")</f>
        <v>Switch - Case - default statement</v>
      </c>
      <c r="D15" s="27" t="str">
        <f>HYPERLINK("https://www.youtube.com/watch?v=L1z2dpCosXU&amp;list=PLAE85DE8440AA6B83&amp;index=7","Basic Arithmetic")</f>
        <v>Basic Arithmetic</v>
      </c>
      <c r="E15" s="98"/>
      <c r="F15" s="98"/>
    </row>
    <row r="16" spans="1:6" ht="19.5" customHeight="1">
      <c r="A16" s="140"/>
      <c r="B16" s="27" t="str">
        <f>HYPERLINK("https://www.youtube.com/watch?v=9nWoIfcBdlM&amp;list=PLsECTUuTGe7pfm3TTshn5V3PFQQ_cZyvv&amp;index=7","Boolean Expression, If, Else")</f>
        <v>Boolean Expression, If, Else</v>
      </c>
      <c r="C16" s="29"/>
      <c r="D16" s="27" t="str">
        <f>HYPERLINK("https://www.youtube.com/watch?v=T0kEDZ-tuNw&amp;list=PLAE85DE8440AA6B83&amp;index=21","Operators")</f>
        <v>Operators</v>
      </c>
      <c r="E16" s="98"/>
      <c r="F16" s="98"/>
    </row>
    <row r="17" spans="1:6" ht="19.5" customHeight="1">
      <c r="A17" s="140"/>
      <c r="B17" s="27" t="str">
        <f>HYPERLINK("https://www.youtube.com/watch?v=xQl_G6wRvLI&amp;index=8&amp;list=PLsECTUuTGe7pfm3TTshn5V3PFQQ_cZyvv","if...else, logical operators")</f>
        <v>if...else, logical operators</v>
      </c>
      <c r="C17" s="30"/>
      <c r="D17" s="26" t="str">
        <f>HYPERLINK("https://www.youtube.com/watch?v=o78khWdmqIE&amp;index=26&amp;list=PLAE85DE8440AA6B83","Logical Operators")</f>
        <v>Logical Operators</v>
      </c>
      <c r="E17" s="98"/>
      <c r="F17" s="98"/>
    </row>
    <row r="18" spans="1:6" ht="18.75" customHeight="1">
      <c r="A18" s="140"/>
      <c r="B18" s="27" t="str">
        <f>HYPERLINK("https://www.youtube.com/watch?v=zSkB0180zG8&amp;index=9&amp;list=PLsECTUuTGe7pfm3TTshn5V3PFQQ_cZyvv","Switch Case")</f>
        <v>Switch Case</v>
      </c>
      <c r="C18" s="30"/>
      <c r="D18" s="26" t="str">
        <f>HYPERLINK("https://www.youtube.com/watch?v=yEY8xlnarNo&amp;index=8&amp;list=PLAE85DE8440AA6B83","if Statement part1 , part 2 , part 3")</f>
        <v>if Statement part1 , part 2 , part 3</v>
      </c>
      <c r="E18" s="98"/>
      <c r="F18" s="98"/>
    </row>
    <row r="19" spans="1:6" ht="17.25" customHeight="1">
      <c r="A19" s="141"/>
      <c r="B19" s="31"/>
      <c r="C19" s="32"/>
      <c r="D19" s="33" t="str">
        <f>HYPERLINK("https://www.youtube.com/watch?v=TNUCZpgPjrw&amp;index=25&amp;list=PLAE85DE8440AA6B83","switch")</f>
        <v>switch</v>
      </c>
      <c r="E19" s="133"/>
      <c r="F19" s="133"/>
    </row>
    <row r="20" spans="1:6" ht="24" customHeight="1">
      <c r="A20" s="139" t="s">
        <v>32</v>
      </c>
      <c r="B20" s="142" t="s">
        <v>23</v>
      </c>
      <c r="C20" s="97"/>
      <c r="D20" s="98"/>
      <c r="E20" s="134" t="s">
        <v>33</v>
      </c>
      <c r="F20" s="143">
        <f>COUNTIF(B!B2:B27,"AC")</f>
        <v>13</v>
      </c>
    </row>
    <row r="21" spans="1:6" ht="24" customHeight="1">
      <c r="A21" s="140"/>
      <c r="B21" s="10" t="s">
        <v>24</v>
      </c>
      <c r="C21" s="11" t="s">
        <v>25</v>
      </c>
      <c r="D21" s="11" t="s">
        <v>34</v>
      </c>
      <c r="E21" s="98"/>
      <c r="F21" s="98"/>
    </row>
    <row r="22" spans="1:6" ht="21" customHeight="1">
      <c r="A22" s="140"/>
      <c r="B22" s="23" t="str">
        <f>HYPERLINK("http://www.cplusplus.com/doc/tutorial/control/","Iteration statements (loops)")</f>
        <v>Iteration statements (loops)</v>
      </c>
      <c r="C22" s="34" t="str">
        <f>HYPERLINK("https://www.geeksforgeeks.org/loops-in-c/","loops")</f>
        <v>loops</v>
      </c>
      <c r="D22" s="34" t="str">
        <f>HYPERLINK("https://www.tutorialspoint.com/cplusplus/cpp_while_loop.htm","C++ while loop")</f>
        <v>C++ while loop</v>
      </c>
      <c r="E22" s="98"/>
      <c r="F22" s="98"/>
    </row>
    <row r="23" spans="1:6" ht="20.25" customHeight="1">
      <c r="A23" s="140"/>
      <c r="B23" s="35"/>
      <c r="C23" s="36"/>
      <c r="D23" s="37" t="str">
        <f>HYPERLINK("https://www.tutorialspoint.com/cplusplus/cpp_for_loop.htm","C++ for loop")</f>
        <v>C++ for loop</v>
      </c>
      <c r="E23" s="98"/>
      <c r="F23" s="98"/>
    </row>
    <row r="24" spans="1:6" ht="19.5" customHeight="1">
      <c r="A24" s="140"/>
      <c r="B24" s="38"/>
      <c r="C24" s="39"/>
      <c r="D24" s="40" t="str">
        <f>HYPERLINK("https://www.tutorialspoint.com/cplusplus/cpp_do_while_loop.htm","C++ do...while loop")</f>
        <v>C++ do...while loop</v>
      </c>
      <c r="E24" s="98"/>
      <c r="F24" s="98"/>
    </row>
    <row r="25" spans="1:6" ht="24" customHeight="1">
      <c r="A25" s="140"/>
      <c r="B25" s="144" t="s">
        <v>27</v>
      </c>
      <c r="C25" s="123"/>
      <c r="D25" s="124"/>
      <c r="E25" s="98"/>
      <c r="F25" s="98"/>
    </row>
    <row r="26" spans="1:6" ht="24" customHeight="1">
      <c r="A26" s="140"/>
      <c r="B26" s="138" t="s">
        <v>35</v>
      </c>
      <c r="C26" s="124"/>
      <c r="D26" s="41" t="s">
        <v>36</v>
      </c>
      <c r="E26" s="98"/>
      <c r="F26" s="98"/>
    </row>
    <row r="27" spans="1:6" ht="24" customHeight="1">
      <c r="A27" s="140"/>
      <c r="B27" s="20" t="s">
        <v>37</v>
      </c>
      <c r="C27" s="19" t="s">
        <v>38</v>
      </c>
      <c r="D27" s="42" t="str">
        <f>HYPERLINK("https://www.youtube.com/watch?v=KLKhsaOPnLk&amp;list=PLAE85DE8440AA6B83&amp;index=18","while Loops")</f>
        <v>while Loops</v>
      </c>
      <c r="E27" s="98"/>
      <c r="F27" s="98"/>
    </row>
    <row r="28" spans="1:6" ht="24" customHeight="1">
      <c r="A28" s="140"/>
      <c r="B28" s="25" t="str">
        <f>HYPERLINK("https://www.youtube.com/watch?v=5cCL9sBXtOY&amp;index=11&amp;list=PLsECTUuTGe7pfm3TTshn5V3PFQQ_cZyvv","For Loop, Break, Continue")</f>
        <v>For Loop, Break, Continue</v>
      </c>
      <c r="C28" s="25" t="str">
        <f>HYPERLINK("https://www.youtube.com/watch?v=TLIasndFVVc&amp;index=6&amp;list=PLJzrJ6NUlRb8e5o0jGe8yHYGy2Mu17Eeg","while loop , do while loop")</f>
        <v>while loop , do while loop</v>
      </c>
      <c r="D28" s="43" t="str">
        <f>HYPERLINK("https://www.youtube.com/watch?v=GGA0z_6tvOU&amp;list=PLAE85DE8440AA6B83&amp;index=19","Simple Program Using a Loop")</f>
        <v>Simple Program Using a Loop</v>
      </c>
      <c r="E28" s="98"/>
      <c r="F28" s="98"/>
    </row>
    <row r="29" spans="1:6" ht="24" customHeight="1">
      <c r="A29" s="140"/>
      <c r="B29" s="25" t="str">
        <f>HYPERLINK("https://www.youtube.com/watch?v=WhyT9PT98d0&amp;list=PLsECTUuTGe7pfm3TTshn5V3PFQQ_cZyvv&amp;index=12","While, do..While")</f>
        <v>While, do..While</v>
      </c>
      <c r="C29" s="25" t="str">
        <f>HYPERLINK("https://www.youtube.com/watch?v=OGweo6b6k0c&amp;list=PLJzrJ6NUlRb8e5o0jGe8yHYGy2Mu17Eeg&amp;index=7","For loop")</f>
        <v>For loop</v>
      </c>
      <c r="D29" s="27" t="str">
        <f>HYPERLINK("https://www.youtube.com/watch?v=sBO8yvyyBI0&amp;list=PLAE85DE8440AA6B83&amp;index=22","for Loops")</f>
        <v>for Loops</v>
      </c>
      <c r="E29" s="98"/>
      <c r="F29" s="98"/>
    </row>
    <row r="30" spans="1:6" ht="24" customHeight="1">
      <c r="A30" s="141"/>
      <c r="B30" s="33" t="str">
        <f>HYPERLINK("https://www.youtube.com/watch?v=kH3aDkRsplo&amp;list=PLsECTUuTGe7pfm3TTshn5V3PFQQ_cZyvv&amp;index=13","Nested loops")</f>
        <v>Nested loops</v>
      </c>
      <c r="C30" s="32"/>
      <c r="D30" s="33" t="str">
        <f>HYPERLINK("https://www.youtube.com/watch?v=yRdPe2acogw&amp;list=PLAE85DE8440AA6B83&amp;index=24","do while Loops")</f>
        <v>do while Loops</v>
      </c>
      <c r="E30" s="133"/>
      <c r="F30" s="133"/>
    </row>
    <row r="31" spans="1:6" ht="24" customHeight="1">
      <c r="A31" s="139" t="s">
        <v>39</v>
      </c>
      <c r="B31" s="142" t="s">
        <v>23</v>
      </c>
      <c r="C31" s="97"/>
      <c r="D31" s="98"/>
      <c r="E31" s="134" t="s">
        <v>40</v>
      </c>
      <c r="F31" s="132">
        <f>COUNTIF('C'!B2:B21,"AC")</f>
        <v>0</v>
      </c>
    </row>
    <row r="32" spans="1:6" ht="24" customHeight="1">
      <c r="A32" s="140"/>
      <c r="B32" s="44" t="s">
        <v>24</v>
      </c>
      <c r="C32" s="45" t="s">
        <v>25</v>
      </c>
      <c r="D32" s="11" t="s">
        <v>34</v>
      </c>
      <c r="E32" s="98"/>
      <c r="F32" s="98"/>
    </row>
    <row r="33" spans="1:6" ht="18" customHeight="1">
      <c r="A33" s="140"/>
      <c r="B33" s="46" t="str">
        <f>HYPERLINK("http://www.cplusplus.com/doc/tutorial/arrays/","Arrays")</f>
        <v>Arrays</v>
      </c>
      <c r="C33" s="46" t="str">
        <f>HYPERLINK("https://www.geeksforgeeks.org/arrays-in-c-language-set-1-introduction/","Arrays in C/C++")</f>
        <v>Arrays in C/C++</v>
      </c>
      <c r="D33" s="46" t="str">
        <f>HYPERLINK("https://www.tutorialspoint.com/cplusplus/cpp_arrays.htm","C++ Arrays")</f>
        <v>C++ Arrays</v>
      </c>
      <c r="E33" s="98"/>
      <c r="F33" s="98"/>
    </row>
    <row r="34" spans="1:6" ht="24" customHeight="1">
      <c r="A34" s="140"/>
      <c r="B34" s="137" t="s">
        <v>27</v>
      </c>
      <c r="C34" s="123"/>
      <c r="D34" s="124"/>
      <c r="E34" s="98"/>
      <c r="F34" s="98"/>
    </row>
    <row r="35" spans="1:6" ht="24" customHeight="1">
      <c r="A35" s="140"/>
      <c r="B35" s="138" t="s">
        <v>28</v>
      </c>
      <c r="C35" s="124"/>
      <c r="D35" s="41" t="s">
        <v>29</v>
      </c>
      <c r="E35" s="98"/>
      <c r="F35" s="98"/>
    </row>
    <row r="36" spans="1:6" ht="24" customHeight="1">
      <c r="A36" s="140"/>
      <c r="B36" s="20" t="s">
        <v>30</v>
      </c>
      <c r="C36" s="19" t="s">
        <v>41</v>
      </c>
      <c r="D36" s="42" t="str">
        <f>HYPERLINK("https://www.youtube.com/watch?v=1kLw8kZuccQ&amp;list=PLAE85DE8440AA6B83&amp;index=32","Arrays")</f>
        <v>Arrays</v>
      </c>
      <c r="E36" s="98"/>
      <c r="F36" s="98"/>
    </row>
    <row r="37" spans="1:6" ht="24" customHeight="1">
      <c r="A37" s="140"/>
      <c r="B37" s="25" t="str">
        <f>HYPERLINK("https://www.youtube.com/watch?v=UrZGvvILNls&amp;list=PLsECTUuTGe7pfm3TTshn5V3PFQQ_cZyvv&amp;index=23","One Dimensional Arrays part 1")</f>
        <v>One Dimensional Arrays part 1</v>
      </c>
      <c r="C37" s="25" t="str">
        <f>HYPERLINK("https://www.youtube.com/watch?v=UjItuSZ4plw","Arrays,Two dimensional array")</f>
        <v>Arrays,Two dimensional array</v>
      </c>
      <c r="D37" s="43" t="str">
        <f>HYPERLINK("https://www.youtube.com/watch?v=Z9Wc8EsGjJY&amp;index=33&amp;list=PLAE85DE8440AA6B83","Create an Array Using Loops")</f>
        <v>Create an Array Using Loops</v>
      </c>
      <c r="E37" s="98"/>
      <c r="F37" s="98"/>
    </row>
    <row r="38" spans="1:6" ht="24" customHeight="1">
      <c r="A38" s="140"/>
      <c r="B38" s="25" t="str">
        <f>HYPERLINK("https://www.youtube.com/watch?v=57o4UPbsuLY&amp;index=24&amp;list=PLsECTUuTGe7pfm3TTshn5V3PFQQ_cZyvv","One Dimensional Arrays part 2")</f>
        <v>One Dimensional Arrays part 2</v>
      </c>
      <c r="C38" s="47"/>
      <c r="D38" s="27" t="str">
        <f>HYPERLINK("https://www.youtube.com/watch?v=v2dKtxtWT5o&amp;list=PLAE85DE8440AA6B83&amp;index=34","Using Arrays in Calculations")</f>
        <v>Using Arrays in Calculations</v>
      </c>
      <c r="E38" s="98"/>
      <c r="F38" s="98"/>
    </row>
    <row r="39" spans="1:6" ht="24" customHeight="1">
      <c r="A39" s="140"/>
      <c r="B39" s="27" t="str">
        <f>HYPERLINK("https://www.youtube.com/watch?v=ZnIoZL08ddc&amp;list=PLsECTUuTGe7pfm3TTshn5V3PFQQ_cZyvv&amp;index=26","Two Dimensional Arrays")</f>
        <v>Two Dimensional Arrays</v>
      </c>
      <c r="C39" s="47"/>
      <c r="D39" s="27" t="str">
        <f>HYPERLINK("https://www.youtube.com/watch?v=B3iC40frU4M&amp;index=36&amp;list=PLAE85DE8440AA6B83","Multidimensional Arrays")</f>
        <v>Multidimensional Arrays</v>
      </c>
      <c r="E39" s="98"/>
      <c r="F39" s="98"/>
    </row>
    <row r="40" spans="1:6" ht="24" customHeight="1">
      <c r="A40" s="141"/>
      <c r="B40" s="31"/>
      <c r="C40" s="32"/>
      <c r="D40" s="48" t="str">
        <f>HYPERLINK("https://www.youtube.com/watch?v=pAKZp_EucVg&amp;index=37&amp;list=PLAE85DE8440AA6B83","2d Arrays part2")</f>
        <v>2d Arrays part2</v>
      </c>
      <c r="E40" s="133"/>
      <c r="F40" s="133"/>
    </row>
    <row r="41" spans="1:6" ht="24" customHeight="1">
      <c r="A41" s="139" t="s">
        <v>42</v>
      </c>
      <c r="B41" s="136" t="s">
        <v>23</v>
      </c>
      <c r="C41" s="123"/>
      <c r="D41" s="124"/>
      <c r="E41" s="134" t="s">
        <v>43</v>
      </c>
      <c r="F41" s="132">
        <f>COUNTIF(D!B2:B17,"AC")</f>
        <v>0</v>
      </c>
    </row>
    <row r="42" spans="1:6" ht="24" customHeight="1">
      <c r="A42" s="140"/>
      <c r="B42" s="44" t="s">
        <v>24</v>
      </c>
      <c r="C42" s="45" t="s">
        <v>25</v>
      </c>
      <c r="D42" s="11" t="s">
        <v>34</v>
      </c>
      <c r="E42" s="98"/>
      <c r="F42" s="98"/>
    </row>
    <row r="43" spans="1:6" ht="19.5" customHeight="1">
      <c r="A43" s="140"/>
      <c r="B43" s="26" t="str">
        <f>HYPERLINK("http://www.cplusplus.com/reference/string/string/size/","string length")</f>
        <v>string length</v>
      </c>
      <c r="C43" s="37" t="str">
        <f>HYPERLINK("https://www.geeksforgeeks.org/stdstring-class-in-c/","String Functions")</f>
        <v>String Functions</v>
      </c>
      <c r="D43" s="37" t="str">
        <f>HYPERLINK("https://www.tutorialspoint.com/cplusplus/cpp_strings.htm","C++ Strings")</f>
        <v>C++ Strings</v>
      </c>
      <c r="E43" s="98"/>
      <c r="F43" s="98"/>
    </row>
    <row r="44" spans="1:6" ht="19.5" customHeight="1">
      <c r="A44" s="140"/>
      <c r="B44" s="26" t="str">
        <f>HYPERLINK("http://www.cplusplus.com/reference/string/string/operator+/","String operator")</f>
        <v>String operator</v>
      </c>
      <c r="C44" s="37" t="str">
        <f>HYPERLINK("https://www.geeksforgeeks.org/comparing-string-objects-using-relational-operators-c/","Relational Operators in C++")</f>
        <v>Relational Operators in C++</v>
      </c>
      <c r="D44" s="36"/>
      <c r="E44" s="98"/>
      <c r="F44" s="98"/>
    </row>
    <row r="45" spans="1:6" ht="19.5" customHeight="1">
      <c r="A45" s="140"/>
      <c r="B45" s="28" t="str">
        <f>HYPERLINK("http://www.cplusplus.com/reference/string/string/operators/","relational operators")</f>
        <v>relational operators</v>
      </c>
      <c r="C45" s="39"/>
      <c r="D45" s="39"/>
      <c r="E45" s="98"/>
      <c r="F45" s="98"/>
    </row>
    <row r="46" spans="1:6" ht="18" customHeight="1">
      <c r="A46" s="140"/>
      <c r="B46" s="28" t="str">
        <f>HYPERLINK("http://www.cplusplus.com/reference/string/string/getline/","Getline")</f>
        <v>Getline</v>
      </c>
      <c r="C46" s="39"/>
      <c r="D46" s="39"/>
      <c r="E46" s="98"/>
      <c r="F46" s="98"/>
    </row>
    <row r="47" spans="1:6" ht="24" customHeight="1">
      <c r="A47" s="140"/>
      <c r="B47" s="137" t="s">
        <v>27</v>
      </c>
      <c r="C47" s="123"/>
      <c r="D47" s="124"/>
      <c r="E47" s="98"/>
      <c r="F47" s="98"/>
    </row>
    <row r="48" spans="1:6" ht="24" customHeight="1">
      <c r="A48" s="140"/>
      <c r="B48" s="138" t="s">
        <v>28</v>
      </c>
      <c r="C48" s="124"/>
      <c r="D48" s="20" t="s">
        <v>29</v>
      </c>
      <c r="E48" s="98"/>
      <c r="F48" s="98"/>
    </row>
    <row r="49" spans="1:6" ht="24" customHeight="1">
      <c r="A49" s="140"/>
      <c r="B49" s="20" t="s">
        <v>30</v>
      </c>
      <c r="C49" s="20" t="s">
        <v>41</v>
      </c>
      <c r="D49" s="42" t="str">
        <f>HYPERLINK("https://www.youtube.com/watch?v=nkKeA74p3RY&amp;list=PLAE85DE8440AA6B83&amp;index=72","string Class")</f>
        <v>string Class</v>
      </c>
      <c r="E49" s="98"/>
      <c r="F49" s="98"/>
    </row>
    <row r="50" spans="1:6" ht="24" customHeight="1">
      <c r="A50" s="141"/>
      <c r="B50" s="25" t="str">
        <f>HYPERLINK("https://www.youtube.com/watch?v=RDSq9_pvDCw&amp;index=27&amp;list=PLsECTUuTGe7pfm3TTshn5V3PFQQ_cZyvv","Strings")</f>
        <v>Strings</v>
      </c>
      <c r="C50" s="25" t="str">
        <f>HYPERLINK("https://www.youtube.com/watch?v=d02MwEtOUis","C++ / Strings")</f>
        <v>C++ / Strings</v>
      </c>
      <c r="D50" s="30"/>
      <c r="E50" s="133"/>
      <c r="F50" s="133"/>
    </row>
    <row r="51" spans="1:6" ht="24" customHeight="1">
      <c r="A51" s="139" t="s">
        <v>44</v>
      </c>
      <c r="B51" s="137" t="s">
        <v>23</v>
      </c>
      <c r="C51" s="123"/>
      <c r="D51" s="124"/>
      <c r="E51" s="134" t="s">
        <v>45</v>
      </c>
      <c r="F51" s="132">
        <f>COUNTIF(E!B2:B16,"AC")</f>
        <v>0</v>
      </c>
    </row>
    <row r="52" spans="1:6" ht="24" customHeight="1">
      <c r="A52" s="140"/>
      <c r="B52" s="23" t="str">
        <f>HYPERLINK("https://www.mathsisfun.com/pascals-triangle.html","Pascals' triangle")</f>
        <v>Pascals' triangle</v>
      </c>
      <c r="C52" s="49" t="str">
        <f>HYPERLINK("https://www.shmoop.com/basic-geometry/area-formulas.html","AREA FORMULAS")</f>
        <v>AREA FORMULAS</v>
      </c>
      <c r="D52" s="49" t="str">
        <f>HYPERLINK("https://www.mathsisfun.com/algebra/distance-2-points.html","Distance Between 2 Points")</f>
        <v>Distance Between 2 Points</v>
      </c>
      <c r="E52" s="98"/>
      <c r="F52" s="98"/>
    </row>
    <row r="53" spans="1:6" ht="24" customHeight="1">
      <c r="A53" s="140"/>
      <c r="B53" s="48" t="str">
        <f>HYPERLINK("https://www.mathsisfun.com/combinatorics/combinations-permutations.html","Compination and permutation")</f>
        <v>Compination and permutation</v>
      </c>
      <c r="C53" s="50" t="str">
        <f>HYPERLINK("https://www.mathsisfun.com/geometry/common-3d-shapes.html","Common 3D Shapes")</f>
        <v>Common 3D Shapes</v>
      </c>
      <c r="D53" s="50" t="str">
        <f>HYPERLINK("https://www.wikihow.com/Convert-from-Decimal-to-Binary","Decimal to Binary")</f>
        <v>Decimal to Binary</v>
      </c>
      <c r="E53" s="98"/>
      <c r="F53" s="98"/>
    </row>
    <row r="54" spans="1:6" ht="24" customHeight="1">
      <c r="A54" s="140"/>
      <c r="B54" s="137" t="s">
        <v>27</v>
      </c>
      <c r="C54" s="123"/>
      <c r="D54" s="124"/>
      <c r="E54" s="98"/>
      <c r="F54" s="98"/>
    </row>
    <row r="55" spans="1:6" ht="24" customHeight="1">
      <c r="A55" s="140"/>
      <c r="B55" s="138" t="s">
        <v>28</v>
      </c>
      <c r="C55" s="124"/>
      <c r="D55" s="20" t="s">
        <v>29</v>
      </c>
      <c r="E55" s="98"/>
      <c r="F55" s="98"/>
    </row>
    <row r="56" spans="1:6" ht="24" customHeight="1">
      <c r="A56" s="140"/>
      <c r="B56" s="51" t="str">
        <f>HYPERLINK("https://www.youtube.com/watch?v=DUa_lIC6qwM&amp;index=20&amp;list=PLsECTUuTGe7pfm3TTshn5V3PFQQ_cZyvv","Cmath class built in functions")</f>
        <v>Cmath class built in functions</v>
      </c>
      <c r="C56" s="49" t="str">
        <f>HYPERLINK("https://www.youtube.com/watch?v=-yrwpEuRjl0","Decimal to Binary")</f>
        <v>Decimal to Binary</v>
      </c>
      <c r="D56" s="52" t="str">
        <f>HYPERLINK("https://www.youtube.com/watch?v=OmaMehb5NDA","Cmath library C++")</f>
        <v>Cmath library C++</v>
      </c>
      <c r="E56" s="98"/>
      <c r="F56" s="98"/>
    </row>
    <row r="57" spans="1:6" ht="24" customHeight="1">
      <c r="A57" s="140"/>
      <c r="B57" s="35"/>
      <c r="C57" s="53"/>
      <c r="D57" s="54" t="str">
        <f>HYPERLINK("https://www.youtube.com/watch?v=UydLkx1R3B0","Pascal triangle")</f>
        <v>Pascal triangle</v>
      </c>
      <c r="E57" s="98"/>
      <c r="F57" s="98"/>
    </row>
    <row r="58" spans="1:6" ht="24" customHeight="1">
      <c r="A58" s="141"/>
      <c r="B58" s="55"/>
      <c r="C58" s="56"/>
      <c r="D58" s="57" t="s">
        <v>46</v>
      </c>
      <c r="E58" s="133"/>
      <c r="F58" s="133"/>
    </row>
    <row r="59" spans="1:6" ht="24" customHeight="1">
      <c r="A59" s="139" t="s">
        <v>47</v>
      </c>
      <c r="B59" s="136" t="s">
        <v>23</v>
      </c>
      <c r="C59" s="123"/>
      <c r="D59" s="124"/>
      <c r="E59" s="134" t="s">
        <v>48</v>
      </c>
      <c r="F59" s="132">
        <f>COUNTIF(F!B2:B16,"AC")</f>
        <v>0</v>
      </c>
    </row>
    <row r="60" spans="1:6" ht="24" customHeight="1">
      <c r="A60" s="140"/>
      <c r="B60" s="44" t="s">
        <v>24</v>
      </c>
      <c r="C60" s="45" t="s">
        <v>25</v>
      </c>
      <c r="D60" s="11" t="s">
        <v>34</v>
      </c>
      <c r="E60" s="98"/>
      <c r="F60" s="98"/>
    </row>
    <row r="61" spans="1:6" ht="20.25" customHeight="1">
      <c r="A61" s="140"/>
      <c r="B61" s="26" t="str">
        <f>HYPERLINK("http://www.cplusplus.com/doc/tutorial/functions/","Functions")</f>
        <v>Functions</v>
      </c>
      <c r="C61" s="37" t="str">
        <f>HYPERLINK("https://www.geeksforgeeks.org/functions-in-c/","Functions in C/C++")</f>
        <v>Functions in C/C++</v>
      </c>
      <c r="D61" s="37" t="str">
        <f>HYPERLINK("https://www.tutorialspoint.com/cplusplus/cpp_functions.htm","C++ Functions")</f>
        <v>C++ Functions</v>
      </c>
      <c r="E61" s="98"/>
      <c r="F61" s="98"/>
    </row>
    <row r="62" spans="1:6" ht="24" customHeight="1">
      <c r="A62" s="140"/>
      <c r="B62" s="137" t="s">
        <v>27</v>
      </c>
      <c r="C62" s="123"/>
      <c r="D62" s="124"/>
      <c r="E62" s="98"/>
      <c r="F62" s="98"/>
    </row>
    <row r="63" spans="1:6" ht="24" customHeight="1">
      <c r="A63" s="140"/>
      <c r="B63" s="138" t="s">
        <v>28</v>
      </c>
      <c r="C63" s="124"/>
      <c r="D63" s="20" t="s">
        <v>29</v>
      </c>
      <c r="E63" s="98"/>
      <c r="F63" s="98"/>
    </row>
    <row r="64" spans="1:6" ht="24" customHeight="1">
      <c r="A64" s="140"/>
      <c r="B64" s="20" t="s">
        <v>30</v>
      </c>
      <c r="C64" s="20" t="s">
        <v>41</v>
      </c>
      <c r="D64" s="42" t="str">
        <f>HYPERLINK("https://www.youtube.com/watch?v=bsWWHo4KDHE&amp;list=PLAE85DE8440AA6B83&amp;index=9","Functions")</f>
        <v>Functions</v>
      </c>
      <c r="E64" s="98"/>
      <c r="F64" s="98"/>
    </row>
    <row r="65" spans="1:6" ht="24" customHeight="1">
      <c r="A65" s="140"/>
      <c r="B65" s="25" t="str">
        <f>HYPERLINK("https://www.youtube.com/watch?v=PerVR3qstVA&amp;list=PLsECTUuTGe7pfm3TTshn5V3PFQQ_cZyvv&amp;index=14","Void Functions")</f>
        <v>Void Functions</v>
      </c>
      <c r="C65" s="25" t="str">
        <f>HYPERLINK("https://www.youtube.com/watch?v=t6qw8_G0JxA&amp;list=PLJzrJ6NUlRb8e5o0jGe8yHYGy2Mu17Eeg&amp;index=8","Functions")</f>
        <v>Functions</v>
      </c>
      <c r="D65" s="26" t="str">
        <f>HYPERLINK("https://www.youtube.com/watch?v=-87KQS-rZCA&amp;index=10&amp;list=PLAE85DE8440AA6B83","Function Parameters")</f>
        <v>Function Parameters</v>
      </c>
      <c r="E65" s="98"/>
      <c r="F65" s="98"/>
    </row>
    <row r="66" spans="1:6" ht="24" customHeight="1">
      <c r="A66" s="140"/>
      <c r="B66" s="25" t="str">
        <f>HYPERLINK("https://www.youtube.com/watch?v=Sem_YdlpqgI&amp;index=15&amp;list=PLsECTUuTGe7pfm3TTshn5V3PFQQ_cZyvv","Functions with return value")</f>
        <v>Functions with return value</v>
      </c>
      <c r="C66" s="47"/>
      <c r="D66" s="27" t="str">
        <f>HYPERLINK("https://www.youtube.com/watch?v=fQ_CBGVfGbM&amp;list=PLAE85DE8440AA6B83&amp;index=11","Multiple Parameters")</f>
        <v>Multiple Parameters</v>
      </c>
      <c r="E66" s="98"/>
      <c r="F66" s="98"/>
    </row>
    <row r="67" spans="1:6" ht="24" customHeight="1">
      <c r="A67" s="140"/>
      <c r="B67" s="25" t="str">
        <f>HYPERLINK("https://www.youtube.com/watch?v=4Pim0RMMfjM&amp;list=PLsECTUuTGe7pfm3TTshn5V3PFQQ_cZyvv&amp;index=16","Passing By Reference")</f>
        <v>Passing By Reference</v>
      </c>
      <c r="C67" s="47"/>
      <c r="D67" s="27" t="str">
        <f>HYPERLINK("https://www.youtube.com/watch?v=VnZbghMhfOY&amp;list=PLAE85DE8440AA6B83&amp;index=35","Passing Arrays")</f>
        <v>Passing Arrays</v>
      </c>
      <c r="E67" s="98"/>
      <c r="F67" s="98"/>
    </row>
    <row r="68" spans="1:6" ht="24" customHeight="1">
      <c r="A68" s="141"/>
      <c r="B68" s="33" t="str">
        <f>HYPERLINK("https://www.youtube.com/watch?v=uD2cRV5kfxE&amp;index=25&amp;list=PLsECTUuTGe7pfm3TTshn5V3PFQQ_cZyvv","Passing Arrays to Functions")</f>
        <v>Passing Arrays to Functions</v>
      </c>
      <c r="C68" s="32"/>
      <c r="D68" s="33" t="str">
        <f>HYPERLINK("https://www.youtube.com/watch?v=_ja8iizm7nk&amp;list=PLAE85DE8440AA6B83&amp;index=39","Pass by Reference")</f>
        <v>Pass by Reference</v>
      </c>
      <c r="E68" s="133"/>
      <c r="F68" s="133"/>
    </row>
    <row r="69" spans="1:6" ht="24" customHeight="1">
      <c r="A69" s="139" t="s">
        <v>49</v>
      </c>
      <c r="B69" s="136" t="s">
        <v>23</v>
      </c>
      <c r="C69" s="123"/>
      <c r="D69" s="124"/>
      <c r="E69" s="134" t="s">
        <v>50</v>
      </c>
      <c r="F69" s="132">
        <f>COUNTIF(G!B2:B16,"AC")</f>
        <v>0</v>
      </c>
    </row>
    <row r="70" spans="1:6" ht="24" customHeight="1">
      <c r="A70" s="140"/>
      <c r="B70" s="44" t="s">
        <v>24</v>
      </c>
      <c r="C70" s="45" t="s">
        <v>25</v>
      </c>
      <c r="D70" s="11" t="s">
        <v>34</v>
      </c>
      <c r="E70" s="98"/>
      <c r="F70" s="98"/>
    </row>
    <row r="71" spans="1:6" ht="22.5" customHeight="1">
      <c r="A71" s="140"/>
      <c r="B71" s="26" t="str">
        <f>HYPERLINK("http://www.cplusplus.com/articles/D2N36Up4/","Recursion")</f>
        <v>Recursion</v>
      </c>
      <c r="C71" s="37" t="str">
        <f>HYPERLINK("https://www.geeksforgeeks.org/recursion/","Recursion")</f>
        <v>Recursion</v>
      </c>
      <c r="D71" s="37" t="str">
        <f>HYPERLINK("https://www.tutorialspoint.com//cprogramming/c_recursion.htm","C++ Recursion")</f>
        <v>C++ Recursion</v>
      </c>
      <c r="E71" s="98"/>
      <c r="F71" s="98"/>
    </row>
    <row r="72" spans="1:6" ht="24" customHeight="1">
      <c r="A72" s="140"/>
      <c r="B72" s="137" t="s">
        <v>27</v>
      </c>
      <c r="C72" s="123"/>
      <c r="D72" s="124"/>
      <c r="E72" s="98"/>
      <c r="F72" s="98"/>
    </row>
    <row r="73" spans="1:6" ht="24" customHeight="1">
      <c r="A73" s="140"/>
      <c r="B73" s="138" t="s">
        <v>28</v>
      </c>
      <c r="C73" s="124"/>
      <c r="D73" s="20" t="s">
        <v>29</v>
      </c>
      <c r="E73" s="98"/>
      <c r="F73" s="98"/>
    </row>
    <row r="74" spans="1:6" ht="24" customHeight="1">
      <c r="A74" s="140"/>
      <c r="B74" s="20" t="s">
        <v>30</v>
      </c>
      <c r="C74" s="20" t="s">
        <v>41</v>
      </c>
      <c r="D74" s="42" t="str">
        <f>HYPERLINK("https://www.youtube.com/watch?v=QwBSv4-_Lmk&amp;list=PLAE85DE8440AA6B83&amp;index=4","Recursion")</f>
        <v>Recursion</v>
      </c>
      <c r="E74" s="98"/>
      <c r="F74" s="98"/>
    </row>
    <row r="75" spans="1:6" ht="24" customHeight="1">
      <c r="A75" s="141"/>
      <c r="B75" s="25" t="str">
        <f>HYPERLINK("https://www.youtube.com/watch?v=4XMQNAGAQOQ&amp;index=31&amp;list=PLsECTUuTGe7pfm3TTshn5V3PFQQ_cZyvv","Function Recursion")</f>
        <v>Function Recursion</v>
      </c>
      <c r="C75" s="25" t="str">
        <f>HYPERLINK("https://www.youtube.com/watch?v=hyk46UmJPS4","Recursion")</f>
        <v>Recursion</v>
      </c>
      <c r="D75" s="30"/>
      <c r="E75" s="133"/>
      <c r="F75" s="133"/>
    </row>
    <row r="76" spans="1:6" ht="24" customHeight="1">
      <c r="A76" s="44" t="s">
        <v>51</v>
      </c>
      <c r="B76" s="135"/>
      <c r="C76" s="123"/>
      <c r="D76" s="124"/>
      <c r="E76" s="58" t="s">
        <v>52</v>
      </c>
      <c r="F76" s="59">
        <f>COUNTIF(H!B2:B27,"AC")</f>
        <v>0</v>
      </c>
    </row>
    <row r="77" spans="1:6" ht="24" customHeight="1">
      <c r="A77" s="44" t="s">
        <v>53</v>
      </c>
      <c r="B77" s="135"/>
      <c r="C77" s="123"/>
      <c r="D77" s="124"/>
      <c r="E77" s="58" t="s">
        <v>54</v>
      </c>
      <c r="F77" s="59">
        <f>COUNTIF(I!B2:B27,"AC")</f>
        <v>0</v>
      </c>
    </row>
    <row r="78" spans="1:6" ht="24" customHeight="1">
      <c r="A78" s="44" t="s">
        <v>55</v>
      </c>
      <c r="B78" s="135"/>
      <c r="C78" s="123"/>
      <c r="D78" s="124"/>
      <c r="E78" s="58" t="s">
        <v>56</v>
      </c>
      <c r="F78" s="59">
        <f>COUNTIF(J!B2:B27,"AC")</f>
        <v>0</v>
      </c>
    </row>
  </sheetData>
  <mergeCells count="46">
    <mergeCell ref="B1:D1"/>
    <mergeCell ref="A2:A19"/>
    <mergeCell ref="B2:D2"/>
    <mergeCell ref="E2:E19"/>
    <mergeCell ref="F2:F19"/>
    <mergeCell ref="B8:D8"/>
    <mergeCell ref="B9:C9"/>
    <mergeCell ref="B31:D31"/>
    <mergeCell ref="B34:D34"/>
    <mergeCell ref="A31:A40"/>
    <mergeCell ref="A41:A50"/>
    <mergeCell ref="A51:A58"/>
    <mergeCell ref="A59:A68"/>
    <mergeCell ref="A69:A75"/>
    <mergeCell ref="A20:A30"/>
    <mergeCell ref="B20:D20"/>
    <mergeCell ref="F20:F30"/>
    <mergeCell ref="B25:D25"/>
    <mergeCell ref="B26:C26"/>
    <mergeCell ref="F31:F40"/>
    <mergeCell ref="B35:C35"/>
    <mergeCell ref="B62:D62"/>
    <mergeCell ref="B63:C63"/>
    <mergeCell ref="B69:D69"/>
    <mergeCell ref="B72:D72"/>
    <mergeCell ref="B73:C73"/>
    <mergeCell ref="E59:E68"/>
    <mergeCell ref="E69:E75"/>
    <mergeCell ref="B76:D76"/>
    <mergeCell ref="B77:D77"/>
    <mergeCell ref="B78:D78"/>
    <mergeCell ref="B41:D41"/>
    <mergeCell ref="B47:D47"/>
    <mergeCell ref="B48:C48"/>
    <mergeCell ref="B51:D51"/>
    <mergeCell ref="B54:D54"/>
    <mergeCell ref="B55:C55"/>
    <mergeCell ref="B59:D59"/>
    <mergeCell ref="F59:F68"/>
    <mergeCell ref="F69:F75"/>
    <mergeCell ref="E20:E30"/>
    <mergeCell ref="E31:E40"/>
    <mergeCell ref="E41:E50"/>
    <mergeCell ref="F41:F50"/>
    <mergeCell ref="E51:E58"/>
    <mergeCell ref="F51:F58"/>
  </mergeCells>
  <hyperlinks>
    <hyperlink ref="E20" location="B!A1" display="Sheet B"/>
    <hyperlink ref="E31" location="C!A1" display="Sheet C"/>
    <hyperlink ref="E41" location="D!A1" display="Sheet D"/>
    <hyperlink ref="E51" location="E!A1" display="Sheet E"/>
    <hyperlink ref="D58" r:id="rId1"/>
    <hyperlink ref="E59" location="F!A1" display="Sheet F"/>
    <hyperlink ref="E69" location="G!A1" display="Sheet G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14.42578125" defaultRowHeight="15.75" customHeight="1"/>
  <cols>
    <col min="1" max="1" width="43.28515625" customWidth="1"/>
    <col min="2" max="2" width="9.85546875" customWidth="1"/>
    <col min="3" max="3" width="55.7109375" customWidth="1"/>
  </cols>
  <sheetData>
    <row r="1" spans="1:3" ht="30" customHeight="1">
      <c r="A1" s="60" t="s">
        <v>20</v>
      </c>
      <c r="B1" s="61" t="s">
        <v>57</v>
      </c>
      <c r="C1" s="62" t="s">
        <v>58</v>
      </c>
    </row>
    <row r="2" spans="1:3" ht="20.25" customHeight="1">
      <c r="A2" s="63" t="str">
        <f>HYPERLINK("https://codeforces.com/group/MWSDmqGsZm/contest/219158/problem/A"," Say Hello With C++")</f>
        <v xml:space="preserve"> Say Hello With C++</v>
      </c>
      <c r="B2" s="64" t="s">
        <v>59</v>
      </c>
      <c r="C2" s="95" t="s">
        <v>60</v>
      </c>
    </row>
    <row r="3" spans="1:3" ht="18">
      <c r="A3" s="94" t="str">
        <f>HYPERLINK("https://codeforces.com/group/MWSDmqGsZm/contest/219158/problem/B", "Basic Data Types")</f>
        <v>Basic Data Types</v>
      </c>
      <c r="B3" s="64" t="s">
        <v>59</v>
      </c>
      <c r="C3" s="65"/>
    </row>
    <row r="4" spans="1:3" ht="18">
      <c r="A4" s="63" t="str">
        <f>HYPERLINK("https://codeforces.com/group/MWSDmqGsZm/contest/219158/problem/C","Simple Calculator")</f>
        <v>Simple Calculator</v>
      </c>
      <c r="B4" s="64" t="s">
        <v>59</v>
      </c>
      <c r="C4" s="65"/>
    </row>
    <row r="5" spans="1:3" ht="18">
      <c r="A5" s="63" t="str">
        <f>HYPERLINK("https://codeforces.com/group/MWSDmqGsZm/contest/219158/problem/D", "Difference")</f>
        <v>Difference</v>
      </c>
      <c r="B5" s="64" t="s">
        <v>59</v>
      </c>
      <c r="C5" s="65"/>
    </row>
    <row r="6" spans="1:3" ht="18">
      <c r="A6" s="63" t="str">
        <f>HYPERLINK("https://codeforces.com/group/MWSDmqGsZm/contest/219158/problem/E","Area of a Circle")</f>
        <v>Area of a Circle</v>
      </c>
      <c r="B6" s="64" t="s">
        <v>59</v>
      </c>
      <c r="C6" s="66"/>
    </row>
    <row r="7" spans="1:3" ht="18.75">
      <c r="A7" s="63" t="str">
        <f>HYPERLINK("https://codeforces.com/group/MWSDmqGsZm/contest/219158/problem/F","Digits Summation")</f>
        <v>Digits Summation</v>
      </c>
      <c r="B7" s="64" t="s">
        <v>59</v>
      </c>
      <c r="C7" s="93"/>
    </row>
    <row r="8" spans="1:3" ht="18">
      <c r="A8" s="63" t="str">
        <f>HYPERLINK("https://codeforces.com/group/MWSDmqGsZm/contest/219158/problem/G","Summation from 1 to N")</f>
        <v>Summation from 1 to N</v>
      </c>
      <c r="B8" s="64" t="s">
        <v>59</v>
      </c>
      <c r="C8" s="66"/>
    </row>
    <row r="9" spans="1:3" ht="18">
      <c r="A9" s="63" t="str">
        <f>HYPERLINK("https://codeforces.com/group/MWSDmqGsZm/contest/219158/problem/H","Two numbers")</f>
        <v>Two numbers</v>
      </c>
      <c r="B9" s="64" t="s">
        <v>59</v>
      </c>
      <c r="C9" s="66"/>
    </row>
    <row r="10" spans="1:3" ht="18">
      <c r="A10" s="63" t="str">
        <f>HYPERLINK("https://codeforces.com/group/MWSDmqGsZm/contest/219158/problem/I"," Welcome for you with Condition")</f>
        <v xml:space="preserve"> Welcome for you with Condition</v>
      </c>
      <c r="B10" s="64" t="s">
        <v>59</v>
      </c>
      <c r="C10" s="66"/>
    </row>
    <row r="11" spans="1:3" ht="18">
      <c r="A11" s="63" t="str">
        <f>HYPERLINK("https://codeforces.com/group/MWSDmqGsZm/contest/219158/problem/J", "Multiples")</f>
        <v>Multiples</v>
      </c>
      <c r="B11" s="64" t="s">
        <v>59</v>
      </c>
      <c r="C11" s="66"/>
    </row>
    <row r="12" spans="1:3" ht="18">
      <c r="A12" s="63" t="str">
        <f>HYPERLINK("https://codeforces.com/group/MWSDmqGsZm/contest/219158/problem/K","Max and Min")</f>
        <v>Max and Min</v>
      </c>
      <c r="B12" s="64" t="s">
        <v>59</v>
      </c>
      <c r="C12" s="66"/>
    </row>
    <row r="13" spans="1:3" ht="18">
      <c r="A13" s="63" t="str">
        <f>HYPERLINK("https://codeforces.com/group/MWSDmqGsZm/contest/219158/problem/L","The Brothers")</f>
        <v>The Brothers</v>
      </c>
      <c r="B13" s="64" t="s">
        <v>59</v>
      </c>
      <c r="C13" s="66"/>
    </row>
    <row r="14" spans="1:3" ht="18">
      <c r="A14" s="63" t="str">
        <f>HYPERLINK("https://codeforces.com/group/MWSDmqGsZm/contest/219158/problem/M","Capital or Small or Digit")</f>
        <v>Capital or Small or Digit</v>
      </c>
      <c r="B14" s="64" t="s">
        <v>59</v>
      </c>
      <c r="C14" s="66"/>
    </row>
    <row r="15" spans="1:3" ht="18">
      <c r="A15" s="63" t="str">
        <f>HYPERLINK("https://codeforces.com/group/MWSDmqGsZm/contest/219158/problem/N","Char")</f>
        <v>Char</v>
      </c>
      <c r="B15" s="64" t="s">
        <v>59</v>
      </c>
      <c r="C15" s="66"/>
    </row>
    <row r="16" spans="1:3" ht="18">
      <c r="A16" s="63" t="str">
        <f>HYPERLINK("https://codeforces.com/group/MWSDmqGsZm/contest/219158/problem/O","Calculator")</f>
        <v>Calculator</v>
      </c>
      <c r="B16" s="64" t="s">
        <v>59</v>
      </c>
      <c r="C16" s="66"/>
    </row>
    <row r="17" spans="1:3" ht="18">
      <c r="A17" s="63" t="str">
        <f>HYPERLINK("https://codeforces.com/group/MWSDmqGsZm/contest/219158/problem/P","First digit !")</f>
        <v>First digit !</v>
      </c>
      <c r="B17" s="64" t="s">
        <v>59</v>
      </c>
      <c r="C17" s="66"/>
    </row>
    <row r="18" spans="1:3" ht="18">
      <c r="A18" s="63" t="str">
        <f>HYPERLINK("https://codeforces.com/group/MWSDmqGsZm/contest/219158/problem/Q","Coordinates of a Point")</f>
        <v>Coordinates of a Point</v>
      </c>
      <c r="B18" s="64" t="s">
        <v>59</v>
      </c>
      <c r="C18" s="66"/>
    </row>
    <row r="19" spans="1:3" ht="18">
      <c r="A19" s="63" t="str">
        <f>HYPERLINK("https://codeforces.com/group/MWSDmqGsZm/contest/219158/problem/R","Age in Days")</f>
        <v>Age in Days</v>
      </c>
      <c r="B19" s="64" t="s">
        <v>59</v>
      </c>
      <c r="C19" s="66"/>
    </row>
    <row r="20" spans="1:3" ht="18">
      <c r="A20" s="63" t="str">
        <f>HYPERLINK("https://codeforces.com/group/MWSDmqGsZm/contest/219158/problem/S","Interval")</f>
        <v>Interval</v>
      </c>
      <c r="B20" s="64" t="s">
        <v>59</v>
      </c>
      <c r="C20" s="66"/>
    </row>
    <row r="21" spans="1:3" ht="18">
      <c r="A21" s="63" t="str">
        <f>HYPERLINK("https://codeforces.com/group/MWSDmqGsZm/contest/219158/problem/T","Sort Numbers")</f>
        <v>Sort Numbers</v>
      </c>
      <c r="B21" s="64" t="s">
        <v>59</v>
      </c>
      <c r="C21" s="66"/>
    </row>
    <row r="22" spans="1:3" ht="18">
      <c r="A22" s="63" t="str">
        <f>HYPERLINK("https://codeforces.com/group/MWSDmqGsZm/contest/219158/problem/U","Float or int")</f>
        <v>Float or int</v>
      </c>
      <c r="B22" s="64" t="s">
        <v>59</v>
      </c>
      <c r="C22" s="66"/>
    </row>
    <row r="23" spans="1:3" ht="18">
      <c r="A23" s="63" t="str">
        <f>HYPERLINK("https://codeforces.com/group/MWSDmqGsZm/contest/219158/problem/V"," Comparison")</f>
        <v xml:space="preserve"> Comparison</v>
      </c>
      <c r="B23" s="64" t="s">
        <v>59</v>
      </c>
      <c r="C23" s="66"/>
    </row>
    <row r="24" spans="1:3" ht="18">
      <c r="A24" s="63" t="str">
        <f>HYPERLINK("https://codeforces.com/group/MWSDmqGsZm/contest/219158/problem/W","Mathematical Expression")</f>
        <v>Mathematical Expression</v>
      </c>
      <c r="B24" s="64" t="s">
        <v>59</v>
      </c>
      <c r="C24" s="66"/>
    </row>
    <row r="25" spans="1:3" ht="18">
      <c r="A25" s="63" t="str">
        <f>HYPERLINK("https://codeforces.com/group/MWSDmqGsZm/contest/219158/problem/X","Two intervals")</f>
        <v>Two intervals</v>
      </c>
      <c r="B25" s="67" t="s">
        <v>59</v>
      </c>
      <c r="C25" s="68"/>
    </row>
    <row r="26" spans="1:3" ht="18">
      <c r="A26" s="63" t="str">
        <f>HYPERLINK("https://codeforces.com/group/MWSDmqGsZm/contest/219158/problem/Y","The last 2 digits")</f>
        <v>The last 2 digits</v>
      </c>
      <c r="B26" s="64" t="s">
        <v>59</v>
      </c>
      <c r="C26" s="66"/>
    </row>
    <row r="27" spans="1:3" ht="18">
      <c r="A27" s="63" t="str">
        <f>HYPERLINK("https://codeforces.com/group/MWSDmqGsZm/contest/219158/problem/Z"," Hard Compare")</f>
        <v xml:space="preserve"> Hard Compare</v>
      </c>
      <c r="B27" s="67" t="s">
        <v>59</v>
      </c>
      <c r="C27" s="68"/>
    </row>
  </sheetData>
  <conditionalFormatting sqref="B2:C27">
    <cfRule type="containsText" dxfId="29" priority="1" operator="containsText" text="AC">
      <formula>NOT(ISERROR(SEARCH(("AC"),(B2))))</formula>
    </cfRule>
  </conditionalFormatting>
  <conditionalFormatting sqref="B2:C27">
    <cfRule type="containsText" dxfId="28" priority="2" operator="containsText" text="WA">
      <formula>NOT(ISERROR(SEARCH(("WA"),(B2))))</formula>
    </cfRule>
  </conditionalFormatting>
  <conditionalFormatting sqref="B2:B27">
    <cfRule type="containsText" dxfId="27" priority="3" operator="containsText" text="TLE">
      <formula>NOT(ISERROR(SEARCH(("TLE"),(B2))))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ColWidth="14.42578125" defaultRowHeight="15.75" customHeight="1"/>
  <cols>
    <col min="1" max="1" width="57.85546875" customWidth="1"/>
    <col min="2" max="2" width="9.85546875" customWidth="1"/>
    <col min="3" max="3" width="59.85546875" customWidth="1"/>
  </cols>
  <sheetData>
    <row r="1" spans="1:3" ht="30" customHeight="1">
      <c r="A1" s="69" t="s">
        <v>20</v>
      </c>
      <c r="B1" s="70" t="s">
        <v>57</v>
      </c>
      <c r="C1" s="70" t="s">
        <v>58</v>
      </c>
    </row>
    <row r="2" spans="1:3" ht="20.25" customHeight="1">
      <c r="A2" s="63" t="str">
        <f>HYPERLINK("https://codeforces.com/group/MWSDmqGsZm/contest/219432/problem/A", "1 to N")</f>
        <v>1 to N</v>
      </c>
      <c r="B2" s="71" t="s">
        <v>59</v>
      </c>
      <c r="C2" s="72"/>
    </row>
    <row r="3" spans="1:3" ht="18">
      <c r="A3" s="63" t="str">
        <f>HYPERLINK("https://codeforces.com/group/MWSDmqGsZm/contest/219432/problem/B", "Even Numbers")</f>
        <v>Even Numbers</v>
      </c>
      <c r="B3" s="71" t="s">
        <v>59</v>
      </c>
      <c r="C3" s="72"/>
    </row>
    <row r="4" spans="1:3" ht="18">
      <c r="A4" s="63" t="str">
        <f>HYPERLINK("https://codeforces.com/group/MWSDmqGsZm/contest/219432/problem/C", "Even, Odd, Positive and Negative")</f>
        <v>Even, Odd, Positive and Negative</v>
      </c>
      <c r="B4" s="71" t="s">
        <v>59</v>
      </c>
      <c r="C4" s="72"/>
    </row>
    <row r="5" spans="1:3" ht="18">
      <c r="A5" s="94" t="str">
        <f>HYPERLINK("https://codeforces.com/group/MWSDmqGsZm/contest/219432/problem/D", "Fixed Password")</f>
        <v>Fixed Password</v>
      </c>
      <c r="B5" s="71" t="s">
        <v>59</v>
      </c>
      <c r="C5" s="72"/>
    </row>
    <row r="6" spans="1:3" ht="18">
      <c r="A6" s="63" t="str">
        <f>HYPERLINK("https://codeforces.com/group/MWSDmqGsZm/contest/219432/problem/E", "Max")</f>
        <v>Max</v>
      </c>
      <c r="B6" s="73" t="s">
        <v>59</v>
      </c>
      <c r="C6" s="74"/>
    </row>
    <row r="7" spans="1:3" ht="18">
      <c r="A7" s="94" t="str">
        <f>HYPERLINK("https://codeforces.com/group/MWSDmqGsZm/contest/219432/problem/F", "Multiplication table")</f>
        <v>Multiplication table</v>
      </c>
      <c r="B7" s="73" t="s">
        <v>59</v>
      </c>
      <c r="C7" s="74"/>
    </row>
    <row r="8" spans="1:3" ht="18">
      <c r="A8" s="63" t="str">
        <f>HYPERLINK("https://codeforces.com/group/MWSDmqGsZm/contest/219432/problem/G", "Factorial")</f>
        <v>Factorial</v>
      </c>
      <c r="B8" s="73" t="s">
        <v>59</v>
      </c>
      <c r="C8" s="74"/>
    </row>
    <row r="9" spans="1:3" ht="18">
      <c r="A9" s="94" t="str">
        <f>HYPERLINK("https://codeforces.com/group/MWSDmqGsZm/contest/219432/problem/H", "One Prime")</f>
        <v>One Prime</v>
      </c>
      <c r="B9" s="71" t="s">
        <v>59</v>
      </c>
      <c r="C9" s="74"/>
    </row>
    <row r="10" spans="1:3" ht="18">
      <c r="A10" s="63" t="str">
        <f>HYPERLINK("https://codeforces.com/group/MWSDmqGsZm/contest/219432/problem/I", "palindrome")</f>
        <v>palindrome</v>
      </c>
      <c r="B10" s="73" t="s">
        <v>59</v>
      </c>
      <c r="C10" s="74"/>
    </row>
    <row r="11" spans="1:3" ht="18">
      <c r="A11" s="63" t="str">
        <f>HYPERLINK("https://codeforces.com/group/MWSDmqGsZm/contest/219432/problem/J", "Primes from 1 to n")</f>
        <v>Primes from 1 to n</v>
      </c>
      <c r="B11" s="71" t="s">
        <v>59</v>
      </c>
      <c r="C11" s="74"/>
    </row>
    <row r="12" spans="1:3" ht="18">
      <c r="A12" s="63" t="str">
        <f>HYPERLINK("https://codeforces.com/group/MWSDmqGsZm/contest/219432/problem/K", "Divisors")</f>
        <v>Divisors</v>
      </c>
      <c r="B12" s="71" t="s">
        <v>59</v>
      </c>
      <c r="C12" s="74"/>
    </row>
    <row r="13" spans="1:3" ht="18">
      <c r="A13" s="63" t="str">
        <f>HYPERLINK("https://codeforces.com/group/MWSDmqGsZm/contest/219432/problem/L", "GCD")</f>
        <v>GCD</v>
      </c>
      <c r="B13" s="73" t="s">
        <v>59</v>
      </c>
      <c r="C13" s="74"/>
    </row>
    <row r="14" spans="1:3" ht="18">
      <c r="A14" s="63" t="str">
        <f>HYPERLINK("https://codeforces.com/group/MWSDmqGsZm/contest/219432/problem/M", "Lucky Numbers")</f>
        <v>Lucky Numbers</v>
      </c>
      <c r="B14" s="73" t="s">
        <v>61</v>
      </c>
      <c r="C14" s="74"/>
    </row>
    <row r="15" spans="1:3" ht="18">
      <c r="A15" s="63" t="str">
        <f>HYPERLINK("https://codeforces.com/group/MWSDmqGsZm/contest/219432/problem/N","Numbers Histogram")</f>
        <v>Numbers Histogram</v>
      </c>
      <c r="B15" s="73"/>
      <c r="C15" s="74"/>
    </row>
    <row r="16" spans="1:3" ht="18">
      <c r="A16" s="63" t="str">
        <f>HYPERLINK("https://codeforces.com/group/MWSDmqGsZm/contest/219432/problem/O","Pyramid")</f>
        <v>Pyramid</v>
      </c>
      <c r="B16" s="73" t="s">
        <v>59</v>
      </c>
      <c r="C16" s="74"/>
    </row>
    <row r="17" spans="1:3" ht="18">
      <c r="A17" s="63" t="str">
        <f>HYPERLINK("https://codeforces.com/group/MWSDmqGsZm/contest/219432/problem/P","Shape1")</f>
        <v>Shape1</v>
      </c>
      <c r="B17" s="73"/>
      <c r="C17" s="74"/>
    </row>
    <row r="18" spans="1:3" ht="18">
      <c r="A18" s="63" t="str">
        <f>HYPERLINK("https://codeforces.com/group/MWSDmqGsZm/contest/219432/problem/Q","Digits")</f>
        <v>Digits</v>
      </c>
      <c r="B18" s="73"/>
      <c r="C18" s="74"/>
    </row>
    <row r="19" spans="1:3" ht="18">
      <c r="A19" s="63" t="str">
        <f>HYPERLINK("https://codeforces.com/group/MWSDmqGsZm/contest/219432/problem/R","Sequence of Numbers and Sum")</f>
        <v>Sequence of Numbers and Sum</v>
      </c>
      <c r="B19" s="73"/>
      <c r="C19" s="74"/>
    </row>
    <row r="20" spans="1:3" ht="18">
      <c r="A20" s="63" t="str">
        <f>HYPERLINK("https://codeforces.com/group/MWSDmqGsZm/contest/219432/problem/S","Sum of Consecutive Odd Numbers")</f>
        <v>Sum of Consecutive Odd Numbers</v>
      </c>
      <c r="B20" s="73"/>
      <c r="C20" s="74"/>
    </row>
    <row r="21" spans="1:3" ht="18">
      <c r="A21" s="63" t="str">
        <f>HYPERLINK("https://codeforces.com/group/MWSDmqGsZm/contest/219432/problem/T","Shape2")</f>
        <v>Shape2</v>
      </c>
      <c r="B21" s="73"/>
      <c r="C21" s="74"/>
    </row>
    <row r="22" spans="1:3" ht="18">
      <c r="A22" s="63" t="str">
        <f>HYPERLINK("https://codeforces.com/group/MWSDmqGsZm/contest/219432/problem/U","Some Sums")</f>
        <v>Some Sums</v>
      </c>
      <c r="B22" s="73"/>
      <c r="C22" s="74"/>
    </row>
    <row r="23" spans="1:3" ht="18">
      <c r="A23" s="63" t="str">
        <f>HYPERLINK("https://codeforces.com/group/MWSDmqGsZm/contest/219432/problem/V","PUM")</f>
        <v>PUM</v>
      </c>
      <c r="B23" s="73"/>
      <c r="C23" s="74"/>
    </row>
    <row r="24" spans="1:3" ht="18">
      <c r="A24" s="63" t="str">
        <f>HYPERLINK("https://codeforces.com/group/MWSDmqGsZm/contest/219432/problem/W","Shape3")</f>
        <v>Shape3</v>
      </c>
      <c r="B24" s="73"/>
      <c r="C24" s="74"/>
    </row>
    <row r="25" spans="1:3" ht="18">
      <c r="A25" s="63" t="str">
        <f>HYPERLINK("https://codeforces.com/group/MWSDmqGsZm/contest/219432/problem/X","Convert To Decimal 2")</f>
        <v>Convert To Decimal 2</v>
      </c>
      <c r="B25" s="73"/>
      <c r="C25" s="74"/>
    </row>
    <row r="26" spans="1:3" ht="18">
      <c r="A26" s="63" t="str">
        <f>HYPERLINK("https://codeforces.com/group/MWSDmqGsZm/contest/219432/problem/Y","Easy Fibonacci")</f>
        <v>Easy Fibonacci</v>
      </c>
      <c r="B26" s="73"/>
      <c r="C26" s="74"/>
    </row>
    <row r="27" spans="1:3" ht="18">
      <c r="A27" s="63" t="str">
        <f>HYPERLINK("https://codeforces.com/group/MWSDmqGsZm/contest/219432/problem/Z","Three Numbers")</f>
        <v>Three Numbers</v>
      </c>
      <c r="B27" s="75"/>
      <c r="C27" s="76"/>
    </row>
  </sheetData>
  <conditionalFormatting sqref="B2:C27">
    <cfRule type="containsText" dxfId="26" priority="1" operator="containsText" text="AC">
      <formula>NOT(ISERROR(SEARCH(("AC"),(B2))))</formula>
    </cfRule>
  </conditionalFormatting>
  <conditionalFormatting sqref="B2:C27">
    <cfRule type="containsText" dxfId="25" priority="2" operator="containsText" text="WA">
      <formula>NOT(ISERROR(SEARCH(("WA"),(B2))))</formula>
    </cfRule>
  </conditionalFormatting>
  <conditionalFormatting sqref="B2:B27">
    <cfRule type="containsText" dxfId="24" priority="3" operator="containsText" text="TLE">
      <formula>NOT(ISERROR(SEARCH(("TLE"),(B2))))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/>
  <cols>
    <col min="1" max="1" width="38.7109375" customWidth="1"/>
    <col min="2" max="2" width="9.7109375" customWidth="1"/>
    <col min="3" max="3" width="53.85546875" customWidth="1"/>
  </cols>
  <sheetData>
    <row r="1" spans="1:3" ht="30" customHeight="1">
      <c r="A1" s="69" t="s">
        <v>20</v>
      </c>
      <c r="B1" s="70" t="s">
        <v>57</v>
      </c>
      <c r="C1" s="70" t="s">
        <v>58</v>
      </c>
    </row>
    <row r="2" spans="1:3" ht="20.25" customHeight="1">
      <c r="A2" s="77" t="str">
        <f>HYPERLINK("https://codeforces.com/group/MWSDmqGsZm/contest/219774/problem/A", "Summation")</f>
        <v>Summation</v>
      </c>
      <c r="B2" s="71"/>
      <c r="C2" s="72"/>
    </row>
    <row r="3" spans="1:3" ht="18">
      <c r="A3" s="77" t="str">
        <f>HYPERLINK("https://codeforces.com/group/MWSDmqGsZm/contest/219774/problem/B","Searching")</f>
        <v>Searching</v>
      </c>
      <c r="B3" s="71"/>
      <c r="C3" s="72"/>
    </row>
    <row r="4" spans="1:3" ht="18">
      <c r="A4" s="77" t="str">
        <f>HYPERLINK("https://codeforces.com/group/MWSDmqGsZm/contest/219774/problem/C","Replacement")</f>
        <v>Replacement</v>
      </c>
      <c r="B4" s="71"/>
      <c r="C4" s="72"/>
    </row>
    <row r="5" spans="1:3" ht="18">
      <c r="A5" s="77" t="str">
        <f>HYPERLINK("https://codeforces.com/group/MWSDmqGsZm/contest/219774/problem/D","Positions in array")</f>
        <v>Positions in array</v>
      </c>
      <c r="B5" s="71"/>
      <c r="C5" s="72"/>
    </row>
    <row r="6" spans="1:3" ht="18">
      <c r="A6" s="77" t="str">
        <f>HYPERLINK("https://codeforces.com/group/MWSDmqGsZm/contest/219774/problem/E", "Lowest Number")</f>
        <v>Lowest Number</v>
      </c>
      <c r="B6" s="73"/>
      <c r="C6" s="74"/>
    </row>
    <row r="7" spans="1:3" ht="18">
      <c r="A7" s="77" t="str">
        <f>HYPERLINK("https://codeforces.com/group/MWSDmqGsZm/contest/219774/problem/F", "Reversing")</f>
        <v>Reversing</v>
      </c>
      <c r="B7" s="73"/>
      <c r="C7" s="74"/>
    </row>
    <row r="8" spans="1:3" ht="18">
      <c r="A8" s="77" t="str">
        <f>HYPERLINK("https://codeforces.com/group/MWSDmqGsZm/contest/219774/problem/G", "Palindrome Array")</f>
        <v>Palindrome Array</v>
      </c>
      <c r="B8" s="73"/>
      <c r="C8" s="74"/>
    </row>
    <row r="9" spans="1:3" ht="18">
      <c r="A9" s="77" t="str">
        <f>HYPERLINK("https://codeforces.com/group/MWSDmqGsZm/contest/219774/problem/H", "Sorting")</f>
        <v>Sorting</v>
      </c>
      <c r="B9" s="71"/>
      <c r="C9" s="74"/>
    </row>
    <row r="10" spans="1:3" ht="18">
      <c r="A10" s="77" t="str">
        <f>HYPERLINK("https://codeforces.com/group/MWSDmqGsZm/contest/219774/problem/I", "Smallest Pair")</f>
        <v>Smallest Pair</v>
      </c>
      <c r="B10" s="71"/>
      <c r="C10" s="74"/>
    </row>
    <row r="11" spans="1:3" ht="18">
      <c r="A11" s="77" t="str">
        <f>HYPERLINK("https://codeforces.com/group/MWSDmqGsZm/contest/219774/problem/J", "Lucky Array")</f>
        <v>Lucky Array</v>
      </c>
      <c r="B11" s="73"/>
      <c r="C11" s="74"/>
    </row>
    <row r="12" spans="1:3" ht="18">
      <c r="A12" s="77" t="str">
        <f>HYPERLINK("https://codeforces.com/group/MWSDmqGsZm/contest/219774/problem/K", "Sum2")</f>
        <v>Sum2</v>
      </c>
      <c r="B12" s="73"/>
      <c r="C12" s="74"/>
    </row>
    <row r="13" spans="1:3" ht="18">
      <c r="A13" s="77" t="str">
        <f>HYPERLINK("https://codeforces.com/group/MWSDmqGsZm/contest/219774/problem/L", "Max Subarray")</f>
        <v>Max Subarray</v>
      </c>
      <c r="B13" s="73"/>
      <c r="C13" s="74"/>
    </row>
    <row r="14" spans="1:3" ht="18">
      <c r="A14" s="77" t="str">
        <f>HYPERLINK("https://codeforces.com/group/MWSDmqGsZm/contest/219774/problem/M", "Replace MinMax")</f>
        <v>Replace MinMax</v>
      </c>
      <c r="B14" s="73"/>
      <c r="C14" s="74"/>
    </row>
    <row r="15" spans="1:3" ht="18">
      <c r="A15" s="77" t="str">
        <f>HYPERLINK("https://codeforces.com/group/MWSDmqGsZm/contest/219774/problem/N","Check Code")</f>
        <v>Check Code</v>
      </c>
      <c r="B15" s="73"/>
      <c r="C15" s="74"/>
    </row>
    <row r="16" spans="1:3" ht="18">
      <c r="A16" s="77" t="str">
        <f>HYPERLINK("https://codeforces.com/group/MWSDmqGsZm/contest/219774/problem/O","Fibonacci")</f>
        <v>Fibonacci</v>
      </c>
      <c r="B16" s="73"/>
      <c r="C16" s="74"/>
    </row>
    <row r="17" spans="1:3" ht="18">
      <c r="A17" s="77" t="str">
        <f>HYPERLINK("https://codeforces.com/group/MWSDmqGsZm/contest/219774/problem/P","Minimize Number")</f>
        <v>Minimize Number</v>
      </c>
      <c r="B17" s="73"/>
      <c r="C17" s="74"/>
    </row>
    <row r="18" spans="1:3" ht="18">
      <c r="A18" s="77" t="str">
        <f>HYPERLINK("https://codeforces.com/group/MWSDmqGsZm/contest/219774/problem/Q","Count Subarrays")</f>
        <v>Count Subarrays</v>
      </c>
      <c r="B18" s="73"/>
      <c r="C18" s="74"/>
    </row>
    <row r="19" spans="1:3" ht="18">
      <c r="A19" s="77" t="str">
        <f>HYPERLINK("https://codeforces.com/group/MWSDmqGsZm/contest/219774/problem/R","Permutation with arrays")</f>
        <v>Permutation with arrays</v>
      </c>
      <c r="B19" s="73"/>
      <c r="C19" s="74"/>
    </row>
    <row r="20" spans="1:3" ht="18">
      <c r="A20" s="77" t="str">
        <f>HYPERLINK("https://codeforces.com/group/MWSDmqGsZm/contest/219774/problem/S","Search In Matrix")</f>
        <v>Search In Matrix</v>
      </c>
      <c r="B20" s="73"/>
      <c r="C20" s="74"/>
    </row>
    <row r="21" spans="1:3" ht="18">
      <c r="A21" s="77" t="str">
        <f>HYPERLINK("https://codeforces.com/group/MWSDmqGsZm/contest/219774/problem/T","Matrix ")</f>
        <v xml:space="preserve">Matrix </v>
      </c>
      <c r="B21" s="78"/>
      <c r="C21" s="79"/>
    </row>
    <row r="22" spans="1:3" ht="18">
      <c r="A22" s="77" t="str">
        <f>HYPERLINK("https://codeforces.com/group/MWSDmqGsZm/contest/219774/problem/U","Is B a subsequence of A ?")</f>
        <v>Is B a subsequence of A ?</v>
      </c>
      <c r="B22" s="78"/>
      <c r="C22" s="79"/>
    </row>
    <row r="23" spans="1:3" ht="18">
      <c r="A23" s="77" t="str">
        <f>HYPERLINK("https://codeforces.com/group/MWSDmqGsZm/contest/219774/problem/V","Frequency Array")</f>
        <v>Frequency Array</v>
      </c>
      <c r="B23" s="78"/>
      <c r="C23" s="79"/>
    </row>
    <row r="24" spans="1:3" ht="18">
      <c r="A24" s="77" t="str">
        <f>HYPERLINK("https://codeforces.com/group/MWSDmqGsZm/contest/219774/problem/W","Mirror Array")</f>
        <v>Mirror Array</v>
      </c>
      <c r="B24" s="78"/>
      <c r="C24" s="79"/>
    </row>
    <row r="25" spans="1:3" ht="18">
      <c r="A25" s="77" t="str">
        <f>HYPERLINK("https://codeforces.com/group/MWSDmqGsZm/contest/219774/problem/X","8 Neighbors")</f>
        <v>8 Neighbors</v>
      </c>
      <c r="B25" s="78"/>
      <c r="C25" s="79"/>
    </row>
    <row r="26" spans="1:3" ht="18">
      <c r="A26" s="77" t="str">
        <f>HYPERLINK("https://codeforces.com/group/MWSDmqGsZm/contest/219774/problem/Y","Range sum query")</f>
        <v>Range sum query</v>
      </c>
      <c r="B26" s="78"/>
      <c r="C26" s="79"/>
    </row>
    <row r="27" spans="1:3" ht="18">
      <c r="A27" s="77" t="str">
        <f>HYPERLINK("https://codeforces.com/group/MWSDmqGsZm/contest/219774/problem/Z","Binary Search")</f>
        <v>Binary Search</v>
      </c>
      <c r="B27" s="80"/>
      <c r="C27" s="76"/>
    </row>
  </sheetData>
  <conditionalFormatting sqref="B2:C27">
    <cfRule type="containsText" dxfId="23" priority="1" operator="containsText" text="AC">
      <formula>NOT(ISERROR(SEARCH(("AC"),(B2))))</formula>
    </cfRule>
  </conditionalFormatting>
  <conditionalFormatting sqref="B2:C27">
    <cfRule type="containsText" dxfId="22" priority="2" operator="containsText" text="WA">
      <formula>NOT(ISERROR(SEARCH(("WA"),(B2))))</formula>
    </cfRule>
  </conditionalFormatting>
  <conditionalFormatting sqref="B2:B27">
    <cfRule type="containsText" dxfId="21" priority="3" operator="containsText" text="TLE">
      <formula>NOT(ISERROR(SEARCH(("TLE"),(B2))))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14.42578125" defaultRowHeight="15.75" customHeight="1"/>
  <cols>
    <col min="1" max="1" width="47.5703125" customWidth="1"/>
    <col min="2" max="2" width="10.140625" customWidth="1"/>
    <col min="3" max="3" width="62.7109375" customWidth="1"/>
  </cols>
  <sheetData>
    <row r="1" spans="1:3" ht="30" customHeight="1">
      <c r="A1" s="69" t="s">
        <v>20</v>
      </c>
      <c r="B1" s="70" t="s">
        <v>57</v>
      </c>
      <c r="C1" s="70" t="s">
        <v>58</v>
      </c>
    </row>
    <row r="2" spans="1:3" ht="20.25" customHeight="1">
      <c r="A2" s="81" t="str">
        <f>HYPERLINK("https://codeforces.com/group/MWSDmqGsZm/contest/219856/problem/A","Create A New String")</f>
        <v>Create A New String</v>
      </c>
      <c r="B2" s="71"/>
      <c r="C2" s="72"/>
    </row>
    <row r="3" spans="1:3" ht="18">
      <c r="A3" s="81" t="str">
        <f>HYPERLINK("https://codeforces.com/group/MWSDmqGsZm/contest/219856/problem/B", "Let's use Getline")</f>
        <v>Let's use Getline</v>
      </c>
      <c r="B3" s="71"/>
      <c r="C3" s="72"/>
    </row>
    <row r="4" spans="1:3" ht="18">
      <c r="A4" s="81" t="str">
        <f>HYPERLINK("https://codeforces.com/group/MWSDmqGsZm/contest/219856/problem/C", "Compare")</f>
        <v>Compare</v>
      </c>
      <c r="B4" s="71"/>
      <c r="C4" s="72"/>
    </row>
    <row r="5" spans="1:3" ht="18">
      <c r="A5" s="81" t="str">
        <f>HYPERLINK("https://codeforces.com/group/MWSDmqGsZm/contest/219856/problem/D", "Strings")</f>
        <v>Strings</v>
      </c>
      <c r="B5" s="71"/>
      <c r="C5" s="72"/>
    </row>
    <row r="6" spans="1:3" ht="18">
      <c r="A6" s="81" t="str">
        <f>HYPERLINK("https://codeforces.com/group/MWSDmqGsZm/contest/219856/problem/E", "Count")</f>
        <v>Count</v>
      </c>
      <c r="B6" s="73"/>
      <c r="C6" s="74"/>
    </row>
    <row r="7" spans="1:3" ht="18">
      <c r="A7" s="81" t="str">
        <f>HYPERLINK("https://codeforces.com/group/MWSDmqGsZm/contest/219856/problem/F", "Way Too Long Words")</f>
        <v>Way Too Long Words</v>
      </c>
      <c r="B7" s="73"/>
      <c r="C7" s="74"/>
    </row>
    <row r="8" spans="1:3" ht="18">
      <c r="A8" s="81" t="str">
        <f>HYPERLINK("https://codeforces.com/group/MWSDmqGsZm/contest/219856/problem/G", "Conversion")</f>
        <v>Conversion</v>
      </c>
      <c r="B8" s="73"/>
      <c r="C8" s="74"/>
    </row>
    <row r="9" spans="1:3" ht="18">
      <c r="A9" s="81" t="str">
        <f>HYPERLINK("https://codeforces.com/group/MWSDmqGsZm/contest/219856/problem/H", "Good or Bad")</f>
        <v>Good or Bad</v>
      </c>
      <c r="B9" s="73"/>
      <c r="C9" s="74"/>
    </row>
    <row r="10" spans="1:3" ht="18">
      <c r="A10" s="81" t="str">
        <f>HYPERLINK("https://codeforces.com/group/MWSDmqGsZm/contest/219856/problem/I", "Palindrome")</f>
        <v>Palindrome</v>
      </c>
      <c r="B10" s="71"/>
      <c r="C10" s="74"/>
    </row>
    <row r="11" spans="1:3" ht="18">
      <c r="A11" s="81" t="str">
        <f>HYPERLINK("https://codeforces.com/group/MWSDmqGsZm/contest/219856/problem/J", "Count Letters")</f>
        <v>Count Letters</v>
      </c>
      <c r="B11" s="71"/>
      <c r="C11" s="74"/>
    </row>
    <row r="12" spans="1:3" ht="18">
      <c r="A12" s="81" t="str">
        <f>HYPERLINK("https://codeforces.com/group/MWSDmqGsZm/contest/219856/problem/K", " I Love strings")</f>
        <v> I Love strings</v>
      </c>
      <c r="B12" s="71"/>
      <c r="C12" s="74"/>
    </row>
    <row r="13" spans="1:3" ht="18">
      <c r="A13" s="81" t="str">
        <f>HYPERLINK("https://codeforces.com/group/MWSDmqGsZm/contest/219856/problem/L", "String Functions")</f>
        <v>String Functions</v>
      </c>
      <c r="B13" s="73"/>
      <c r="C13" s="74"/>
    </row>
    <row r="14" spans="1:3" ht="18">
      <c r="A14" s="81" t="str">
        <f>HYPERLINK("https://codeforces.com/group/MWSDmqGsZm/contest/219856/problem/M", "Subsequence String")</f>
        <v>Subsequence String</v>
      </c>
      <c r="B14" s="73"/>
      <c r="C14" s="74"/>
    </row>
    <row r="15" spans="1:3" ht="18">
      <c r="A15" s="81" t="str">
        <f>HYPERLINK("https://codeforces.com/group/MWSDmqGsZm/contest/219856/problem/N", "Max Subsequence")</f>
        <v>Max Subsequence</v>
      </c>
      <c r="B15" s="73"/>
      <c r="C15" s="74"/>
    </row>
    <row r="16" spans="1:3" ht="18">
      <c r="A16" s="81" t="str">
        <f>HYPERLINK("https://codeforces.com/group/MWSDmqGsZm/contest/219856/problem/O", "Sort String")</f>
        <v>Sort String</v>
      </c>
      <c r="B16" s="73"/>
      <c r="C16" s="74"/>
    </row>
    <row r="17" spans="1:3" ht="18">
      <c r="A17" s="81" t="str">
        <f>HYPERLINK("https://codeforces.com/group/MWSDmqGsZm/contest/219856/problem/P", "Count Words")</f>
        <v>Count Words</v>
      </c>
      <c r="B17" s="80"/>
      <c r="C17" s="76"/>
    </row>
    <row r="18" spans="1:3" ht="18">
      <c r="A18" s="81" t="str">
        <f>HYPERLINK("https://codeforces.com/group/MWSDmqGsZm/contest/219856/problem/Q", "Reverse Words")</f>
        <v>Reverse Words</v>
      </c>
      <c r="B18" s="78"/>
      <c r="C18" s="79"/>
    </row>
    <row r="19" spans="1:3" ht="18">
      <c r="A19" s="81" t="str">
        <f>HYPERLINK("https://codeforces.com/group/MWSDmqGsZm/contest/219856/problem/R", "String Score")</f>
        <v>String Score</v>
      </c>
      <c r="B19" s="78"/>
      <c r="C19" s="79"/>
    </row>
    <row r="20" spans="1:3" ht="18">
      <c r="A20" s="81" t="str">
        <f>HYPERLINK("https://codeforces.com/group/MWSDmqGsZm/contest/219856/problem/S", "Max Split")</f>
        <v>Max Split</v>
      </c>
      <c r="B20" s="78"/>
      <c r="C20" s="79"/>
    </row>
    <row r="21" spans="1:3" ht="18">
      <c r="A21" s="81" t="str">
        <f>HYPERLINK("https://codeforces.com/group/MWSDmqGsZm/contest/219856/problem/T", "URL")</f>
        <v>URL</v>
      </c>
      <c r="B21" s="78"/>
      <c r="C21" s="79"/>
    </row>
    <row r="22" spans="1:3" ht="18">
      <c r="A22" s="81" t="str">
        <f>HYPERLINK("https://codeforces.com/group/MWSDmqGsZm/contest/219856/problem/U", " No name1")</f>
        <v> No name1</v>
      </c>
      <c r="B22" s="78"/>
      <c r="C22" s="79"/>
    </row>
    <row r="23" spans="1:3" ht="18">
      <c r="A23" s="81" t="str">
        <f>HYPERLINK("https://codeforces.com/group/MWSDmqGsZm/contest/219856/problem/V", "No name2")</f>
        <v>No name2</v>
      </c>
      <c r="B23" s="78"/>
      <c r="C23" s="79"/>
    </row>
    <row r="24" spans="1:3" ht="18">
      <c r="A24" s="81" t="str">
        <f>HYPERLINK("https://codeforces.com/group/MWSDmqGsZm/contest/219856/problem/W", "Encrypt&amp;Decrypt Message")</f>
        <v>Encrypt&amp;Decrypt Message</v>
      </c>
      <c r="B24" s="78"/>
      <c r="C24" s="79"/>
    </row>
    <row r="25" spans="1:3" ht="18">
      <c r="A25" s="81" t="str">
        <f>HYPERLINK("https://codeforces.com/group/MWSDmqGsZm/contest/219856/problem/X", "Comparison")</f>
        <v>Comparison</v>
      </c>
      <c r="B25" s="78"/>
      <c r="C25" s="79"/>
    </row>
    <row r="26" spans="1:3" ht="18">
      <c r="A26" s="81" t="str">
        <f>HYPERLINK("https://codeforces.com/group/MWSDmqGsZm/contest/219856/problem/Y", "Min Cost String")</f>
        <v>Min Cost String</v>
      </c>
      <c r="B26" s="78"/>
      <c r="C26" s="79"/>
    </row>
    <row r="27" spans="1:3" ht="18">
      <c r="A27" s="81" t="str">
        <f>HYPERLINK("https://codeforces.com/group/MWSDmqGsZm/contest/219856/problem/Z", "Clean Code")</f>
        <v>Clean Code</v>
      </c>
      <c r="B27" s="78"/>
      <c r="C27" s="79"/>
    </row>
  </sheetData>
  <conditionalFormatting sqref="B2:C27">
    <cfRule type="containsText" dxfId="20" priority="1" operator="containsText" text="AC">
      <formula>NOT(ISERROR(SEARCH(("AC"),(B2))))</formula>
    </cfRule>
  </conditionalFormatting>
  <conditionalFormatting sqref="B2:C27">
    <cfRule type="containsText" dxfId="19" priority="2" operator="containsText" text="WA">
      <formula>NOT(ISERROR(SEARCH(("WA"),(B2))))</formula>
    </cfRule>
  </conditionalFormatting>
  <conditionalFormatting sqref="B2:B27">
    <cfRule type="containsText" dxfId="18" priority="3" operator="containsText" text="TLE">
      <formula>NOT(ISERROR(SEARCH(("TLE"),(B2))))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/>
  <cols>
    <col min="1" max="1" width="49.42578125" customWidth="1"/>
    <col min="2" max="2" width="10.28515625" customWidth="1"/>
    <col min="3" max="3" width="60" customWidth="1"/>
  </cols>
  <sheetData>
    <row r="1" spans="1:3" ht="30" customHeight="1">
      <c r="A1" s="69" t="s">
        <v>20</v>
      </c>
      <c r="B1" s="70" t="s">
        <v>57</v>
      </c>
      <c r="C1" s="70" t="s">
        <v>58</v>
      </c>
    </row>
    <row r="2" spans="1:3" ht="20.25" customHeight="1">
      <c r="A2" s="82" t="str">
        <f>HYPERLINK("https://codeforces.com/group/MWSDmqGsZm/contest/223205/problem/A", "Add")</f>
        <v>Add</v>
      </c>
      <c r="B2" s="83"/>
      <c r="C2" s="84"/>
    </row>
    <row r="3" spans="1:3" ht="18">
      <c r="A3" s="82" t="str">
        <f>HYPERLINK("https://codeforces.com/group/MWSDmqGsZm/contest/223205/problem/B", "PRINT")</f>
        <v>PRINT</v>
      </c>
      <c r="B3" s="83"/>
      <c r="C3" s="84"/>
    </row>
    <row r="4" spans="1:3" ht="18">
      <c r="A4" s="82" t="str">
        <f>HYPERLINK("https://codeforces.com/group/MWSDmqGsZm/contest/223205/problem/C", "Different functions")</f>
        <v>Different functions</v>
      </c>
      <c r="B4" s="83"/>
      <c r="C4" s="84"/>
    </row>
    <row r="5" spans="1:3" ht="18">
      <c r="A5" s="82" t="str">
        <f>HYPERLINK("https://codeforces.com/group/MWSDmqGsZm/contest/223205/problem/D", "prime function")</f>
        <v>prime function</v>
      </c>
      <c r="B5" s="83"/>
      <c r="C5" s="84"/>
    </row>
    <row r="6" spans="1:3" ht="18">
      <c r="A6" s="82" t="str">
        <f>HYPERLINK("https://codeforces.com/group/MWSDmqGsZm/contest/223205/problem/E", "Swap")</f>
        <v>Swap</v>
      </c>
      <c r="B6" s="85"/>
      <c r="C6" s="86"/>
    </row>
    <row r="7" spans="1:3" ht="18">
      <c r="A7" s="82" t="str">
        <f>HYPERLINK("https://codeforces.com/group/MWSDmqGsZm/contest/223205/problem/F", "Equation")</f>
        <v>Equation</v>
      </c>
      <c r="B7" s="85"/>
      <c r="C7" s="86"/>
    </row>
    <row r="8" spans="1:3" ht="18">
      <c r="A8" s="82" t="str">
        <f>HYPERLINK("https://codeforces.com/group/MWSDmqGsZm/contest/223205/problem/G", "Max and MIN")</f>
        <v>Max and MIN</v>
      </c>
      <c r="B8" s="85"/>
      <c r="C8" s="86"/>
    </row>
    <row r="9" spans="1:3" ht="18">
      <c r="A9" s="82" t="str">
        <f>HYPERLINK("https://codeforces.com/group/MWSDmqGsZm/contest/223205/problem/H", "N times")</f>
        <v>N times</v>
      </c>
      <c r="B9" s="85"/>
      <c r="C9" s="86"/>
    </row>
    <row r="10" spans="1:3" ht="18">
      <c r="A10" s="82" t="str">
        <f>HYPERLINK("https://codeforces.com/group/MWSDmqGsZm/contest/223205/problem/I", "Swapping with matrix")</f>
        <v>Swapping with matrix</v>
      </c>
      <c r="B10" s="85"/>
      <c r="C10" s="86"/>
    </row>
    <row r="11" spans="1:3" ht="18">
      <c r="A11" s="82" t="str">
        <f>HYPERLINK("https://codeforces.com/group/MWSDmqGsZm/contest/223205/problem/J", "Average")</f>
        <v>Average</v>
      </c>
      <c r="B11" s="85"/>
      <c r="C11" s="86"/>
    </row>
    <row r="12" spans="1:3" ht="18">
      <c r="A12" s="82" t="str">
        <f>HYPERLINK("https://codeforces.com/group/MWSDmqGsZm/contest/223205/problem/K", "Shift right")</f>
        <v>Shift right</v>
      </c>
      <c r="B12" s="83"/>
      <c r="C12" s="86"/>
    </row>
    <row r="13" spans="1:3" ht="18">
      <c r="A13" s="82" t="str">
        <f>HYPERLINK("https://codeforces.com/group/MWSDmqGsZm/contest/223205/problem/L", "New Array")</f>
        <v>New Array</v>
      </c>
      <c r="B13" s="85"/>
      <c r="C13" s="86"/>
    </row>
    <row r="14" spans="1:3" ht="18">
      <c r="A14" s="82" t="str">
        <f>HYPERLINK("https://codeforces.com/group/MWSDmqGsZm/contest/223205/problem/M", "Distinct numbers")</f>
        <v>Distinct numbers</v>
      </c>
      <c r="B14" s="85"/>
      <c r="C14" s="86"/>
    </row>
    <row r="15" spans="1:3" ht="18">
      <c r="A15" s="82" t="str">
        <f>HYPERLINK("https://codeforces.com/group/MWSDmqGsZm/contest/223205/problem/N", "Shift zeros")</f>
        <v>Shift zeros</v>
      </c>
      <c r="B15" s="85"/>
      <c r="C15" s="86"/>
    </row>
    <row r="16" spans="1:3" ht="18">
      <c r="A16" s="82" t="str">
        <f>HYPERLINK("https://codeforces.com/group/MWSDmqGsZm/contest/223205/problem/O", "Five in One")</f>
        <v>Five in One</v>
      </c>
      <c r="B16" s="85"/>
      <c r="C16" s="86"/>
    </row>
  </sheetData>
  <conditionalFormatting sqref="B2:C16">
    <cfRule type="containsText" dxfId="17" priority="1" operator="containsText" text="AC">
      <formula>NOT(ISERROR(SEARCH(("AC"),(B2))))</formula>
    </cfRule>
  </conditionalFormatting>
  <conditionalFormatting sqref="B2:C16">
    <cfRule type="containsText" dxfId="16" priority="2" operator="containsText" text="WA">
      <formula>NOT(ISERROR(SEARCH(("WA"),(B2))))</formula>
    </cfRule>
  </conditionalFormatting>
  <conditionalFormatting sqref="B2:B16">
    <cfRule type="containsText" dxfId="15" priority="3" operator="containsText" text="TLE">
      <formula>NOT(ISERROR(SEARCH(("TLE"),(B2))))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/>
  <cols>
    <col min="1" max="1" width="47.5703125" customWidth="1"/>
    <col min="2" max="2" width="9.7109375" customWidth="1"/>
    <col min="3" max="3" width="58.42578125" customWidth="1"/>
  </cols>
  <sheetData>
    <row r="1" spans="1:3" ht="30" customHeight="1">
      <c r="A1" s="69" t="s">
        <v>20</v>
      </c>
      <c r="B1" s="70" t="s">
        <v>57</v>
      </c>
      <c r="C1" s="70" t="s">
        <v>58</v>
      </c>
    </row>
    <row r="2" spans="1:3" ht="20.25" customHeight="1">
      <c r="A2" s="77" t="str">
        <f>HYPERLINK("https://codeforces.com/group/MWSDmqGsZm/contest/223338/problem/A", "Power Of Two")</f>
        <v>Power Of Two</v>
      </c>
      <c r="B2" s="71"/>
      <c r="C2" s="65"/>
    </row>
    <row r="3" spans="1:3" ht="18">
      <c r="A3" s="77" t="str">
        <f>HYPERLINK("https://codeforces.com/group/MWSDmqGsZm/contest/223338/problem/B", "Prime checking")</f>
        <v>Prime checking</v>
      </c>
      <c r="B3" s="71"/>
      <c r="C3" s="65"/>
    </row>
    <row r="4" spans="1:3" ht="18">
      <c r="A4" s="77" t="str">
        <f>HYPERLINK("https://codeforces.com/group/MWSDmqGsZm/contest/223338/problem/C", "Sum of Range")</f>
        <v>Sum of Range</v>
      </c>
      <c r="B4" s="71"/>
      <c r="C4" s="65"/>
    </row>
    <row r="5" spans="1:3" ht="18">
      <c r="A5" s="77" t="str">
        <f>HYPERLINK("https://codeforces.com/group/MWSDmqGsZm/contest/223338/problem/D", "Xor")</f>
        <v>Xor</v>
      </c>
      <c r="B5" s="71"/>
      <c r="C5" s="65"/>
    </row>
    <row r="6" spans="1:3" ht="18">
      <c r="A6" s="77" t="str">
        <f>HYPERLINK("https://codeforces.com/group/MWSDmqGsZm/contest/223338/problem/E", "Maximum Distinct Numbers")</f>
        <v>Maximum Distinct Numbers</v>
      </c>
      <c r="B6" s="71"/>
      <c r="C6" s="66"/>
    </row>
    <row r="7" spans="1:3" ht="18">
      <c r="A7" s="77" t="str">
        <f>HYPERLINK("https://codeforces.com/group/MWSDmqGsZm/contest/223338/problem/G", "Multiplication of Matrices")</f>
        <v>Multiplication of Matrices</v>
      </c>
      <c r="B7" s="71"/>
      <c r="C7" s="66"/>
    </row>
    <row r="8" spans="1:3" ht="18">
      <c r="A8" s="77" t="str">
        <f>HYPERLINK("https://codeforces.com/group/MWSDmqGsZm/contest/223338/problem/G", "Summation of its divisors")</f>
        <v>Summation of its divisors</v>
      </c>
      <c r="B8" s="73"/>
      <c r="C8" s="66"/>
    </row>
    <row r="9" spans="1:3" ht="18">
      <c r="A9" s="77" t="str">
        <f>HYPERLINK("https://codeforces.com/group/MWSDmqGsZm/contest/223338/problem/H", "GCD")</f>
        <v>GCD</v>
      </c>
      <c r="B9" s="73"/>
      <c r="C9" s="66"/>
    </row>
    <row r="10" spans="1:3" ht="18">
      <c r="A10" s="77" t="str">
        <f>HYPERLINK("https://codeforces.com/group/MWSDmqGsZm/contest/223338/problem/I", "Divisability")</f>
        <v>Divisability</v>
      </c>
      <c r="B10" s="73"/>
      <c r="C10" s="66"/>
    </row>
    <row r="11" spans="1:3" ht="18">
      <c r="A11" s="77" t="str">
        <f>HYPERLINK("https://codeforces.com/group/MWSDmqGsZm/contest/223338/problem/J", "Prime Factors")</f>
        <v>Prime Factors</v>
      </c>
      <c r="B11" s="73"/>
      <c r="C11" s="66"/>
    </row>
    <row r="12" spans="1:3" ht="18">
      <c r="A12" s="77" t="str">
        <f>HYPERLINK("https://codeforces.com/group/MWSDmqGsZm/contest/223338/problem/K", "Combination and Permutation")</f>
        <v>Combination and Permutation</v>
      </c>
      <c r="B12" s="73"/>
      <c r="C12" s="66"/>
    </row>
    <row r="13" spans="1:3" ht="18">
      <c r="A13" s="77" t="str">
        <f>HYPERLINK("https://codeforces.com/group/MWSDmqGsZm/contest/223338/problem/L", "Pascal Triangle")</f>
        <v>Pascal Triangle</v>
      </c>
      <c r="B13" s="73"/>
      <c r="C13" s="66"/>
    </row>
    <row r="14" spans="1:3" ht="18">
      <c r="A14" s="77" t="str">
        <f>HYPERLINK("https://codeforces.com/group/MWSDmqGsZm/contest/223338/problem/M", "Divisible")</f>
        <v>Divisible</v>
      </c>
      <c r="B14" s="73"/>
      <c r="C14" s="66"/>
    </row>
    <row r="15" spans="1:3" ht="18">
      <c r="A15" s="77" t="str">
        <f>HYPERLINK("https://codeforces.com/group/MWSDmqGsZm/contest/223338/problem/N", "Convert to Base")</f>
        <v>Convert to Base</v>
      </c>
      <c r="B15" s="73"/>
      <c r="C15" s="66"/>
    </row>
    <row r="16" spans="1:3" ht="18">
      <c r="A16" s="77" t="str">
        <f>HYPERLINK("https://codeforces.com/group/MWSDmqGsZm/contest/223338/problem/O", "Big Add and Multiply")</f>
        <v>Big Add and Multiply</v>
      </c>
      <c r="B16" s="80"/>
      <c r="C16" s="68"/>
    </row>
    <row r="17" spans="1:3" ht="18">
      <c r="A17" s="77" t="str">
        <f>HYPERLINK("https://codeforces.com/group/MWSDmqGsZm/contest/223338/problem/P", "Factorial Digits")</f>
        <v>Factorial Digits</v>
      </c>
      <c r="B17" s="78"/>
      <c r="C17" s="87"/>
    </row>
    <row r="18" spans="1:3" ht="18">
      <c r="A18" s="77" t="str">
        <f>HYPERLINK("https://codeforces.com/group/MWSDmqGsZm/contest/223338/problem/Q", "Product")</f>
        <v>Product</v>
      </c>
      <c r="B18" s="78"/>
      <c r="C18" s="87"/>
    </row>
    <row r="19" spans="1:3" ht="18">
      <c r="A19" s="77" t="str">
        <f>HYPERLINK("https://codeforces.com/group/MWSDmqGsZm/contest/223338/problem/R", "Distance points")</f>
        <v>Distance points</v>
      </c>
      <c r="B19" s="78"/>
      <c r="C19" s="87"/>
    </row>
    <row r="20" spans="1:3" ht="18">
      <c r="A20" s="77" t="str">
        <f>HYPERLINK("https://codeforces.com/group/MWSDmqGsZm/contest/223338/problem/S", "Is Triangle")</f>
        <v>Is Triangle</v>
      </c>
      <c r="B20" s="78"/>
      <c r="C20" s="87"/>
    </row>
    <row r="21" spans="1:3" ht="18">
      <c r="A21" s="77" t="str">
        <f>HYPERLINK("https://codeforces.com/group/MWSDmqGsZm/contest/223338/problem/T", "Circle Task")</f>
        <v>Circle Task</v>
      </c>
      <c r="B21" s="78"/>
      <c r="C21" s="87"/>
    </row>
    <row r="22" spans="1:3" ht="18">
      <c r="A22" s="77" t="str">
        <f>HYPERLINK("https://codeforces.com/group/MWSDmqGsZm/contest/223338/problem/U", "Straight Line")</f>
        <v>Straight Line</v>
      </c>
      <c r="B22" s="78"/>
      <c r="C22" s="87"/>
    </row>
    <row r="23" spans="1:3" ht="18">
      <c r="A23" s="77" t="str">
        <f>HYPERLINK("https://codeforces.com/group/MWSDmqGsZm/contest/223338/problem/V", "Two Lines")</f>
        <v>Two Lines</v>
      </c>
      <c r="B23" s="78"/>
      <c r="C23" s="87"/>
    </row>
    <row r="24" spans="1:3" ht="18">
      <c r="A24" s="77" t="str">
        <f>HYPERLINK("https://codeforces.com/group/MWSDmqGsZm/contest/223338/problem/W", "Circles")</f>
        <v>Circles</v>
      </c>
      <c r="B24" s="78"/>
      <c r="C24" s="87"/>
    </row>
    <row r="25" spans="1:3" ht="18">
      <c r="A25" s="77" t="str">
        <f>HYPERLINK("https://codeforces.com/group/MWSDmqGsZm/contest/223338/problem/X", "Rectangle")</f>
        <v>Rectangle</v>
      </c>
      <c r="B25" s="78"/>
      <c r="C25" s="87"/>
    </row>
    <row r="26" spans="1:3" ht="18">
      <c r="A26" s="77" t="str">
        <f>HYPERLINK("https://codeforces.com/group/MWSDmqGsZm/contest/223338/problem/Y", "Common Area")</f>
        <v>Common Area</v>
      </c>
      <c r="B26" s="78"/>
      <c r="C26" s="87"/>
    </row>
    <row r="27" spans="1:3" ht="18">
      <c r="A27" s="77" t="str">
        <f>HYPERLINK("https://codeforces.com/group/MWSDmqGsZm/contest/223338/problem/Z", "Geometry Test")</f>
        <v>Geometry Test</v>
      </c>
      <c r="B27" s="78"/>
      <c r="C27" s="87"/>
    </row>
  </sheetData>
  <conditionalFormatting sqref="B2:C27">
    <cfRule type="containsText" dxfId="14" priority="1" operator="containsText" text="AC">
      <formula>NOT(ISERROR(SEARCH(("AC"),(B2))))</formula>
    </cfRule>
  </conditionalFormatting>
  <conditionalFormatting sqref="B2:C27">
    <cfRule type="containsText" dxfId="13" priority="2" operator="containsText" text="WA">
      <formula>NOT(ISERROR(SEARCH(("WA"),(B2))))</formula>
    </cfRule>
  </conditionalFormatting>
  <conditionalFormatting sqref="B2:B27">
    <cfRule type="containsText" dxfId="12" priority="3" operator="containsText" text="TLE">
      <formula>NOT(ISERROR(SEARCH(("TLE"),(B2))))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/>
  <cols>
    <col min="1" max="1" width="38.7109375" customWidth="1"/>
    <col min="2" max="2" width="9" customWidth="1"/>
    <col min="3" max="3" width="59.140625" customWidth="1"/>
  </cols>
  <sheetData>
    <row r="1" spans="1:3" ht="30" customHeight="1">
      <c r="A1" s="69" t="s">
        <v>20</v>
      </c>
      <c r="B1" s="70" t="s">
        <v>57</v>
      </c>
      <c r="C1" s="70" t="s">
        <v>58</v>
      </c>
    </row>
    <row r="2" spans="1:3" ht="20.25" customHeight="1">
      <c r="A2" s="82" t="str">
        <f>HYPERLINK("https://codeforces.com/group/MWSDmqGsZm/contest/223339/problem/A", "Print Recursion")</f>
        <v>Print Recursion</v>
      </c>
      <c r="B2" s="71"/>
      <c r="C2" s="72"/>
    </row>
    <row r="3" spans="1:3" ht="18">
      <c r="A3" s="82" t="str">
        <f>HYPERLINK("https://codeforces.com/group/MWSDmqGsZm/contest/223339/problem/B", "Print from 1 to N")</f>
        <v>Print from 1 to N</v>
      </c>
      <c r="B3" s="71"/>
      <c r="C3" s="72"/>
    </row>
    <row r="4" spans="1:3" ht="18">
      <c r="A4" s="82" t="str">
        <f>HYPERLINK("https://codeforces.com/group/MWSDmqGsZm/contest/223339/problem/C", "Print from N to 1")</f>
        <v>Print from N to 1</v>
      </c>
      <c r="B4" s="71"/>
      <c r="C4" s="72"/>
    </row>
    <row r="5" spans="1:3" ht="18">
      <c r="A5" s="82" t="str">
        <f>HYPERLINK("https://codeforces.com/group/MWSDmqGsZm/contest/223339/problem/D", "Print Digits using Recursion")</f>
        <v>Print Digits using Recursion</v>
      </c>
      <c r="B5" s="71"/>
      <c r="C5" s="72"/>
    </row>
    <row r="6" spans="1:3" ht="18">
      <c r="A6" s="82" t="str">
        <f>HYPERLINK("https://codeforces.com/group/MWSDmqGsZm/contest/223339/problem/E", "Base Converssion")</f>
        <v>Base Converssion</v>
      </c>
      <c r="B6" s="73"/>
      <c r="C6" s="74"/>
    </row>
    <row r="7" spans="1:3" ht="18">
      <c r="A7" s="82" t="str">
        <f>HYPERLINK("https://codeforces.com/group/MWSDmqGsZm/contest/223339/problem/F", "Print Even Indices")</f>
        <v>Print Even Indices</v>
      </c>
      <c r="B7" s="73"/>
      <c r="C7" s="74"/>
    </row>
    <row r="8" spans="1:3" ht="18">
      <c r="A8" s="82" t="str">
        <f>HYPERLINK("https://codeforces.com/group/MWSDmqGsZm/contest/223339/problem/G", "Pyramid")</f>
        <v>Pyramid</v>
      </c>
      <c r="B8" s="73"/>
      <c r="C8" s="74"/>
    </row>
    <row r="9" spans="1:3" ht="18">
      <c r="A9" s="82" t="str">
        <f>HYPERLINK("https://codeforces.com/group/MWSDmqGsZm/contest/223339/problem/H", "Inverted Pyramid")</f>
        <v>Inverted Pyramid</v>
      </c>
      <c r="B9" s="71"/>
      <c r="C9" s="74"/>
    </row>
    <row r="10" spans="1:3" ht="18">
      <c r="A10" s="82" t="str">
        <f>HYPERLINK("https://codeforces.com/group/MWSDmqGsZm/contest/223339/problem/I", "Count Vowels")</f>
        <v>Count Vowels</v>
      </c>
      <c r="B10" s="73"/>
      <c r="C10" s="74"/>
    </row>
    <row r="11" spans="1:3" ht="18">
      <c r="A11" s="82" t="str">
        <f>HYPERLINK("https://codeforces.com/group/MWSDmqGsZm/contest/223339/problem/J", "Factorial")</f>
        <v>Factorial</v>
      </c>
      <c r="B11" s="73"/>
      <c r="C11" s="74"/>
    </row>
    <row r="12" spans="1:3" ht="18">
      <c r="A12" s="82" t="str">
        <f>HYPERLINK("https://codeforces.com/group/MWSDmqGsZm/contest/223339/problem/K", "Max Number")</f>
        <v>Max Number</v>
      </c>
      <c r="B12" s="73"/>
      <c r="C12" s="74"/>
    </row>
    <row r="13" spans="1:3" ht="18">
      <c r="A13" s="82" t="str">
        <f>HYPERLINK("https://codeforces.com/group/MWSDmqGsZm/contest/223339/problem/L", "Summation")</f>
        <v>Summation</v>
      </c>
      <c r="B13" s="71"/>
      <c r="C13" s="74"/>
    </row>
    <row r="14" spans="1:3" ht="18">
      <c r="A14" s="82" t="str">
        <f>HYPERLINK("https://codeforces.com/group/MWSDmqGsZm/contest/223339/problem/M", "Suffix Sum")</f>
        <v>Suffix Sum</v>
      </c>
      <c r="B14" s="73"/>
      <c r="C14" s="74"/>
    </row>
    <row r="15" spans="1:3" ht="18">
      <c r="A15" s="82" t="str">
        <f>HYPERLINK("https://codeforces.com/group/MWSDmqGsZm/contest/223339/problem/N", "Sum of a Matrix")</f>
        <v>Sum of a Matrix</v>
      </c>
      <c r="B15" s="73"/>
      <c r="C15" s="74"/>
    </row>
    <row r="16" spans="1:3" ht="18">
      <c r="A16" s="82" t="str">
        <f>HYPERLINK("https://codeforces.com/group/MWSDmqGsZm/contest/223339/problem/O", "Fibonacci")</f>
        <v>Fibonacci</v>
      </c>
      <c r="B16" s="80"/>
      <c r="C16" s="76"/>
    </row>
    <row r="17" spans="1:3" ht="18">
      <c r="A17" s="82" t="str">
        <f>HYPERLINK("https://codeforces.com/group/MWSDmqGsZm/contest/223339/problem/P", "Log2")</f>
        <v>Log2</v>
      </c>
      <c r="B17" s="78"/>
      <c r="C17" s="79"/>
    </row>
    <row r="18" spans="1:3" ht="18">
      <c r="A18" s="82" t="str">
        <f>HYPERLINK("https://codeforces.com/group/MWSDmqGsZm/contest/223339/problem/Q", "3n + 1 sequence")</f>
        <v>3n + 1 sequence</v>
      </c>
      <c r="B18" s="78"/>
      <c r="C18" s="79"/>
    </row>
    <row r="19" spans="1:3" ht="18">
      <c r="A19" s="82" t="str">
        <f>HYPERLINK("https://codeforces.com/group/MWSDmqGsZm/contest/223339/problem/R", "Palindrome Array")</f>
        <v>Palindrome Array</v>
      </c>
      <c r="B19" s="78"/>
      <c r="C19" s="79"/>
    </row>
    <row r="20" spans="1:3" ht="18">
      <c r="A20" s="82" t="str">
        <f>HYPERLINK("https://codeforces.com/group/MWSDmqGsZm/contest/223339/problem/S", "Array Average")</f>
        <v>Array Average</v>
      </c>
      <c r="B20" s="78"/>
      <c r="C20" s="79"/>
    </row>
    <row r="21" spans="1:3" ht="18">
      <c r="A21" s="82" t="str">
        <f>HYPERLINK("https://codeforces.com/group/MWSDmqGsZm/contest/223339/problem/T", "Combination")</f>
        <v>Combination</v>
      </c>
      <c r="B21" s="78"/>
      <c r="C21" s="79"/>
    </row>
    <row r="22" spans="1:3" ht="18">
      <c r="A22" s="82" t="str">
        <f>HYPERLINK("https://codeforces.com/group/MWSDmqGsZm/contest/223339/problem/U", "Knapsack")</f>
        <v>Knapsack</v>
      </c>
      <c r="B22" s="78"/>
      <c r="C22" s="79"/>
    </row>
    <row r="23" spans="1:3" ht="18">
      <c r="A23" s="82" t="str">
        <f>HYPERLINK("https://codeforces.com/group/MWSDmqGsZm/contest/223339/problem/V", "Creating Expression1")</f>
        <v>Creating Expression1</v>
      </c>
      <c r="B23" s="78"/>
      <c r="C23" s="79"/>
    </row>
    <row r="24" spans="1:3" ht="18">
      <c r="A24" s="82" t="str">
        <f>HYPERLINK("https://codeforces.com/group/MWSDmqGsZm/contest/223339/problem/W", "Reach Value")</f>
        <v>Reach Value</v>
      </c>
      <c r="B24" s="78"/>
      <c r="C24" s="79"/>
    </row>
    <row r="25" spans="1:3" ht="18">
      <c r="A25" s="82" t="str">
        <f>HYPERLINK("https://codeforces.com/group/MWSDmqGsZm/contest/223339/problem/X", "The maximum path-sum")</f>
        <v>The maximum path-sum</v>
      </c>
      <c r="B25" s="78"/>
      <c r="C25" s="79"/>
    </row>
    <row r="26" spans="1:3" ht="18">
      <c r="A26" s="82" t="str">
        <f>HYPERLINK("https://codeforces.com/group/MWSDmqGsZm/contest/223339/problem/Y", "Number of Ways")</f>
        <v>Number of Ways</v>
      </c>
      <c r="B26" s="78"/>
      <c r="C26" s="79"/>
    </row>
    <row r="27" spans="1:3" ht="18">
      <c r="A27" s="82" t="str">
        <f>HYPERLINK("https://codeforces.com/group/MWSDmqGsZm/contest/223339/problem/Z", "Left Max")</f>
        <v>Left Max</v>
      </c>
      <c r="B27" s="78"/>
      <c r="C27" s="79"/>
    </row>
  </sheetData>
  <conditionalFormatting sqref="B2:C27">
    <cfRule type="containsText" dxfId="11" priority="1" operator="containsText" text="AC">
      <formula>NOT(ISERROR(SEARCH(("AC"),(B2))))</formula>
    </cfRule>
  </conditionalFormatting>
  <conditionalFormatting sqref="B2:C27">
    <cfRule type="containsText" dxfId="10" priority="2" operator="containsText" text="WA">
      <formula>NOT(ISERROR(SEARCH(("WA"),(B2))))</formula>
    </cfRule>
  </conditionalFormatting>
  <conditionalFormatting sqref="B2:B27">
    <cfRule type="notContainsBlanks" dxfId="9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Introduction</vt:lpstr>
      <vt:lpstr>MAIN SHEET</vt:lpstr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2022-03-02T21:40:15Z</dcterms:modified>
</cp:coreProperties>
</file>